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Learning\Django_Projects\Streamlit_Project\Energy_Balance\"/>
    </mc:Choice>
  </mc:AlternateContent>
  <xr:revisionPtr revIDLastSave="0" documentId="13_ncr:1_{ACE84FA0-1C5C-4EF4-A9AF-74060CA140DD}" xr6:coauthVersionLast="47" xr6:coauthVersionMax="47" xr10:uidLastSave="{00000000-0000-0000-0000-000000000000}"/>
  <bookViews>
    <workbookView xWindow="-110" yWindow="-110" windowWidth="19420" windowHeight="10300" firstSheet="2" activeTab="9" xr2:uid="{00000000-000D-0000-FFFF-FFFF00000000}"/>
  </bookViews>
  <sheets>
    <sheet name="PDB SUM AMR" sheetId="8" state="hidden" r:id="rId1"/>
    <sheet name="SOUTH-2" sheetId="11" r:id="rId2"/>
    <sheet name="SOUTH-1" sheetId="10" r:id="rId3"/>
    <sheet name="%Loss " sheetId="6" r:id="rId4"/>
    <sheet name="NORTH-1" sheetId="9" r:id="rId5"/>
    <sheet name="NORTH-2" sheetId="1" r:id="rId6"/>
    <sheet name="PDB Bill AMR" sheetId="12" r:id="rId7"/>
    <sheet name="Sheet3" sheetId="3" r:id="rId8"/>
    <sheet name="Linked_11KV" sheetId="13" r:id="rId9"/>
    <sheet name="Sheet2" sheetId="2" r:id="rId10"/>
  </sheets>
  <externalReferences>
    <externalReference r:id="rId11"/>
    <externalReference r:id="rId12"/>
    <externalReference r:id="rId13"/>
  </externalReferences>
  <definedNames>
    <definedName name="Beg_Bal">#REF!</definedName>
    <definedName name="Cum_Int">#REF!</definedName>
    <definedName name="Data">#REF!</definedName>
    <definedName name="dec_22">#REF!</definedName>
    <definedName name="December_22">ROW(#REF!)</definedName>
    <definedName name="December22">#REF!</definedName>
    <definedName name="End_Bal">#REF!</definedName>
    <definedName name="Extra_Pay">#REF!</definedName>
    <definedName name="Full_Print">#REF!</definedName>
    <definedName name="Header_Row">ROW(#REF!)</definedName>
    <definedName name="Int">#REF!</definedName>
    <definedName name="Interest_Rate">#REF!</definedName>
    <definedName name="Last_Row" localSheetId="3">#N/A</definedName>
    <definedName name="Last_Row" localSheetId="6">IF('PDB Bill AMR'!Values_Entered,Header_Row+'PDB Bill AMR'!Number_of_Payments,Header_Row)</definedName>
    <definedName name="Last_Row" localSheetId="0">#N/A</definedName>
    <definedName name="Last_Row">IF([1]DESCO_NEW_FORMAT!Values_Entered,Header_Row+[1]DESCO_NEW_FORMAT!Number_of_Payments,Header_Row)</definedName>
    <definedName name="Loan_Amount" localSheetId="6">#REF!</definedName>
    <definedName name="Loan_Amount">#REF!</definedName>
    <definedName name="Loan_Start" localSheetId="6">#REF!</definedName>
    <definedName name="Loan_Start">#REF!</definedName>
    <definedName name="Loan_Years" localSheetId="6">#REF!</definedName>
    <definedName name="Loan_Years">#REF!</definedName>
    <definedName name="Num_Pmt_Per_Year">#REF!</definedName>
    <definedName name="Number_of_Payments" localSheetId="3">MATCH(0.01,End_Bal,-1)+1</definedName>
    <definedName name="Number_of_Payments" localSheetId="6">MATCH(0.01,End_Bal,-1)+1</definedName>
    <definedName name="Number_of_Payments" localSheetId="0">MATCH(0.01,End_Bal,-1)+1</definedName>
    <definedName name="Number_of_Payments">MATCH(0.01,End_Bal,-1)+1</definedName>
    <definedName name="OLE_LINK2" localSheetId="0">'PDB SUM AMR'!$E$98</definedName>
    <definedName name="Pay_Date" localSheetId="6">#REF!</definedName>
    <definedName name="Pay_Date">#REF!</definedName>
    <definedName name="Pay_Num" localSheetId="6">#REF!</definedName>
    <definedName name="Pay_Num">#REF!</definedName>
    <definedName name="Payment_Date" localSheetId="3">DATE(YEAR(Loan_Start),MONTH(Loan_Start)+Payment_Number,DAY(Loan_Start))</definedName>
    <definedName name="Payment_Date" localSheetId="6">DATE(YEAR('PDB Bill AMR'!Loan_Start),MONTH('PDB Bill AMR'!Loan_Start)+Payment_Number,DAY('PDB Bill AMR'!Loan_Start))</definedName>
    <definedName name="Payment_Date" localSheetId="0">DATE(YEAR(Loan_Start),MONTH(Loan_Start)+Payment_Number,DAY(Loan_Start))</definedName>
    <definedName name="Payment_Date">DATE(YEAR(Loan_Start),MONTH(Loan_Start)+Payment_Number,DAY(Loan_Start))</definedName>
    <definedName name="Princ" localSheetId="6">#REF!</definedName>
    <definedName name="Princ">#REF!</definedName>
    <definedName name="_xlnm.Print_Area" localSheetId="6">'PDB Bill AMR'!$A$1:$AC$212</definedName>
    <definedName name="_xlnm.Print_Area" localSheetId="0">'PDB SUM AMR'!$A$114:$F$141</definedName>
    <definedName name="Print_Area_Reset" localSheetId="3">OFFSET(Full_Print,0,0,'%Loss '!Last_Row)</definedName>
    <definedName name="Print_Area_Reset" localSheetId="6">OFFSET(Full_Print,0,0,'PDB Bill AMR'!Last_Row)</definedName>
    <definedName name="Print_Area_Reset" localSheetId="0">OFFSET(Full_Print,0,0,'PDB SUM AMR'!Last_Row)</definedName>
    <definedName name="Print_Area_Reset">OFFSET(Full_Print,0,0,Last_Row)</definedName>
    <definedName name="sayem" localSheetId="6">#REF!</definedName>
    <definedName name="sayem">#REF!</definedName>
    <definedName name="Sched_Pay" localSheetId="6">#REF!</definedName>
    <definedName name="Sched_Pay">#REF!</definedName>
    <definedName name="Scheduled_Extra_Payments" localSheetId="6">#REF!</definedName>
    <definedName name="Scheduled_Extra_Payments">#REF!</definedName>
    <definedName name="Scheduled_Interest_Rate">#REF!</definedName>
    <definedName name="Scheduled_Monthly_Payment">#REF!</definedName>
    <definedName name="Total_Interest">#REF!</definedName>
    <definedName name="Total_Pay">#REF!</definedName>
    <definedName name="Values_Entered" localSheetId="3">IF(Loan_Amount*Interest_Rate*Loan_Years*Loan_Start&gt;0,1,0)</definedName>
    <definedName name="Values_Entered" localSheetId="6">IF('PDB Bill AMR'!Loan_Amount*Interest_Rate*'PDB Bill AMR'!Loan_Years*'PDB Bill AMR'!Loan_Start&gt;0,1,0)</definedName>
    <definedName name="Values_Entered" localSheetId="0">IF(Loan_Amount*Interest_Rate*Loan_Years*Loan_Start&gt;0,1,0)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2" l="1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7" i="2"/>
  <c r="G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3" i="2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03" i="13"/>
  <c r="A1103" i="13"/>
  <c r="B1103" i="13"/>
  <c r="C1103" i="13"/>
  <c r="D1103" i="13"/>
  <c r="E1103" i="13"/>
  <c r="F1103" i="13"/>
  <c r="G1103" i="13"/>
  <c r="H1103" i="13"/>
  <c r="I1103" i="13"/>
  <c r="J1103" i="13"/>
  <c r="K1103" i="13"/>
  <c r="L1103" i="13"/>
  <c r="M1103" i="13"/>
  <c r="N1103" i="13"/>
  <c r="A1104" i="13"/>
  <c r="B1104" i="13"/>
  <c r="C1104" i="13"/>
  <c r="D1104" i="13"/>
  <c r="E1104" i="13"/>
  <c r="F1104" i="13"/>
  <c r="G1104" i="13"/>
  <c r="H1104" i="13"/>
  <c r="I1104" i="13"/>
  <c r="J1104" i="13"/>
  <c r="K1104" i="13"/>
  <c r="L1104" i="13"/>
  <c r="M1104" i="13"/>
  <c r="N1104" i="13"/>
  <c r="A1105" i="13"/>
  <c r="B1105" i="13"/>
  <c r="C1105" i="13"/>
  <c r="D1105" i="13"/>
  <c r="E1105" i="13"/>
  <c r="F1105" i="13"/>
  <c r="G1105" i="13"/>
  <c r="H1105" i="13"/>
  <c r="I1105" i="13"/>
  <c r="J1105" i="13"/>
  <c r="K1105" i="13"/>
  <c r="L1105" i="13"/>
  <c r="M1105" i="13"/>
  <c r="N1105" i="13"/>
  <c r="A1106" i="13"/>
  <c r="B1106" i="13"/>
  <c r="C1106" i="13"/>
  <c r="D1106" i="13"/>
  <c r="E1106" i="13"/>
  <c r="F1106" i="13"/>
  <c r="G1106" i="13"/>
  <c r="H1106" i="13"/>
  <c r="I1106" i="13"/>
  <c r="J1106" i="13"/>
  <c r="K1106" i="13"/>
  <c r="L1106" i="13"/>
  <c r="M1106" i="13"/>
  <c r="N1106" i="13"/>
  <c r="A1107" i="13"/>
  <c r="B1107" i="13"/>
  <c r="C1107" i="13"/>
  <c r="D1107" i="13"/>
  <c r="E1107" i="13"/>
  <c r="F1107" i="13"/>
  <c r="G1107" i="13"/>
  <c r="H1107" i="13"/>
  <c r="I1107" i="13"/>
  <c r="J1107" i="13"/>
  <c r="K1107" i="13"/>
  <c r="L1107" i="13"/>
  <c r="M1107" i="13"/>
  <c r="N1107" i="13"/>
  <c r="A1108" i="13"/>
  <c r="B1108" i="13"/>
  <c r="C1108" i="13"/>
  <c r="D1108" i="13"/>
  <c r="E1108" i="13"/>
  <c r="F1108" i="13"/>
  <c r="G1108" i="13"/>
  <c r="H1108" i="13"/>
  <c r="I1108" i="13"/>
  <c r="J1108" i="13"/>
  <c r="K1108" i="13"/>
  <c r="L1108" i="13"/>
  <c r="M1108" i="13"/>
  <c r="N1108" i="13"/>
  <c r="A1109" i="13"/>
  <c r="B1109" i="13"/>
  <c r="C1109" i="13"/>
  <c r="D1109" i="13"/>
  <c r="E1109" i="13"/>
  <c r="F1109" i="13"/>
  <c r="G1109" i="13"/>
  <c r="H1109" i="13"/>
  <c r="I1109" i="13"/>
  <c r="J1109" i="13"/>
  <c r="K1109" i="13"/>
  <c r="L1109" i="13"/>
  <c r="M1109" i="13"/>
  <c r="N1109" i="13"/>
  <c r="A1110" i="13"/>
  <c r="B1110" i="13"/>
  <c r="C1110" i="13"/>
  <c r="D1110" i="13"/>
  <c r="E1110" i="13"/>
  <c r="F1110" i="13"/>
  <c r="G1110" i="13"/>
  <c r="H1110" i="13"/>
  <c r="I1110" i="13"/>
  <c r="J1110" i="13"/>
  <c r="K1110" i="13"/>
  <c r="L1110" i="13"/>
  <c r="M1110" i="13"/>
  <c r="N1110" i="13"/>
  <c r="A1111" i="13"/>
  <c r="B1111" i="13"/>
  <c r="C1111" i="13"/>
  <c r="D1111" i="13"/>
  <c r="E1111" i="13"/>
  <c r="F1111" i="13"/>
  <c r="G1111" i="13"/>
  <c r="H1111" i="13"/>
  <c r="I1111" i="13"/>
  <c r="J1111" i="13"/>
  <c r="K1111" i="13"/>
  <c r="L1111" i="13"/>
  <c r="M1111" i="13"/>
  <c r="N1111" i="13"/>
  <c r="A1112" i="13"/>
  <c r="B1112" i="13"/>
  <c r="C1112" i="13"/>
  <c r="D1112" i="13"/>
  <c r="E1112" i="13"/>
  <c r="F1112" i="13"/>
  <c r="G1112" i="13"/>
  <c r="H1112" i="13"/>
  <c r="I1112" i="13"/>
  <c r="J1112" i="13"/>
  <c r="K1112" i="13"/>
  <c r="L1112" i="13"/>
  <c r="M1112" i="13"/>
  <c r="N1112" i="13"/>
  <c r="A1113" i="13"/>
  <c r="B1113" i="13"/>
  <c r="C1113" i="13"/>
  <c r="D1113" i="13"/>
  <c r="E1113" i="13"/>
  <c r="F1113" i="13"/>
  <c r="G1113" i="13"/>
  <c r="H1113" i="13"/>
  <c r="I1113" i="13"/>
  <c r="J1113" i="13"/>
  <c r="K1113" i="13"/>
  <c r="L1113" i="13"/>
  <c r="M1113" i="13"/>
  <c r="N1113" i="13"/>
  <c r="A1114" i="13"/>
  <c r="B1114" i="13"/>
  <c r="C1114" i="13"/>
  <c r="D1114" i="13"/>
  <c r="E1114" i="13"/>
  <c r="F1114" i="13"/>
  <c r="G1114" i="13"/>
  <c r="H1114" i="13"/>
  <c r="I1114" i="13"/>
  <c r="J1114" i="13"/>
  <c r="K1114" i="13"/>
  <c r="L1114" i="13"/>
  <c r="M1114" i="13"/>
  <c r="N1114" i="13"/>
  <c r="A1115" i="13"/>
  <c r="B1115" i="13"/>
  <c r="C1115" i="13"/>
  <c r="D1115" i="13"/>
  <c r="E1115" i="13"/>
  <c r="F1115" i="13"/>
  <c r="G1115" i="13"/>
  <c r="H1115" i="13"/>
  <c r="I1115" i="13"/>
  <c r="J1115" i="13"/>
  <c r="K1115" i="13"/>
  <c r="L1115" i="13"/>
  <c r="M1115" i="13"/>
  <c r="N1115" i="13"/>
  <c r="A1116" i="13"/>
  <c r="B1116" i="13"/>
  <c r="C1116" i="13"/>
  <c r="D1116" i="13"/>
  <c r="E1116" i="13"/>
  <c r="F1116" i="13"/>
  <c r="G1116" i="13"/>
  <c r="H1116" i="13"/>
  <c r="I1116" i="13"/>
  <c r="J1116" i="13"/>
  <c r="K1116" i="13"/>
  <c r="L1116" i="13"/>
  <c r="M1116" i="13"/>
  <c r="N1116" i="13"/>
  <c r="A1117" i="13"/>
  <c r="B1117" i="13"/>
  <c r="C1117" i="13"/>
  <c r="D1117" i="13"/>
  <c r="E1117" i="13"/>
  <c r="F1117" i="13"/>
  <c r="G1117" i="13"/>
  <c r="H1117" i="13"/>
  <c r="I1117" i="13"/>
  <c r="J1117" i="13"/>
  <c r="K1117" i="13"/>
  <c r="L1117" i="13"/>
  <c r="M1117" i="13"/>
  <c r="N1117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088" i="13"/>
  <c r="A1088" i="13"/>
  <c r="B1088" i="13"/>
  <c r="C1088" i="13"/>
  <c r="D1088" i="13"/>
  <c r="E1088" i="13"/>
  <c r="F1088" i="13"/>
  <c r="G1088" i="13"/>
  <c r="H1088" i="13"/>
  <c r="I1088" i="13"/>
  <c r="J1088" i="13"/>
  <c r="K1088" i="13"/>
  <c r="L1088" i="13"/>
  <c r="M1088" i="13"/>
  <c r="N1088" i="13"/>
  <c r="A1089" i="13"/>
  <c r="B1089" i="13"/>
  <c r="C1089" i="13"/>
  <c r="D1089" i="13"/>
  <c r="E1089" i="13"/>
  <c r="F1089" i="13"/>
  <c r="G1089" i="13"/>
  <c r="H1089" i="13"/>
  <c r="I1089" i="13"/>
  <c r="J1089" i="13"/>
  <c r="K1089" i="13"/>
  <c r="L1089" i="13"/>
  <c r="M1089" i="13"/>
  <c r="N1089" i="13"/>
  <c r="A1090" i="13"/>
  <c r="B1090" i="13"/>
  <c r="C1090" i="13"/>
  <c r="D1090" i="13"/>
  <c r="E1090" i="13"/>
  <c r="F1090" i="13"/>
  <c r="G1090" i="13"/>
  <c r="H1090" i="13"/>
  <c r="I1090" i="13"/>
  <c r="J1090" i="13"/>
  <c r="K1090" i="13"/>
  <c r="L1090" i="13"/>
  <c r="M1090" i="13"/>
  <c r="N1090" i="13"/>
  <c r="A1091" i="13"/>
  <c r="B1091" i="13"/>
  <c r="C1091" i="13"/>
  <c r="D1091" i="13"/>
  <c r="E1091" i="13"/>
  <c r="F1091" i="13"/>
  <c r="G1091" i="13"/>
  <c r="H1091" i="13"/>
  <c r="I1091" i="13"/>
  <c r="J1091" i="13"/>
  <c r="K1091" i="13"/>
  <c r="L1091" i="13"/>
  <c r="M1091" i="13"/>
  <c r="N1091" i="13"/>
  <c r="A1092" i="13"/>
  <c r="B1092" i="13"/>
  <c r="C1092" i="13"/>
  <c r="D1092" i="13"/>
  <c r="E1092" i="13"/>
  <c r="F1092" i="13"/>
  <c r="G1092" i="13"/>
  <c r="H1092" i="13"/>
  <c r="I1092" i="13"/>
  <c r="J1092" i="13"/>
  <c r="K1092" i="13"/>
  <c r="L1092" i="13"/>
  <c r="M1092" i="13"/>
  <c r="N1092" i="13"/>
  <c r="A1093" i="13"/>
  <c r="B1093" i="13"/>
  <c r="C1093" i="13"/>
  <c r="D1093" i="13"/>
  <c r="E1093" i="13"/>
  <c r="F1093" i="13"/>
  <c r="G1093" i="13"/>
  <c r="H1093" i="13"/>
  <c r="I1093" i="13"/>
  <c r="J1093" i="13"/>
  <c r="K1093" i="13"/>
  <c r="L1093" i="13"/>
  <c r="M1093" i="13"/>
  <c r="N1093" i="13"/>
  <c r="A1094" i="13"/>
  <c r="B1094" i="13"/>
  <c r="C1094" i="13"/>
  <c r="D1094" i="13"/>
  <c r="E1094" i="13"/>
  <c r="F1094" i="13"/>
  <c r="G1094" i="13"/>
  <c r="H1094" i="13"/>
  <c r="I1094" i="13"/>
  <c r="J1094" i="13"/>
  <c r="K1094" i="13"/>
  <c r="L1094" i="13"/>
  <c r="M1094" i="13"/>
  <c r="N1094" i="13"/>
  <c r="A1095" i="13"/>
  <c r="B1095" i="13"/>
  <c r="C1095" i="13"/>
  <c r="D1095" i="13"/>
  <c r="E1095" i="13"/>
  <c r="F1095" i="13"/>
  <c r="G1095" i="13"/>
  <c r="H1095" i="13"/>
  <c r="I1095" i="13"/>
  <c r="J1095" i="13"/>
  <c r="K1095" i="13"/>
  <c r="L1095" i="13"/>
  <c r="M1095" i="13"/>
  <c r="N1095" i="13"/>
  <c r="A1096" i="13"/>
  <c r="B1096" i="13"/>
  <c r="C1096" i="13"/>
  <c r="D1096" i="13"/>
  <c r="E1096" i="13"/>
  <c r="F1096" i="13"/>
  <c r="G1096" i="13"/>
  <c r="H1096" i="13"/>
  <c r="I1096" i="13"/>
  <c r="J1096" i="13"/>
  <c r="K1096" i="13"/>
  <c r="L1096" i="13"/>
  <c r="M1096" i="13"/>
  <c r="N1096" i="13"/>
  <c r="A1097" i="13"/>
  <c r="B1097" i="13"/>
  <c r="C1097" i="13"/>
  <c r="D1097" i="13"/>
  <c r="E1097" i="13"/>
  <c r="F1097" i="13"/>
  <c r="G1097" i="13"/>
  <c r="H1097" i="13"/>
  <c r="I1097" i="13"/>
  <c r="J1097" i="13"/>
  <c r="K1097" i="13"/>
  <c r="L1097" i="13"/>
  <c r="M1097" i="13"/>
  <c r="N1097" i="13"/>
  <c r="A1098" i="13"/>
  <c r="B1098" i="13"/>
  <c r="C1098" i="13"/>
  <c r="D1098" i="13"/>
  <c r="E1098" i="13"/>
  <c r="F1098" i="13"/>
  <c r="G1098" i="13"/>
  <c r="H1098" i="13"/>
  <c r="I1098" i="13"/>
  <c r="J1098" i="13"/>
  <c r="K1098" i="13"/>
  <c r="L1098" i="13"/>
  <c r="M1098" i="13"/>
  <c r="N1098" i="13"/>
  <c r="A1099" i="13"/>
  <c r="B1099" i="13"/>
  <c r="C1099" i="13"/>
  <c r="D1099" i="13"/>
  <c r="E1099" i="13"/>
  <c r="F1099" i="13"/>
  <c r="G1099" i="13"/>
  <c r="H1099" i="13"/>
  <c r="I1099" i="13"/>
  <c r="J1099" i="13"/>
  <c r="K1099" i="13"/>
  <c r="L1099" i="13"/>
  <c r="M1099" i="13"/>
  <c r="N1099" i="13"/>
  <c r="A1100" i="13"/>
  <c r="B1100" i="13"/>
  <c r="C1100" i="13"/>
  <c r="D1100" i="13"/>
  <c r="E1100" i="13"/>
  <c r="F1100" i="13"/>
  <c r="G1100" i="13"/>
  <c r="H1100" i="13"/>
  <c r="I1100" i="13"/>
  <c r="J1100" i="13"/>
  <c r="K1100" i="13"/>
  <c r="L1100" i="13"/>
  <c r="M1100" i="13"/>
  <c r="N1100" i="13"/>
  <c r="A1101" i="13"/>
  <c r="B1101" i="13"/>
  <c r="C1101" i="13"/>
  <c r="D1101" i="13"/>
  <c r="E1101" i="13"/>
  <c r="F1101" i="13"/>
  <c r="G1101" i="13"/>
  <c r="H1101" i="13"/>
  <c r="I1101" i="13"/>
  <c r="J1101" i="13"/>
  <c r="K1101" i="13"/>
  <c r="L1101" i="13"/>
  <c r="M1101" i="13"/>
  <c r="N1101" i="13"/>
  <c r="A1102" i="13"/>
  <c r="B1102" i="13"/>
  <c r="C1102" i="13"/>
  <c r="D1102" i="13"/>
  <c r="E1102" i="13"/>
  <c r="F1102" i="13"/>
  <c r="G1102" i="13"/>
  <c r="H1102" i="13"/>
  <c r="I1102" i="13"/>
  <c r="J1102" i="13"/>
  <c r="K1102" i="13"/>
  <c r="L1102" i="13"/>
  <c r="M1102" i="13"/>
  <c r="N1102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70" i="13"/>
  <c r="A1070" i="13"/>
  <c r="B1070" i="13"/>
  <c r="C1070" i="13"/>
  <c r="D1070" i="13"/>
  <c r="E1070" i="13"/>
  <c r="F1070" i="13"/>
  <c r="G1070" i="13"/>
  <c r="H1070" i="13"/>
  <c r="I1070" i="13"/>
  <c r="J1070" i="13"/>
  <c r="K1070" i="13"/>
  <c r="L1070" i="13"/>
  <c r="M1070" i="13"/>
  <c r="N1070" i="13"/>
  <c r="A1071" i="13"/>
  <c r="B1071" i="13"/>
  <c r="C1071" i="13"/>
  <c r="D1071" i="13"/>
  <c r="E1071" i="13"/>
  <c r="F1071" i="13"/>
  <c r="G1071" i="13"/>
  <c r="H1071" i="13"/>
  <c r="I1071" i="13"/>
  <c r="J1071" i="13"/>
  <c r="K1071" i="13"/>
  <c r="L1071" i="13"/>
  <c r="M1071" i="13"/>
  <c r="N1071" i="13"/>
  <c r="A1072" i="13"/>
  <c r="B1072" i="13"/>
  <c r="C1072" i="13"/>
  <c r="D1072" i="13"/>
  <c r="E1072" i="13"/>
  <c r="F1072" i="13"/>
  <c r="G1072" i="13"/>
  <c r="H1072" i="13"/>
  <c r="I1072" i="13"/>
  <c r="J1072" i="13"/>
  <c r="K1072" i="13"/>
  <c r="L1072" i="13"/>
  <c r="M1072" i="13"/>
  <c r="N1072" i="13"/>
  <c r="A1073" i="13"/>
  <c r="B1073" i="13"/>
  <c r="C1073" i="13"/>
  <c r="D1073" i="13"/>
  <c r="E1073" i="13"/>
  <c r="F1073" i="13"/>
  <c r="G1073" i="13"/>
  <c r="H1073" i="13"/>
  <c r="I1073" i="13"/>
  <c r="J1073" i="13"/>
  <c r="K1073" i="13"/>
  <c r="L1073" i="13"/>
  <c r="M1073" i="13"/>
  <c r="N1073" i="13"/>
  <c r="A1074" i="13"/>
  <c r="B1074" i="13"/>
  <c r="C1074" i="13"/>
  <c r="D1074" i="13"/>
  <c r="E1074" i="13"/>
  <c r="F1074" i="13"/>
  <c r="G1074" i="13"/>
  <c r="H1074" i="13"/>
  <c r="I1074" i="13"/>
  <c r="J1074" i="13"/>
  <c r="K1074" i="13"/>
  <c r="L1074" i="13"/>
  <c r="M1074" i="13"/>
  <c r="N1074" i="13"/>
  <c r="A1075" i="13"/>
  <c r="B1075" i="13"/>
  <c r="C1075" i="13"/>
  <c r="D1075" i="13"/>
  <c r="E1075" i="13"/>
  <c r="F1075" i="13"/>
  <c r="G1075" i="13"/>
  <c r="H1075" i="13"/>
  <c r="I1075" i="13"/>
  <c r="J1075" i="13"/>
  <c r="K1075" i="13"/>
  <c r="L1075" i="13"/>
  <c r="M1075" i="13"/>
  <c r="N1075" i="13"/>
  <c r="A1076" i="13"/>
  <c r="B1076" i="13"/>
  <c r="C1076" i="13"/>
  <c r="D1076" i="13"/>
  <c r="E1076" i="13"/>
  <c r="F1076" i="13"/>
  <c r="G1076" i="13"/>
  <c r="H1076" i="13"/>
  <c r="I1076" i="13"/>
  <c r="J1076" i="13"/>
  <c r="K1076" i="13"/>
  <c r="L1076" i="13"/>
  <c r="M1076" i="13"/>
  <c r="N1076" i="13"/>
  <c r="A1077" i="13"/>
  <c r="B1077" i="13"/>
  <c r="C1077" i="13"/>
  <c r="D1077" i="13"/>
  <c r="E1077" i="13"/>
  <c r="F1077" i="13"/>
  <c r="G1077" i="13"/>
  <c r="H1077" i="13"/>
  <c r="I1077" i="13"/>
  <c r="J1077" i="13"/>
  <c r="K1077" i="13"/>
  <c r="L1077" i="13"/>
  <c r="M1077" i="13"/>
  <c r="N1077" i="13"/>
  <c r="A1078" i="13"/>
  <c r="B1078" i="13"/>
  <c r="C1078" i="13"/>
  <c r="D1078" i="13"/>
  <c r="E1078" i="13"/>
  <c r="F1078" i="13"/>
  <c r="G1078" i="13"/>
  <c r="H1078" i="13"/>
  <c r="I1078" i="13"/>
  <c r="J1078" i="13"/>
  <c r="K1078" i="13"/>
  <c r="L1078" i="13"/>
  <c r="M1078" i="13"/>
  <c r="N1078" i="13"/>
  <c r="A1079" i="13"/>
  <c r="B1079" i="13"/>
  <c r="C1079" i="13"/>
  <c r="D1079" i="13"/>
  <c r="E1079" i="13"/>
  <c r="F1079" i="13"/>
  <c r="G1079" i="13"/>
  <c r="H1079" i="13"/>
  <c r="I1079" i="13"/>
  <c r="J1079" i="13"/>
  <c r="K1079" i="13"/>
  <c r="L1079" i="13"/>
  <c r="M1079" i="13"/>
  <c r="N1079" i="13"/>
  <c r="A1080" i="13"/>
  <c r="B1080" i="13"/>
  <c r="C1080" i="13"/>
  <c r="D1080" i="13"/>
  <c r="E1080" i="13"/>
  <c r="F1080" i="13"/>
  <c r="G1080" i="13"/>
  <c r="H1080" i="13"/>
  <c r="I1080" i="13"/>
  <c r="J1080" i="13"/>
  <c r="K1080" i="13"/>
  <c r="L1080" i="13"/>
  <c r="M1080" i="13"/>
  <c r="N1080" i="13"/>
  <c r="A1081" i="13"/>
  <c r="B1081" i="13"/>
  <c r="C1081" i="13"/>
  <c r="D1081" i="13"/>
  <c r="E1081" i="13"/>
  <c r="F1081" i="13"/>
  <c r="G1081" i="13"/>
  <c r="H1081" i="13"/>
  <c r="I1081" i="13"/>
  <c r="J1081" i="13"/>
  <c r="K1081" i="13"/>
  <c r="L1081" i="13"/>
  <c r="M1081" i="13"/>
  <c r="N1081" i="13"/>
  <c r="A1082" i="13"/>
  <c r="B1082" i="13"/>
  <c r="C1082" i="13"/>
  <c r="D1082" i="13"/>
  <c r="E1082" i="13"/>
  <c r="F1082" i="13"/>
  <c r="G1082" i="13"/>
  <c r="H1082" i="13"/>
  <c r="I1082" i="13"/>
  <c r="J1082" i="13"/>
  <c r="K1082" i="13"/>
  <c r="L1082" i="13"/>
  <c r="M1082" i="13"/>
  <c r="N1082" i="13"/>
  <c r="A1083" i="13"/>
  <c r="B1083" i="13"/>
  <c r="C1083" i="13"/>
  <c r="D1083" i="13"/>
  <c r="E1083" i="13"/>
  <c r="F1083" i="13"/>
  <c r="G1083" i="13"/>
  <c r="H1083" i="13"/>
  <c r="I1083" i="13"/>
  <c r="J1083" i="13"/>
  <c r="K1083" i="13"/>
  <c r="L1083" i="13"/>
  <c r="M1083" i="13"/>
  <c r="N1083" i="13"/>
  <c r="A1084" i="13"/>
  <c r="B1084" i="13"/>
  <c r="C1084" i="13"/>
  <c r="D1084" i="13"/>
  <c r="E1084" i="13"/>
  <c r="F1084" i="13"/>
  <c r="G1084" i="13"/>
  <c r="H1084" i="13"/>
  <c r="I1084" i="13"/>
  <c r="J1084" i="13"/>
  <c r="K1084" i="13"/>
  <c r="L1084" i="13"/>
  <c r="M1084" i="13"/>
  <c r="N1084" i="13"/>
  <c r="A1085" i="13"/>
  <c r="B1085" i="13"/>
  <c r="C1085" i="13"/>
  <c r="D1085" i="13"/>
  <c r="E1085" i="13"/>
  <c r="F1085" i="13"/>
  <c r="G1085" i="13"/>
  <c r="H1085" i="13"/>
  <c r="I1085" i="13"/>
  <c r="J1085" i="13"/>
  <c r="K1085" i="13"/>
  <c r="L1085" i="13"/>
  <c r="M1085" i="13"/>
  <c r="N1085" i="13"/>
  <c r="A1086" i="13"/>
  <c r="B1086" i="13"/>
  <c r="C1086" i="13"/>
  <c r="D1086" i="13"/>
  <c r="E1086" i="13"/>
  <c r="F1086" i="13"/>
  <c r="G1086" i="13"/>
  <c r="H1086" i="13"/>
  <c r="I1086" i="13"/>
  <c r="J1086" i="13"/>
  <c r="K1086" i="13"/>
  <c r="L1086" i="13"/>
  <c r="M1086" i="13"/>
  <c r="N1086" i="13"/>
  <c r="A1087" i="13"/>
  <c r="B1087" i="13"/>
  <c r="C1087" i="13"/>
  <c r="D1087" i="13"/>
  <c r="E1087" i="13"/>
  <c r="F1087" i="13"/>
  <c r="G1087" i="13"/>
  <c r="H1087" i="13"/>
  <c r="I1087" i="13"/>
  <c r="J1087" i="13"/>
  <c r="K1087" i="13"/>
  <c r="L1087" i="13"/>
  <c r="M1087" i="13"/>
  <c r="N1087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54" i="13"/>
  <c r="A1054" i="13"/>
  <c r="B1054" i="13"/>
  <c r="C1054" i="13"/>
  <c r="D1054" i="13"/>
  <c r="E1054" i="13"/>
  <c r="F1054" i="13"/>
  <c r="G1054" i="13"/>
  <c r="H1054" i="13"/>
  <c r="I1054" i="13"/>
  <c r="J1054" i="13"/>
  <c r="K1054" i="13"/>
  <c r="L1054" i="13"/>
  <c r="M1054" i="13"/>
  <c r="N1054" i="13"/>
  <c r="A1055" i="13"/>
  <c r="B1055" i="13"/>
  <c r="C1055" i="13"/>
  <c r="D1055" i="13"/>
  <c r="E1055" i="13"/>
  <c r="F1055" i="13"/>
  <c r="G1055" i="13"/>
  <c r="H1055" i="13"/>
  <c r="I1055" i="13"/>
  <c r="J1055" i="13"/>
  <c r="K1055" i="13"/>
  <c r="L1055" i="13"/>
  <c r="M1055" i="13"/>
  <c r="N1055" i="13"/>
  <c r="A1056" i="13"/>
  <c r="B1056" i="13"/>
  <c r="C1056" i="13"/>
  <c r="D1056" i="13"/>
  <c r="E1056" i="13"/>
  <c r="F1056" i="13"/>
  <c r="G1056" i="13"/>
  <c r="H1056" i="13"/>
  <c r="I1056" i="13"/>
  <c r="J1056" i="13"/>
  <c r="K1056" i="13"/>
  <c r="L1056" i="13"/>
  <c r="M1056" i="13"/>
  <c r="N1056" i="13"/>
  <c r="A1057" i="13"/>
  <c r="B1057" i="13"/>
  <c r="C1057" i="13"/>
  <c r="D1057" i="13"/>
  <c r="E1057" i="13"/>
  <c r="F1057" i="13"/>
  <c r="G1057" i="13"/>
  <c r="H1057" i="13"/>
  <c r="I1057" i="13"/>
  <c r="J1057" i="13"/>
  <c r="K1057" i="13"/>
  <c r="L1057" i="13"/>
  <c r="M1057" i="13"/>
  <c r="N1057" i="13"/>
  <c r="A1058" i="13"/>
  <c r="B1058" i="13"/>
  <c r="C1058" i="13"/>
  <c r="D1058" i="13"/>
  <c r="E1058" i="13"/>
  <c r="F1058" i="13"/>
  <c r="G1058" i="13"/>
  <c r="H1058" i="13"/>
  <c r="I1058" i="13"/>
  <c r="J1058" i="13"/>
  <c r="K1058" i="13"/>
  <c r="L1058" i="13"/>
  <c r="M1058" i="13"/>
  <c r="N1058" i="13"/>
  <c r="A1059" i="13"/>
  <c r="B1059" i="13"/>
  <c r="C1059" i="13"/>
  <c r="D1059" i="13"/>
  <c r="E1059" i="13"/>
  <c r="F1059" i="13"/>
  <c r="G1059" i="13"/>
  <c r="H1059" i="13"/>
  <c r="I1059" i="13"/>
  <c r="J1059" i="13"/>
  <c r="K1059" i="13"/>
  <c r="L1059" i="13"/>
  <c r="M1059" i="13"/>
  <c r="N1059" i="13"/>
  <c r="A1060" i="13"/>
  <c r="B1060" i="13"/>
  <c r="C1060" i="13"/>
  <c r="D1060" i="13"/>
  <c r="E1060" i="13"/>
  <c r="F1060" i="13"/>
  <c r="G1060" i="13"/>
  <c r="H1060" i="13"/>
  <c r="I1060" i="13"/>
  <c r="J1060" i="13"/>
  <c r="K1060" i="13"/>
  <c r="L1060" i="13"/>
  <c r="M1060" i="13"/>
  <c r="N1060" i="13"/>
  <c r="A1061" i="13"/>
  <c r="B1061" i="13"/>
  <c r="C1061" i="13"/>
  <c r="D1061" i="13"/>
  <c r="E1061" i="13"/>
  <c r="F1061" i="13"/>
  <c r="G1061" i="13"/>
  <c r="H1061" i="13"/>
  <c r="I1061" i="13"/>
  <c r="J1061" i="13"/>
  <c r="K1061" i="13"/>
  <c r="L1061" i="13"/>
  <c r="M1061" i="13"/>
  <c r="N1061" i="13"/>
  <c r="A1062" i="13"/>
  <c r="B1062" i="13"/>
  <c r="C1062" i="13"/>
  <c r="D1062" i="13"/>
  <c r="E1062" i="13"/>
  <c r="F1062" i="13"/>
  <c r="G1062" i="13"/>
  <c r="H1062" i="13"/>
  <c r="I1062" i="13"/>
  <c r="J1062" i="13"/>
  <c r="K1062" i="13"/>
  <c r="L1062" i="13"/>
  <c r="M1062" i="13"/>
  <c r="N1062" i="13"/>
  <c r="A1063" i="13"/>
  <c r="B1063" i="13"/>
  <c r="C1063" i="13"/>
  <c r="D1063" i="13"/>
  <c r="E1063" i="13"/>
  <c r="F1063" i="13"/>
  <c r="G1063" i="13"/>
  <c r="H1063" i="13"/>
  <c r="I1063" i="13"/>
  <c r="J1063" i="13"/>
  <c r="K1063" i="13"/>
  <c r="L1063" i="13"/>
  <c r="M1063" i="13"/>
  <c r="N1063" i="13"/>
  <c r="A1064" i="13"/>
  <c r="B1064" i="13"/>
  <c r="C1064" i="13"/>
  <c r="D1064" i="13"/>
  <c r="E1064" i="13"/>
  <c r="F1064" i="13"/>
  <c r="G1064" i="13"/>
  <c r="H1064" i="13"/>
  <c r="I1064" i="13"/>
  <c r="J1064" i="13"/>
  <c r="K1064" i="13"/>
  <c r="L1064" i="13"/>
  <c r="M1064" i="13"/>
  <c r="N1064" i="13"/>
  <c r="A1065" i="13"/>
  <c r="B1065" i="13"/>
  <c r="C1065" i="13"/>
  <c r="D1065" i="13"/>
  <c r="E1065" i="13"/>
  <c r="F1065" i="13"/>
  <c r="G1065" i="13"/>
  <c r="H1065" i="13"/>
  <c r="I1065" i="13"/>
  <c r="J1065" i="13"/>
  <c r="K1065" i="13"/>
  <c r="L1065" i="13"/>
  <c r="M1065" i="13"/>
  <c r="N1065" i="13"/>
  <c r="A1066" i="13"/>
  <c r="B1066" i="13"/>
  <c r="C1066" i="13"/>
  <c r="D1066" i="13"/>
  <c r="E1066" i="13"/>
  <c r="F1066" i="13"/>
  <c r="G1066" i="13"/>
  <c r="H1066" i="13"/>
  <c r="I1066" i="13"/>
  <c r="J1066" i="13"/>
  <c r="K1066" i="13"/>
  <c r="L1066" i="13"/>
  <c r="M1066" i="13"/>
  <c r="N1066" i="13"/>
  <c r="A1067" i="13"/>
  <c r="B1067" i="13"/>
  <c r="C1067" i="13"/>
  <c r="D1067" i="13"/>
  <c r="E1067" i="13"/>
  <c r="F1067" i="13"/>
  <c r="G1067" i="13"/>
  <c r="H1067" i="13"/>
  <c r="I1067" i="13"/>
  <c r="J1067" i="13"/>
  <c r="K1067" i="13"/>
  <c r="L1067" i="13"/>
  <c r="M1067" i="13"/>
  <c r="N1067" i="13"/>
  <c r="A1068" i="13"/>
  <c r="B1068" i="13"/>
  <c r="C1068" i="13"/>
  <c r="D1068" i="13"/>
  <c r="E1068" i="13"/>
  <c r="F1068" i="13"/>
  <c r="G1068" i="13"/>
  <c r="H1068" i="13"/>
  <c r="I1068" i="13"/>
  <c r="J1068" i="13"/>
  <c r="K1068" i="13"/>
  <c r="L1068" i="13"/>
  <c r="M1068" i="13"/>
  <c r="N1068" i="13"/>
  <c r="A1069" i="13"/>
  <c r="B1069" i="13"/>
  <c r="C1069" i="13"/>
  <c r="D1069" i="13"/>
  <c r="E1069" i="13"/>
  <c r="F1069" i="13"/>
  <c r="G1069" i="13"/>
  <c r="H1069" i="13"/>
  <c r="I1069" i="13"/>
  <c r="J1069" i="13"/>
  <c r="K1069" i="13"/>
  <c r="L1069" i="13"/>
  <c r="M1069" i="13"/>
  <c r="N1069" i="13"/>
  <c r="O1019" i="13"/>
  <c r="O1020" i="13"/>
  <c r="O1021" i="13"/>
  <c r="O1022" i="13"/>
  <c r="O1023" i="13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18" i="13"/>
  <c r="A1018" i="13"/>
  <c r="B1018" i="13"/>
  <c r="C1018" i="13"/>
  <c r="D1018" i="13"/>
  <c r="E1018" i="13"/>
  <c r="F1018" i="13"/>
  <c r="G1018" i="13"/>
  <c r="H1018" i="13"/>
  <c r="I1018" i="13"/>
  <c r="J1018" i="13"/>
  <c r="K1018" i="13"/>
  <c r="L1018" i="13"/>
  <c r="M1018" i="13"/>
  <c r="N1018" i="13"/>
  <c r="A1019" i="13"/>
  <c r="B1019" i="13"/>
  <c r="C1019" i="13"/>
  <c r="D1019" i="13"/>
  <c r="E1019" i="13"/>
  <c r="F1019" i="13"/>
  <c r="G1019" i="13"/>
  <c r="H1019" i="13"/>
  <c r="I1019" i="13"/>
  <c r="J1019" i="13"/>
  <c r="K1019" i="13"/>
  <c r="L1019" i="13"/>
  <c r="M1019" i="13"/>
  <c r="N1019" i="13"/>
  <c r="A1020" i="13"/>
  <c r="B1020" i="13"/>
  <c r="C1020" i="13"/>
  <c r="D1020" i="13"/>
  <c r="E1020" i="13"/>
  <c r="F1020" i="13"/>
  <c r="G1020" i="13"/>
  <c r="H1020" i="13"/>
  <c r="I1020" i="13"/>
  <c r="J1020" i="13"/>
  <c r="K1020" i="13"/>
  <c r="L1020" i="13"/>
  <c r="M1020" i="13"/>
  <c r="N1020" i="13"/>
  <c r="A1021" i="13"/>
  <c r="B1021" i="13"/>
  <c r="C1021" i="13"/>
  <c r="D1021" i="13"/>
  <c r="E1021" i="13"/>
  <c r="F1021" i="13"/>
  <c r="G1021" i="13"/>
  <c r="H1021" i="13"/>
  <c r="I1021" i="13"/>
  <c r="J1021" i="13"/>
  <c r="K1021" i="13"/>
  <c r="L1021" i="13"/>
  <c r="M1021" i="13"/>
  <c r="N1021" i="13"/>
  <c r="A1022" i="13"/>
  <c r="B1022" i="13"/>
  <c r="C1022" i="13"/>
  <c r="D1022" i="13"/>
  <c r="E1022" i="13"/>
  <c r="F1022" i="13"/>
  <c r="G1022" i="13"/>
  <c r="H1022" i="13"/>
  <c r="I1022" i="13"/>
  <c r="J1022" i="13"/>
  <c r="K1022" i="13"/>
  <c r="L1022" i="13"/>
  <c r="M1022" i="13"/>
  <c r="N1022" i="13"/>
  <c r="A1023" i="13"/>
  <c r="B1023" i="13"/>
  <c r="C1023" i="13"/>
  <c r="D1023" i="13"/>
  <c r="E1023" i="13"/>
  <c r="F1023" i="13"/>
  <c r="G1023" i="13"/>
  <c r="H1023" i="13"/>
  <c r="I1023" i="13"/>
  <c r="J1023" i="13"/>
  <c r="K1023" i="13"/>
  <c r="L1023" i="13"/>
  <c r="M1023" i="13"/>
  <c r="N1023" i="13"/>
  <c r="A1024" i="13"/>
  <c r="B1024" i="13"/>
  <c r="C1024" i="13"/>
  <c r="D1024" i="13"/>
  <c r="E1024" i="13"/>
  <c r="F1024" i="13"/>
  <c r="G1024" i="13"/>
  <c r="H1024" i="13"/>
  <c r="I1024" i="13"/>
  <c r="J1024" i="13"/>
  <c r="K1024" i="13"/>
  <c r="L1024" i="13"/>
  <c r="M1024" i="13"/>
  <c r="N1024" i="13"/>
  <c r="A1025" i="13"/>
  <c r="B1025" i="13"/>
  <c r="C1025" i="13"/>
  <c r="D1025" i="13"/>
  <c r="E1025" i="13"/>
  <c r="F1025" i="13"/>
  <c r="G1025" i="13"/>
  <c r="H1025" i="13"/>
  <c r="I1025" i="13"/>
  <c r="J1025" i="13"/>
  <c r="K1025" i="13"/>
  <c r="L1025" i="13"/>
  <c r="M1025" i="13"/>
  <c r="N1025" i="13"/>
  <c r="A1026" i="13"/>
  <c r="B1026" i="13"/>
  <c r="C1026" i="13"/>
  <c r="D1026" i="13"/>
  <c r="E1026" i="13"/>
  <c r="F1026" i="13"/>
  <c r="G1026" i="13"/>
  <c r="H1026" i="13"/>
  <c r="I1026" i="13"/>
  <c r="J1026" i="13"/>
  <c r="K1026" i="13"/>
  <c r="L1026" i="13"/>
  <c r="M1026" i="13"/>
  <c r="N1026" i="13"/>
  <c r="A1027" i="13"/>
  <c r="B1027" i="13"/>
  <c r="C1027" i="13"/>
  <c r="D1027" i="13"/>
  <c r="E1027" i="13"/>
  <c r="F1027" i="13"/>
  <c r="G1027" i="13"/>
  <c r="H1027" i="13"/>
  <c r="I1027" i="13"/>
  <c r="J1027" i="13"/>
  <c r="K1027" i="13"/>
  <c r="L1027" i="13"/>
  <c r="M1027" i="13"/>
  <c r="N1027" i="13"/>
  <c r="A1028" i="13"/>
  <c r="B1028" i="13"/>
  <c r="C1028" i="13"/>
  <c r="D1028" i="13"/>
  <c r="E1028" i="13"/>
  <c r="F1028" i="13"/>
  <c r="G1028" i="13"/>
  <c r="H1028" i="13"/>
  <c r="I1028" i="13"/>
  <c r="J1028" i="13"/>
  <c r="K1028" i="13"/>
  <c r="L1028" i="13"/>
  <c r="M1028" i="13"/>
  <c r="N1028" i="13"/>
  <c r="A1029" i="13"/>
  <c r="B1029" i="13"/>
  <c r="C1029" i="13"/>
  <c r="D1029" i="13"/>
  <c r="E1029" i="13"/>
  <c r="F1029" i="13"/>
  <c r="G1029" i="13"/>
  <c r="H1029" i="13"/>
  <c r="I1029" i="13"/>
  <c r="J1029" i="13"/>
  <c r="K1029" i="13"/>
  <c r="L1029" i="13"/>
  <c r="M1029" i="13"/>
  <c r="N1029" i="13"/>
  <c r="A1030" i="13"/>
  <c r="B1030" i="13"/>
  <c r="C1030" i="13"/>
  <c r="D1030" i="13"/>
  <c r="E1030" i="13"/>
  <c r="F1030" i="13"/>
  <c r="G1030" i="13"/>
  <c r="H1030" i="13"/>
  <c r="I1030" i="13"/>
  <c r="J1030" i="13"/>
  <c r="K1030" i="13"/>
  <c r="L1030" i="13"/>
  <c r="M1030" i="13"/>
  <c r="N1030" i="13"/>
  <c r="A1031" i="13"/>
  <c r="B1031" i="13"/>
  <c r="C1031" i="13"/>
  <c r="D1031" i="13"/>
  <c r="E1031" i="13"/>
  <c r="F1031" i="13"/>
  <c r="G1031" i="13"/>
  <c r="H1031" i="13"/>
  <c r="I1031" i="13"/>
  <c r="J1031" i="13"/>
  <c r="K1031" i="13"/>
  <c r="L1031" i="13"/>
  <c r="M1031" i="13"/>
  <c r="N1031" i="13"/>
  <c r="A1032" i="13"/>
  <c r="B1032" i="13"/>
  <c r="C1032" i="13"/>
  <c r="D1032" i="13"/>
  <c r="E1032" i="13"/>
  <c r="F1032" i="13"/>
  <c r="G1032" i="13"/>
  <c r="H1032" i="13"/>
  <c r="I1032" i="13"/>
  <c r="J1032" i="13"/>
  <c r="K1032" i="13"/>
  <c r="L1032" i="13"/>
  <c r="M1032" i="13"/>
  <c r="N1032" i="13"/>
  <c r="A1033" i="13"/>
  <c r="B1033" i="13"/>
  <c r="C1033" i="13"/>
  <c r="D1033" i="13"/>
  <c r="E1033" i="13"/>
  <c r="F1033" i="13"/>
  <c r="G1033" i="13"/>
  <c r="H1033" i="13"/>
  <c r="I1033" i="13"/>
  <c r="J1033" i="13"/>
  <c r="K1033" i="13"/>
  <c r="L1033" i="13"/>
  <c r="M1033" i="13"/>
  <c r="N1033" i="13"/>
  <c r="A1034" i="13"/>
  <c r="B1034" i="13"/>
  <c r="C1034" i="13"/>
  <c r="D1034" i="13"/>
  <c r="E1034" i="13"/>
  <c r="F1034" i="13"/>
  <c r="G1034" i="13"/>
  <c r="H1034" i="13"/>
  <c r="I1034" i="13"/>
  <c r="J1034" i="13"/>
  <c r="K1034" i="13"/>
  <c r="L1034" i="13"/>
  <c r="M1034" i="13"/>
  <c r="N1034" i="13"/>
  <c r="A1035" i="13"/>
  <c r="B1035" i="13"/>
  <c r="C1035" i="13"/>
  <c r="D1035" i="13"/>
  <c r="E1035" i="13"/>
  <c r="F1035" i="13"/>
  <c r="G1035" i="13"/>
  <c r="H1035" i="13"/>
  <c r="I1035" i="13"/>
  <c r="J1035" i="13"/>
  <c r="K1035" i="13"/>
  <c r="L1035" i="13"/>
  <c r="M1035" i="13"/>
  <c r="N1035" i="13"/>
  <c r="A1036" i="13"/>
  <c r="B1036" i="13"/>
  <c r="C1036" i="13"/>
  <c r="D1036" i="13"/>
  <c r="E1036" i="13"/>
  <c r="F1036" i="13"/>
  <c r="G1036" i="13"/>
  <c r="H1036" i="13"/>
  <c r="I1036" i="13"/>
  <c r="J1036" i="13"/>
  <c r="K1036" i="13"/>
  <c r="L1036" i="13"/>
  <c r="M1036" i="13"/>
  <c r="N1036" i="13"/>
  <c r="A1037" i="13"/>
  <c r="B1037" i="13"/>
  <c r="C1037" i="13"/>
  <c r="D1037" i="13"/>
  <c r="E1037" i="13"/>
  <c r="F1037" i="13"/>
  <c r="G1037" i="13"/>
  <c r="H1037" i="13"/>
  <c r="I1037" i="13"/>
  <c r="J1037" i="13"/>
  <c r="K1037" i="13"/>
  <c r="L1037" i="13"/>
  <c r="M1037" i="13"/>
  <c r="N1037" i="13"/>
  <c r="A1038" i="13"/>
  <c r="B1038" i="13"/>
  <c r="C1038" i="13"/>
  <c r="D1038" i="13"/>
  <c r="E1038" i="13"/>
  <c r="F1038" i="13"/>
  <c r="G1038" i="13"/>
  <c r="H1038" i="13"/>
  <c r="I1038" i="13"/>
  <c r="J1038" i="13"/>
  <c r="K1038" i="13"/>
  <c r="L1038" i="13"/>
  <c r="M1038" i="13"/>
  <c r="N1038" i="13"/>
  <c r="A1039" i="13"/>
  <c r="B1039" i="13"/>
  <c r="C1039" i="13"/>
  <c r="D1039" i="13"/>
  <c r="E1039" i="13"/>
  <c r="F1039" i="13"/>
  <c r="G1039" i="13"/>
  <c r="H1039" i="13"/>
  <c r="I1039" i="13"/>
  <c r="J1039" i="13"/>
  <c r="K1039" i="13"/>
  <c r="L1039" i="13"/>
  <c r="M1039" i="13"/>
  <c r="N1039" i="13"/>
  <c r="A1040" i="13"/>
  <c r="B1040" i="13"/>
  <c r="C1040" i="13"/>
  <c r="D1040" i="13"/>
  <c r="E1040" i="13"/>
  <c r="F1040" i="13"/>
  <c r="G1040" i="13"/>
  <c r="H1040" i="13"/>
  <c r="I1040" i="13"/>
  <c r="J1040" i="13"/>
  <c r="K1040" i="13"/>
  <c r="L1040" i="13"/>
  <c r="M1040" i="13"/>
  <c r="N1040" i="13"/>
  <c r="A1041" i="13"/>
  <c r="B1041" i="13"/>
  <c r="C1041" i="13"/>
  <c r="D1041" i="13"/>
  <c r="E1041" i="13"/>
  <c r="F1041" i="13"/>
  <c r="G1041" i="13"/>
  <c r="H1041" i="13"/>
  <c r="I1041" i="13"/>
  <c r="J1041" i="13"/>
  <c r="K1041" i="13"/>
  <c r="L1041" i="13"/>
  <c r="M1041" i="13"/>
  <c r="N1041" i="13"/>
  <c r="A1042" i="13"/>
  <c r="B1042" i="13"/>
  <c r="C1042" i="13"/>
  <c r="D1042" i="13"/>
  <c r="E1042" i="13"/>
  <c r="F1042" i="13"/>
  <c r="G1042" i="13"/>
  <c r="H1042" i="13"/>
  <c r="I1042" i="13"/>
  <c r="J1042" i="13"/>
  <c r="K1042" i="13"/>
  <c r="L1042" i="13"/>
  <c r="M1042" i="13"/>
  <c r="N1042" i="13"/>
  <c r="A1043" i="13"/>
  <c r="B1043" i="13"/>
  <c r="C1043" i="13"/>
  <c r="D1043" i="13"/>
  <c r="E1043" i="13"/>
  <c r="F1043" i="13"/>
  <c r="G1043" i="13"/>
  <c r="H1043" i="13"/>
  <c r="I1043" i="13"/>
  <c r="J1043" i="13"/>
  <c r="K1043" i="13"/>
  <c r="L1043" i="13"/>
  <c r="M1043" i="13"/>
  <c r="N1043" i="13"/>
  <c r="A1044" i="13"/>
  <c r="B1044" i="13"/>
  <c r="C1044" i="13"/>
  <c r="D1044" i="13"/>
  <c r="E1044" i="13"/>
  <c r="F1044" i="13"/>
  <c r="G1044" i="13"/>
  <c r="H1044" i="13"/>
  <c r="I1044" i="13"/>
  <c r="J1044" i="13"/>
  <c r="K1044" i="13"/>
  <c r="L1044" i="13"/>
  <c r="M1044" i="13"/>
  <c r="N1044" i="13"/>
  <c r="A1045" i="13"/>
  <c r="B1045" i="13"/>
  <c r="C1045" i="13"/>
  <c r="D1045" i="13"/>
  <c r="E1045" i="13"/>
  <c r="F1045" i="13"/>
  <c r="G1045" i="13"/>
  <c r="H1045" i="13"/>
  <c r="I1045" i="13"/>
  <c r="J1045" i="13"/>
  <c r="K1045" i="13"/>
  <c r="L1045" i="13"/>
  <c r="M1045" i="13"/>
  <c r="N1045" i="13"/>
  <c r="A1046" i="13"/>
  <c r="B1046" i="13"/>
  <c r="C1046" i="13"/>
  <c r="D1046" i="13"/>
  <c r="E1046" i="13"/>
  <c r="F1046" i="13"/>
  <c r="G1046" i="13"/>
  <c r="H1046" i="13"/>
  <c r="I1046" i="13"/>
  <c r="J1046" i="13"/>
  <c r="K1046" i="13"/>
  <c r="L1046" i="13"/>
  <c r="M1046" i="13"/>
  <c r="N1046" i="13"/>
  <c r="A1047" i="13"/>
  <c r="B1047" i="13"/>
  <c r="C1047" i="13"/>
  <c r="D1047" i="13"/>
  <c r="E1047" i="13"/>
  <c r="F1047" i="13"/>
  <c r="G1047" i="13"/>
  <c r="H1047" i="13"/>
  <c r="I1047" i="13"/>
  <c r="J1047" i="13"/>
  <c r="K1047" i="13"/>
  <c r="L1047" i="13"/>
  <c r="M1047" i="13"/>
  <c r="N1047" i="13"/>
  <c r="A1048" i="13"/>
  <c r="B1048" i="13"/>
  <c r="C1048" i="13"/>
  <c r="D1048" i="13"/>
  <c r="E1048" i="13"/>
  <c r="F1048" i="13"/>
  <c r="G1048" i="13"/>
  <c r="H1048" i="13"/>
  <c r="I1048" i="13"/>
  <c r="J1048" i="13"/>
  <c r="K1048" i="13"/>
  <c r="L1048" i="13"/>
  <c r="M1048" i="13"/>
  <c r="N1048" i="13"/>
  <c r="A1049" i="13"/>
  <c r="B1049" i="13"/>
  <c r="C1049" i="13"/>
  <c r="D1049" i="13"/>
  <c r="E1049" i="13"/>
  <c r="F1049" i="13"/>
  <c r="G1049" i="13"/>
  <c r="H1049" i="13"/>
  <c r="I1049" i="13"/>
  <c r="J1049" i="13"/>
  <c r="K1049" i="13"/>
  <c r="L1049" i="13"/>
  <c r="M1049" i="13"/>
  <c r="N1049" i="13"/>
  <c r="A1050" i="13"/>
  <c r="B1050" i="13"/>
  <c r="C1050" i="13"/>
  <c r="D1050" i="13"/>
  <c r="E1050" i="13"/>
  <c r="F1050" i="13"/>
  <c r="G1050" i="13"/>
  <c r="H1050" i="13"/>
  <c r="I1050" i="13"/>
  <c r="J1050" i="13"/>
  <c r="K1050" i="13"/>
  <c r="L1050" i="13"/>
  <c r="M1050" i="13"/>
  <c r="N1050" i="13"/>
  <c r="A1051" i="13"/>
  <c r="B1051" i="13"/>
  <c r="C1051" i="13"/>
  <c r="D1051" i="13"/>
  <c r="E1051" i="13"/>
  <c r="F1051" i="13"/>
  <c r="G1051" i="13"/>
  <c r="H1051" i="13"/>
  <c r="I1051" i="13"/>
  <c r="J1051" i="13"/>
  <c r="K1051" i="13"/>
  <c r="L1051" i="13"/>
  <c r="M1051" i="13"/>
  <c r="N1051" i="13"/>
  <c r="A1052" i="13"/>
  <c r="B1052" i="13"/>
  <c r="C1052" i="13"/>
  <c r="D1052" i="13"/>
  <c r="E1052" i="13"/>
  <c r="F1052" i="13"/>
  <c r="G1052" i="13"/>
  <c r="H1052" i="13"/>
  <c r="I1052" i="13"/>
  <c r="J1052" i="13"/>
  <c r="K1052" i="13"/>
  <c r="L1052" i="13"/>
  <c r="M1052" i="13"/>
  <c r="N1052" i="13"/>
  <c r="A1053" i="13"/>
  <c r="B1053" i="13"/>
  <c r="C1053" i="13"/>
  <c r="D1053" i="13"/>
  <c r="E1053" i="13"/>
  <c r="F1053" i="13"/>
  <c r="G1053" i="13"/>
  <c r="H1053" i="13"/>
  <c r="I1053" i="13"/>
  <c r="J1053" i="13"/>
  <c r="K1053" i="13"/>
  <c r="L1053" i="13"/>
  <c r="M1053" i="13"/>
  <c r="N1053" i="13"/>
  <c r="O990" i="13"/>
  <c r="O991" i="13"/>
  <c r="O992" i="13"/>
  <c r="O993" i="13"/>
  <c r="O994" i="13"/>
  <c r="O995" i="13"/>
  <c r="O996" i="13"/>
  <c r="O997" i="13"/>
  <c r="O998" i="13"/>
  <c r="O999" i="13"/>
  <c r="O1000" i="13"/>
  <c r="O1001" i="13"/>
  <c r="O1002" i="13"/>
  <c r="O1003" i="13"/>
  <c r="O1004" i="13"/>
  <c r="O1005" i="13"/>
  <c r="O1006" i="13"/>
  <c r="O1007" i="13"/>
  <c r="O1008" i="13"/>
  <c r="O1009" i="13"/>
  <c r="O1010" i="13"/>
  <c r="O1011" i="13"/>
  <c r="O1012" i="13"/>
  <c r="O1013" i="13"/>
  <c r="O1014" i="13"/>
  <c r="O1015" i="13"/>
  <c r="O1016" i="13"/>
  <c r="O1017" i="13"/>
  <c r="O989" i="13"/>
  <c r="A989" i="13"/>
  <c r="B989" i="13"/>
  <c r="C989" i="13"/>
  <c r="D989" i="13"/>
  <c r="E989" i="13"/>
  <c r="F989" i="13"/>
  <c r="G989" i="13"/>
  <c r="H989" i="13"/>
  <c r="I989" i="13"/>
  <c r="J989" i="13"/>
  <c r="K989" i="13"/>
  <c r="L989" i="13"/>
  <c r="M989" i="13"/>
  <c r="N989" i="13"/>
  <c r="A990" i="13"/>
  <c r="B990" i="13"/>
  <c r="C990" i="13"/>
  <c r="D990" i="13"/>
  <c r="E990" i="13"/>
  <c r="F990" i="13"/>
  <c r="G990" i="13"/>
  <c r="H990" i="13"/>
  <c r="I990" i="13"/>
  <c r="J990" i="13"/>
  <c r="K990" i="13"/>
  <c r="L990" i="13"/>
  <c r="M990" i="13"/>
  <c r="N990" i="13"/>
  <c r="A991" i="13"/>
  <c r="B991" i="13"/>
  <c r="C991" i="13"/>
  <c r="D991" i="13"/>
  <c r="E991" i="13"/>
  <c r="F991" i="13"/>
  <c r="G991" i="13"/>
  <c r="H991" i="13"/>
  <c r="I991" i="13"/>
  <c r="J991" i="13"/>
  <c r="K991" i="13"/>
  <c r="L991" i="13"/>
  <c r="M991" i="13"/>
  <c r="N991" i="13"/>
  <c r="A992" i="13"/>
  <c r="B992" i="13"/>
  <c r="C992" i="13"/>
  <c r="D992" i="13"/>
  <c r="E992" i="13"/>
  <c r="F992" i="13"/>
  <c r="G992" i="13"/>
  <c r="H992" i="13"/>
  <c r="I992" i="13"/>
  <c r="J992" i="13"/>
  <c r="K992" i="13"/>
  <c r="L992" i="13"/>
  <c r="M992" i="13"/>
  <c r="N992" i="13"/>
  <c r="A993" i="13"/>
  <c r="B993" i="13"/>
  <c r="C993" i="13"/>
  <c r="D993" i="13"/>
  <c r="E993" i="13"/>
  <c r="F993" i="13"/>
  <c r="G993" i="13"/>
  <c r="H993" i="13"/>
  <c r="I993" i="13"/>
  <c r="J993" i="13"/>
  <c r="K993" i="13"/>
  <c r="L993" i="13"/>
  <c r="M993" i="13"/>
  <c r="N993" i="13"/>
  <c r="A994" i="13"/>
  <c r="B994" i="13"/>
  <c r="C994" i="13"/>
  <c r="D994" i="13"/>
  <c r="E994" i="13"/>
  <c r="F994" i="13"/>
  <c r="G994" i="13"/>
  <c r="H994" i="13"/>
  <c r="I994" i="13"/>
  <c r="J994" i="13"/>
  <c r="K994" i="13"/>
  <c r="L994" i="13"/>
  <c r="M994" i="13"/>
  <c r="N994" i="13"/>
  <c r="A995" i="13"/>
  <c r="B995" i="13"/>
  <c r="C995" i="13"/>
  <c r="D995" i="13"/>
  <c r="E995" i="13"/>
  <c r="F995" i="13"/>
  <c r="G995" i="13"/>
  <c r="H995" i="13"/>
  <c r="I995" i="13"/>
  <c r="J995" i="13"/>
  <c r="K995" i="13"/>
  <c r="L995" i="13"/>
  <c r="M995" i="13"/>
  <c r="N995" i="13"/>
  <c r="A996" i="13"/>
  <c r="B996" i="13"/>
  <c r="C996" i="13"/>
  <c r="D996" i="13"/>
  <c r="E996" i="13"/>
  <c r="F996" i="13"/>
  <c r="G996" i="13"/>
  <c r="H996" i="13"/>
  <c r="I996" i="13"/>
  <c r="J996" i="13"/>
  <c r="K996" i="13"/>
  <c r="L996" i="13"/>
  <c r="M996" i="13"/>
  <c r="N996" i="13"/>
  <c r="A997" i="13"/>
  <c r="B997" i="13"/>
  <c r="C997" i="13"/>
  <c r="D997" i="13"/>
  <c r="E997" i="13"/>
  <c r="F997" i="13"/>
  <c r="G997" i="13"/>
  <c r="H997" i="13"/>
  <c r="I997" i="13"/>
  <c r="J997" i="13"/>
  <c r="K997" i="13"/>
  <c r="L997" i="13"/>
  <c r="M997" i="13"/>
  <c r="N997" i="13"/>
  <c r="A998" i="13"/>
  <c r="B998" i="13"/>
  <c r="C998" i="13"/>
  <c r="D998" i="13"/>
  <c r="E998" i="13"/>
  <c r="F998" i="13"/>
  <c r="G998" i="13"/>
  <c r="H998" i="13"/>
  <c r="I998" i="13"/>
  <c r="J998" i="13"/>
  <c r="K998" i="13"/>
  <c r="L998" i="13"/>
  <c r="M998" i="13"/>
  <c r="N998" i="13"/>
  <c r="A999" i="13"/>
  <c r="B999" i="13"/>
  <c r="C999" i="13"/>
  <c r="D999" i="13"/>
  <c r="E999" i="13"/>
  <c r="F999" i="13"/>
  <c r="G999" i="13"/>
  <c r="H999" i="13"/>
  <c r="I999" i="13"/>
  <c r="J999" i="13"/>
  <c r="K999" i="13"/>
  <c r="L999" i="13"/>
  <c r="M999" i="13"/>
  <c r="N999" i="13"/>
  <c r="A1000" i="13"/>
  <c r="B1000" i="13"/>
  <c r="C1000" i="13"/>
  <c r="D1000" i="13"/>
  <c r="E1000" i="13"/>
  <c r="F1000" i="13"/>
  <c r="G1000" i="13"/>
  <c r="H1000" i="13"/>
  <c r="I1000" i="13"/>
  <c r="J1000" i="13"/>
  <c r="K1000" i="13"/>
  <c r="L1000" i="13"/>
  <c r="M1000" i="13"/>
  <c r="N1000" i="13"/>
  <c r="A1001" i="13"/>
  <c r="B1001" i="13"/>
  <c r="C1001" i="13"/>
  <c r="D1001" i="13"/>
  <c r="E1001" i="13"/>
  <c r="F1001" i="13"/>
  <c r="G1001" i="13"/>
  <c r="H1001" i="13"/>
  <c r="I1001" i="13"/>
  <c r="J1001" i="13"/>
  <c r="K1001" i="13"/>
  <c r="L1001" i="13"/>
  <c r="M1001" i="13"/>
  <c r="N1001" i="13"/>
  <c r="A1002" i="13"/>
  <c r="B1002" i="13"/>
  <c r="C1002" i="13"/>
  <c r="D1002" i="13"/>
  <c r="E1002" i="13"/>
  <c r="F1002" i="13"/>
  <c r="G1002" i="13"/>
  <c r="H1002" i="13"/>
  <c r="I1002" i="13"/>
  <c r="J1002" i="13"/>
  <c r="K1002" i="13"/>
  <c r="L1002" i="13"/>
  <c r="M1002" i="13"/>
  <c r="N1002" i="13"/>
  <c r="A1003" i="13"/>
  <c r="B1003" i="13"/>
  <c r="C1003" i="13"/>
  <c r="D1003" i="13"/>
  <c r="E1003" i="13"/>
  <c r="F1003" i="13"/>
  <c r="G1003" i="13"/>
  <c r="H1003" i="13"/>
  <c r="I1003" i="13"/>
  <c r="J1003" i="13"/>
  <c r="K1003" i="13"/>
  <c r="L1003" i="13"/>
  <c r="M1003" i="13"/>
  <c r="N1003" i="13"/>
  <c r="A1004" i="13"/>
  <c r="B1004" i="13"/>
  <c r="C1004" i="13"/>
  <c r="D1004" i="13"/>
  <c r="E1004" i="13"/>
  <c r="F1004" i="13"/>
  <c r="G1004" i="13"/>
  <c r="H1004" i="13"/>
  <c r="I1004" i="13"/>
  <c r="J1004" i="13"/>
  <c r="K1004" i="13"/>
  <c r="L1004" i="13"/>
  <c r="M1004" i="13"/>
  <c r="N1004" i="13"/>
  <c r="A1005" i="13"/>
  <c r="B1005" i="13"/>
  <c r="C1005" i="13"/>
  <c r="D1005" i="13"/>
  <c r="E1005" i="13"/>
  <c r="F1005" i="13"/>
  <c r="G1005" i="13"/>
  <c r="H1005" i="13"/>
  <c r="I1005" i="13"/>
  <c r="J1005" i="13"/>
  <c r="K1005" i="13"/>
  <c r="L1005" i="13"/>
  <c r="M1005" i="13"/>
  <c r="N1005" i="13"/>
  <c r="A1006" i="13"/>
  <c r="B1006" i="13"/>
  <c r="C1006" i="13"/>
  <c r="D1006" i="13"/>
  <c r="E1006" i="13"/>
  <c r="F1006" i="13"/>
  <c r="G1006" i="13"/>
  <c r="H1006" i="13"/>
  <c r="I1006" i="13"/>
  <c r="J1006" i="13"/>
  <c r="K1006" i="13"/>
  <c r="L1006" i="13"/>
  <c r="M1006" i="13"/>
  <c r="N1006" i="13"/>
  <c r="A1007" i="13"/>
  <c r="B1007" i="13"/>
  <c r="C1007" i="13"/>
  <c r="D1007" i="13"/>
  <c r="E1007" i="13"/>
  <c r="F1007" i="13"/>
  <c r="G1007" i="13"/>
  <c r="H1007" i="13"/>
  <c r="I1007" i="13"/>
  <c r="J1007" i="13"/>
  <c r="K1007" i="13"/>
  <c r="L1007" i="13"/>
  <c r="M1007" i="13"/>
  <c r="N1007" i="13"/>
  <c r="A1008" i="13"/>
  <c r="B1008" i="13"/>
  <c r="C1008" i="13"/>
  <c r="D1008" i="13"/>
  <c r="E1008" i="13"/>
  <c r="F1008" i="13"/>
  <c r="G1008" i="13"/>
  <c r="H1008" i="13"/>
  <c r="I1008" i="13"/>
  <c r="J1008" i="13"/>
  <c r="K1008" i="13"/>
  <c r="L1008" i="13"/>
  <c r="M1008" i="13"/>
  <c r="N1008" i="13"/>
  <c r="A1009" i="13"/>
  <c r="B1009" i="13"/>
  <c r="C1009" i="13"/>
  <c r="D1009" i="13"/>
  <c r="E1009" i="13"/>
  <c r="F1009" i="13"/>
  <c r="G1009" i="13"/>
  <c r="H1009" i="13"/>
  <c r="I1009" i="13"/>
  <c r="J1009" i="13"/>
  <c r="K1009" i="13"/>
  <c r="L1009" i="13"/>
  <c r="M1009" i="13"/>
  <c r="N1009" i="13"/>
  <c r="A1010" i="13"/>
  <c r="B1010" i="13"/>
  <c r="C1010" i="13"/>
  <c r="D1010" i="13"/>
  <c r="E1010" i="13"/>
  <c r="F1010" i="13"/>
  <c r="G1010" i="13"/>
  <c r="H1010" i="13"/>
  <c r="I1010" i="13"/>
  <c r="J1010" i="13"/>
  <c r="K1010" i="13"/>
  <c r="L1010" i="13"/>
  <c r="M1010" i="13"/>
  <c r="N1010" i="13"/>
  <c r="A1011" i="13"/>
  <c r="B1011" i="13"/>
  <c r="C1011" i="13"/>
  <c r="D1011" i="13"/>
  <c r="E1011" i="13"/>
  <c r="F1011" i="13"/>
  <c r="G1011" i="13"/>
  <c r="H1011" i="13"/>
  <c r="I1011" i="13"/>
  <c r="J1011" i="13"/>
  <c r="K1011" i="13"/>
  <c r="L1011" i="13"/>
  <c r="M1011" i="13"/>
  <c r="N1011" i="13"/>
  <c r="A1012" i="13"/>
  <c r="B1012" i="13"/>
  <c r="C1012" i="13"/>
  <c r="D1012" i="13"/>
  <c r="E1012" i="13"/>
  <c r="F1012" i="13"/>
  <c r="G1012" i="13"/>
  <c r="H1012" i="13"/>
  <c r="I1012" i="13"/>
  <c r="J1012" i="13"/>
  <c r="K1012" i="13"/>
  <c r="L1012" i="13"/>
  <c r="M1012" i="13"/>
  <c r="N1012" i="13"/>
  <c r="A1013" i="13"/>
  <c r="B1013" i="13"/>
  <c r="C1013" i="13"/>
  <c r="D1013" i="13"/>
  <c r="E1013" i="13"/>
  <c r="F1013" i="13"/>
  <c r="G1013" i="13"/>
  <c r="H1013" i="13"/>
  <c r="I1013" i="13"/>
  <c r="J1013" i="13"/>
  <c r="K1013" i="13"/>
  <c r="L1013" i="13"/>
  <c r="M1013" i="13"/>
  <c r="N1013" i="13"/>
  <c r="A1014" i="13"/>
  <c r="B1014" i="13"/>
  <c r="C1014" i="13"/>
  <c r="D1014" i="13"/>
  <c r="E1014" i="13"/>
  <c r="F1014" i="13"/>
  <c r="G1014" i="13"/>
  <c r="H1014" i="13"/>
  <c r="I1014" i="13"/>
  <c r="J1014" i="13"/>
  <c r="K1014" i="13"/>
  <c r="L1014" i="13"/>
  <c r="M1014" i="13"/>
  <c r="N1014" i="13"/>
  <c r="A1015" i="13"/>
  <c r="B1015" i="13"/>
  <c r="C1015" i="13"/>
  <c r="D1015" i="13"/>
  <c r="E1015" i="13"/>
  <c r="F1015" i="13"/>
  <c r="G1015" i="13"/>
  <c r="H1015" i="13"/>
  <c r="I1015" i="13"/>
  <c r="J1015" i="13"/>
  <c r="K1015" i="13"/>
  <c r="L1015" i="13"/>
  <c r="M1015" i="13"/>
  <c r="N1015" i="13"/>
  <c r="A1016" i="13"/>
  <c r="B1016" i="13"/>
  <c r="C1016" i="13"/>
  <c r="D1016" i="13"/>
  <c r="E1016" i="13"/>
  <c r="F1016" i="13"/>
  <c r="G1016" i="13"/>
  <c r="H1016" i="13"/>
  <c r="I1016" i="13"/>
  <c r="J1016" i="13"/>
  <c r="K1016" i="13"/>
  <c r="L1016" i="13"/>
  <c r="M1016" i="13"/>
  <c r="N1016" i="13"/>
  <c r="A1017" i="13"/>
  <c r="B1017" i="13"/>
  <c r="C1017" i="13"/>
  <c r="D1017" i="13"/>
  <c r="E1017" i="13"/>
  <c r="F1017" i="13"/>
  <c r="G1017" i="13"/>
  <c r="H1017" i="13"/>
  <c r="I1017" i="13"/>
  <c r="J1017" i="13"/>
  <c r="K1017" i="13"/>
  <c r="L1017" i="13"/>
  <c r="M1017" i="13"/>
  <c r="N1017" i="13"/>
  <c r="O978" i="13"/>
  <c r="O979" i="13"/>
  <c r="O980" i="13"/>
  <c r="O981" i="13"/>
  <c r="O982" i="13"/>
  <c r="O983" i="13"/>
  <c r="O984" i="13"/>
  <c r="O985" i="13"/>
  <c r="O986" i="13"/>
  <c r="O987" i="13"/>
  <c r="O988" i="13"/>
  <c r="O977" i="13"/>
  <c r="A977" i="13"/>
  <c r="B977" i="13"/>
  <c r="C977" i="13"/>
  <c r="D977" i="13"/>
  <c r="E977" i="13"/>
  <c r="F977" i="13"/>
  <c r="G977" i="13"/>
  <c r="H977" i="13"/>
  <c r="I977" i="13"/>
  <c r="J977" i="13"/>
  <c r="K977" i="13"/>
  <c r="L977" i="13"/>
  <c r="M977" i="13"/>
  <c r="N977" i="13"/>
  <c r="A978" i="13"/>
  <c r="B978" i="13"/>
  <c r="C978" i="13"/>
  <c r="D978" i="13"/>
  <c r="E978" i="13"/>
  <c r="F978" i="13"/>
  <c r="G978" i="13"/>
  <c r="H978" i="13"/>
  <c r="I978" i="13"/>
  <c r="J978" i="13"/>
  <c r="K978" i="13"/>
  <c r="L978" i="13"/>
  <c r="M978" i="13"/>
  <c r="N978" i="13"/>
  <c r="A979" i="13"/>
  <c r="B979" i="13"/>
  <c r="C979" i="13"/>
  <c r="D979" i="13"/>
  <c r="E979" i="13"/>
  <c r="F979" i="13"/>
  <c r="G979" i="13"/>
  <c r="H979" i="13"/>
  <c r="I979" i="13"/>
  <c r="J979" i="13"/>
  <c r="K979" i="13"/>
  <c r="L979" i="13"/>
  <c r="M979" i="13"/>
  <c r="N979" i="13"/>
  <c r="A980" i="13"/>
  <c r="B980" i="13"/>
  <c r="C980" i="13"/>
  <c r="D980" i="13"/>
  <c r="E980" i="13"/>
  <c r="F980" i="13"/>
  <c r="G980" i="13"/>
  <c r="H980" i="13"/>
  <c r="I980" i="13"/>
  <c r="J980" i="13"/>
  <c r="K980" i="13"/>
  <c r="L980" i="13"/>
  <c r="M980" i="13"/>
  <c r="N980" i="13"/>
  <c r="A981" i="13"/>
  <c r="B981" i="13"/>
  <c r="C981" i="13"/>
  <c r="D981" i="13"/>
  <c r="E981" i="13"/>
  <c r="F981" i="13"/>
  <c r="G981" i="13"/>
  <c r="H981" i="13"/>
  <c r="I981" i="13"/>
  <c r="J981" i="13"/>
  <c r="K981" i="13"/>
  <c r="L981" i="13"/>
  <c r="M981" i="13"/>
  <c r="N981" i="13"/>
  <c r="A982" i="13"/>
  <c r="B982" i="13"/>
  <c r="C982" i="13"/>
  <c r="D982" i="13"/>
  <c r="E982" i="13"/>
  <c r="F982" i="13"/>
  <c r="G982" i="13"/>
  <c r="H982" i="13"/>
  <c r="I982" i="13"/>
  <c r="J982" i="13"/>
  <c r="K982" i="13"/>
  <c r="L982" i="13"/>
  <c r="M982" i="13"/>
  <c r="N982" i="13"/>
  <c r="A983" i="13"/>
  <c r="B983" i="13"/>
  <c r="C983" i="13"/>
  <c r="D983" i="13"/>
  <c r="E983" i="13"/>
  <c r="F983" i="13"/>
  <c r="G983" i="13"/>
  <c r="H983" i="13"/>
  <c r="I983" i="13"/>
  <c r="J983" i="13"/>
  <c r="K983" i="13"/>
  <c r="L983" i="13"/>
  <c r="M983" i="13"/>
  <c r="N983" i="13"/>
  <c r="A984" i="13"/>
  <c r="B984" i="13"/>
  <c r="C984" i="13"/>
  <c r="D984" i="13"/>
  <c r="E984" i="13"/>
  <c r="F984" i="13"/>
  <c r="G984" i="13"/>
  <c r="H984" i="13"/>
  <c r="I984" i="13"/>
  <c r="J984" i="13"/>
  <c r="K984" i="13"/>
  <c r="L984" i="13"/>
  <c r="M984" i="13"/>
  <c r="N984" i="13"/>
  <c r="A985" i="13"/>
  <c r="B985" i="13"/>
  <c r="C985" i="13"/>
  <c r="D985" i="13"/>
  <c r="E985" i="13"/>
  <c r="F985" i="13"/>
  <c r="G985" i="13"/>
  <c r="H985" i="13"/>
  <c r="I985" i="13"/>
  <c r="J985" i="13"/>
  <c r="K985" i="13"/>
  <c r="L985" i="13"/>
  <c r="M985" i="13"/>
  <c r="N985" i="13"/>
  <c r="A986" i="13"/>
  <c r="B986" i="13"/>
  <c r="C986" i="13"/>
  <c r="D986" i="13"/>
  <c r="E986" i="13"/>
  <c r="F986" i="13"/>
  <c r="G986" i="13"/>
  <c r="H986" i="13"/>
  <c r="I986" i="13"/>
  <c r="J986" i="13"/>
  <c r="K986" i="13"/>
  <c r="L986" i="13"/>
  <c r="M986" i="13"/>
  <c r="N986" i="13"/>
  <c r="A987" i="13"/>
  <c r="B987" i="13"/>
  <c r="C987" i="13"/>
  <c r="D987" i="13"/>
  <c r="E987" i="13"/>
  <c r="F987" i="13"/>
  <c r="G987" i="13"/>
  <c r="H987" i="13"/>
  <c r="I987" i="13"/>
  <c r="J987" i="13"/>
  <c r="K987" i="13"/>
  <c r="L987" i="13"/>
  <c r="M987" i="13"/>
  <c r="N987" i="13"/>
  <c r="A988" i="13"/>
  <c r="B988" i="13"/>
  <c r="C988" i="13"/>
  <c r="D988" i="13"/>
  <c r="E988" i="13"/>
  <c r="F988" i="13"/>
  <c r="G988" i="13"/>
  <c r="H988" i="13"/>
  <c r="I988" i="13"/>
  <c r="J988" i="13"/>
  <c r="K988" i="13"/>
  <c r="L988" i="13"/>
  <c r="M988" i="13"/>
  <c r="N988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61" i="13"/>
  <c r="A961" i="13"/>
  <c r="B961" i="13"/>
  <c r="C961" i="13"/>
  <c r="D961" i="13"/>
  <c r="E961" i="13"/>
  <c r="F961" i="13"/>
  <c r="G961" i="13"/>
  <c r="H961" i="13"/>
  <c r="I961" i="13"/>
  <c r="J961" i="13"/>
  <c r="K961" i="13"/>
  <c r="L961" i="13"/>
  <c r="M961" i="13"/>
  <c r="N961" i="13"/>
  <c r="A962" i="13"/>
  <c r="B962" i="13"/>
  <c r="C962" i="13"/>
  <c r="D962" i="13"/>
  <c r="E962" i="13"/>
  <c r="F962" i="13"/>
  <c r="G962" i="13"/>
  <c r="H962" i="13"/>
  <c r="I962" i="13"/>
  <c r="J962" i="13"/>
  <c r="K962" i="13"/>
  <c r="L962" i="13"/>
  <c r="M962" i="13"/>
  <c r="N962" i="13"/>
  <c r="A963" i="13"/>
  <c r="B963" i="13"/>
  <c r="C963" i="13"/>
  <c r="D963" i="13"/>
  <c r="E963" i="13"/>
  <c r="F963" i="13"/>
  <c r="G963" i="13"/>
  <c r="H963" i="13"/>
  <c r="I963" i="13"/>
  <c r="J963" i="13"/>
  <c r="K963" i="13"/>
  <c r="L963" i="13"/>
  <c r="M963" i="13"/>
  <c r="N963" i="13"/>
  <c r="A964" i="13"/>
  <c r="B964" i="13"/>
  <c r="C964" i="13"/>
  <c r="D964" i="13"/>
  <c r="E964" i="13"/>
  <c r="F964" i="13"/>
  <c r="G964" i="13"/>
  <c r="H964" i="13"/>
  <c r="I964" i="13"/>
  <c r="J964" i="13"/>
  <c r="K964" i="13"/>
  <c r="L964" i="13"/>
  <c r="M964" i="13"/>
  <c r="N964" i="13"/>
  <c r="A965" i="13"/>
  <c r="B965" i="13"/>
  <c r="C965" i="13"/>
  <c r="D965" i="13"/>
  <c r="E965" i="13"/>
  <c r="F965" i="13"/>
  <c r="G965" i="13"/>
  <c r="H965" i="13"/>
  <c r="I965" i="13"/>
  <c r="J965" i="13"/>
  <c r="K965" i="13"/>
  <c r="L965" i="13"/>
  <c r="M965" i="13"/>
  <c r="N965" i="13"/>
  <c r="A966" i="13"/>
  <c r="B966" i="13"/>
  <c r="C966" i="13"/>
  <c r="D966" i="13"/>
  <c r="E966" i="13"/>
  <c r="F966" i="13"/>
  <c r="G966" i="13"/>
  <c r="H966" i="13"/>
  <c r="I966" i="13"/>
  <c r="J966" i="13"/>
  <c r="K966" i="13"/>
  <c r="L966" i="13"/>
  <c r="M966" i="13"/>
  <c r="N966" i="13"/>
  <c r="A967" i="13"/>
  <c r="B967" i="13"/>
  <c r="C967" i="13"/>
  <c r="D967" i="13"/>
  <c r="E967" i="13"/>
  <c r="F967" i="13"/>
  <c r="G967" i="13"/>
  <c r="H967" i="13"/>
  <c r="I967" i="13"/>
  <c r="J967" i="13"/>
  <c r="K967" i="13"/>
  <c r="L967" i="13"/>
  <c r="M967" i="13"/>
  <c r="N967" i="13"/>
  <c r="A968" i="13"/>
  <c r="B968" i="13"/>
  <c r="C968" i="13"/>
  <c r="D968" i="13"/>
  <c r="E968" i="13"/>
  <c r="F968" i="13"/>
  <c r="G968" i="13"/>
  <c r="H968" i="13"/>
  <c r="I968" i="13"/>
  <c r="J968" i="13"/>
  <c r="K968" i="13"/>
  <c r="L968" i="13"/>
  <c r="M968" i="13"/>
  <c r="N968" i="13"/>
  <c r="A969" i="13"/>
  <c r="B969" i="13"/>
  <c r="C969" i="13"/>
  <c r="D969" i="13"/>
  <c r="E969" i="13"/>
  <c r="F969" i="13"/>
  <c r="G969" i="13"/>
  <c r="H969" i="13"/>
  <c r="I969" i="13"/>
  <c r="J969" i="13"/>
  <c r="K969" i="13"/>
  <c r="L969" i="13"/>
  <c r="M969" i="13"/>
  <c r="N969" i="13"/>
  <c r="A970" i="13"/>
  <c r="B970" i="13"/>
  <c r="C970" i="13"/>
  <c r="D970" i="13"/>
  <c r="E970" i="13"/>
  <c r="F970" i="13"/>
  <c r="G970" i="13"/>
  <c r="H970" i="13"/>
  <c r="I970" i="13"/>
  <c r="J970" i="13"/>
  <c r="K970" i="13"/>
  <c r="L970" i="13"/>
  <c r="M970" i="13"/>
  <c r="N970" i="13"/>
  <c r="A971" i="13"/>
  <c r="B971" i="13"/>
  <c r="C971" i="13"/>
  <c r="D971" i="13"/>
  <c r="E971" i="13"/>
  <c r="F971" i="13"/>
  <c r="G971" i="13"/>
  <c r="H971" i="13"/>
  <c r="I971" i="13"/>
  <c r="J971" i="13"/>
  <c r="K971" i="13"/>
  <c r="L971" i="13"/>
  <c r="M971" i="13"/>
  <c r="N971" i="13"/>
  <c r="A972" i="13"/>
  <c r="B972" i="13"/>
  <c r="C972" i="13"/>
  <c r="D972" i="13"/>
  <c r="E972" i="13"/>
  <c r="F972" i="13"/>
  <c r="G972" i="13"/>
  <c r="H972" i="13"/>
  <c r="I972" i="13"/>
  <c r="J972" i="13"/>
  <c r="K972" i="13"/>
  <c r="L972" i="13"/>
  <c r="M972" i="13"/>
  <c r="N972" i="13"/>
  <c r="A973" i="13"/>
  <c r="B973" i="13"/>
  <c r="C973" i="13"/>
  <c r="D973" i="13"/>
  <c r="E973" i="13"/>
  <c r="F973" i="13"/>
  <c r="G973" i="13"/>
  <c r="H973" i="13"/>
  <c r="I973" i="13"/>
  <c r="J973" i="13"/>
  <c r="K973" i="13"/>
  <c r="L973" i="13"/>
  <c r="M973" i="13"/>
  <c r="N973" i="13"/>
  <c r="A974" i="13"/>
  <c r="B974" i="13"/>
  <c r="C974" i="13"/>
  <c r="D974" i="13"/>
  <c r="E974" i="13"/>
  <c r="F974" i="13"/>
  <c r="G974" i="13"/>
  <c r="H974" i="13"/>
  <c r="I974" i="13"/>
  <c r="J974" i="13"/>
  <c r="K974" i="13"/>
  <c r="L974" i="13"/>
  <c r="M974" i="13"/>
  <c r="N974" i="13"/>
  <c r="A975" i="13"/>
  <c r="B975" i="13"/>
  <c r="C975" i="13"/>
  <c r="D975" i="13"/>
  <c r="E975" i="13"/>
  <c r="F975" i="13"/>
  <c r="G975" i="13"/>
  <c r="H975" i="13"/>
  <c r="I975" i="13"/>
  <c r="J975" i="13"/>
  <c r="K975" i="13"/>
  <c r="L975" i="13"/>
  <c r="M975" i="13"/>
  <c r="N975" i="13"/>
  <c r="A976" i="13"/>
  <c r="B976" i="13"/>
  <c r="C976" i="13"/>
  <c r="D976" i="13"/>
  <c r="E976" i="13"/>
  <c r="F976" i="13"/>
  <c r="G976" i="13"/>
  <c r="H976" i="13"/>
  <c r="I976" i="13"/>
  <c r="J976" i="13"/>
  <c r="K976" i="13"/>
  <c r="L976" i="13"/>
  <c r="M976" i="13"/>
  <c r="N976" i="13"/>
  <c r="O944" i="13"/>
  <c r="O945" i="13"/>
  <c r="O946" i="13"/>
  <c r="O947" i="13"/>
  <c r="O948" i="13"/>
  <c r="O949" i="13"/>
  <c r="O950" i="13"/>
  <c r="O951" i="13"/>
  <c r="O952" i="13"/>
  <c r="O953" i="13"/>
  <c r="O954" i="13"/>
  <c r="O955" i="13"/>
  <c r="O956" i="13"/>
  <c r="O957" i="13"/>
  <c r="O958" i="13"/>
  <c r="O959" i="13"/>
  <c r="O960" i="13"/>
  <c r="O943" i="13"/>
  <c r="A943" i="13"/>
  <c r="B943" i="13"/>
  <c r="C943" i="13"/>
  <c r="D943" i="13"/>
  <c r="E943" i="13"/>
  <c r="F943" i="13"/>
  <c r="G943" i="13"/>
  <c r="H943" i="13"/>
  <c r="I943" i="13"/>
  <c r="J943" i="13"/>
  <c r="K943" i="13"/>
  <c r="L943" i="13"/>
  <c r="M943" i="13"/>
  <c r="N943" i="13"/>
  <c r="A944" i="13"/>
  <c r="B944" i="13"/>
  <c r="C944" i="13"/>
  <c r="D944" i="13"/>
  <c r="E944" i="13"/>
  <c r="F944" i="13"/>
  <c r="G944" i="13"/>
  <c r="H944" i="13"/>
  <c r="I944" i="13"/>
  <c r="J944" i="13"/>
  <c r="K944" i="13"/>
  <c r="L944" i="13"/>
  <c r="M944" i="13"/>
  <c r="N944" i="13"/>
  <c r="A945" i="13"/>
  <c r="B945" i="13"/>
  <c r="C945" i="13"/>
  <c r="D945" i="13"/>
  <c r="E945" i="13"/>
  <c r="F945" i="13"/>
  <c r="G945" i="13"/>
  <c r="H945" i="13"/>
  <c r="I945" i="13"/>
  <c r="J945" i="13"/>
  <c r="K945" i="13"/>
  <c r="L945" i="13"/>
  <c r="M945" i="13"/>
  <c r="N945" i="13"/>
  <c r="A946" i="13"/>
  <c r="B946" i="13"/>
  <c r="C946" i="13"/>
  <c r="D946" i="13"/>
  <c r="E946" i="13"/>
  <c r="F946" i="13"/>
  <c r="G946" i="13"/>
  <c r="H946" i="13"/>
  <c r="I946" i="13"/>
  <c r="J946" i="13"/>
  <c r="K946" i="13"/>
  <c r="L946" i="13"/>
  <c r="M946" i="13"/>
  <c r="N946" i="13"/>
  <c r="A947" i="13"/>
  <c r="B947" i="13"/>
  <c r="C947" i="13"/>
  <c r="D947" i="13"/>
  <c r="E947" i="13"/>
  <c r="F947" i="13"/>
  <c r="G947" i="13"/>
  <c r="H947" i="13"/>
  <c r="I947" i="13"/>
  <c r="J947" i="13"/>
  <c r="K947" i="13"/>
  <c r="L947" i="13"/>
  <c r="M947" i="13"/>
  <c r="N947" i="13"/>
  <c r="A948" i="13"/>
  <c r="B948" i="13"/>
  <c r="C948" i="13"/>
  <c r="D948" i="13"/>
  <c r="E948" i="13"/>
  <c r="F948" i="13"/>
  <c r="G948" i="13"/>
  <c r="H948" i="13"/>
  <c r="I948" i="13"/>
  <c r="J948" i="13"/>
  <c r="K948" i="13"/>
  <c r="L948" i="13"/>
  <c r="M948" i="13"/>
  <c r="N948" i="13"/>
  <c r="A949" i="13"/>
  <c r="B949" i="13"/>
  <c r="C949" i="13"/>
  <c r="D949" i="13"/>
  <c r="E949" i="13"/>
  <c r="F949" i="13"/>
  <c r="G949" i="13"/>
  <c r="H949" i="13"/>
  <c r="I949" i="13"/>
  <c r="J949" i="13"/>
  <c r="K949" i="13"/>
  <c r="L949" i="13"/>
  <c r="M949" i="13"/>
  <c r="N949" i="13"/>
  <c r="A950" i="13"/>
  <c r="B950" i="13"/>
  <c r="C950" i="13"/>
  <c r="D950" i="13"/>
  <c r="E950" i="13"/>
  <c r="F950" i="13"/>
  <c r="G950" i="13"/>
  <c r="H950" i="13"/>
  <c r="I950" i="13"/>
  <c r="J950" i="13"/>
  <c r="K950" i="13"/>
  <c r="L950" i="13"/>
  <c r="M950" i="13"/>
  <c r="N950" i="13"/>
  <c r="A951" i="13"/>
  <c r="B951" i="13"/>
  <c r="C951" i="13"/>
  <c r="D951" i="13"/>
  <c r="E951" i="13"/>
  <c r="F951" i="13"/>
  <c r="G951" i="13"/>
  <c r="H951" i="13"/>
  <c r="I951" i="13"/>
  <c r="J951" i="13"/>
  <c r="K951" i="13"/>
  <c r="L951" i="13"/>
  <c r="M951" i="13"/>
  <c r="N951" i="13"/>
  <c r="A952" i="13"/>
  <c r="B952" i="13"/>
  <c r="C952" i="13"/>
  <c r="D952" i="13"/>
  <c r="E952" i="13"/>
  <c r="F952" i="13"/>
  <c r="G952" i="13"/>
  <c r="H952" i="13"/>
  <c r="I952" i="13"/>
  <c r="J952" i="13"/>
  <c r="K952" i="13"/>
  <c r="L952" i="13"/>
  <c r="M952" i="13"/>
  <c r="N952" i="13"/>
  <c r="A953" i="13"/>
  <c r="B953" i="13"/>
  <c r="C953" i="13"/>
  <c r="D953" i="13"/>
  <c r="E953" i="13"/>
  <c r="F953" i="13"/>
  <c r="G953" i="13"/>
  <c r="H953" i="13"/>
  <c r="I953" i="13"/>
  <c r="J953" i="13"/>
  <c r="K953" i="13"/>
  <c r="L953" i="13"/>
  <c r="M953" i="13"/>
  <c r="N953" i="13"/>
  <c r="A954" i="13"/>
  <c r="B954" i="13"/>
  <c r="C954" i="13"/>
  <c r="D954" i="13"/>
  <c r="E954" i="13"/>
  <c r="F954" i="13"/>
  <c r="G954" i="13"/>
  <c r="H954" i="13"/>
  <c r="I954" i="13"/>
  <c r="J954" i="13"/>
  <c r="K954" i="13"/>
  <c r="L954" i="13"/>
  <c r="M954" i="13"/>
  <c r="N954" i="13"/>
  <c r="A955" i="13"/>
  <c r="B955" i="13"/>
  <c r="C955" i="13"/>
  <c r="D955" i="13"/>
  <c r="E955" i="13"/>
  <c r="F955" i="13"/>
  <c r="G955" i="13"/>
  <c r="H955" i="13"/>
  <c r="I955" i="13"/>
  <c r="J955" i="13"/>
  <c r="K955" i="13"/>
  <c r="L955" i="13"/>
  <c r="M955" i="13"/>
  <c r="N955" i="13"/>
  <c r="A956" i="13"/>
  <c r="B956" i="13"/>
  <c r="C956" i="13"/>
  <c r="D956" i="13"/>
  <c r="E956" i="13"/>
  <c r="F956" i="13"/>
  <c r="G956" i="13"/>
  <c r="H956" i="13"/>
  <c r="I956" i="13"/>
  <c r="J956" i="13"/>
  <c r="K956" i="13"/>
  <c r="L956" i="13"/>
  <c r="M956" i="13"/>
  <c r="N956" i="13"/>
  <c r="A957" i="13"/>
  <c r="B957" i="13"/>
  <c r="C957" i="13"/>
  <c r="D957" i="13"/>
  <c r="E957" i="13"/>
  <c r="F957" i="13"/>
  <c r="G957" i="13"/>
  <c r="H957" i="13"/>
  <c r="I957" i="13"/>
  <c r="J957" i="13"/>
  <c r="K957" i="13"/>
  <c r="L957" i="13"/>
  <c r="M957" i="13"/>
  <c r="N957" i="13"/>
  <c r="A958" i="13"/>
  <c r="B958" i="13"/>
  <c r="C958" i="13"/>
  <c r="D958" i="13"/>
  <c r="E958" i="13"/>
  <c r="F958" i="13"/>
  <c r="G958" i="13"/>
  <c r="H958" i="13"/>
  <c r="I958" i="13"/>
  <c r="J958" i="13"/>
  <c r="K958" i="13"/>
  <c r="L958" i="13"/>
  <c r="M958" i="13"/>
  <c r="N958" i="13"/>
  <c r="A959" i="13"/>
  <c r="B959" i="13"/>
  <c r="C959" i="13"/>
  <c r="D959" i="13"/>
  <c r="E959" i="13"/>
  <c r="F959" i="13"/>
  <c r="G959" i="13"/>
  <c r="H959" i="13"/>
  <c r="I959" i="13"/>
  <c r="J959" i="13"/>
  <c r="K959" i="13"/>
  <c r="L959" i="13"/>
  <c r="M959" i="13"/>
  <c r="N959" i="13"/>
  <c r="A960" i="13"/>
  <c r="B960" i="13"/>
  <c r="C960" i="13"/>
  <c r="D960" i="13"/>
  <c r="E960" i="13"/>
  <c r="F960" i="13"/>
  <c r="G960" i="13"/>
  <c r="H960" i="13"/>
  <c r="I960" i="13"/>
  <c r="J960" i="13"/>
  <c r="K960" i="13"/>
  <c r="L960" i="13"/>
  <c r="M960" i="13"/>
  <c r="N960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O937" i="13"/>
  <c r="O938" i="13"/>
  <c r="O939" i="13"/>
  <c r="O940" i="13"/>
  <c r="O941" i="13"/>
  <c r="O942" i="13"/>
  <c r="O921" i="13"/>
  <c r="A921" i="13"/>
  <c r="B921" i="13"/>
  <c r="C921" i="13"/>
  <c r="D921" i="13"/>
  <c r="E921" i="13"/>
  <c r="F921" i="13"/>
  <c r="G921" i="13"/>
  <c r="H921" i="13"/>
  <c r="I921" i="13"/>
  <c r="J921" i="13"/>
  <c r="K921" i="13"/>
  <c r="L921" i="13"/>
  <c r="M921" i="13"/>
  <c r="N921" i="13"/>
  <c r="A922" i="13"/>
  <c r="B922" i="13"/>
  <c r="C922" i="13"/>
  <c r="D922" i="13"/>
  <c r="E922" i="13"/>
  <c r="F922" i="13"/>
  <c r="G922" i="13"/>
  <c r="H922" i="13"/>
  <c r="I922" i="13"/>
  <c r="J922" i="13"/>
  <c r="K922" i="13"/>
  <c r="L922" i="13"/>
  <c r="M922" i="13"/>
  <c r="N922" i="13"/>
  <c r="A923" i="13"/>
  <c r="B923" i="13"/>
  <c r="C923" i="13"/>
  <c r="D923" i="13"/>
  <c r="E923" i="13"/>
  <c r="F923" i="13"/>
  <c r="G923" i="13"/>
  <c r="H923" i="13"/>
  <c r="I923" i="13"/>
  <c r="J923" i="13"/>
  <c r="K923" i="13"/>
  <c r="L923" i="13"/>
  <c r="M923" i="13"/>
  <c r="N923" i="13"/>
  <c r="A924" i="13"/>
  <c r="B924" i="13"/>
  <c r="C924" i="13"/>
  <c r="D924" i="13"/>
  <c r="E924" i="13"/>
  <c r="F924" i="13"/>
  <c r="G924" i="13"/>
  <c r="H924" i="13"/>
  <c r="I924" i="13"/>
  <c r="J924" i="13"/>
  <c r="K924" i="13"/>
  <c r="L924" i="13"/>
  <c r="M924" i="13"/>
  <c r="N924" i="13"/>
  <c r="A925" i="13"/>
  <c r="B925" i="13"/>
  <c r="C925" i="13"/>
  <c r="D925" i="13"/>
  <c r="E925" i="13"/>
  <c r="F925" i="13"/>
  <c r="G925" i="13"/>
  <c r="H925" i="13"/>
  <c r="I925" i="13"/>
  <c r="J925" i="13"/>
  <c r="K925" i="13"/>
  <c r="L925" i="13"/>
  <c r="M925" i="13"/>
  <c r="N925" i="13"/>
  <c r="A926" i="13"/>
  <c r="B926" i="13"/>
  <c r="C926" i="13"/>
  <c r="D926" i="13"/>
  <c r="E926" i="13"/>
  <c r="F926" i="13"/>
  <c r="G926" i="13"/>
  <c r="H926" i="13"/>
  <c r="I926" i="13"/>
  <c r="J926" i="13"/>
  <c r="K926" i="13"/>
  <c r="L926" i="13"/>
  <c r="M926" i="13"/>
  <c r="N926" i="13"/>
  <c r="A927" i="13"/>
  <c r="B927" i="13"/>
  <c r="C927" i="13"/>
  <c r="D927" i="13"/>
  <c r="E927" i="13"/>
  <c r="F927" i="13"/>
  <c r="G927" i="13"/>
  <c r="H927" i="13"/>
  <c r="I927" i="13"/>
  <c r="J927" i="13"/>
  <c r="K927" i="13"/>
  <c r="L927" i="13"/>
  <c r="M927" i="13"/>
  <c r="N927" i="13"/>
  <c r="A928" i="13"/>
  <c r="B928" i="13"/>
  <c r="C928" i="13"/>
  <c r="D928" i="13"/>
  <c r="E928" i="13"/>
  <c r="F928" i="13"/>
  <c r="G928" i="13"/>
  <c r="H928" i="13"/>
  <c r="I928" i="13"/>
  <c r="J928" i="13"/>
  <c r="K928" i="13"/>
  <c r="L928" i="13"/>
  <c r="M928" i="13"/>
  <c r="N928" i="13"/>
  <c r="A929" i="13"/>
  <c r="B929" i="13"/>
  <c r="C929" i="13"/>
  <c r="D929" i="13"/>
  <c r="E929" i="13"/>
  <c r="F929" i="13"/>
  <c r="G929" i="13"/>
  <c r="H929" i="13"/>
  <c r="I929" i="13"/>
  <c r="J929" i="13"/>
  <c r="K929" i="13"/>
  <c r="L929" i="13"/>
  <c r="M929" i="13"/>
  <c r="N929" i="13"/>
  <c r="A930" i="13"/>
  <c r="B930" i="13"/>
  <c r="C930" i="13"/>
  <c r="D930" i="13"/>
  <c r="E930" i="13"/>
  <c r="F930" i="13"/>
  <c r="G930" i="13"/>
  <c r="H930" i="13"/>
  <c r="I930" i="13"/>
  <c r="J930" i="13"/>
  <c r="K930" i="13"/>
  <c r="L930" i="13"/>
  <c r="M930" i="13"/>
  <c r="N930" i="13"/>
  <c r="A931" i="13"/>
  <c r="B931" i="13"/>
  <c r="C931" i="13"/>
  <c r="D931" i="13"/>
  <c r="E931" i="13"/>
  <c r="F931" i="13"/>
  <c r="G931" i="13"/>
  <c r="H931" i="13"/>
  <c r="I931" i="13"/>
  <c r="J931" i="13"/>
  <c r="K931" i="13"/>
  <c r="L931" i="13"/>
  <c r="M931" i="13"/>
  <c r="N931" i="13"/>
  <c r="A932" i="13"/>
  <c r="B932" i="13"/>
  <c r="C932" i="13"/>
  <c r="D932" i="13"/>
  <c r="E932" i="13"/>
  <c r="F932" i="13"/>
  <c r="G932" i="13"/>
  <c r="H932" i="13"/>
  <c r="I932" i="13"/>
  <c r="J932" i="13"/>
  <c r="K932" i="13"/>
  <c r="L932" i="13"/>
  <c r="M932" i="13"/>
  <c r="N932" i="13"/>
  <c r="A933" i="13"/>
  <c r="B933" i="13"/>
  <c r="C933" i="13"/>
  <c r="D933" i="13"/>
  <c r="E933" i="13"/>
  <c r="F933" i="13"/>
  <c r="G933" i="13"/>
  <c r="H933" i="13"/>
  <c r="I933" i="13"/>
  <c r="J933" i="13"/>
  <c r="K933" i="13"/>
  <c r="L933" i="13"/>
  <c r="M933" i="13"/>
  <c r="N933" i="13"/>
  <c r="A934" i="13"/>
  <c r="B934" i="13"/>
  <c r="C934" i="13"/>
  <c r="D934" i="13"/>
  <c r="E934" i="13"/>
  <c r="F934" i="13"/>
  <c r="G934" i="13"/>
  <c r="H934" i="13"/>
  <c r="I934" i="13"/>
  <c r="J934" i="13"/>
  <c r="K934" i="13"/>
  <c r="L934" i="13"/>
  <c r="M934" i="13"/>
  <c r="N934" i="13"/>
  <c r="A935" i="13"/>
  <c r="B935" i="13"/>
  <c r="C935" i="13"/>
  <c r="D935" i="13"/>
  <c r="E935" i="13"/>
  <c r="F935" i="13"/>
  <c r="G935" i="13"/>
  <c r="H935" i="13"/>
  <c r="I935" i="13"/>
  <c r="J935" i="13"/>
  <c r="K935" i="13"/>
  <c r="L935" i="13"/>
  <c r="M935" i="13"/>
  <c r="N935" i="13"/>
  <c r="A936" i="13"/>
  <c r="B936" i="13"/>
  <c r="C936" i="13"/>
  <c r="D936" i="13"/>
  <c r="E936" i="13"/>
  <c r="F936" i="13"/>
  <c r="G936" i="13"/>
  <c r="H936" i="13"/>
  <c r="I936" i="13"/>
  <c r="J936" i="13"/>
  <c r="K936" i="13"/>
  <c r="L936" i="13"/>
  <c r="M936" i="13"/>
  <c r="N936" i="13"/>
  <c r="A937" i="13"/>
  <c r="B937" i="13"/>
  <c r="C937" i="13"/>
  <c r="D937" i="13"/>
  <c r="E937" i="13"/>
  <c r="F937" i="13"/>
  <c r="G937" i="13"/>
  <c r="H937" i="13"/>
  <c r="I937" i="13"/>
  <c r="J937" i="13"/>
  <c r="K937" i="13"/>
  <c r="L937" i="13"/>
  <c r="M937" i="13"/>
  <c r="N937" i="13"/>
  <c r="A938" i="13"/>
  <c r="B938" i="13"/>
  <c r="C938" i="13"/>
  <c r="D938" i="13"/>
  <c r="E938" i="13"/>
  <c r="F938" i="13"/>
  <c r="G938" i="13"/>
  <c r="H938" i="13"/>
  <c r="I938" i="13"/>
  <c r="J938" i="13"/>
  <c r="K938" i="13"/>
  <c r="L938" i="13"/>
  <c r="M938" i="13"/>
  <c r="N938" i="13"/>
  <c r="A939" i="13"/>
  <c r="B939" i="13"/>
  <c r="C939" i="13"/>
  <c r="D939" i="13"/>
  <c r="E939" i="13"/>
  <c r="F939" i="13"/>
  <c r="G939" i="13"/>
  <c r="H939" i="13"/>
  <c r="I939" i="13"/>
  <c r="J939" i="13"/>
  <c r="K939" i="13"/>
  <c r="L939" i="13"/>
  <c r="M939" i="13"/>
  <c r="N939" i="13"/>
  <c r="A940" i="13"/>
  <c r="B940" i="13"/>
  <c r="C940" i="13"/>
  <c r="D940" i="13"/>
  <c r="E940" i="13"/>
  <c r="F940" i="13"/>
  <c r="G940" i="13"/>
  <c r="H940" i="13"/>
  <c r="I940" i="13"/>
  <c r="J940" i="13"/>
  <c r="K940" i="13"/>
  <c r="L940" i="13"/>
  <c r="M940" i="13"/>
  <c r="N940" i="13"/>
  <c r="A941" i="13"/>
  <c r="B941" i="13"/>
  <c r="C941" i="13"/>
  <c r="D941" i="13"/>
  <c r="E941" i="13"/>
  <c r="F941" i="13"/>
  <c r="G941" i="13"/>
  <c r="H941" i="13"/>
  <c r="I941" i="13"/>
  <c r="J941" i="13"/>
  <c r="K941" i="13"/>
  <c r="L941" i="13"/>
  <c r="M941" i="13"/>
  <c r="N941" i="13"/>
  <c r="A942" i="13"/>
  <c r="B942" i="13"/>
  <c r="C942" i="13"/>
  <c r="D942" i="13"/>
  <c r="E942" i="13"/>
  <c r="F942" i="13"/>
  <c r="G942" i="13"/>
  <c r="H942" i="13"/>
  <c r="I942" i="13"/>
  <c r="J942" i="13"/>
  <c r="K942" i="13"/>
  <c r="L942" i="13"/>
  <c r="M942" i="13"/>
  <c r="N942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03" i="13"/>
  <c r="A903" i="13"/>
  <c r="B903" i="13"/>
  <c r="C903" i="13"/>
  <c r="D903" i="13"/>
  <c r="E903" i="13"/>
  <c r="F903" i="13"/>
  <c r="G903" i="13"/>
  <c r="H903" i="13"/>
  <c r="I903" i="13"/>
  <c r="J903" i="13"/>
  <c r="K903" i="13"/>
  <c r="L903" i="13"/>
  <c r="M903" i="13"/>
  <c r="N903" i="13"/>
  <c r="A904" i="13"/>
  <c r="B904" i="13"/>
  <c r="C904" i="13"/>
  <c r="D904" i="13"/>
  <c r="E904" i="13"/>
  <c r="F904" i="13"/>
  <c r="G904" i="13"/>
  <c r="H904" i="13"/>
  <c r="I904" i="13"/>
  <c r="J904" i="13"/>
  <c r="K904" i="13"/>
  <c r="L904" i="13"/>
  <c r="M904" i="13"/>
  <c r="N904" i="13"/>
  <c r="A905" i="13"/>
  <c r="B905" i="13"/>
  <c r="C905" i="13"/>
  <c r="D905" i="13"/>
  <c r="E905" i="13"/>
  <c r="F905" i="13"/>
  <c r="G905" i="13"/>
  <c r="H905" i="13"/>
  <c r="I905" i="13"/>
  <c r="J905" i="13"/>
  <c r="K905" i="13"/>
  <c r="L905" i="13"/>
  <c r="M905" i="13"/>
  <c r="N905" i="13"/>
  <c r="A906" i="13"/>
  <c r="B906" i="13"/>
  <c r="C906" i="13"/>
  <c r="D906" i="13"/>
  <c r="E906" i="13"/>
  <c r="F906" i="13"/>
  <c r="G906" i="13"/>
  <c r="H906" i="13"/>
  <c r="I906" i="13"/>
  <c r="J906" i="13"/>
  <c r="K906" i="13"/>
  <c r="L906" i="13"/>
  <c r="M906" i="13"/>
  <c r="N906" i="13"/>
  <c r="A907" i="13"/>
  <c r="B907" i="13"/>
  <c r="C907" i="13"/>
  <c r="D907" i="13"/>
  <c r="E907" i="13"/>
  <c r="F907" i="13"/>
  <c r="G907" i="13"/>
  <c r="H907" i="13"/>
  <c r="I907" i="13"/>
  <c r="J907" i="13"/>
  <c r="K907" i="13"/>
  <c r="L907" i="13"/>
  <c r="M907" i="13"/>
  <c r="N907" i="13"/>
  <c r="A908" i="13"/>
  <c r="B908" i="13"/>
  <c r="C908" i="13"/>
  <c r="D908" i="13"/>
  <c r="E908" i="13"/>
  <c r="F908" i="13"/>
  <c r="G908" i="13"/>
  <c r="H908" i="13"/>
  <c r="I908" i="13"/>
  <c r="J908" i="13"/>
  <c r="K908" i="13"/>
  <c r="L908" i="13"/>
  <c r="M908" i="13"/>
  <c r="N908" i="13"/>
  <c r="A909" i="13"/>
  <c r="B909" i="13"/>
  <c r="C909" i="13"/>
  <c r="D909" i="13"/>
  <c r="E909" i="13"/>
  <c r="F909" i="13"/>
  <c r="G909" i="13"/>
  <c r="H909" i="13"/>
  <c r="I909" i="13"/>
  <c r="J909" i="13"/>
  <c r="K909" i="13"/>
  <c r="L909" i="13"/>
  <c r="M909" i="13"/>
  <c r="N909" i="13"/>
  <c r="A910" i="13"/>
  <c r="B910" i="13"/>
  <c r="C910" i="13"/>
  <c r="D910" i="13"/>
  <c r="E910" i="13"/>
  <c r="F910" i="13"/>
  <c r="G910" i="13"/>
  <c r="H910" i="13"/>
  <c r="I910" i="13"/>
  <c r="J910" i="13"/>
  <c r="K910" i="13"/>
  <c r="L910" i="13"/>
  <c r="M910" i="13"/>
  <c r="N910" i="13"/>
  <c r="A911" i="13"/>
  <c r="B911" i="13"/>
  <c r="C911" i="13"/>
  <c r="D911" i="13"/>
  <c r="E911" i="13"/>
  <c r="F911" i="13"/>
  <c r="G911" i="13"/>
  <c r="H911" i="13"/>
  <c r="I911" i="13"/>
  <c r="J911" i="13"/>
  <c r="K911" i="13"/>
  <c r="L911" i="13"/>
  <c r="M911" i="13"/>
  <c r="N911" i="13"/>
  <c r="A912" i="13"/>
  <c r="B912" i="13"/>
  <c r="C912" i="13"/>
  <c r="D912" i="13"/>
  <c r="E912" i="13"/>
  <c r="F912" i="13"/>
  <c r="G912" i="13"/>
  <c r="H912" i="13"/>
  <c r="I912" i="13"/>
  <c r="J912" i="13"/>
  <c r="K912" i="13"/>
  <c r="L912" i="13"/>
  <c r="M912" i="13"/>
  <c r="N912" i="13"/>
  <c r="A913" i="13"/>
  <c r="B913" i="13"/>
  <c r="C913" i="13"/>
  <c r="D913" i="13"/>
  <c r="E913" i="13"/>
  <c r="F913" i="13"/>
  <c r="G913" i="13"/>
  <c r="H913" i="13"/>
  <c r="I913" i="13"/>
  <c r="J913" i="13"/>
  <c r="K913" i="13"/>
  <c r="L913" i="13"/>
  <c r="M913" i="13"/>
  <c r="N913" i="13"/>
  <c r="A914" i="13"/>
  <c r="B914" i="13"/>
  <c r="C914" i="13"/>
  <c r="D914" i="13"/>
  <c r="E914" i="13"/>
  <c r="F914" i="13"/>
  <c r="G914" i="13"/>
  <c r="H914" i="13"/>
  <c r="I914" i="13"/>
  <c r="J914" i="13"/>
  <c r="K914" i="13"/>
  <c r="L914" i="13"/>
  <c r="M914" i="13"/>
  <c r="N914" i="13"/>
  <c r="A915" i="13"/>
  <c r="B915" i="13"/>
  <c r="C915" i="13"/>
  <c r="D915" i="13"/>
  <c r="E915" i="13"/>
  <c r="F915" i="13"/>
  <c r="G915" i="13"/>
  <c r="H915" i="13"/>
  <c r="I915" i="13"/>
  <c r="J915" i="13"/>
  <c r="K915" i="13"/>
  <c r="L915" i="13"/>
  <c r="M915" i="13"/>
  <c r="N915" i="13"/>
  <c r="A916" i="13"/>
  <c r="B916" i="13"/>
  <c r="C916" i="13"/>
  <c r="D916" i="13"/>
  <c r="E916" i="13"/>
  <c r="F916" i="13"/>
  <c r="G916" i="13"/>
  <c r="H916" i="13"/>
  <c r="I916" i="13"/>
  <c r="J916" i="13"/>
  <c r="K916" i="13"/>
  <c r="L916" i="13"/>
  <c r="M916" i="13"/>
  <c r="N916" i="13"/>
  <c r="A917" i="13"/>
  <c r="B917" i="13"/>
  <c r="C917" i="13"/>
  <c r="D917" i="13"/>
  <c r="E917" i="13"/>
  <c r="F917" i="13"/>
  <c r="G917" i="13"/>
  <c r="H917" i="13"/>
  <c r="I917" i="13"/>
  <c r="J917" i="13"/>
  <c r="K917" i="13"/>
  <c r="L917" i="13"/>
  <c r="M917" i="13"/>
  <c r="N917" i="13"/>
  <c r="A918" i="13"/>
  <c r="B918" i="13"/>
  <c r="C918" i="13"/>
  <c r="D918" i="13"/>
  <c r="E918" i="13"/>
  <c r="F918" i="13"/>
  <c r="G918" i="13"/>
  <c r="H918" i="13"/>
  <c r="I918" i="13"/>
  <c r="J918" i="13"/>
  <c r="K918" i="13"/>
  <c r="L918" i="13"/>
  <c r="M918" i="13"/>
  <c r="N918" i="13"/>
  <c r="A919" i="13"/>
  <c r="B919" i="13"/>
  <c r="C919" i="13"/>
  <c r="D919" i="13"/>
  <c r="E919" i="13"/>
  <c r="F919" i="13"/>
  <c r="G919" i="13"/>
  <c r="H919" i="13"/>
  <c r="I919" i="13"/>
  <c r="J919" i="13"/>
  <c r="K919" i="13"/>
  <c r="L919" i="13"/>
  <c r="M919" i="13"/>
  <c r="N919" i="13"/>
  <c r="A920" i="13"/>
  <c r="B920" i="13"/>
  <c r="C920" i="13"/>
  <c r="D920" i="13"/>
  <c r="E920" i="13"/>
  <c r="F920" i="13"/>
  <c r="G920" i="13"/>
  <c r="H920" i="13"/>
  <c r="I920" i="13"/>
  <c r="J920" i="13"/>
  <c r="K920" i="13"/>
  <c r="L920" i="13"/>
  <c r="M920" i="13"/>
  <c r="N920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885" i="13"/>
  <c r="A885" i="13"/>
  <c r="B885" i="13"/>
  <c r="C885" i="13"/>
  <c r="D885" i="13"/>
  <c r="E885" i="13"/>
  <c r="F885" i="13"/>
  <c r="G885" i="13"/>
  <c r="H885" i="13"/>
  <c r="I885" i="13"/>
  <c r="J885" i="13"/>
  <c r="K885" i="13"/>
  <c r="L885" i="13"/>
  <c r="M885" i="13"/>
  <c r="N885" i="13"/>
  <c r="A886" i="13"/>
  <c r="B886" i="13"/>
  <c r="C886" i="13"/>
  <c r="D886" i="13"/>
  <c r="E886" i="13"/>
  <c r="F886" i="13"/>
  <c r="G886" i="13"/>
  <c r="H886" i="13"/>
  <c r="I886" i="13"/>
  <c r="J886" i="13"/>
  <c r="K886" i="13"/>
  <c r="L886" i="13"/>
  <c r="M886" i="13"/>
  <c r="N886" i="13"/>
  <c r="A887" i="13"/>
  <c r="B887" i="13"/>
  <c r="C887" i="13"/>
  <c r="D887" i="13"/>
  <c r="E887" i="13"/>
  <c r="F887" i="13"/>
  <c r="G887" i="13"/>
  <c r="H887" i="13"/>
  <c r="I887" i="13"/>
  <c r="J887" i="13"/>
  <c r="K887" i="13"/>
  <c r="L887" i="13"/>
  <c r="M887" i="13"/>
  <c r="N887" i="13"/>
  <c r="A888" i="13"/>
  <c r="B888" i="13"/>
  <c r="C888" i="13"/>
  <c r="D888" i="13"/>
  <c r="E888" i="13"/>
  <c r="F888" i="13"/>
  <c r="G888" i="13"/>
  <c r="H888" i="13"/>
  <c r="I888" i="13"/>
  <c r="J888" i="13"/>
  <c r="K888" i="13"/>
  <c r="L888" i="13"/>
  <c r="M888" i="13"/>
  <c r="N888" i="13"/>
  <c r="A889" i="13"/>
  <c r="B889" i="13"/>
  <c r="C889" i="13"/>
  <c r="D889" i="13"/>
  <c r="E889" i="13"/>
  <c r="F889" i="13"/>
  <c r="G889" i="13"/>
  <c r="H889" i="13"/>
  <c r="I889" i="13"/>
  <c r="J889" i="13"/>
  <c r="K889" i="13"/>
  <c r="L889" i="13"/>
  <c r="M889" i="13"/>
  <c r="N889" i="13"/>
  <c r="A890" i="13"/>
  <c r="B890" i="13"/>
  <c r="C890" i="13"/>
  <c r="D890" i="13"/>
  <c r="E890" i="13"/>
  <c r="F890" i="13"/>
  <c r="G890" i="13"/>
  <c r="H890" i="13"/>
  <c r="I890" i="13"/>
  <c r="J890" i="13"/>
  <c r="K890" i="13"/>
  <c r="L890" i="13"/>
  <c r="M890" i="13"/>
  <c r="N890" i="13"/>
  <c r="A891" i="13"/>
  <c r="B891" i="13"/>
  <c r="C891" i="13"/>
  <c r="D891" i="13"/>
  <c r="E891" i="13"/>
  <c r="F891" i="13"/>
  <c r="G891" i="13"/>
  <c r="H891" i="13"/>
  <c r="I891" i="13"/>
  <c r="J891" i="13"/>
  <c r="K891" i="13"/>
  <c r="L891" i="13"/>
  <c r="M891" i="13"/>
  <c r="N891" i="13"/>
  <c r="A892" i="13"/>
  <c r="B892" i="13"/>
  <c r="C892" i="13"/>
  <c r="D892" i="13"/>
  <c r="E892" i="13"/>
  <c r="F892" i="13"/>
  <c r="G892" i="13"/>
  <c r="H892" i="13"/>
  <c r="I892" i="13"/>
  <c r="J892" i="13"/>
  <c r="K892" i="13"/>
  <c r="L892" i="13"/>
  <c r="M892" i="13"/>
  <c r="N892" i="13"/>
  <c r="A893" i="13"/>
  <c r="B893" i="13"/>
  <c r="C893" i="13"/>
  <c r="D893" i="13"/>
  <c r="E893" i="13"/>
  <c r="F893" i="13"/>
  <c r="G893" i="13"/>
  <c r="H893" i="13"/>
  <c r="I893" i="13"/>
  <c r="J893" i="13"/>
  <c r="K893" i="13"/>
  <c r="L893" i="13"/>
  <c r="M893" i="13"/>
  <c r="N893" i="13"/>
  <c r="A894" i="13"/>
  <c r="B894" i="13"/>
  <c r="C894" i="13"/>
  <c r="D894" i="13"/>
  <c r="E894" i="13"/>
  <c r="F894" i="13"/>
  <c r="G894" i="13"/>
  <c r="H894" i="13"/>
  <c r="I894" i="13"/>
  <c r="J894" i="13"/>
  <c r="K894" i="13"/>
  <c r="L894" i="13"/>
  <c r="M894" i="13"/>
  <c r="N894" i="13"/>
  <c r="A895" i="13"/>
  <c r="B895" i="13"/>
  <c r="C895" i="13"/>
  <c r="D895" i="13"/>
  <c r="E895" i="13"/>
  <c r="F895" i="13"/>
  <c r="G895" i="13"/>
  <c r="H895" i="13"/>
  <c r="I895" i="13"/>
  <c r="J895" i="13"/>
  <c r="K895" i="13"/>
  <c r="L895" i="13"/>
  <c r="M895" i="13"/>
  <c r="N895" i="13"/>
  <c r="A896" i="13"/>
  <c r="B896" i="13"/>
  <c r="C896" i="13"/>
  <c r="D896" i="13"/>
  <c r="E896" i="13"/>
  <c r="F896" i="13"/>
  <c r="G896" i="13"/>
  <c r="H896" i="13"/>
  <c r="I896" i="13"/>
  <c r="J896" i="13"/>
  <c r="K896" i="13"/>
  <c r="L896" i="13"/>
  <c r="M896" i="13"/>
  <c r="N896" i="13"/>
  <c r="A897" i="13"/>
  <c r="B897" i="13"/>
  <c r="C897" i="13"/>
  <c r="D897" i="13"/>
  <c r="E897" i="13"/>
  <c r="F897" i="13"/>
  <c r="G897" i="13"/>
  <c r="H897" i="13"/>
  <c r="I897" i="13"/>
  <c r="J897" i="13"/>
  <c r="K897" i="13"/>
  <c r="L897" i="13"/>
  <c r="M897" i="13"/>
  <c r="N897" i="13"/>
  <c r="A898" i="13"/>
  <c r="B898" i="13"/>
  <c r="C898" i="13"/>
  <c r="D898" i="13"/>
  <c r="E898" i="13"/>
  <c r="F898" i="13"/>
  <c r="G898" i="13"/>
  <c r="H898" i="13"/>
  <c r="I898" i="13"/>
  <c r="J898" i="13"/>
  <c r="K898" i="13"/>
  <c r="L898" i="13"/>
  <c r="M898" i="13"/>
  <c r="N898" i="13"/>
  <c r="A899" i="13"/>
  <c r="B899" i="13"/>
  <c r="C899" i="13"/>
  <c r="D899" i="13"/>
  <c r="E899" i="13"/>
  <c r="F899" i="13"/>
  <c r="G899" i="13"/>
  <c r="H899" i="13"/>
  <c r="I899" i="13"/>
  <c r="J899" i="13"/>
  <c r="K899" i="13"/>
  <c r="L899" i="13"/>
  <c r="M899" i="13"/>
  <c r="N899" i="13"/>
  <c r="A900" i="13"/>
  <c r="B900" i="13"/>
  <c r="C900" i="13"/>
  <c r="D900" i="13"/>
  <c r="E900" i="13"/>
  <c r="F900" i="13"/>
  <c r="G900" i="13"/>
  <c r="H900" i="13"/>
  <c r="I900" i="13"/>
  <c r="J900" i="13"/>
  <c r="K900" i="13"/>
  <c r="L900" i="13"/>
  <c r="M900" i="13"/>
  <c r="N900" i="13"/>
  <c r="A901" i="13"/>
  <c r="B901" i="13"/>
  <c r="C901" i="13"/>
  <c r="D901" i="13"/>
  <c r="E901" i="13"/>
  <c r="F901" i="13"/>
  <c r="G901" i="13"/>
  <c r="H901" i="13"/>
  <c r="I901" i="13"/>
  <c r="J901" i="13"/>
  <c r="K901" i="13"/>
  <c r="L901" i="13"/>
  <c r="M901" i="13"/>
  <c r="N901" i="13"/>
  <c r="A902" i="13"/>
  <c r="B902" i="13"/>
  <c r="C902" i="13"/>
  <c r="D902" i="13"/>
  <c r="E902" i="13"/>
  <c r="F902" i="13"/>
  <c r="G902" i="13"/>
  <c r="H902" i="13"/>
  <c r="I902" i="13"/>
  <c r="J902" i="13"/>
  <c r="K902" i="13"/>
  <c r="L902" i="13"/>
  <c r="M902" i="13"/>
  <c r="N902" i="13"/>
  <c r="O869" i="13"/>
  <c r="O870" i="13"/>
  <c r="O871" i="13"/>
  <c r="O872" i="13"/>
  <c r="O873" i="13"/>
  <c r="O874" i="13"/>
  <c r="O875" i="13"/>
  <c r="O876" i="13"/>
  <c r="O877" i="13"/>
  <c r="O878" i="13"/>
  <c r="O879" i="13"/>
  <c r="O880" i="13"/>
  <c r="O881" i="13"/>
  <c r="O882" i="13"/>
  <c r="O883" i="13"/>
  <c r="O884" i="13"/>
  <c r="O868" i="13"/>
  <c r="A868" i="13"/>
  <c r="B868" i="13"/>
  <c r="C868" i="13"/>
  <c r="D868" i="13"/>
  <c r="E868" i="13"/>
  <c r="F868" i="13"/>
  <c r="G868" i="13"/>
  <c r="H868" i="13"/>
  <c r="I868" i="13"/>
  <c r="J868" i="13"/>
  <c r="K868" i="13"/>
  <c r="L868" i="13"/>
  <c r="M868" i="13"/>
  <c r="N868" i="13"/>
  <c r="A869" i="13"/>
  <c r="B869" i="13"/>
  <c r="C869" i="13"/>
  <c r="D869" i="13"/>
  <c r="E869" i="13"/>
  <c r="F869" i="13"/>
  <c r="G869" i="13"/>
  <c r="H869" i="13"/>
  <c r="I869" i="13"/>
  <c r="J869" i="13"/>
  <c r="K869" i="13"/>
  <c r="L869" i="13"/>
  <c r="M869" i="13"/>
  <c r="N869" i="13"/>
  <c r="A870" i="13"/>
  <c r="B870" i="13"/>
  <c r="C870" i="13"/>
  <c r="D870" i="13"/>
  <c r="E870" i="13"/>
  <c r="F870" i="13"/>
  <c r="G870" i="13"/>
  <c r="H870" i="13"/>
  <c r="I870" i="13"/>
  <c r="J870" i="13"/>
  <c r="K870" i="13"/>
  <c r="L870" i="13"/>
  <c r="M870" i="13"/>
  <c r="N870" i="13"/>
  <c r="A871" i="13"/>
  <c r="B871" i="13"/>
  <c r="C871" i="13"/>
  <c r="D871" i="13"/>
  <c r="E871" i="13"/>
  <c r="F871" i="13"/>
  <c r="G871" i="13"/>
  <c r="H871" i="13"/>
  <c r="I871" i="13"/>
  <c r="J871" i="13"/>
  <c r="K871" i="13"/>
  <c r="L871" i="13"/>
  <c r="M871" i="13"/>
  <c r="N871" i="13"/>
  <c r="A872" i="13"/>
  <c r="B872" i="13"/>
  <c r="C872" i="13"/>
  <c r="D872" i="13"/>
  <c r="E872" i="13"/>
  <c r="F872" i="13"/>
  <c r="G872" i="13"/>
  <c r="H872" i="13"/>
  <c r="I872" i="13"/>
  <c r="J872" i="13"/>
  <c r="K872" i="13"/>
  <c r="L872" i="13"/>
  <c r="M872" i="13"/>
  <c r="N872" i="13"/>
  <c r="A873" i="13"/>
  <c r="B873" i="13"/>
  <c r="C873" i="13"/>
  <c r="D873" i="13"/>
  <c r="E873" i="13"/>
  <c r="F873" i="13"/>
  <c r="G873" i="13"/>
  <c r="H873" i="13"/>
  <c r="I873" i="13"/>
  <c r="J873" i="13"/>
  <c r="K873" i="13"/>
  <c r="L873" i="13"/>
  <c r="M873" i="13"/>
  <c r="N873" i="13"/>
  <c r="A874" i="13"/>
  <c r="B874" i="13"/>
  <c r="C874" i="13"/>
  <c r="D874" i="13"/>
  <c r="E874" i="13"/>
  <c r="F874" i="13"/>
  <c r="G874" i="13"/>
  <c r="H874" i="13"/>
  <c r="I874" i="13"/>
  <c r="J874" i="13"/>
  <c r="K874" i="13"/>
  <c r="L874" i="13"/>
  <c r="M874" i="13"/>
  <c r="N874" i="13"/>
  <c r="A875" i="13"/>
  <c r="B875" i="13"/>
  <c r="C875" i="13"/>
  <c r="D875" i="13"/>
  <c r="E875" i="13"/>
  <c r="F875" i="13"/>
  <c r="G875" i="13"/>
  <c r="H875" i="13"/>
  <c r="I875" i="13"/>
  <c r="J875" i="13"/>
  <c r="K875" i="13"/>
  <c r="L875" i="13"/>
  <c r="M875" i="13"/>
  <c r="N875" i="13"/>
  <c r="A876" i="13"/>
  <c r="B876" i="13"/>
  <c r="C876" i="13"/>
  <c r="D876" i="13"/>
  <c r="E876" i="13"/>
  <c r="F876" i="13"/>
  <c r="G876" i="13"/>
  <c r="H876" i="13"/>
  <c r="I876" i="13"/>
  <c r="J876" i="13"/>
  <c r="K876" i="13"/>
  <c r="L876" i="13"/>
  <c r="M876" i="13"/>
  <c r="N876" i="13"/>
  <c r="A877" i="13"/>
  <c r="B877" i="13"/>
  <c r="C877" i="13"/>
  <c r="D877" i="13"/>
  <c r="E877" i="13"/>
  <c r="F877" i="13"/>
  <c r="G877" i="13"/>
  <c r="H877" i="13"/>
  <c r="I877" i="13"/>
  <c r="J877" i="13"/>
  <c r="K877" i="13"/>
  <c r="L877" i="13"/>
  <c r="M877" i="13"/>
  <c r="N877" i="13"/>
  <c r="A878" i="13"/>
  <c r="B878" i="13"/>
  <c r="C878" i="13"/>
  <c r="D878" i="13"/>
  <c r="E878" i="13"/>
  <c r="F878" i="13"/>
  <c r="G878" i="13"/>
  <c r="H878" i="13"/>
  <c r="I878" i="13"/>
  <c r="J878" i="13"/>
  <c r="K878" i="13"/>
  <c r="L878" i="13"/>
  <c r="M878" i="13"/>
  <c r="N878" i="13"/>
  <c r="A879" i="13"/>
  <c r="B879" i="13"/>
  <c r="C879" i="13"/>
  <c r="D879" i="13"/>
  <c r="E879" i="13"/>
  <c r="F879" i="13"/>
  <c r="G879" i="13"/>
  <c r="H879" i="13"/>
  <c r="I879" i="13"/>
  <c r="J879" i="13"/>
  <c r="K879" i="13"/>
  <c r="L879" i="13"/>
  <c r="M879" i="13"/>
  <c r="N879" i="13"/>
  <c r="A880" i="13"/>
  <c r="B880" i="13"/>
  <c r="C880" i="13"/>
  <c r="D880" i="13"/>
  <c r="E880" i="13"/>
  <c r="F880" i="13"/>
  <c r="G880" i="13"/>
  <c r="H880" i="13"/>
  <c r="I880" i="13"/>
  <c r="J880" i="13"/>
  <c r="K880" i="13"/>
  <c r="L880" i="13"/>
  <c r="M880" i="13"/>
  <c r="N880" i="13"/>
  <c r="A881" i="13"/>
  <c r="B881" i="13"/>
  <c r="C881" i="13"/>
  <c r="D881" i="13"/>
  <c r="E881" i="13"/>
  <c r="F881" i="13"/>
  <c r="G881" i="13"/>
  <c r="H881" i="13"/>
  <c r="I881" i="13"/>
  <c r="J881" i="13"/>
  <c r="K881" i="13"/>
  <c r="L881" i="13"/>
  <c r="M881" i="13"/>
  <c r="N881" i="13"/>
  <c r="A882" i="13"/>
  <c r="B882" i="13"/>
  <c r="C882" i="13"/>
  <c r="D882" i="13"/>
  <c r="E882" i="13"/>
  <c r="F882" i="13"/>
  <c r="G882" i="13"/>
  <c r="H882" i="13"/>
  <c r="I882" i="13"/>
  <c r="J882" i="13"/>
  <c r="K882" i="13"/>
  <c r="L882" i="13"/>
  <c r="M882" i="13"/>
  <c r="N882" i="13"/>
  <c r="A883" i="13"/>
  <c r="B883" i="13"/>
  <c r="C883" i="13"/>
  <c r="D883" i="13"/>
  <c r="E883" i="13"/>
  <c r="F883" i="13"/>
  <c r="G883" i="13"/>
  <c r="H883" i="13"/>
  <c r="I883" i="13"/>
  <c r="J883" i="13"/>
  <c r="K883" i="13"/>
  <c r="L883" i="13"/>
  <c r="M883" i="13"/>
  <c r="N883" i="13"/>
  <c r="A884" i="13"/>
  <c r="B884" i="13"/>
  <c r="C884" i="13"/>
  <c r="D884" i="13"/>
  <c r="E884" i="13"/>
  <c r="F884" i="13"/>
  <c r="G884" i="13"/>
  <c r="H884" i="13"/>
  <c r="I884" i="13"/>
  <c r="J884" i="13"/>
  <c r="K884" i="13"/>
  <c r="L884" i="13"/>
  <c r="M884" i="13"/>
  <c r="N884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52" i="13"/>
  <c r="A852" i="13"/>
  <c r="B852" i="13"/>
  <c r="C852" i="13"/>
  <c r="D852" i="13"/>
  <c r="E852" i="13"/>
  <c r="F852" i="13"/>
  <c r="G852" i="13"/>
  <c r="H852" i="13"/>
  <c r="I852" i="13"/>
  <c r="J852" i="13"/>
  <c r="K852" i="13"/>
  <c r="L852" i="13"/>
  <c r="M852" i="13"/>
  <c r="N852" i="13"/>
  <c r="A853" i="13"/>
  <c r="B853" i="13"/>
  <c r="C853" i="13"/>
  <c r="D853" i="13"/>
  <c r="E853" i="13"/>
  <c r="F853" i="13"/>
  <c r="G853" i="13"/>
  <c r="H853" i="13"/>
  <c r="I853" i="13"/>
  <c r="J853" i="13"/>
  <c r="K853" i="13"/>
  <c r="L853" i="13"/>
  <c r="M853" i="13"/>
  <c r="N853" i="13"/>
  <c r="A854" i="13"/>
  <c r="B854" i="13"/>
  <c r="C854" i="13"/>
  <c r="D854" i="13"/>
  <c r="E854" i="13"/>
  <c r="F854" i="13"/>
  <c r="G854" i="13"/>
  <c r="H854" i="13"/>
  <c r="I854" i="13"/>
  <c r="J854" i="13"/>
  <c r="K854" i="13"/>
  <c r="L854" i="13"/>
  <c r="M854" i="13"/>
  <c r="N854" i="13"/>
  <c r="A855" i="13"/>
  <c r="B855" i="13"/>
  <c r="C855" i="13"/>
  <c r="D855" i="13"/>
  <c r="E855" i="13"/>
  <c r="F855" i="13"/>
  <c r="G855" i="13"/>
  <c r="H855" i="13"/>
  <c r="I855" i="13"/>
  <c r="J855" i="13"/>
  <c r="K855" i="13"/>
  <c r="L855" i="13"/>
  <c r="M855" i="13"/>
  <c r="N855" i="13"/>
  <c r="A856" i="13"/>
  <c r="B856" i="13"/>
  <c r="C856" i="13"/>
  <c r="D856" i="13"/>
  <c r="E856" i="13"/>
  <c r="F856" i="13"/>
  <c r="G856" i="13"/>
  <c r="H856" i="13"/>
  <c r="I856" i="13"/>
  <c r="J856" i="13"/>
  <c r="K856" i="13"/>
  <c r="L856" i="13"/>
  <c r="M856" i="13"/>
  <c r="N856" i="13"/>
  <c r="A857" i="13"/>
  <c r="B857" i="13"/>
  <c r="C857" i="13"/>
  <c r="D857" i="13"/>
  <c r="E857" i="13"/>
  <c r="F857" i="13"/>
  <c r="G857" i="13"/>
  <c r="H857" i="13"/>
  <c r="I857" i="13"/>
  <c r="J857" i="13"/>
  <c r="K857" i="13"/>
  <c r="L857" i="13"/>
  <c r="M857" i="13"/>
  <c r="N857" i="13"/>
  <c r="A858" i="13"/>
  <c r="B858" i="13"/>
  <c r="C858" i="13"/>
  <c r="D858" i="13"/>
  <c r="E858" i="13"/>
  <c r="F858" i="13"/>
  <c r="G858" i="13"/>
  <c r="H858" i="13"/>
  <c r="I858" i="13"/>
  <c r="J858" i="13"/>
  <c r="K858" i="13"/>
  <c r="L858" i="13"/>
  <c r="M858" i="13"/>
  <c r="N858" i="13"/>
  <c r="A859" i="13"/>
  <c r="B859" i="13"/>
  <c r="C859" i="13"/>
  <c r="D859" i="13"/>
  <c r="E859" i="13"/>
  <c r="F859" i="13"/>
  <c r="G859" i="13"/>
  <c r="H859" i="13"/>
  <c r="I859" i="13"/>
  <c r="J859" i="13"/>
  <c r="K859" i="13"/>
  <c r="L859" i="13"/>
  <c r="M859" i="13"/>
  <c r="N859" i="13"/>
  <c r="A860" i="13"/>
  <c r="B860" i="13"/>
  <c r="C860" i="13"/>
  <c r="D860" i="13"/>
  <c r="E860" i="13"/>
  <c r="F860" i="13"/>
  <c r="G860" i="13"/>
  <c r="H860" i="13"/>
  <c r="I860" i="13"/>
  <c r="J860" i="13"/>
  <c r="K860" i="13"/>
  <c r="L860" i="13"/>
  <c r="M860" i="13"/>
  <c r="N860" i="13"/>
  <c r="A861" i="13"/>
  <c r="B861" i="13"/>
  <c r="C861" i="13"/>
  <c r="D861" i="13"/>
  <c r="E861" i="13"/>
  <c r="F861" i="13"/>
  <c r="G861" i="13"/>
  <c r="H861" i="13"/>
  <c r="I861" i="13"/>
  <c r="J861" i="13"/>
  <c r="K861" i="13"/>
  <c r="L861" i="13"/>
  <c r="M861" i="13"/>
  <c r="N861" i="13"/>
  <c r="A862" i="13"/>
  <c r="B862" i="13"/>
  <c r="C862" i="13"/>
  <c r="D862" i="13"/>
  <c r="E862" i="13"/>
  <c r="F862" i="13"/>
  <c r="G862" i="13"/>
  <c r="H862" i="13"/>
  <c r="I862" i="13"/>
  <c r="J862" i="13"/>
  <c r="K862" i="13"/>
  <c r="L862" i="13"/>
  <c r="M862" i="13"/>
  <c r="N862" i="13"/>
  <c r="A863" i="13"/>
  <c r="B863" i="13"/>
  <c r="C863" i="13"/>
  <c r="D863" i="13"/>
  <c r="E863" i="13"/>
  <c r="F863" i="13"/>
  <c r="G863" i="13"/>
  <c r="H863" i="13"/>
  <c r="I863" i="13"/>
  <c r="J863" i="13"/>
  <c r="K863" i="13"/>
  <c r="L863" i="13"/>
  <c r="M863" i="13"/>
  <c r="N863" i="13"/>
  <c r="A864" i="13"/>
  <c r="B864" i="13"/>
  <c r="C864" i="13"/>
  <c r="D864" i="13"/>
  <c r="E864" i="13"/>
  <c r="F864" i="13"/>
  <c r="G864" i="13"/>
  <c r="H864" i="13"/>
  <c r="I864" i="13"/>
  <c r="J864" i="13"/>
  <c r="K864" i="13"/>
  <c r="L864" i="13"/>
  <c r="M864" i="13"/>
  <c r="N864" i="13"/>
  <c r="A865" i="13"/>
  <c r="B865" i="13"/>
  <c r="C865" i="13"/>
  <c r="D865" i="13"/>
  <c r="E865" i="13"/>
  <c r="F865" i="13"/>
  <c r="G865" i="13"/>
  <c r="H865" i="13"/>
  <c r="I865" i="13"/>
  <c r="J865" i="13"/>
  <c r="K865" i="13"/>
  <c r="L865" i="13"/>
  <c r="M865" i="13"/>
  <c r="N865" i="13"/>
  <c r="A866" i="13"/>
  <c r="B866" i="13"/>
  <c r="C866" i="13"/>
  <c r="D866" i="13"/>
  <c r="E866" i="13"/>
  <c r="F866" i="13"/>
  <c r="G866" i="13"/>
  <c r="H866" i="13"/>
  <c r="I866" i="13"/>
  <c r="J866" i="13"/>
  <c r="K866" i="13"/>
  <c r="L866" i="13"/>
  <c r="M866" i="13"/>
  <c r="N866" i="13"/>
  <c r="A867" i="13"/>
  <c r="B867" i="13"/>
  <c r="C867" i="13"/>
  <c r="D867" i="13"/>
  <c r="E867" i="13"/>
  <c r="F867" i="13"/>
  <c r="G867" i="13"/>
  <c r="H867" i="13"/>
  <c r="I867" i="13"/>
  <c r="J867" i="13"/>
  <c r="K867" i="13"/>
  <c r="L867" i="13"/>
  <c r="M867" i="13"/>
  <c r="N867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36" i="13"/>
  <c r="A836" i="13"/>
  <c r="B836" i="13"/>
  <c r="C836" i="13"/>
  <c r="D836" i="13"/>
  <c r="E836" i="13"/>
  <c r="F836" i="13"/>
  <c r="G836" i="13"/>
  <c r="H836" i="13"/>
  <c r="I836" i="13"/>
  <c r="J836" i="13"/>
  <c r="K836" i="13"/>
  <c r="L836" i="13"/>
  <c r="M836" i="13"/>
  <c r="N836" i="13"/>
  <c r="A837" i="13"/>
  <c r="B837" i="13"/>
  <c r="C837" i="13"/>
  <c r="D837" i="13"/>
  <c r="E837" i="13"/>
  <c r="F837" i="13"/>
  <c r="G837" i="13"/>
  <c r="H837" i="13"/>
  <c r="I837" i="13"/>
  <c r="J837" i="13"/>
  <c r="K837" i="13"/>
  <c r="L837" i="13"/>
  <c r="M837" i="13"/>
  <c r="N837" i="13"/>
  <c r="A838" i="13"/>
  <c r="B838" i="13"/>
  <c r="C838" i="13"/>
  <c r="D838" i="13"/>
  <c r="E838" i="13"/>
  <c r="F838" i="13"/>
  <c r="G838" i="13"/>
  <c r="H838" i="13"/>
  <c r="I838" i="13"/>
  <c r="J838" i="13"/>
  <c r="K838" i="13"/>
  <c r="L838" i="13"/>
  <c r="M838" i="13"/>
  <c r="N838" i="13"/>
  <c r="A839" i="13"/>
  <c r="B839" i="13"/>
  <c r="C839" i="13"/>
  <c r="D839" i="13"/>
  <c r="E839" i="13"/>
  <c r="F839" i="13"/>
  <c r="G839" i="13"/>
  <c r="H839" i="13"/>
  <c r="I839" i="13"/>
  <c r="J839" i="13"/>
  <c r="K839" i="13"/>
  <c r="L839" i="13"/>
  <c r="M839" i="13"/>
  <c r="N839" i="13"/>
  <c r="A840" i="13"/>
  <c r="B840" i="13"/>
  <c r="C840" i="13"/>
  <c r="D840" i="13"/>
  <c r="E840" i="13"/>
  <c r="F840" i="13"/>
  <c r="G840" i="13"/>
  <c r="H840" i="13"/>
  <c r="I840" i="13"/>
  <c r="J840" i="13"/>
  <c r="K840" i="13"/>
  <c r="L840" i="13"/>
  <c r="M840" i="13"/>
  <c r="N840" i="13"/>
  <c r="A841" i="13"/>
  <c r="B841" i="13"/>
  <c r="C841" i="13"/>
  <c r="D841" i="13"/>
  <c r="E841" i="13"/>
  <c r="F841" i="13"/>
  <c r="G841" i="13"/>
  <c r="H841" i="13"/>
  <c r="I841" i="13"/>
  <c r="J841" i="13"/>
  <c r="K841" i="13"/>
  <c r="L841" i="13"/>
  <c r="M841" i="13"/>
  <c r="N841" i="13"/>
  <c r="A842" i="13"/>
  <c r="B842" i="13"/>
  <c r="C842" i="13"/>
  <c r="D842" i="13"/>
  <c r="E842" i="13"/>
  <c r="F842" i="13"/>
  <c r="G842" i="13"/>
  <c r="H842" i="13"/>
  <c r="I842" i="13"/>
  <c r="J842" i="13"/>
  <c r="K842" i="13"/>
  <c r="L842" i="13"/>
  <c r="M842" i="13"/>
  <c r="N842" i="13"/>
  <c r="A843" i="13"/>
  <c r="B843" i="13"/>
  <c r="C843" i="13"/>
  <c r="D843" i="13"/>
  <c r="E843" i="13"/>
  <c r="F843" i="13"/>
  <c r="G843" i="13"/>
  <c r="H843" i="13"/>
  <c r="I843" i="13"/>
  <c r="J843" i="13"/>
  <c r="K843" i="13"/>
  <c r="L843" i="13"/>
  <c r="M843" i="13"/>
  <c r="N843" i="13"/>
  <c r="A844" i="13"/>
  <c r="B844" i="13"/>
  <c r="C844" i="13"/>
  <c r="D844" i="13"/>
  <c r="E844" i="13"/>
  <c r="F844" i="13"/>
  <c r="G844" i="13"/>
  <c r="H844" i="13"/>
  <c r="I844" i="13"/>
  <c r="J844" i="13"/>
  <c r="K844" i="13"/>
  <c r="L844" i="13"/>
  <c r="M844" i="13"/>
  <c r="N844" i="13"/>
  <c r="A845" i="13"/>
  <c r="B845" i="13"/>
  <c r="C845" i="13"/>
  <c r="D845" i="13"/>
  <c r="E845" i="13"/>
  <c r="F845" i="13"/>
  <c r="G845" i="13"/>
  <c r="H845" i="13"/>
  <c r="I845" i="13"/>
  <c r="J845" i="13"/>
  <c r="K845" i="13"/>
  <c r="L845" i="13"/>
  <c r="M845" i="13"/>
  <c r="N845" i="13"/>
  <c r="A846" i="13"/>
  <c r="B846" i="13"/>
  <c r="C846" i="13"/>
  <c r="D846" i="13"/>
  <c r="E846" i="13"/>
  <c r="F846" i="13"/>
  <c r="G846" i="13"/>
  <c r="H846" i="13"/>
  <c r="I846" i="13"/>
  <c r="J846" i="13"/>
  <c r="K846" i="13"/>
  <c r="L846" i="13"/>
  <c r="M846" i="13"/>
  <c r="N846" i="13"/>
  <c r="A847" i="13"/>
  <c r="B847" i="13"/>
  <c r="C847" i="13"/>
  <c r="D847" i="13"/>
  <c r="E847" i="13"/>
  <c r="F847" i="13"/>
  <c r="G847" i="13"/>
  <c r="H847" i="13"/>
  <c r="I847" i="13"/>
  <c r="J847" i="13"/>
  <c r="K847" i="13"/>
  <c r="L847" i="13"/>
  <c r="M847" i="13"/>
  <c r="N847" i="13"/>
  <c r="A848" i="13"/>
  <c r="B848" i="13"/>
  <c r="C848" i="13"/>
  <c r="D848" i="13"/>
  <c r="E848" i="13"/>
  <c r="F848" i="13"/>
  <c r="G848" i="13"/>
  <c r="H848" i="13"/>
  <c r="I848" i="13"/>
  <c r="J848" i="13"/>
  <c r="K848" i="13"/>
  <c r="L848" i="13"/>
  <c r="M848" i="13"/>
  <c r="N848" i="13"/>
  <c r="A849" i="13"/>
  <c r="B849" i="13"/>
  <c r="C849" i="13"/>
  <c r="D849" i="13"/>
  <c r="E849" i="13"/>
  <c r="F849" i="13"/>
  <c r="G849" i="13"/>
  <c r="H849" i="13"/>
  <c r="I849" i="13"/>
  <c r="J849" i="13"/>
  <c r="K849" i="13"/>
  <c r="L849" i="13"/>
  <c r="M849" i="13"/>
  <c r="N849" i="13"/>
  <c r="A850" i="13"/>
  <c r="B850" i="13"/>
  <c r="C850" i="13"/>
  <c r="D850" i="13"/>
  <c r="E850" i="13"/>
  <c r="F850" i="13"/>
  <c r="G850" i="13"/>
  <c r="H850" i="13"/>
  <c r="I850" i="13"/>
  <c r="J850" i="13"/>
  <c r="K850" i="13"/>
  <c r="L850" i="13"/>
  <c r="M850" i="13"/>
  <c r="N850" i="13"/>
  <c r="A851" i="13"/>
  <c r="B851" i="13"/>
  <c r="C851" i="13"/>
  <c r="D851" i="13"/>
  <c r="E851" i="13"/>
  <c r="F851" i="13"/>
  <c r="G851" i="13"/>
  <c r="H851" i="13"/>
  <c r="I851" i="13"/>
  <c r="J851" i="13"/>
  <c r="K851" i="13"/>
  <c r="L851" i="13"/>
  <c r="M851" i="13"/>
  <c r="N851" i="13"/>
  <c r="O826" i="13"/>
  <c r="O827" i="13"/>
  <c r="O828" i="13"/>
  <c r="O829" i="13"/>
  <c r="O830" i="13"/>
  <c r="O831" i="13"/>
  <c r="O832" i="13"/>
  <c r="O833" i="13"/>
  <c r="O834" i="13"/>
  <c r="O835" i="13"/>
  <c r="O825" i="13"/>
  <c r="A825" i="13"/>
  <c r="B825" i="13"/>
  <c r="C825" i="13"/>
  <c r="D825" i="13"/>
  <c r="E825" i="13"/>
  <c r="F825" i="13"/>
  <c r="G825" i="13"/>
  <c r="H825" i="13"/>
  <c r="I825" i="13"/>
  <c r="J825" i="13"/>
  <c r="K825" i="13"/>
  <c r="L825" i="13"/>
  <c r="M825" i="13"/>
  <c r="N825" i="13"/>
  <c r="A826" i="13"/>
  <c r="B826" i="13"/>
  <c r="C826" i="13"/>
  <c r="D826" i="13"/>
  <c r="E826" i="13"/>
  <c r="F826" i="13"/>
  <c r="G826" i="13"/>
  <c r="H826" i="13"/>
  <c r="I826" i="13"/>
  <c r="J826" i="13"/>
  <c r="K826" i="13"/>
  <c r="L826" i="13"/>
  <c r="M826" i="13"/>
  <c r="N826" i="13"/>
  <c r="A827" i="13"/>
  <c r="B827" i="13"/>
  <c r="C827" i="13"/>
  <c r="D827" i="13"/>
  <c r="E827" i="13"/>
  <c r="F827" i="13"/>
  <c r="G827" i="13"/>
  <c r="H827" i="13"/>
  <c r="I827" i="13"/>
  <c r="J827" i="13"/>
  <c r="K827" i="13"/>
  <c r="L827" i="13"/>
  <c r="M827" i="13"/>
  <c r="N827" i="13"/>
  <c r="A828" i="13"/>
  <c r="B828" i="13"/>
  <c r="C828" i="13"/>
  <c r="D828" i="13"/>
  <c r="E828" i="13"/>
  <c r="F828" i="13"/>
  <c r="G828" i="13"/>
  <c r="H828" i="13"/>
  <c r="I828" i="13"/>
  <c r="J828" i="13"/>
  <c r="K828" i="13"/>
  <c r="L828" i="13"/>
  <c r="M828" i="13"/>
  <c r="N828" i="13"/>
  <c r="A829" i="13"/>
  <c r="B829" i="13"/>
  <c r="C829" i="13"/>
  <c r="D829" i="13"/>
  <c r="E829" i="13"/>
  <c r="F829" i="13"/>
  <c r="G829" i="13"/>
  <c r="H829" i="13"/>
  <c r="I829" i="13"/>
  <c r="J829" i="13"/>
  <c r="K829" i="13"/>
  <c r="L829" i="13"/>
  <c r="M829" i="13"/>
  <c r="N829" i="13"/>
  <c r="A830" i="13"/>
  <c r="B830" i="13"/>
  <c r="C830" i="13"/>
  <c r="D830" i="13"/>
  <c r="E830" i="13"/>
  <c r="F830" i="13"/>
  <c r="G830" i="13"/>
  <c r="H830" i="13"/>
  <c r="I830" i="13"/>
  <c r="J830" i="13"/>
  <c r="K830" i="13"/>
  <c r="L830" i="13"/>
  <c r="M830" i="13"/>
  <c r="N830" i="13"/>
  <c r="A831" i="13"/>
  <c r="B831" i="13"/>
  <c r="C831" i="13"/>
  <c r="D831" i="13"/>
  <c r="E831" i="13"/>
  <c r="F831" i="13"/>
  <c r="G831" i="13"/>
  <c r="H831" i="13"/>
  <c r="I831" i="13"/>
  <c r="J831" i="13"/>
  <c r="K831" i="13"/>
  <c r="L831" i="13"/>
  <c r="M831" i="13"/>
  <c r="N831" i="13"/>
  <c r="A832" i="13"/>
  <c r="B832" i="13"/>
  <c r="C832" i="13"/>
  <c r="D832" i="13"/>
  <c r="E832" i="13"/>
  <c r="F832" i="13"/>
  <c r="G832" i="13"/>
  <c r="H832" i="13"/>
  <c r="I832" i="13"/>
  <c r="J832" i="13"/>
  <c r="K832" i="13"/>
  <c r="L832" i="13"/>
  <c r="M832" i="13"/>
  <c r="N832" i="13"/>
  <c r="A833" i="13"/>
  <c r="B833" i="13"/>
  <c r="C833" i="13"/>
  <c r="D833" i="13"/>
  <c r="E833" i="13"/>
  <c r="F833" i="13"/>
  <c r="G833" i="13"/>
  <c r="H833" i="13"/>
  <c r="I833" i="13"/>
  <c r="J833" i="13"/>
  <c r="K833" i="13"/>
  <c r="L833" i="13"/>
  <c r="M833" i="13"/>
  <c r="N833" i="13"/>
  <c r="A834" i="13"/>
  <c r="B834" i="13"/>
  <c r="C834" i="13"/>
  <c r="D834" i="13"/>
  <c r="E834" i="13"/>
  <c r="F834" i="13"/>
  <c r="G834" i="13"/>
  <c r="H834" i="13"/>
  <c r="I834" i="13"/>
  <c r="J834" i="13"/>
  <c r="K834" i="13"/>
  <c r="L834" i="13"/>
  <c r="M834" i="13"/>
  <c r="N834" i="13"/>
  <c r="A835" i="13"/>
  <c r="B835" i="13"/>
  <c r="C835" i="13"/>
  <c r="D835" i="13"/>
  <c r="E835" i="13"/>
  <c r="F835" i="13"/>
  <c r="G835" i="13"/>
  <c r="H835" i="13"/>
  <c r="I835" i="13"/>
  <c r="J835" i="13"/>
  <c r="K835" i="13"/>
  <c r="L835" i="13"/>
  <c r="M835" i="13"/>
  <c r="N835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07" i="13"/>
  <c r="A807" i="13"/>
  <c r="B807" i="13"/>
  <c r="C807" i="13"/>
  <c r="D807" i="13"/>
  <c r="E807" i="13"/>
  <c r="F807" i="13"/>
  <c r="G807" i="13"/>
  <c r="H807" i="13"/>
  <c r="I807" i="13"/>
  <c r="J807" i="13"/>
  <c r="K807" i="13"/>
  <c r="L807" i="13"/>
  <c r="M807" i="13"/>
  <c r="N807" i="13"/>
  <c r="A808" i="13"/>
  <c r="B808" i="13"/>
  <c r="C808" i="13"/>
  <c r="D808" i="13"/>
  <c r="E808" i="13"/>
  <c r="F808" i="13"/>
  <c r="G808" i="13"/>
  <c r="H808" i="13"/>
  <c r="I808" i="13"/>
  <c r="J808" i="13"/>
  <c r="K808" i="13"/>
  <c r="L808" i="13"/>
  <c r="M808" i="13"/>
  <c r="N808" i="13"/>
  <c r="A809" i="13"/>
  <c r="B809" i="13"/>
  <c r="C809" i="13"/>
  <c r="D809" i="13"/>
  <c r="E809" i="13"/>
  <c r="F809" i="13"/>
  <c r="G809" i="13"/>
  <c r="H809" i="13"/>
  <c r="I809" i="13"/>
  <c r="J809" i="13"/>
  <c r="K809" i="13"/>
  <c r="L809" i="13"/>
  <c r="M809" i="13"/>
  <c r="N809" i="13"/>
  <c r="A810" i="13"/>
  <c r="B810" i="13"/>
  <c r="C810" i="13"/>
  <c r="D810" i="13"/>
  <c r="E810" i="13"/>
  <c r="F810" i="13"/>
  <c r="G810" i="13"/>
  <c r="H810" i="13"/>
  <c r="I810" i="13"/>
  <c r="J810" i="13"/>
  <c r="K810" i="13"/>
  <c r="L810" i="13"/>
  <c r="M810" i="13"/>
  <c r="N810" i="13"/>
  <c r="A811" i="13"/>
  <c r="B811" i="13"/>
  <c r="C811" i="13"/>
  <c r="D811" i="13"/>
  <c r="E811" i="13"/>
  <c r="F811" i="13"/>
  <c r="G811" i="13"/>
  <c r="H811" i="13"/>
  <c r="I811" i="13"/>
  <c r="J811" i="13"/>
  <c r="K811" i="13"/>
  <c r="L811" i="13"/>
  <c r="M811" i="13"/>
  <c r="N811" i="13"/>
  <c r="A812" i="13"/>
  <c r="B812" i="13"/>
  <c r="C812" i="13"/>
  <c r="D812" i="13"/>
  <c r="E812" i="13"/>
  <c r="F812" i="13"/>
  <c r="G812" i="13"/>
  <c r="H812" i="13"/>
  <c r="I812" i="13"/>
  <c r="J812" i="13"/>
  <c r="K812" i="13"/>
  <c r="L812" i="13"/>
  <c r="M812" i="13"/>
  <c r="N812" i="13"/>
  <c r="A813" i="13"/>
  <c r="B813" i="13"/>
  <c r="C813" i="13"/>
  <c r="D813" i="13"/>
  <c r="E813" i="13"/>
  <c r="F813" i="13"/>
  <c r="G813" i="13"/>
  <c r="H813" i="13"/>
  <c r="I813" i="13"/>
  <c r="J813" i="13"/>
  <c r="K813" i="13"/>
  <c r="L813" i="13"/>
  <c r="M813" i="13"/>
  <c r="N813" i="13"/>
  <c r="A814" i="13"/>
  <c r="B814" i="13"/>
  <c r="C814" i="13"/>
  <c r="D814" i="13"/>
  <c r="E814" i="13"/>
  <c r="F814" i="13"/>
  <c r="G814" i="13"/>
  <c r="H814" i="13"/>
  <c r="I814" i="13"/>
  <c r="J814" i="13"/>
  <c r="K814" i="13"/>
  <c r="L814" i="13"/>
  <c r="M814" i="13"/>
  <c r="N814" i="13"/>
  <c r="A815" i="13"/>
  <c r="B815" i="13"/>
  <c r="C815" i="13"/>
  <c r="D815" i="13"/>
  <c r="E815" i="13"/>
  <c r="F815" i="13"/>
  <c r="G815" i="13"/>
  <c r="H815" i="13"/>
  <c r="I815" i="13"/>
  <c r="J815" i="13"/>
  <c r="K815" i="13"/>
  <c r="L815" i="13"/>
  <c r="M815" i="13"/>
  <c r="N815" i="13"/>
  <c r="A816" i="13"/>
  <c r="B816" i="13"/>
  <c r="C816" i="13"/>
  <c r="D816" i="13"/>
  <c r="E816" i="13"/>
  <c r="F816" i="13"/>
  <c r="G816" i="13"/>
  <c r="H816" i="13"/>
  <c r="I816" i="13"/>
  <c r="J816" i="13"/>
  <c r="K816" i="13"/>
  <c r="L816" i="13"/>
  <c r="M816" i="13"/>
  <c r="N816" i="13"/>
  <c r="A817" i="13"/>
  <c r="B817" i="13"/>
  <c r="C817" i="13"/>
  <c r="D817" i="13"/>
  <c r="E817" i="13"/>
  <c r="F817" i="13"/>
  <c r="G817" i="13"/>
  <c r="H817" i="13"/>
  <c r="I817" i="13"/>
  <c r="J817" i="13"/>
  <c r="K817" i="13"/>
  <c r="L817" i="13"/>
  <c r="M817" i="13"/>
  <c r="N817" i="13"/>
  <c r="A818" i="13"/>
  <c r="B818" i="13"/>
  <c r="C818" i="13"/>
  <c r="D818" i="13"/>
  <c r="E818" i="13"/>
  <c r="F818" i="13"/>
  <c r="G818" i="13"/>
  <c r="H818" i="13"/>
  <c r="I818" i="13"/>
  <c r="J818" i="13"/>
  <c r="K818" i="13"/>
  <c r="L818" i="13"/>
  <c r="M818" i="13"/>
  <c r="N818" i="13"/>
  <c r="A819" i="13"/>
  <c r="B819" i="13"/>
  <c r="C819" i="13"/>
  <c r="D819" i="13"/>
  <c r="E819" i="13"/>
  <c r="F819" i="13"/>
  <c r="G819" i="13"/>
  <c r="H819" i="13"/>
  <c r="I819" i="13"/>
  <c r="J819" i="13"/>
  <c r="K819" i="13"/>
  <c r="L819" i="13"/>
  <c r="M819" i="13"/>
  <c r="N819" i="13"/>
  <c r="A820" i="13"/>
  <c r="B820" i="13"/>
  <c r="C820" i="13"/>
  <c r="D820" i="13"/>
  <c r="E820" i="13"/>
  <c r="F820" i="13"/>
  <c r="G820" i="13"/>
  <c r="H820" i="13"/>
  <c r="I820" i="13"/>
  <c r="J820" i="13"/>
  <c r="K820" i="13"/>
  <c r="L820" i="13"/>
  <c r="M820" i="13"/>
  <c r="N820" i="13"/>
  <c r="A821" i="13"/>
  <c r="B821" i="13"/>
  <c r="C821" i="13"/>
  <c r="D821" i="13"/>
  <c r="E821" i="13"/>
  <c r="F821" i="13"/>
  <c r="G821" i="13"/>
  <c r="H821" i="13"/>
  <c r="I821" i="13"/>
  <c r="J821" i="13"/>
  <c r="K821" i="13"/>
  <c r="L821" i="13"/>
  <c r="M821" i="13"/>
  <c r="N821" i="13"/>
  <c r="A822" i="13"/>
  <c r="B822" i="13"/>
  <c r="C822" i="13"/>
  <c r="D822" i="13"/>
  <c r="E822" i="13"/>
  <c r="F822" i="13"/>
  <c r="G822" i="13"/>
  <c r="H822" i="13"/>
  <c r="I822" i="13"/>
  <c r="J822" i="13"/>
  <c r="K822" i="13"/>
  <c r="L822" i="13"/>
  <c r="M822" i="13"/>
  <c r="N822" i="13"/>
  <c r="A823" i="13"/>
  <c r="B823" i="13"/>
  <c r="C823" i="13"/>
  <c r="D823" i="13"/>
  <c r="E823" i="13"/>
  <c r="F823" i="13"/>
  <c r="G823" i="13"/>
  <c r="H823" i="13"/>
  <c r="I823" i="13"/>
  <c r="J823" i="13"/>
  <c r="K823" i="13"/>
  <c r="L823" i="13"/>
  <c r="M823" i="13"/>
  <c r="N823" i="13"/>
  <c r="A824" i="13"/>
  <c r="B824" i="13"/>
  <c r="C824" i="13"/>
  <c r="D824" i="13"/>
  <c r="E824" i="13"/>
  <c r="F824" i="13"/>
  <c r="G824" i="13"/>
  <c r="H824" i="13"/>
  <c r="I824" i="13"/>
  <c r="J824" i="13"/>
  <c r="K824" i="13"/>
  <c r="L824" i="13"/>
  <c r="M824" i="13"/>
  <c r="N82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794" i="13"/>
  <c r="A794" i="13"/>
  <c r="B794" i="13"/>
  <c r="C794" i="13"/>
  <c r="D794" i="13"/>
  <c r="E794" i="13"/>
  <c r="F794" i="13"/>
  <c r="G794" i="13"/>
  <c r="H794" i="13"/>
  <c r="I794" i="13"/>
  <c r="J794" i="13"/>
  <c r="K794" i="13"/>
  <c r="L794" i="13"/>
  <c r="M794" i="13"/>
  <c r="N794" i="13"/>
  <c r="A795" i="13"/>
  <c r="B795" i="13"/>
  <c r="C795" i="13"/>
  <c r="D795" i="13"/>
  <c r="E795" i="13"/>
  <c r="F795" i="13"/>
  <c r="G795" i="13"/>
  <c r="H795" i="13"/>
  <c r="I795" i="13"/>
  <c r="J795" i="13"/>
  <c r="K795" i="13"/>
  <c r="L795" i="13"/>
  <c r="M795" i="13"/>
  <c r="N795" i="13"/>
  <c r="A796" i="13"/>
  <c r="B796" i="13"/>
  <c r="C796" i="13"/>
  <c r="D796" i="13"/>
  <c r="E796" i="13"/>
  <c r="F796" i="13"/>
  <c r="G796" i="13"/>
  <c r="H796" i="13"/>
  <c r="I796" i="13"/>
  <c r="J796" i="13"/>
  <c r="K796" i="13"/>
  <c r="L796" i="13"/>
  <c r="M796" i="13"/>
  <c r="N796" i="13"/>
  <c r="A797" i="13"/>
  <c r="B797" i="13"/>
  <c r="C797" i="13"/>
  <c r="D797" i="13"/>
  <c r="E797" i="13"/>
  <c r="F797" i="13"/>
  <c r="G797" i="13"/>
  <c r="H797" i="13"/>
  <c r="I797" i="13"/>
  <c r="J797" i="13"/>
  <c r="K797" i="13"/>
  <c r="L797" i="13"/>
  <c r="M797" i="13"/>
  <c r="N797" i="13"/>
  <c r="A798" i="13"/>
  <c r="B798" i="13"/>
  <c r="C798" i="13"/>
  <c r="D798" i="13"/>
  <c r="E798" i="13"/>
  <c r="F798" i="13"/>
  <c r="G798" i="13"/>
  <c r="H798" i="13"/>
  <c r="I798" i="13"/>
  <c r="J798" i="13"/>
  <c r="K798" i="13"/>
  <c r="L798" i="13"/>
  <c r="M798" i="13"/>
  <c r="N798" i="13"/>
  <c r="A799" i="13"/>
  <c r="B799" i="13"/>
  <c r="C799" i="13"/>
  <c r="D799" i="13"/>
  <c r="E799" i="13"/>
  <c r="F799" i="13"/>
  <c r="G799" i="13"/>
  <c r="H799" i="13"/>
  <c r="I799" i="13"/>
  <c r="J799" i="13"/>
  <c r="K799" i="13"/>
  <c r="L799" i="13"/>
  <c r="M799" i="13"/>
  <c r="N799" i="13"/>
  <c r="A800" i="13"/>
  <c r="B800" i="13"/>
  <c r="C800" i="13"/>
  <c r="D800" i="13"/>
  <c r="E800" i="13"/>
  <c r="F800" i="13"/>
  <c r="G800" i="13"/>
  <c r="H800" i="13"/>
  <c r="I800" i="13"/>
  <c r="J800" i="13"/>
  <c r="K800" i="13"/>
  <c r="L800" i="13"/>
  <c r="M800" i="13"/>
  <c r="N800" i="13"/>
  <c r="A801" i="13"/>
  <c r="B801" i="13"/>
  <c r="C801" i="13"/>
  <c r="D801" i="13"/>
  <c r="E801" i="13"/>
  <c r="F801" i="13"/>
  <c r="G801" i="13"/>
  <c r="H801" i="13"/>
  <c r="I801" i="13"/>
  <c r="J801" i="13"/>
  <c r="K801" i="13"/>
  <c r="L801" i="13"/>
  <c r="M801" i="13"/>
  <c r="N801" i="13"/>
  <c r="A802" i="13"/>
  <c r="B802" i="13"/>
  <c r="C802" i="13"/>
  <c r="D802" i="13"/>
  <c r="E802" i="13"/>
  <c r="F802" i="13"/>
  <c r="G802" i="13"/>
  <c r="H802" i="13"/>
  <c r="I802" i="13"/>
  <c r="J802" i="13"/>
  <c r="K802" i="13"/>
  <c r="L802" i="13"/>
  <c r="M802" i="13"/>
  <c r="N802" i="13"/>
  <c r="A803" i="13"/>
  <c r="B803" i="13"/>
  <c r="C803" i="13"/>
  <c r="D803" i="13"/>
  <c r="E803" i="13"/>
  <c r="F803" i="13"/>
  <c r="G803" i="13"/>
  <c r="H803" i="13"/>
  <c r="I803" i="13"/>
  <c r="J803" i="13"/>
  <c r="K803" i="13"/>
  <c r="L803" i="13"/>
  <c r="M803" i="13"/>
  <c r="N803" i="13"/>
  <c r="A804" i="13"/>
  <c r="B804" i="13"/>
  <c r="C804" i="13"/>
  <c r="D804" i="13"/>
  <c r="E804" i="13"/>
  <c r="F804" i="13"/>
  <c r="G804" i="13"/>
  <c r="H804" i="13"/>
  <c r="I804" i="13"/>
  <c r="J804" i="13"/>
  <c r="K804" i="13"/>
  <c r="L804" i="13"/>
  <c r="M804" i="13"/>
  <c r="N804" i="13"/>
  <c r="A805" i="13"/>
  <c r="B805" i="13"/>
  <c r="C805" i="13"/>
  <c r="D805" i="13"/>
  <c r="E805" i="13"/>
  <c r="F805" i="13"/>
  <c r="G805" i="13"/>
  <c r="H805" i="13"/>
  <c r="I805" i="13"/>
  <c r="J805" i="13"/>
  <c r="K805" i="13"/>
  <c r="L805" i="13"/>
  <c r="M805" i="13"/>
  <c r="N805" i="13"/>
  <c r="A806" i="13"/>
  <c r="B806" i="13"/>
  <c r="C806" i="13"/>
  <c r="D806" i="13"/>
  <c r="E806" i="13"/>
  <c r="F806" i="13"/>
  <c r="G806" i="13"/>
  <c r="H806" i="13"/>
  <c r="I806" i="13"/>
  <c r="J806" i="13"/>
  <c r="K806" i="13"/>
  <c r="L806" i="13"/>
  <c r="M806" i="13"/>
  <c r="N806" i="13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76" i="13"/>
  <c r="A776" i="13"/>
  <c r="B776" i="13"/>
  <c r="C776" i="13"/>
  <c r="D776" i="13"/>
  <c r="E776" i="13"/>
  <c r="F776" i="13"/>
  <c r="G776" i="13"/>
  <c r="H776" i="13"/>
  <c r="I776" i="13"/>
  <c r="J776" i="13"/>
  <c r="K776" i="13"/>
  <c r="L776" i="13"/>
  <c r="M776" i="13"/>
  <c r="N776" i="13"/>
  <c r="A777" i="13"/>
  <c r="B777" i="13"/>
  <c r="C777" i="13"/>
  <c r="D777" i="13"/>
  <c r="E777" i="13"/>
  <c r="F777" i="13"/>
  <c r="G777" i="13"/>
  <c r="H777" i="13"/>
  <c r="I777" i="13"/>
  <c r="J777" i="13"/>
  <c r="K777" i="13"/>
  <c r="L777" i="13"/>
  <c r="M777" i="13"/>
  <c r="N777" i="13"/>
  <c r="A778" i="13"/>
  <c r="B778" i="13"/>
  <c r="C778" i="13"/>
  <c r="D778" i="13"/>
  <c r="E778" i="13"/>
  <c r="F778" i="13"/>
  <c r="G778" i="13"/>
  <c r="H778" i="13"/>
  <c r="I778" i="13"/>
  <c r="J778" i="13"/>
  <c r="K778" i="13"/>
  <c r="L778" i="13"/>
  <c r="M778" i="13"/>
  <c r="N778" i="13"/>
  <c r="A779" i="13"/>
  <c r="B779" i="13"/>
  <c r="C779" i="13"/>
  <c r="D779" i="13"/>
  <c r="E779" i="13"/>
  <c r="F779" i="13"/>
  <c r="G779" i="13"/>
  <c r="H779" i="13"/>
  <c r="I779" i="13"/>
  <c r="J779" i="13"/>
  <c r="K779" i="13"/>
  <c r="L779" i="13"/>
  <c r="M779" i="13"/>
  <c r="N779" i="13"/>
  <c r="A780" i="13"/>
  <c r="B780" i="13"/>
  <c r="C780" i="13"/>
  <c r="D780" i="13"/>
  <c r="E780" i="13"/>
  <c r="F780" i="13"/>
  <c r="G780" i="13"/>
  <c r="H780" i="13"/>
  <c r="I780" i="13"/>
  <c r="J780" i="13"/>
  <c r="K780" i="13"/>
  <c r="L780" i="13"/>
  <c r="M780" i="13"/>
  <c r="N780" i="13"/>
  <c r="A781" i="13"/>
  <c r="B781" i="13"/>
  <c r="C781" i="13"/>
  <c r="D781" i="13"/>
  <c r="E781" i="13"/>
  <c r="F781" i="13"/>
  <c r="G781" i="13"/>
  <c r="H781" i="13"/>
  <c r="I781" i="13"/>
  <c r="J781" i="13"/>
  <c r="K781" i="13"/>
  <c r="L781" i="13"/>
  <c r="M781" i="13"/>
  <c r="N781" i="13"/>
  <c r="A782" i="13"/>
  <c r="B782" i="13"/>
  <c r="C782" i="13"/>
  <c r="D782" i="13"/>
  <c r="E782" i="13"/>
  <c r="F782" i="13"/>
  <c r="G782" i="13"/>
  <c r="H782" i="13"/>
  <c r="I782" i="13"/>
  <c r="J782" i="13"/>
  <c r="K782" i="13"/>
  <c r="L782" i="13"/>
  <c r="M782" i="13"/>
  <c r="N782" i="13"/>
  <c r="A783" i="13"/>
  <c r="B783" i="13"/>
  <c r="C783" i="13"/>
  <c r="D783" i="13"/>
  <c r="E783" i="13"/>
  <c r="F783" i="13"/>
  <c r="G783" i="13"/>
  <c r="H783" i="13"/>
  <c r="I783" i="13"/>
  <c r="J783" i="13"/>
  <c r="K783" i="13"/>
  <c r="L783" i="13"/>
  <c r="M783" i="13"/>
  <c r="N783" i="13"/>
  <c r="A784" i="13"/>
  <c r="B784" i="13"/>
  <c r="C784" i="13"/>
  <c r="D784" i="13"/>
  <c r="E784" i="13"/>
  <c r="F784" i="13"/>
  <c r="G784" i="13"/>
  <c r="H784" i="13"/>
  <c r="I784" i="13"/>
  <c r="J784" i="13"/>
  <c r="K784" i="13"/>
  <c r="L784" i="13"/>
  <c r="M784" i="13"/>
  <c r="N784" i="13"/>
  <c r="A785" i="13"/>
  <c r="B785" i="13"/>
  <c r="C785" i="13"/>
  <c r="D785" i="13"/>
  <c r="E785" i="13"/>
  <c r="F785" i="13"/>
  <c r="G785" i="13"/>
  <c r="H785" i="13"/>
  <c r="I785" i="13"/>
  <c r="J785" i="13"/>
  <c r="K785" i="13"/>
  <c r="L785" i="13"/>
  <c r="M785" i="13"/>
  <c r="N785" i="13"/>
  <c r="A786" i="13"/>
  <c r="B786" i="13"/>
  <c r="C786" i="13"/>
  <c r="D786" i="13"/>
  <c r="E786" i="13"/>
  <c r="F786" i="13"/>
  <c r="G786" i="13"/>
  <c r="H786" i="13"/>
  <c r="I786" i="13"/>
  <c r="J786" i="13"/>
  <c r="K786" i="13"/>
  <c r="L786" i="13"/>
  <c r="M786" i="13"/>
  <c r="N786" i="13"/>
  <c r="A787" i="13"/>
  <c r="B787" i="13"/>
  <c r="C787" i="13"/>
  <c r="D787" i="13"/>
  <c r="E787" i="13"/>
  <c r="F787" i="13"/>
  <c r="G787" i="13"/>
  <c r="H787" i="13"/>
  <c r="I787" i="13"/>
  <c r="J787" i="13"/>
  <c r="K787" i="13"/>
  <c r="L787" i="13"/>
  <c r="M787" i="13"/>
  <c r="N787" i="13"/>
  <c r="A788" i="13"/>
  <c r="B788" i="13"/>
  <c r="C788" i="13"/>
  <c r="D788" i="13"/>
  <c r="E788" i="13"/>
  <c r="F788" i="13"/>
  <c r="G788" i="13"/>
  <c r="H788" i="13"/>
  <c r="I788" i="13"/>
  <c r="J788" i="13"/>
  <c r="K788" i="13"/>
  <c r="L788" i="13"/>
  <c r="M788" i="13"/>
  <c r="N788" i="13"/>
  <c r="A789" i="13"/>
  <c r="B789" i="13"/>
  <c r="C789" i="13"/>
  <c r="D789" i="13"/>
  <c r="E789" i="13"/>
  <c r="F789" i="13"/>
  <c r="G789" i="13"/>
  <c r="H789" i="13"/>
  <c r="I789" i="13"/>
  <c r="J789" i="13"/>
  <c r="K789" i="13"/>
  <c r="L789" i="13"/>
  <c r="M789" i="13"/>
  <c r="N789" i="13"/>
  <c r="A790" i="13"/>
  <c r="B790" i="13"/>
  <c r="C790" i="13"/>
  <c r="D790" i="13"/>
  <c r="E790" i="13"/>
  <c r="F790" i="13"/>
  <c r="G790" i="13"/>
  <c r="H790" i="13"/>
  <c r="I790" i="13"/>
  <c r="J790" i="13"/>
  <c r="K790" i="13"/>
  <c r="L790" i="13"/>
  <c r="M790" i="13"/>
  <c r="N790" i="13"/>
  <c r="A791" i="13"/>
  <c r="B791" i="13"/>
  <c r="C791" i="13"/>
  <c r="D791" i="13"/>
  <c r="E791" i="13"/>
  <c r="F791" i="13"/>
  <c r="G791" i="13"/>
  <c r="H791" i="13"/>
  <c r="I791" i="13"/>
  <c r="J791" i="13"/>
  <c r="K791" i="13"/>
  <c r="L791" i="13"/>
  <c r="M791" i="13"/>
  <c r="N791" i="13"/>
  <c r="A792" i="13"/>
  <c r="B792" i="13"/>
  <c r="C792" i="13"/>
  <c r="D792" i="13"/>
  <c r="E792" i="13"/>
  <c r="F792" i="13"/>
  <c r="G792" i="13"/>
  <c r="H792" i="13"/>
  <c r="I792" i="13"/>
  <c r="J792" i="13"/>
  <c r="K792" i="13"/>
  <c r="L792" i="13"/>
  <c r="M792" i="13"/>
  <c r="N792" i="13"/>
  <c r="A793" i="13"/>
  <c r="B793" i="13"/>
  <c r="C793" i="13"/>
  <c r="D793" i="13"/>
  <c r="E793" i="13"/>
  <c r="F793" i="13"/>
  <c r="G793" i="13"/>
  <c r="H793" i="13"/>
  <c r="I793" i="13"/>
  <c r="J793" i="13"/>
  <c r="K793" i="13"/>
  <c r="L793" i="13"/>
  <c r="M793" i="13"/>
  <c r="N793" i="13"/>
  <c r="O765" i="13"/>
  <c r="O766" i="13"/>
  <c r="O767" i="13"/>
  <c r="O768" i="13"/>
  <c r="O769" i="13"/>
  <c r="O770" i="13"/>
  <c r="O771" i="13"/>
  <c r="O772" i="13"/>
  <c r="O773" i="13"/>
  <c r="O774" i="13"/>
  <c r="O775" i="13"/>
  <c r="O764" i="13"/>
  <c r="A764" i="13"/>
  <c r="B764" i="13"/>
  <c r="C764" i="13"/>
  <c r="D764" i="13"/>
  <c r="E764" i="13"/>
  <c r="F764" i="13"/>
  <c r="G764" i="13"/>
  <c r="H764" i="13"/>
  <c r="I764" i="13"/>
  <c r="J764" i="13"/>
  <c r="K764" i="13"/>
  <c r="L764" i="13"/>
  <c r="M764" i="13"/>
  <c r="N764" i="13"/>
  <c r="A765" i="13"/>
  <c r="B765" i="13"/>
  <c r="C765" i="13"/>
  <c r="D765" i="13"/>
  <c r="E765" i="13"/>
  <c r="F765" i="13"/>
  <c r="G765" i="13"/>
  <c r="H765" i="13"/>
  <c r="I765" i="13"/>
  <c r="J765" i="13"/>
  <c r="K765" i="13"/>
  <c r="L765" i="13"/>
  <c r="M765" i="13"/>
  <c r="N765" i="13"/>
  <c r="A766" i="13"/>
  <c r="B766" i="13"/>
  <c r="C766" i="13"/>
  <c r="D766" i="13"/>
  <c r="E766" i="13"/>
  <c r="F766" i="13"/>
  <c r="G766" i="13"/>
  <c r="H766" i="13"/>
  <c r="I766" i="13"/>
  <c r="J766" i="13"/>
  <c r="K766" i="13"/>
  <c r="L766" i="13"/>
  <c r="M766" i="13"/>
  <c r="N766" i="13"/>
  <c r="A767" i="13"/>
  <c r="B767" i="13"/>
  <c r="C767" i="13"/>
  <c r="D767" i="13"/>
  <c r="E767" i="13"/>
  <c r="F767" i="13"/>
  <c r="G767" i="13"/>
  <c r="H767" i="13"/>
  <c r="I767" i="13"/>
  <c r="J767" i="13"/>
  <c r="K767" i="13"/>
  <c r="L767" i="13"/>
  <c r="M767" i="13"/>
  <c r="N767" i="13"/>
  <c r="A768" i="13"/>
  <c r="B768" i="13"/>
  <c r="C768" i="13"/>
  <c r="D768" i="13"/>
  <c r="E768" i="13"/>
  <c r="F768" i="13"/>
  <c r="G768" i="13"/>
  <c r="H768" i="13"/>
  <c r="I768" i="13"/>
  <c r="J768" i="13"/>
  <c r="K768" i="13"/>
  <c r="L768" i="13"/>
  <c r="M768" i="13"/>
  <c r="N768" i="13"/>
  <c r="A769" i="13"/>
  <c r="B769" i="13"/>
  <c r="C769" i="13"/>
  <c r="D769" i="13"/>
  <c r="E769" i="13"/>
  <c r="F769" i="13"/>
  <c r="G769" i="13"/>
  <c r="H769" i="13"/>
  <c r="I769" i="13"/>
  <c r="J769" i="13"/>
  <c r="K769" i="13"/>
  <c r="L769" i="13"/>
  <c r="M769" i="13"/>
  <c r="N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M770" i="13"/>
  <c r="N770" i="13"/>
  <c r="A771" i="13"/>
  <c r="B771" i="13"/>
  <c r="C771" i="13"/>
  <c r="D771" i="13"/>
  <c r="E771" i="13"/>
  <c r="F771" i="13"/>
  <c r="G771" i="13"/>
  <c r="H771" i="13"/>
  <c r="I771" i="13"/>
  <c r="J771" i="13"/>
  <c r="K771" i="13"/>
  <c r="L771" i="13"/>
  <c r="M771" i="13"/>
  <c r="N771" i="13"/>
  <c r="A772" i="13"/>
  <c r="B772" i="13"/>
  <c r="C772" i="13"/>
  <c r="D772" i="13"/>
  <c r="E772" i="13"/>
  <c r="F772" i="13"/>
  <c r="G772" i="13"/>
  <c r="H772" i="13"/>
  <c r="I772" i="13"/>
  <c r="J772" i="13"/>
  <c r="K772" i="13"/>
  <c r="L772" i="13"/>
  <c r="M772" i="13"/>
  <c r="N772" i="13"/>
  <c r="A773" i="13"/>
  <c r="B773" i="13"/>
  <c r="C773" i="13"/>
  <c r="D773" i="13"/>
  <c r="E773" i="13"/>
  <c r="F773" i="13"/>
  <c r="G773" i="13"/>
  <c r="H773" i="13"/>
  <c r="I773" i="13"/>
  <c r="J773" i="13"/>
  <c r="K773" i="13"/>
  <c r="L773" i="13"/>
  <c r="M773" i="13"/>
  <c r="N773" i="13"/>
  <c r="A774" i="13"/>
  <c r="B774" i="13"/>
  <c r="C774" i="13"/>
  <c r="D774" i="13"/>
  <c r="E774" i="13"/>
  <c r="F774" i="13"/>
  <c r="G774" i="13"/>
  <c r="H774" i="13"/>
  <c r="I774" i="13"/>
  <c r="J774" i="13"/>
  <c r="K774" i="13"/>
  <c r="L774" i="13"/>
  <c r="M774" i="13"/>
  <c r="N774" i="13"/>
  <c r="A775" i="13"/>
  <c r="B775" i="13"/>
  <c r="C775" i="13"/>
  <c r="D775" i="13"/>
  <c r="E775" i="13"/>
  <c r="F775" i="13"/>
  <c r="G775" i="13"/>
  <c r="H775" i="13"/>
  <c r="I775" i="13"/>
  <c r="J775" i="13"/>
  <c r="K775" i="13"/>
  <c r="L775" i="13"/>
  <c r="M775" i="13"/>
  <c r="N775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O746" i="13"/>
  <c r="A746" i="13"/>
  <c r="B746" i="13"/>
  <c r="C746" i="13"/>
  <c r="D746" i="13"/>
  <c r="E746" i="13"/>
  <c r="F746" i="13"/>
  <c r="G746" i="13"/>
  <c r="H746" i="13"/>
  <c r="I746" i="13"/>
  <c r="J746" i="13"/>
  <c r="K746" i="13"/>
  <c r="L746" i="13"/>
  <c r="M746" i="13"/>
  <c r="N746" i="13"/>
  <c r="A747" i="13"/>
  <c r="B747" i="13"/>
  <c r="C747" i="13"/>
  <c r="D747" i="13"/>
  <c r="E747" i="13"/>
  <c r="F747" i="13"/>
  <c r="G747" i="13"/>
  <c r="H747" i="13"/>
  <c r="I747" i="13"/>
  <c r="J747" i="13"/>
  <c r="K747" i="13"/>
  <c r="L747" i="13"/>
  <c r="M747" i="13"/>
  <c r="N747" i="13"/>
  <c r="A748" i="13"/>
  <c r="B748" i="13"/>
  <c r="C748" i="13"/>
  <c r="D748" i="13"/>
  <c r="E748" i="13"/>
  <c r="F748" i="13"/>
  <c r="G748" i="13"/>
  <c r="H748" i="13"/>
  <c r="I748" i="13"/>
  <c r="J748" i="13"/>
  <c r="K748" i="13"/>
  <c r="L748" i="13"/>
  <c r="M748" i="13"/>
  <c r="N748" i="13"/>
  <c r="A749" i="13"/>
  <c r="B749" i="13"/>
  <c r="C749" i="13"/>
  <c r="D749" i="13"/>
  <c r="E749" i="13"/>
  <c r="F749" i="13"/>
  <c r="G749" i="13"/>
  <c r="H749" i="13"/>
  <c r="I749" i="13"/>
  <c r="J749" i="13"/>
  <c r="K749" i="13"/>
  <c r="L749" i="13"/>
  <c r="M749" i="13"/>
  <c r="N749" i="13"/>
  <c r="A750" i="13"/>
  <c r="B750" i="13"/>
  <c r="C750" i="13"/>
  <c r="D750" i="13"/>
  <c r="E750" i="13"/>
  <c r="F750" i="13"/>
  <c r="G750" i="13"/>
  <c r="H750" i="13"/>
  <c r="I750" i="13"/>
  <c r="J750" i="13"/>
  <c r="K750" i="13"/>
  <c r="L750" i="13"/>
  <c r="M750" i="13"/>
  <c r="N750" i="13"/>
  <c r="A751" i="13"/>
  <c r="B751" i="13"/>
  <c r="C751" i="13"/>
  <c r="D751" i="13"/>
  <c r="E751" i="13"/>
  <c r="F751" i="13"/>
  <c r="G751" i="13"/>
  <c r="H751" i="13"/>
  <c r="I751" i="13"/>
  <c r="J751" i="13"/>
  <c r="K751" i="13"/>
  <c r="L751" i="13"/>
  <c r="M751" i="13"/>
  <c r="N751" i="13"/>
  <c r="A752" i="13"/>
  <c r="B752" i="13"/>
  <c r="C752" i="13"/>
  <c r="D752" i="13"/>
  <c r="E752" i="13"/>
  <c r="F752" i="13"/>
  <c r="G752" i="13"/>
  <c r="H752" i="13"/>
  <c r="I752" i="13"/>
  <c r="J752" i="13"/>
  <c r="K752" i="13"/>
  <c r="L752" i="13"/>
  <c r="M752" i="13"/>
  <c r="N752" i="13"/>
  <c r="A753" i="13"/>
  <c r="B753" i="13"/>
  <c r="C753" i="13"/>
  <c r="D753" i="13"/>
  <c r="E753" i="13"/>
  <c r="F753" i="13"/>
  <c r="G753" i="13"/>
  <c r="H753" i="13"/>
  <c r="I753" i="13"/>
  <c r="J753" i="13"/>
  <c r="K753" i="13"/>
  <c r="L753" i="13"/>
  <c r="M753" i="13"/>
  <c r="N753" i="13"/>
  <c r="A754" i="13"/>
  <c r="B754" i="13"/>
  <c r="C754" i="13"/>
  <c r="D754" i="13"/>
  <c r="E754" i="13"/>
  <c r="F754" i="13"/>
  <c r="G754" i="13"/>
  <c r="H754" i="13"/>
  <c r="I754" i="13"/>
  <c r="J754" i="13"/>
  <c r="K754" i="13"/>
  <c r="L754" i="13"/>
  <c r="M754" i="13"/>
  <c r="N754" i="13"/>
  <c r="A755" i="13"/>
  <c r="B755" i="13"/>
  <c r="C755" i="13"/>
  <c r="D755" i="13"/>
  <c r="E755" i="13"/>
  <c r="F755" i="13"/>
  <c r="G755" i="13"/>
  <c r="H755" i="13"/>
  <c r="I755" i="13"/>
  <c r="J755" i="13"/>
  <c r="K755" i="13"/>
  <c r="L755" i="13"/>
  <c r="M755" i="13"/>
  <c r="N755" i="13"/>
  <c r="A756" i="13"/>
  <c r="B756" i="13"/>
  <c r="C756" i="13"/>
  <c r="D756" i="13"/>
  <c r="E756" i="13"/>
  <c r="F756" i="13"/>
  <c r="G756" i="13"/>
  <c r="H756" i="13"/>
  <c r="I756" i="13"/>
  <c r="J756" i="13"/>
  <c r="K756" i="13"/>
  <c r="L756" i="13"/>
  <c r="M756" i="13"/>
  <c r="N756" i="13"/>
  <c r="A757" i="13"/>
  <c r="B757" i="13"/>
  <c r="C757" i="13"/>
  <c r="D757" i="13"/>
  <c r="E757" i="13"/>
  <c r="F757" i="13"/>
  <c r="G757" i="13"/>
  <c r="H757" i="13"/>
  <c r="I757" i="13"/>
  <c r="J757" i="13"/>
  <c r="K757" i="13"/>
  <c r="L757" i="13"/>
  <c r="M757" i="13"/>
  <c r="N757" i="13"/>
  <c r="A758" i="13"/>
  <c r="B758" i="13"/>
  <c r="C758" i="13"/>
  <c r="D758" i="13"/>
  <c r="E758" i="13"/>
  <c r="F758" i="13"/>
  <c r="G758" i="13"/>
  <c r="H758" i="13"/>
  <c r="I758" i="13"/>
  <c r="J758" i="13"/>
  <c r="K758" i="13"/>
  <c r="L758" i="13"/>
  <c r="M758" i="13"/>
  <c r="N758" i="13"/>
  <c r="A759" i="13"/>
  <c r="B759" i="13"/>
  <c r="C759" i="13"/>
  <c r="D759" i="13"/>
  <c r="E759" i="13"/>
  <c r="F759" i="13"/>
  <c r="G759" i="13"/>
  <c r="H759" i="13"/>
  <c r="I759" i="13"/>
  <c r="J759" i="13"/>
  <c r="K759" i="13"/>
  <c r="L759" i="13"/>
  <c r="M759" i="13"/>
  <c r="N759" i="13"/>
  <c r="A760" i="13"/>
  <c r="B760" i="13"/>
  <c r="C760" i="13"/>
  <c r="D760" i="13"/>
  <c r="E760" i="13"/>
  <c r="F760" i="13"/>
  <c r="G760" i="13"/>
  <c r="H760" i="13"/>
  <c r="I760" i="13"/>
  <c r="J760" i="13"/>
  <c r="K760" i="13"/>
  <c r="L760" i="13"/>
  <c r="M760" i="13"/>
  <c r="N760" i="13"/>
  <c r="A761" i="13"/>
  <c r="B761" i="13"/>
  <c r="C761" i="13"/>
  <c r="D761" i="13"/>
  <c r="E761" i="13"/>
  <c r="F761" i="13"/>
  <c r="G761" i="13"/>
  <c r="H761" i="13"/>
  <c r="I761" i="13"/>
  <c r="J761" i="13"/>
  <c r="K761" i="13"/>
  <c r="L761" i="13"/>
  <c r="M761" i="13"/>
  <c r="N761" i="13"/>
  <c r="A762" i="13"/>
  <c r="B762" i="13"/>
  <c r="C762" i="13"/>
  <c r="D762" i="13"/>
  <c r="E762" i="13"/>
  <c r="F762" i="13"/>
  <c r="G762" i="13"/>
  <c r="H762" i="13"/>
  <c r="I762" i="13"/>
  <c r="J762" i="13"/>
  <c r="K762" i="13"/>
  <c r="L762" i="13"/>
  <c r="M762" i="13"/>
  <c r="N762" i="13"/>
  <c r="A763" i="13"/>
  <c r="B763" i="13"/>
  <c r="C763" i="13"/>
  <c r="D763" i="13"/>
  <c r="E763" i="13"/>
  <c r="F763" i="13"/>
  <c r="G763" i="13"/>
  <c r="H763" i="13"/>
  <c r="I763" i="13"/>
  <c r="J763" i="13"/>
  <c r="K763" i="13"/>
  <c r="L763" i="13"/>
  <c r="M763" i="13"/>
  <c r="N763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30" i="13"/>
  <c r="A730" i="13"/>
  <c r="B730" i="13"/>
  <c r="C730" i="13"/>
  <c r="D730" i="13"/>
  <c r="E730" i="13"/>
  <c r="F730" i="13"/>
  <c r="G730" i="13"/>
  <c r="H730" i="13"/>
  <c r="I730" i="13"/>
  <c r="J730" i="13"/>
  <c r="K730" i="13"/>
  <c r="L730" i="13"/>
  <c r="M730" i="13"/>
  <c r="N730" i="13"/>
  <c r="A731" i="13"/>
  <c r="B731" i="13"/>
  <c r="C731" i="13"/>
  <c r="D731" i="13"/>
  <c r="E731" i="13"/>
  <c r="F731" i="13"/>
  <c r="G731" i="13"/>
  <c r="H731" i="13"/>
  <c r="I731" i="13"/>
  <c r="J731" i="13"/>
  <c r="K731" i="13"/>
  <c r="L731" i="13"/>
  <c r="M731" i="13"/>
  <c r="N731" i="13"/>
  <c r="A732" i="13"/>
  <c r="B732" i="13"/>
  <c r="C732" i="13"/>
  <c r="D732" i="13"/>
  <c r="E732" i="13"/>
  <c r="F732" i="13"/>
  <c r="G732" i="13"/>
  <c r="H732" i="13"/>
  <c r="I732" i="13"/>
  <c r="J732" i="13"/>
  <c r="K732" i="13"/>
  <c r="L732" i="13"/>
  <c r="M732" i="13"/>
  <c r="N732" i="13"/>
  <c r="A733" i="13"/>
  <c r="B733" i="13"/>
  <c r="C733" i="13"/>
  <c r="D733" i="13"/>
  <c r="E733" i="13"/>
  <c r="F733" i="13"/>
  <c r="G733" i="13"/>
  <c r="H733" i="13"/>
  <c r="I733" i="13"/>
  <c r="J733" i="13"/>
  <c r="K733" i="13"/>
  <c r="L733" i="13"/>
  <c r="M733" i="13"/>
  <c r="N733" i="13"/>
  <c r="A734" i="13"/>
  <c r="B734" i="13"/>
  <c r="C734" i="13"/>
  <c r="D734" i="13"/>
  <c r="E734" i="13"/>
  <c r="F734" i="13"/>
  <c r="G734" i="13"/>
  <c r="H734" i="13"/>
  <c r="I734" i="13"/>
  <c r="J734" i="13"/>
  <c r="K734" i="13"/>
  <c r="L734" i="13"/>
  <c r="M734" i="13"/>
  <c r="N734" i="13"/>
  <c r="A735" i="13"/>
  <c r="B735" i="13"/>
  <c r="C735" i="13"/>
  <c r="D735" i="13"/>
  <c r="E735" i="13"/>
  <c r="F735" i="13"/>
  <c r="G735" i="13"/>
  <c r="H735" i="13"/>
  <c r="I735" i="13"/>
  <c r="J735" i="13"/>
  <c r="K735" i="13"/>
  <c r="L735" i="13"/>
  <c r="M735" i="13"/>
  <c r="N735" i="13"/>
  <c r="A736" i="13"/>
  <c r="B736" i="13"/>
  <c r="C736" i="13"/>
  <c r="D736" i="13"/>
  <c r="E736" i="13"/>
  <c r="F736" i="13"/>
  <c r="G736" i="13"/>
  <c r="H736" i="13"/>
  <c r="I736" i="13"/>
  <c r="J736" i="13"/>
  <c r="K736" i="13"/>
  <c r="L736" i="13"/>
  <c r="M736" i="13"/>
  <c r="N736" i="13"/>
  <c r="A737" i="13"/>
  <c r="B737" i="13"/>
  <c r="C737" i="13"/>
  <c r="D737" i="13"/>
  <c r="E737" i="13"/>
  <c r="F737" i="13"/>
  <c r="G737" i="13"/>
  <c r="H737" i="13"/>
  <c r="I737" i="13"/>
  <c r="J737" i="13"/>
  <c r="K737" i="13"/>
  <c r="L737" i="13"/>
  <c r="M737" i="13"/>
  <c r="N737" i="13"/>
  <c r="A738" i="13"/>
  <c r="B738" i="13"/>
  <c r="C738" i="13"/>
  <c r="D738" i="13"/>
  <c r="E738" i="13"/>
  <c r="F738" i="13"/>
  <c r="G738" i="13"/>
  <c r="H738" i="13"/>
  <c r="I738" i="13"/>
  <c r="J738" i="13"/>
  <c r="K738" i="13"/>
  <c r="L738" i="13"/>
  <c r="M738" i="13"/>
  <c r="N738" i="13"/>
  <c r="A739" i="13"/>
  <c r="B739" i="13"/>
  <c r="C739" i="13"/>
  <c r="D739" i="13"/>
  <c r="E739" i="13"/>
  <c r="F739" i="13"/>
  <c r="G739" i="13"/>
  <c r="H739" i="13"/>
  <c r="I739" i="13"/>
  <c r="J739" i="13"/>
  <c r="K739" i="13"/>
  <c r="L739" i="13"/>
  <c r="M739" i="13"/>
  <c r="N739" i="13"/>
  <c r="A740" i="13"/>
  <c r="B740" i="13"/>
  <c r="C740" i="13"/>
  <c r="D740" i="13"/>
  <c r="E740" i="13"/>
  <c r="F740" i="13"/>
  <c r="G740" i="13"/>
  <c r="H740" i="13"/>
  <c r="I740" i="13"/>
  <c r="J740" i="13"/>
  <c r="K740" i="13"/>
  <c r="L740" i="13"/>
  <c r="M740" i="13"/>
  <c r="N740" i="13"/>
  <c r="A741" i="13"/>
  <c r="B741" i="13"/>
  <c r="C741" i="13"/>
  <c r="D741" i="13"/>
  <c r="E741" i="13"/>
  <c r="F741" i="13"/>
  <c r="G741" i="13"/>
  <c r="H741" i="13"/>
  <c r="I741" i="13"/>
  <c r="J741" i="13"/>
  <c r="K741" i="13"/>
  <c r="L741" i="13"/>
  <c r="M741" i="13"/>
  <c r="N741" i="13"/>
  <c r="A742" i="13"/>
  <c r="B742" i="13"/>
  <c r="C742" i="13"/>
  <c r="D742" i="13"/>
  <c r="E742" i="13"/>
  <c r="F742" i="13"/>
  <c r="G742" i="13"/>
  <c r="H742" i="13"/>
  <c r="I742" i="13"/>
  <c r="J742" i="13"/>
  <c r="K742" i="13"/>
  <c r="L742" i="13"/>
  <c r="M742" i="13"/>
  <c r="N742" i="13"/>
  <c r="A743" i="13"/>
  <c r="B743" i="13"/>
  <c r="C743" i="13"/>
  <c r="D743" i="13"/>
  <c r="E743" i="13"/>
  <c r="F743" i="13"/>
  <c r="G743" i="13"/>
  <c r="H743" i="13"/>
  <c r="I743" i="13"/>
  <c r="J743" i="13"/>
  <c r="K743" i="13"/>
  <c r="L743" i="13"/>
  <c r="M743" i="13"/>
  <c r="N743" i="13"/>
  <c r="A744" i="13"/>
  <c r="B744" i="13"/>
  <c r="C744" i="13"/>
  <c r="D744" i="13"/>
  <c r="E744" i="13"/>
  <c r="F744" i="13"/>
  <c r="G744" i="13"/>
  <c r="H744" i="13"/>
  <c r="I744" i="13"/>
  <c r="J744" i="13"/>
  <c r="K744" i="13"/>
  <c r="L744" i="13"/>
  <c r="M744" i="13"/>
  <c r="N744" i="13"/>
  <c r="A745" i="13"/>
  <c r="B745" i="13"/>
  <c r="C745" i="13"/>
  <c r="D745" i="13"/>
  <c r="E745" i="13"/>
  <c r="F745" i="13"/>
  <c r="G745" i="13"/>
  <c r="H745" i="13"/>
  <c r="I745" i="13"/>
  <c r="J745" i="13"/>
  <c r="K745" i="13"/>
  <c r="L745" i="13"/>
  <c r="M745" i="13"/>
  <c r="N745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08" i="13"/>
  <c r="A708" i="13"/>
  <c r="B708" i="13"/>
  <c r="C708" i="13"/>
  <c r="D708" i="13"/>
  <c r="E708" i="13"/>
  <c r="F708" i="13"/>
  <c r="G708" i="13"/>
  <c r="H708" i="13"/>
  <c r="I708" i="13"/>
  <c r="J708" i="13"/>
  <c r="K708" i="13"/>
  <c r="L708" i="13"/>
  <c r="M708" i="13"/>
  <c r="N708" i="13"/>
  <c r="A709" i="13"/>
  <c r="B709" i="13"/>
  <c r="C709" i="13"/>
  <c r="D709" i="13"/>
  <c r="E709" i="13"/>
  <c r="F709" i="13"/>
  <c r="G709" i="13"/>
  <c r="H709" i="13"/>
  <c r="I709" i="13"/>
  <c r="J709" i="13"/>
  <c r="K709" i="13"/>
  <c r="L709" i="13"/>
  <c r="M709" i="13"/>
  <c r="N709" i="13"/>
  <c r="A710" i="13"/>
  <c r="B710" i="13"/>
  <c r="C710" i="13"/>
  <c r="D710" i="13"/>
  <c r="E710" i="13"/>
  <c r="F710" i="13"/>
  <c r="G710" i="13"/>
  <c r="H710" i="13"/>
  <c r="I710" i="13"/>
  <c r="J710" i="13"/>
  <c r="K710" i="13"/>
  <c r="L710" i="13"/>
  <c r="M710" i="13"/>
  <c r="N710" i="13"/>
  <c r="A711" i="13"/>
  <c r="B711" i="13"/>
  <c r="C711" i="13"/>
  <c r="D711" i="13"/>
  <c r="E711" i="13"/>
  <c r="F711" i="13"/>
  <c r="G711" i="13"/>
  <c r="H711" i="13"/>
  <c r="I711" i="13"/>
  <c r="J711" i="13"/>
  <c r="K711" i="13"/>
  <c r="L711" i="13"/>
  <c r="M711" i="13"/>
  <c r="N711" i="13"/>
  <c r="A712" i="13"/>
  <c r="B712" i="13"/>
  <c r="C712" i="13"/>
  <c r="D712" i="13"/>
  <c r="E712" i="13"/>
  <c r="F712" i="13"/>
  <c r="G712" i="13"/>
  <c r="H712" i="13"/>
  <c r="I712" i="13"/>
  <c r="J712" i="13"/>
  <c r="K712" i="13"/>
  <c r="L712" i="13"/>
  <c r="M712" i="13"/>
  <c r="N712" i="13"/>
  <c r="A713" i="13"/>
  <c r="B713" i="13"/>
  <c r="C713" i="13"/>
  <c r="D713" i="13"/>
  <c r="E713" i="13"/>
  <c r="F713" i="13"/>
  <c r="G713" i="13"/>
  <c r="H713" i="13"/>
  <c r="I713" i="13"/>
  <c r="J713" i="13"/>
  <c r="K713" i="13"/>
  <c r="L713" i="13"/>
  <c r="M713" i="13"/>
  <c r="N713" i="13"/>
  <c r="A714" i="13"/>
  <c r="B714" i="13"/>
  <c r="C714" i="13"/>
  <c r="D714" i="13"/>
  <c r="E714" i="13"/>
  <c r="F714" i="13"/>
  <c r="G714" i="13"/>
  <c r="H714" i="13"/>
  <c r="I714" i="13"/>
  <c r="J714" i="13"/>
  <c r="K714" i="13"/>
  <c r="L714" i="13"/>
  <c r="M714" i="13"/>
  <c r="N714" i="13"/>
  <c r="A715" i="13"/>
  <c r="B715" i="13"/>
  <c r="C715" i="13"/>
  <c r="D715" i="13"/>
  <c r="E715" i="13"/>
  <c r="F715" i="13"/>
  <c r="G715" i="13"/>
  <c r="H715" i="13"/>
  <c r="I715" i="13"/>
  <c r="J715" i="13"/>
  <c r="K715" i="13"/>
  <c r="L715" i="13"/>
  <c r="M715" i="13"/>
  <c r="N715" i="13"/>
  <c r="A716" i="13"/>
  <c r="B716" i="13"/>
  <c r="C716" i="13"/>
  <c r="D716" i="13"/>
  <c r="E716" i="13"/>
  <c r="F716" i="13"/>
  <c r="G716" i="13"/>
  <c r="H716" i="13"/>
  <c r="I716" i="13"/>
  <c r="J716" i="13"/>
  <c r="K716" i="13"/>
  <c r="L716" i="13"/>
  <c r="M716" i="13"/>
  <c r="N716" i="13"/>
  <c r="A717" i="13"/>
  <c r="B717" i="13"/>
  <c r="C717" i="13"/>
  <c r="D717" i="13"/>
  <c r="E717" i="13"/>
  <c r="F717" i="13"/>
  <c r="G717" i="13"/>
  <c r="H717" i="13"/>
  <c r="I717" i="13"/>
  <c r="J717" i="13"/>
  <c r="K717" i="13"/>
  <c r="L717" i="13"/>
  <c r="M717" i="13"/>
  <c r="N717" i="13"/>
  <c r="A718" i="13"/>
  <c r="B718" i="13"/>
  <c r="C718" i="13"/>
  <c r="D718" i="13"/>
  <c r="E718" i="13"/>
  <c r="F718" i="13"/>
  <c r="G718" i="13"/>
  <c r="H718" i="13"/>
  <c r="I718" i="13"/>
  <c r="J718" i="13"/>
  <c r="K718" i="13"/>
  <c r="L718" i="13"/>
  <c r="M718" i="13"/>
  <c r="N718" i="13"/>
  <c r="A719" i="13"/>
  <c r="B719" i="13"/>
  <c r="C719" i="13"/>
  <c r="D719" i="13"/>
  <c r="E719" i="13"/>
  <c r="F719" i="13"/>
  <c r="G719" i="13"/>
  <c r="H719" i="13"/>
  <c r="I719" i="13"/>
  <c r="J719" i="13"/>
  <c r="K719" i="13"/>
  <c r="L719" i="13"/>
  <c r="M719" i="13"/>
  <c r="N719" i="13"/>
  <c r="A720" i="13"/>
  <c r="B720" i="13"/>
  <c r="C720" i="13"/>
  <c r="D720" i="13"/>
  <c r="E720" i="13"/>
  <c r="F720" i="13"/>
  <c r="G720" i="13"/>
  <c r="H720" i="13"/>
  <c r="I720" i="13"/>
  <c r="J720" i="13"/>
  <c r="K720" i="13"/>
  <c r="L720" i="13"/>
  <c r="M720" i="13"/>
  <c r="N720" i="13"/>
  <c r="A721" i="13"/>
  <c r="B721" i="13"/>
  <c r="C721" i="13"/>
  <c r="D721" i="13"/>
  <c r="E721" i="13"/>
  <c r="F721" i="13"/>
  <c r="G721" i="13"/>
  <c r="H721" i="13"/>
  <c r="I721" i="13"/>
  <c r="J721" i="13"/>
  <c r="K721" i="13"/>
  <c r="L721" i="13"/>
  <c r="M721" i="13"/>
  <c r="N721" i="13"/>
  <c r="A722" i="13"/>
  <c r="B722" i="13"/>
  <c r="C722" i="13"/>
  <c r="D722" i="13"/>
  <c r="E722" i="13"/>
  <c r="F722" i="13"/>
  <c r="G722" i="13"/>
  <c r="H722" i="13"/>
  <c r="I722" i="13"/>
  <c r="J722" i="13"/>
  <c r="K722" i="13"/>
  <c r="L722" i="13"/>
  <c r="M722" i="13"/>
  <c r="N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M723" i="13"/>
  <c r="N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M724" i="13"/>
  <c r="N724" i="13"/>
  <c r="A725" i="13"/>
  <c r="B725" i="13"/>
  <c r="C725" i="13"/>
  <c r="D725" i="13"/>
  <c r="E725" i="13"/>
  <c r="F725" i="13"/>
  <c r="G725" i="13"/>
  <c r="H725" i="13"/>
  <c r="I725" i="13"/>
  <c r="J725" i="13"/>
  <c r="K725" i="13"/>
  <c r="L725" i="13"/>
  <c r="M725" i="13"/>
  <c r="N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M726" i="13"/>
  <c r="N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M727" i="13"/>
  <c r="N727" i="13"/>
  <c r="A728" i="13"/>
  <c r="B728" i="13"/>
  <c r="C728" i="13"/>
  <c r="D728" i="13"/>
  <c r="E728" i="13"/>
  <c r="F728" i="13"/>
  <c r="G728" i="13"/>
  <c r="H728" i="13"/>
  <c r="I728" i="13"/>
  <c r="J728" i="13"/>
  <c r="K728" i="13"/>
  <c r="L728" i="13"/>
  <c r="M728" i="13"/>
  <c r="N728" i="13"/>
  <c r="A729" i="13"/>
  <c r="B729" i="13"/>
  <c r="C729" i="13"/>
  <c r="D729" i="13"/>
  <c r="E729" i="13"/>
  <c r="F729" i="13"/>
  <c r="G729" i="13"/>
  <c r="H729" i="13"/>
  <c r="I729" i="13"/>
  <c r="J729" i="13"/>
  <c r="K729" i="13"/>
  <c r="L729" i="13"/>
  <c r="M729" i="13"/>
  <c r="N729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690" i="13"/>
  <c r="A690" i="13"/>
  <c r="B690" i="13"/>
  <c r="C690" i="13"/>
  <c r="D690" i="13"/>
  <c r="E690" i="13"/>
  <c r="F690" i="13"/>
  <c r="G690" i="13"/>
  <c r="H690" i="13"/>
  <c r="I690" i="13"/>
  <c r="J690" i="13"/>
  <c r="K690" i="13"/>
  <c r="L690" i="13"/>
  <c r="M690" i="13"/>
  <c r="N690" i="13"/>
  <c r="A691" i="13"/>
  <c r="B691" i="13"/>
  <c r="C691" i="13"/>
  <c r="D691" i="13"/>
  <c r="E691" i="13"/>
  <c r="F691" i="13"/>
  <c r="G691" i="13"/>
  <c r="H691" i="13"/>
  <c r="I691" i="13"/>
  <c r="J691" i="13"/>
  <c r="K691" i="13"/>
  <c r="L691" i="13"/>
  <c r="M691" i="13"/>
  <c r="N691" i="13"/>
  <c r="A692" i="13"/>
  <c r="B692" i="13"/>
  <c r="C692" i="13"/>
  <c r="D692" i="13"/>
  <c r="E692" i="13"/>
  <c r="F692" i="13"/>
  <c r="G692" i="13"/>
  <c r="H692" i="13"/>
  <c r="I692" i="13"/>
  <c r="J692" i="13"/>
  <c r="K692" i="13"/>
  <c r="L692" i="13"/>
  <c r="M692" i="13"/>
  <c r="N692" i="13"/>
  <c r="A693" i="13"/>
  <c r="B693" i="13"/>
  <c r="C693" i="13"/>
  <c r="D693" i="13"/>
  <c r="E693" i="13"/>
  <c r="F693" i="13"/>
  <c r="G693" i="13"/>
  <c r="H693" i="13"/>
  <c r="I693" i="13"/>
  <c r="J693" i="13"/>
  <c r="K693" i="13"/>
  <c r="L693" i="13"/>
  <c r="M693" i="13"/>
  <c r="N693" i="13"/>
  <c r="A694" i="13"/>
  <c r="B694" i="13"/>
  <c r="C694" i="13"/>
  <c r="D694" i="13"/>
  <c r="E694" i="13"/>
  <c r="F694" i="13"/>
  <c r="G694" i="13"/>
  <c r="H694" i="13"/>
  <c r="I694" i="13"/>
  <c r="J694" i="13"/>
  <c r="K694" i="13"/>
  <c r="L694" i="13"/>
  <c r="M694" i="13"/>
  <c r="N694" i="13"/>
  <c r="A695" i="13"/>
  <c r="B695" i="13"/>
  <c r="C695" i="13"/>
  <c r="D695" i="13"/>
  <c r="E695" i="13"/>
  <c r="F695" i="13"/>
  <c r="G695" i="13"/>
  <c r="H695" i="13"/>
  <c r="I695" i="13"/>
  <c r="J695" i="13"/>
  <c r="K695" i="13"/>
  <c r="L695" i="13"/>
  <c r="M695" i="13"/>
  <c r="N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M696" i="13"/>
  <c r="N696" i="13"/>
  <c r="A697" i="13"/>
  <c r="B697" i="13"/>
  <c r="C697" i="13"/>
  <c r="D697" i="13"/>
  <c r="E697" i="13"/>
  <c r="F697" i="13"/>
  <c r="G697" i="13"/>
  <c r="H697" i="13"/>
  <c r="I697" i="13"/>
  <c r="J697" i="13"/>
  <c r="K697" i="13"/>
  <c r="L697" i="13"/>
  <c r="M697" i="13"/>
  <c r="N697" i="13"/>
  <c r="A698" i="13"/>
  <c r="B698" i="13"/>
  <c r="C698" i="13"/>
  <c r="D698" i="13"/>
  <c r="E698" i="13"/>
  <c r="F698" i="13"/>
  <c r="G698" i="13"/>
  <c r="H698" i="13"/>
  <c r="I698" i="13"/>
  <c r="J698" i="13"/>
  <c r="K698" i="13"/>
  <c r="L698" i="13"/>
  <c r="M698" i="13"/>
  <c r="N698" i="13"/>
  <c r="A699" i="13"/>
  <c r="B699" i="13"/>
  <c r="C699" i="13"/>
  <c r="D699" i="13"/>
  <c r="E699" i="13"/>
  <c r="F699" i="13"/>
  <c r="G699" i="13"/>
  <c r="H699" i="13"/>
  <c r="I699" i="13"/>
  <c r="J699" i="13"/>
  <c r="K699" i="13"/>
  <c r="L699" i="13"/>
  <c r="M699" i="13"/>
  <c r="N699" i="13"/>
  <c r="A700" i="13"/>
  <c r="B700" i="13"/>
  <c r="C700" i="13"/>
  <c r="D700" i="13"/>
  <c r="E700" i="13"/>
  <c r="F700" i="13"/>
  <c r="G700" i="13"/>
  <c r="H700" i="13"/>
  <c r="I700" i="13"/>
  <c r="J700" i="13"/>
  <c r="K700" i="13"/>
  <c r="L700" i="13"/>
  <c r="M700" i="13"/>
  <c r="N700" i="13"/>
  <c r="A701" i="13"/>
  <c r="B701" i="13"/>
  <c r="C701" i="13"/>
  <c r="D701" i="13"/>
  <c r="E701" i="13"/>
  <c r="F701" i="13"/>
  <c r="G701" i="13"/>
  <c r="H701" i="13"/>
  <c r="I701" i="13"/>
  <c r="J701" i="13"/>
  <c r="K701" i="13"/>
  <c r="L701" i="13"/>
  <c r="M701" i="13"/>
  <c r="N701" i="13"/>
  <c r="A702" i="13"/>
  <c r="B702" i="13"/>
  <c r="C702" i="13"/>
  <c r="D702" i="13"/>
  <c r="E702" i="13"/>
  <c r="F702" i="13"/>
  <c r="G702" i="13"/>
  <c r="H702" i="13"/>
  <c r="I702" i="13"/>
  <c r="J702" i="13"/>
  <c r="K702" i="13"/>
  <c r="L702" i="13"/>
  <c r="M702" i="13"/>
  <c r="N702" i="13"/>
  <c r="A703" i="13"/>
  <c r="B703" i="13"/>
  <c r="C703" i="13"/>
  <c r="D703" i="13"/>
  <c r="E703" i="13"/>
  <c r="F703" i="13"/>
  <c r="G703" i="13"/>
  <c r="H703" i="13"/>
  <c r="I703" i="13"/>
  <c r="J703" i="13"/>
  <c r="K703" i="13"/>
  <c r="L703" i="13"/>
  <c r="M703" i="13"/>
  <c r="N703" i="13"/>
  <c r="A704" i="13"/>
  <c r="B704" i="13"/>
  <c r="C704" i="13"/>
  <c r="D704" i="13"/>
  <c r="E704" i="13"/>
  <c r="F704" i="13"/>
  <c r="G704" i="13"/>
  <c r="H704" i="13"/>
  <c r="I704" i="13"/>
  <c r="J704" i="13"/>
  <c r="K704" i="13"/>
  <c r="L704" i="13"/>
  <c r="M704" i="13"/>
  <c r="N704" i="13"/>
  <c r="A705" i="13"/>
  <c r="B705" i="13"/>
  <c r="C705" i="13"/>
  <c r="D705" i="13"/>
  <c r="E705" i="13"/>
  <c r="F705" i="13"/>
  <c r="G705" i="13"/>
  <c r="H705" i="13"/>
  <c r="I705" i="13"/>
  <c r="J705" i="13"/>
  <c r="K705" i="13"/>
  <c r="L705" i="13"/>
  <c r="M705" i="13"/>
  <c r="N705" i="13"/>
  <c r="A706" i="13"/>
  <c r="B706" i="13"/>
  <c r="C706" i="13"/>
  <c r="D706" i="13"/>
  <c r="E706" i="13"/>
  <c r="F706" i="13"/>
  <c r="G706" i="13"/>
  <c r="H706" i="13"/>
  <c r="I706" i="13"/>
  <c r="J706" i="13"/>
  <c r="K706" i="13"/>
  <c r="L706" i="13"/>
  <c r="M706" i="13"/>
  <c r="N706" i="13"/>
  <c r="A707" i="13"/>
  <c r="B707" i="13"/>
  <c r="C707" i="13"/>
  <c r="D707" i="13"/>
  <c r="E707" i="13"/>
  <c r="F707" i="13"/>
  <c r="G707" i="13"/>
  <c r="H707" i="13"/>
  <c r="I707" i="13"/>
  <c r="J707" i="13"/>
  <c r="K707" i="13"/>
  <c r="L707" i="13"/>
  <c r="M707" i="13"/>
  <c r="N707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68" i="13"/>
  <c r="A668" i="13"/>
  <c r="B668" i="13"/>
  <c r="C668" i="13"/>
  <c r="D668" i="13"/>
  <c r="E668" i="13"/>
  <c r="F668" i="13"/>
  <c r="G668" i="13"/>
  <c r="H668" i="13"/>
  <c r="I668" i="13"/>
  <c r="J668" i="13"/>
  <c r="K668" i="13"/>
  <c r="L668" i="13"/>
  <c r="M668" i="13"/>
  <c r="N668" i="13"/>
  <c r="A669" i="13"/>
  <c r="B669" i="13"/>
  <c r="C669" i="13"/>
  <c r="D669" i="13"/>
  <c r="E669" i="13"/>
  <c r="F669" i="13"/>
  <c r="G669" i="13"/>
  <c r="H669" i="13"/>
  <c r="I669" i="13"/>
  <c r="J669" i="13"/>
  <c r="K669" i="13"/>
  <c r="L669" i="13"/>
  <c r="M669" i="13"/>
  <c r="N669" i="13"/>
  <c r="A670" i="13"/>
  <c r="B670" i="13"/>
  <c r="C670" i="13"/>
  <c r="D670" i="13"/>
  <c r="E670" i="13"/>
  <c r="F670" i="13"/>
  <c r="G670" i="13"/>
  <c r="H670" i="13"/>
  <c r="I670" i="13"/>
  <c r="J670" i="13"/>
  <c r="K670" i="13"/>
  <c r="L670" i="13"/>
  <c r="M670" i="13"/>
  <c r="N670" i="13"/>
  <c r="A671" i="13"/>
  <c r="B671" i="13"/>
  <c r="C671" i="13"/>
  <c r="D671" i="13"/>
  <c r="E671" i="13"/>
  <c r="F671" i="13"/>
  <c r="G671" i="13"/>
  <c r="H671" i="13"/>
  <c r="I671" i="13"/>
  <c r="J671" i="13"/>
  <c r="K671" i="13"/>
  <c r="L671" i="13"/>
  <c r="M671" i="13"/>
  <c r="N671" i="13"/>
  <c r="A672" i="13"/>
  <c r="B672" i="13"/>
  <c r="C672" i="13"/>
  <c r="D672" i="13"/>
  <c r="E672" i="13"/>
  <c r="F672" i="13"/>
  <c r="G672" i="13"/>
  <c r="H672" i="13"/>
  <c r="I672" i="13"/>
  <c r="J672" i="13"/>
  <c r="K672" i="13"/>
  <c r="L672" i="13"/>
  <c r="M672" i="13"/>
  <c r="N672" i="13"/>
  <c r="A673" i="13"/>
  <c r="B673" i="13"/>
  <c r="C673" i="13"/>
  <c r="D673" i="13"/>
  <c r="E673" i="13"/>
  <c r="F673" i="13"/>
  <c r="G673" i="13"/>
  <c r="H673" i="13"/>
  <c r="I673" i="13"/>
  <c r="J673" i="13"/>
  <c r="K673" i="13"/>
  <c r="L673" i="13"/>
  <c r="M673" i="13"/>
  <c r="N673" i="13"/>
  <c r="A674" i="13"/>
  <c r="B674" i="13"/>
  <c r="C674" i="13"/>
  <c r="D674" i="13"/>
  <c r="E674" i="13"/>
  <c r="F674" i="13"/>
  <c r="G674" i="13"/>
  <c r="H674" i="13"/>
  <c r="I674" i="13"/>
  <c r="J674" i="13"/>
  <c r="K674" i="13"/>
  <c r="L674" i="13"/>
  <c r="M674" i="13"/>
  <c r="N674" i="13"/>
  <c r="A675" i="13"/>
  <c r="B675" i="13"/>
  <c r="C675" i="13"/>
  <c r="D675" i="13"/>
  <c r="E675" i="13"/>
  <c r="F675" i="13"/>
  <c r="G675" i="13"/>
  <c r="H675" i="13"/>
  <c r="I675" i="13"/>
  <c r="J675" i="13"/>
  <c r="K675" i="13"/>
  <c r="L675" i="13"/>
  <c r="M675" i="13"/>
  <c r="N675" i="13"/>
  <c r="A676" i="13"/>
  <c r="B676" i="13"/>
  <c r="C676" i="13"/>
  <c r="D676" i="13"/>
  <c r="E676" i="13"/>
  <c r="F676" i="13"/>
  <c r="G676" i="13"/>
  <c r="H676" i="13"/>
  <c r="I676" i="13"/>
  <c r="J676" i="13"/>
  <c r="K676" i="13"/>
  <c r="L676" i="13"/>
  <c r="M676" i="13"/>
  <c r="N676" i="13"/>
  <c r="A677" i="13"/>
  <c r="B677" i="13"/>
  <c r="C677" i="13"/>
  <c r="D677" i="13"/>
  <c r="E677" i="13"/>
  <c r="F677" i="13"/>
  <c r="G677" i="13"/>
  <c r="H677" i="13"/>
  <c r="I677" i="13"/>
  <c r="J677" i="13"/>
  <c r="K677" i="13"/>
  <c r="L677" i="13"/>
  <c r="M677" i="13"/>
  <c r="N677" i="13"/>
  <c r="A678" i="13"/>
  <c r="B678" i="13"/>
  <c r="C678" i="13"/>
  <c r="D678" i="13"/>
  <c r="E678" i="13"/>
  <c r="F678" i="13"/>
  <c r="G678" i="13"/>
  <c r="H678" i="13"/>
  <c r="I678" i="13"/>
  <c r="J678" i="13"/>
  <c r="K678" i="13"/>
  <c r="L678" i="13"/>
  <c r="M678" i="13"/>
  <c r="N678" i="13"/>
  <c r="A679" i="13"/>
  <c r="B679" i="13"/>
  <c r="C679" i="13"/>
  <c r="D679" i="13"/>
  <c r="E679" i="13"/>
  <c r="F679" i="13"/>
  <c r="G679" i="13"/>
  <c r="H679" i="13"/>
  <c r="I679" i="13"/>
  <c r="J679" i="13"/>
  <c r="K679" i="13"/>
  <c r="L679" i="13"/>
  <c r="M679" i="13"/>
  <c r="N679" i="13"/>
  <c r="A680" i="13"/>
  <c r="B680" i="13"/>
  <c r="C680" i="13"/>
  <c r="D680" i="13"/>
  <c r="E680" i="13"/>
  <c r="F680" i="13"/>
  <c r="G680" i="13"/>
  <c r="H680" i="13"/>
  <c r="I680" i="13"/>
  <c r="J680" i="13"/>
  <c r="K680" i="13"/>
  <c r="L680" i="13"/>
  <c r="M680" i="13"/>
  <c r="N680" i="13"/>
  <c r="A681" i="13"/>
  <c r="B681" i="13"/>
  <c r="C681" i="13"/>
  <c r="D681" i="13"/>
  <c r="E681" i="13"/>
  <c r="F681" i="13"/>
  <c r="G681" i="13"/>
  <c r="H681" i="13"/>
  <c r="I681" i="13"/>
  <c r="J681" i="13"/>
  <c r="K681" i="13"/>
  <c r="L681" i="13"/>
  <c r="M681" i="13"/>
  <c r="N681" i="13"/>
  <c r="A682" i="13"/>
  <c r="B682" i="13"/>
  <c r="C682" i="13"/>
  <c r="D682" i="13"/>
  <c r="E682" i="13"/>
  <c r="F682" i="13"/>
  <c r="G682" i="13"/>
  <c r="H682" i="13"/>
  <c r="I682" i="13"/>
  <c r="J682" i="13"/>
  <c r="K682" i="13"/>
  <c r="L682" i="13"/>
  <c r="M682" i="13"/>
  <c r="N682" i="13"/>
  <c r="A683" i="13"/>
  <c r="B683" i="13"/>
  <c r="C683" i="13"/>
  <c r="D683" i="13"/>
  <c r="E683" i="13"/>
  <c r="F683" i="13"/>
  <c r="G683" i="13"/>
  <c r="H683" i="13"/>
  <c r="I683" i="13"/>
  <c r="J683" i="13"/>
  <c r="K683" i="13"/>
  <c r="L683" i="13"/>
  <c r="M683" i="13"/>
  <c r="N683" i="13"/>
  <c r="A684" i="13"/>
  <c r="B684" i="13"/>
  <c r="C684" i="13"/>
  <c r="D684" i="13"/>
  <c r="E684" i="13"/>
  <c r="F684" i="13"/>
  <c r="G684" i="13"/>
  <c r="H684" i="13"/>
  <c r="I684" i="13"/>
  <c r="J684" i="13"/>
  <c r="K684" i="13"/>
  <c r="L684" i="13"/>
  <c r="M684" i="13"/>
  <c r="N684" i="13"/>
  <c r="A685" i="13"/>
  <c r="B685" i="13"/>
  <c r="C685" i="13"/>
  <c r="D685" i="13"/>
  <c r="E685" i="13"/>
  <c r="F685" i="13"/>
  <c r="G685" i="13"/>
  <c r="H685" i="13"/>
  <c r="I685" i="13"/>
  <c r="J685" i="13"/>
  <c r="K685" i="13"/>
  <c r="L685" i="13"/>
  <c r="M685" i="13"/>
  <c r="N685" i="13"/>
  <c r="A686" i="13"/>
  <c r="B686" i="13"/>
  <c r="C686" i="13"/>
  <c r="D686" i="13"/>
  <c r="E686" i="13"/>
  <c r="F686" i="13"/>
  <c r="G686" i="13"/>
  <c r="H686" i="13"/>
  <c r="I686" i="13"/>
  <c r="J686" i="13"/>
  <c r="K686" i="13"/>
  <c r="L686" i="13"/>
  <c r="M686" i="13"/>
  <c r="N686" i="13"/>
  <c r="A687" i="13"/>
  <c r="B687" i="13"/>
  <c r="C687" i="13"/>
  <c r="D687" i="13"/>
  <c r="E687" i="13"/>
  <c r="F687" i="13"/>
  <c r="G687" i="13"/>
  <c r="H687" i="13"/>
  <c r="I687" i="13"/>
  <c r="J687" i="13"/>
  <c r="K687" i="13"/>
  <c r="L687" i="13"/>
  <c r="M687" i="13"/>
  <c r="N687" i="13"/>
  <c r="A688" i="13"/>
  <c r="B688" i="13"/>
  <c r="C688" i="13"/>
  <c r="D688" i="13"/>
  <c r="E688" i="13"/>
  <c r="F688" i="13"/>
  <c r="G688" i="13"/>
  <c r="H688" i="13"/>
  <c r="I688" i="13"/>
  <c r="J688" i="13"/>
  <c r="K688" i="13"/>
  <c r="L688" i="13"/>
  <c r="M688" i="13"/>
  <c r="N688" i="13"/>
  <c r="A689" i="13"/>
  <c r="B689" i="13"/>
  <c r="C689" i="13"/>
  <c r="D689" i="13"/>
  <c r="E689" i="13"/>
  <c r="F689" i="13"/>
  <c r="G689" i="13"/>
  <c r="H689" i="13"/>
  <c r="I689" i="13"/>
  <c r="J689" i="13"/>
  <c r="K689" i="13"/>
  <c r="L689" i="13"/>
  <c r="M689" i="13"/>
  <c r="N689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45" i="13"/>
  <c r="A645" i="13"/>
  <c r="B645" i="13"/>
  <c r="C645" i="13"/>
  <c r="D645" i="13"/>
  <c r="E645" i="13"/>
  <c r="F645" i="13"/>
  <c r="G645" i="13"/>
  <c r="H645" i="13"/>
  <c r="I645" i="13"/>
  <c r="J645" i="13"/>
  <c r="K645" i="13"/>
  <c r="L645" i="13"/>
  <c r="M645" i="13"/>
  <c r="N645" i="13"/>
  <c r="A646" i="13"/>
  <c r="B646" i="13"/>
  <c r="C646" i="13"/>
  <c r="D646" i="13"/>
  <c r="E646" i="13"/>
  <c r="F646" i="13"/>
  <c r="G646" i="13"/>
  <c r="H646" i="13"/>
  <c r="I646" i="13"/>
  <c r="J646" i="13"/>
  <c r="K646" i="13"/>
  <c r="L646" i="13"/>
  <c r="M646" i="13"/>
  <c r="N646" i="13"/>
  <c r="A647" i="13"/>
  <c r="B647" i="13"/>
  <c r="C647" i="13"/>
  <c r="D647" i="13"/>
  <c r="E647" i="13"/>
  <c r="F647" i="13"/>
  <c r="G647" i="13"/>
  <c r="H647" i="13"/>
  <c r="I647" i="13"/>
  <c r="J647" i="13"/>
  <c r="K647" i="13"/>
  <c r="L647" i="13"/>
  <c r="M647" i="13"/>
  <c r="N647" i="13"/>
  <c r="A648" i="13"/>
  <c r="B648" i="13"/>
  <c r="C648" i="13"/>
  <c r="D648" i="13"/>
  <c r="E648" i="13"/>
  <c r="F648" i="13"/>
  <c r="G648" i="13"/>
  <c r="H648" i="13"/>
  <c r="I648" i="13"/>
  <c r="J648" i="13"/>
  <c r="K648" i="13"/>
  <c r="L648" i="13"/>
  <c r="M648" i="13"/>
  <c r="N648" i="13"/>
  <c r="A649" i="13"/>
  <c r="B649" i="13"/>
  <c r="C649" i="13"/>
  <c r="D649" i="13"/>
  <c r="E649" i="13"/>
  <c r="F649" i="13"/>
  <c r="G649" i="13"/>
  <c r="H649" i="13"/>
  <c r="I649" i="13"/>
  <c r="J649" i="13"/>
  <c r="K649" i="13"/>
  <c r="L649" i="13"/>
  <c r="M649" i="13"/>
  <c r="N649" i="13"/>
  <c r="A650" i="13"/>
  <c r="B650" i="13"/>
  <c r="C650" i="13"/>
  <c r="D650" i="13"/>
  <c r="E650" i="13"/>
  <c r="F650" i="13"/>
  <c r="G650" i="13"/>
  <c r="H650" i="13"/>
  <c r="I650" i="13"/>
  <c r="J650" i="13"/>
  <c r="K650" i="13"/>
  <c r="L650" i="13"/>
  <c r="M650" i="13"/>
  <c r="N650" i="13"/>
  <c r="A651" i="13"/>
  <c r="B651" i="13"/>
  <c r="C651" i="13"/>
  <c r="D651" i="13"/>
  <c r="E651" i="13"/>
  <c r="F651" i="13"/>
  <c r="G651" i="13"/>
  <c r="H651" i="13"/>
  <c r="I651" i="13"/>
  <c r="J651" i="13"/>
  <c r="K651" i="13"/>
  <c r="L651" i="13"/>
  <c r="M651" i="13"/>
  <c r="N651" i="13"/>
  <c r="A652" i="13"/>
  <c r="B652" i="13"/>
  <c r="C652" i="13"/>
  <c r="D652" i="13"/>
  <c r="E652" i="13"/>
  <c r="F652" i="13"/>
  <c r="G652" i="13"/>
  <c r="H652" i="13"/>
  <c r="I652" i="13"/>
  <c r="J652" i="13"/>
  <c r="K652" i="13"/>
  <c r="L652" i="13"/>
  <c r="M652" i="13"/>
  <c r="N652" i="13"/>
  <c r="A653" i="13"/>
  <c r="B653" i="13"/>
  <c r="C653" i="13"/>
  <c r="D653" i="13"/>
  <c r="E653" i="13"/>
  <c r="F653" i="13"/>
  <c r="G653" i="13"/>
  <c r="H653" i="13"/>
  <c r="I653" i="13"/>
  <c r="J653" i="13"/>
  <c r="K653" i="13"/>
  <c r="L653" i="13"/>
  <c r="M653" i="13"/>
  <c r="N653" i="13"/>
  <c r="A654" i="13"/>
  <c r="B654" i="13"/>
  <c r="C654" i="13"/>
  <c r="D654" i="13"/>
  <c r="E654" i="13"/>
  <c r="F654" i="13"/>
  <c r="G654" i="13"/>
  <c r="H654" i="13"/>
  <c r="I654" i="13"/>
  <c r="J654" i="13"/>
  <c r="K654" i="13"/>
  <c r="L654" i="13"/>
  <c r="M654" i="13"/>
  <c r="N654" i="13"/>
  <c r="A655" i="13"/>
  <c r="B655" i="13"/>
  <c r="C655" i="13"/>
  <c r="D655" i="13"/>
  <c r="E655" i="13"/>
  <c r="F655" i="13"/>
  <c r="G655" i="13"/>
  <c r="H655" i="13"/>
  <c r="I655" i="13"/>
  <c r="J655" i="13"/>
  <c r="K655" i="13"/>
  <c r="L655" i="13"/>
  <c r="M655" i="13"/>
  <c r="N655" i="13"/>
  <c r="A656" i="13"/>
  <c r="B656" i="13"/>
  <c r="C656" i="13"/>
  <c r="D656" i="13"/>
  <c r="E656" i="13"/>
  <c r="F656" i="13"/>
  <c r="G656" i="13"/>
  <c r="H656" i="13"/>
  <c r="I656" i="13"/>
  <c r="J656" i="13"/>
  <c r="K656" i="13"/>
  <c r="L656" i="13"/>
  <c r="M656" i="13"/>
  <c r="N656" i="13"/>
  <c r="A657" i="13"/>
  <c r="B657" i="13"/>
  <c r="C657" i="13"/>
  <c r="D657" i="13"/>
  <c r="E657" i="13"/>
  <c r="F657" i="13"/>
  <c r="G657" i="13"/>
  <c r="H657" i="13"/>
  <c r="I657" i="13"/>
  <c r="J657" i="13"/>
  <c r="K657" i="13"/>
  <c r="L657" i="13"/>
  <c r="M657" i="13"/>
  <c r="N657" i="13"/>
  <c r="A658" i="13"/>
  <c r="B658" i="13"/>
  <c r="C658" i="13"/>
  <c r="D658" i="13"/>
  <c r="E658" i="13"/>
  <c r="F658" i="13"/>
  <c r="G658" i="13"/>
  <c r="H658" i="13"/>
  <c r="I658" i="13"/>
  <c r="J658" i="13"/>
  <c r="K658" i="13"/>
  <c r="L658" i="13"/>
  <c r="M658" i="13"/>
  <c r="N658" i="13"/>
  <c r="A659" i="13"/>
  <c r="B659" i="13"/>
  <c r="C659" i="13"/>
  <c r="D659" i="13"/>
  <c r="E659" i="13"/>
  <c r="F659" i="13"/>
  <c r="G659" i="13"/>
  <c r="H659" i="13"/>
  <c r="I659" i="13"/>
  <c r="J659" i="13"/>
  <c r="K659" i="13"/>
  <c r="L659" i="13"/>
  <c r="M659" i="13"/>
  <c r="N659" i="13"/>
  <c r="A660" i="13"/>
  <c r="B660" i="13"/>
  <c r="C660" i="13"/>
  <c r="D660" i="13"/>
  <c r="E660" i="13"/>
  <c r="F660" i="13"/>
  <c r="G660" i="13"/>
  <c r="H660" i="13"/>
  <c r="I660" i="13"/>
  <c r="J660" i="13"/>
  <c r="K660" i="13"/>
  <c r="L660" i="13"/>
  <c r="M660" i="13"/>
  <c r="N660" i="13"/>
  <c r="A661" i="13"/>
  <c r="B661" i="13"/>
  <c r="C661" i="13"/>
  <c r="D661" i="13"/>
  <c r="E661" i="13"/>
  <c r="F661" i="13"/>
  <c r="G661" i="13"/>
  <c r="H661" i="13"/>
  <c r="I661" i="13"/>
  <c r="J661" i="13"/>
  <c r="K661" i="13"/>
  <c r="L661" i="13"/>
  <c r="M661" i="13"/>
  <c r="N661" i="13"/>
  <c r="A662" i="13"/>
  <c r="B662" i="13"/>
  <c r="C662" i="13"/>
  <c r="D662" i="13"/>
  <c r="E662" i="13"/>
  <c r="F662" i="13"/>
  <c r="G662" i="13"/>
  <c r="H662" i="13"/>
  <c r="I662" i="13"/>
  <c r="J662" i="13"/>
  <c r="K662" i="13"/>
  <c r="L662" i="13"/>
  <c r="M662" i="13"/>
  <c r="N662" i="13"/>
  <c r="A663" i="13"/>
  <c r="B663" i="13"/>
  <c r="C663" i="13"/>
  <c r="D663" i="13"/>
  <c r="E663" i="13"/>
  <c r="F663" i="13"/>
  <c r="G663" i="13"/>
  <c r="H663" i="13"/>
  <c r="I663" i="13"/>
  <c r="J663" i="13"/>
  <c r="K663" i="13"/>
  <c r="L663" i="13"/>
  <c r="M663" i="13"/>
  <c r="N663" i="13"/>
  <c r="A664" i="13"/>
  <c r="B664" i="13"/>
  <c r="C664" i="13"/>
  <c r="D664" i="13"/>
  <c r="E664" i="13"/>
  <c r="F664" i="13"/>
  <c r="G664" i="13"/>
  <c r="H664" i="13"/>
  <c r="I664" i="13"/>
  <c r="J664" i="13"/>
  <c r="K664" i="13"/>
  <c r="L664" i="13"/>
  <c r="M664" i="13"/>
  <c r="N664" i="13"/>
  <c r="A665" i="13"/>
  <c r="B665" i="13"/>
  <c r="C665" i="13"/>
  <c r="D665" i="13"/>
  <c r="E665" i="13"/>
  <c r="F665" i="13"/>
  <c r="G665" i="13"/>
  <c r="H665" i="13"/>
  <c r="I665" i="13"/>
  <c r="J665" i="13"/>
  <c r="K665" i="13"/>
  <c r="L665" i="13"/>
  <c r="M665" i="13"/>
  <c r="N665" i="13"/>
  <c r="A666" i="13"/>
  <c r="B666" i="13"/>
  <c r="C666" i="13"/>
  <c r="D666" i="13"/>
  <c r="E666" i="13"/>
  <c r="F666" i="13"/>
  <c r="G666" i="13"/>
  <c r="H666" i="13"/>
  <c r="I666" i="13"/>
  <c r="J666" i="13"/>
  <c r="K666" i="13"/>
  <c r="L666" i="13"/>
  <c r="M666" i="13"/>
  <c r="N666" i="13"/>
  <c r="A667" i="13"/>
  <c r="B667" i="13"/>
  <c r="C667" i="13"/>
  <c r="D667" i="13"/>
  <c r="E667" i="13"/>
  <c r="F667" i="13"/>
  <c r="G667" i="13"/>
  <c r="H667" i="13"/>
  <c r="I667" i="13"/>
  <c r="J667" i="13"/>
  <c r="K667" i="13"/>
  <c r="L667" i="13"/>
  <c r="M667" i="13"/>
  <c r="N667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31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M631" i="13"/>
  <c r="N631" i="13"/>
  <c r="A632" i="13"/>
  <c r="B632" i="13"/>
  <c r="C632" i="13"/>
  <c r="D632" i="13"/>
  <c r="E632" i="13"/>
  <c r="F632" i="13"/>
  <c r="G632" i="13"/>
  <c r="H632" i="13"/>
  <c r="I632" i="13"/>
  <c r="J632" i="13"/>
  <c r="K632" i="13"/>
  <c r="L632" i="13"/>
  <c r="M632" i="13"/>
  <c r="N632" i="13"/>
  <c r="A633" i="13"/>
  <c r="B633" i="13"/>
  <c r="C633" i="13"/>
  <c r="D633" i="13"/>
  <c r="E633" i="13"/>
  <c r="F633" i="13"/>
  <c r="G633" i="13"/>
  <c r="H633" i="13"/>
  <c r="I633" i="13"/>
  <c r="J633" i="13"/>
  <c r="K633" i="13"/>
  <c r="L633" i="13"/>
  <c r="M633" i="13"/>
  <c r="N633" i="13"/>
  <c r="A634" i="13"/>
  <c r="B634" i="13"/>
  <c r="C634" i="13"/>
  <c r="D634" i="13"/>
  <c r="E634" i="13"/>
  <c r="F634" i="13"/>
  <c r="G634" i="13"/>
  <c r="H634" i="13"/>
  <c r="I634" i="13"/>
  <c r="J634" i="13"/>
  <c r="K634" i="13"/>
  <c r="L634" i="13"/>
  <c r="M634" i="13"/>
  <c r="N634" i="13"/>
  <c r="A635" i="13"/>
  <c r="B635" i="13"/>
  <c r="C635" i="13"/>
  <c r="D635" i="13"/>
  <c r="E635" i="13"/>
  <c r="F635" i="13"/>
  <c r="G635" i="13"/>
  <c r="H635" i="13"/>
  <c r="I635" i="13"/>
  <c r="J635" i="13"/>
  <c r="K635" i="13"/>
  <c r="L635" i="13"/>
  <c r="M635" i="13"/>
  <c r="N635" i="13"/>
  <c r="A636" i="13"/>
  <c r="B636" i="13"/>
  <c r="C636" i="13"/>
  <c r="D636" i="13"/>
  <c r="E636" i="13"/>
  <c r="F636" i="13"/>
  <c r="G636" i="13"/>
  <c r="H636" i="13"/>
  <c r="I636" i="13"/>
  <c r="J636" i="13"/>
  <c r="K636" i="13"/>
  <c r="L636" i="13"/>
  <c r="M636" i="13"/>
  <c r="N636" i="13"/>
  <c r="A637" i="13"/>
  <c r="B637" i="13"/>
  <c r="C637" i="13"/>
  <c r="D637" i="13"/>
  <c r="E637" i="13"/>
  <c r="F637" i="13"/>
  <c r="G637" i="13"/>
  <c r="H637" i="13"/>
  <c r="I637" i="13"/>
  <c r="J637" i="13"/>
  <c r="K637" i="13"/>
  <c r="L637" i="13"/>
  <c r="M637" i="13"/>
  <c r="N637" i="13"/>
  <c r="A638" i="13"/>
  <c r="B638" i="13"/>
  <c r="C638" i="13"/>
  <c r="D638" i="13"/>
  <c r="E638" i="13"/>
  <c r="F638" i="13"/>
  <c r="G638" i="13"/>
  <c r="H638" i="13"/>
  <c r="I638" i="13"/>
  <c r="J638" i="13"/>
  <c r="K638" i="13"/>
  <c r="L638" i="13"/>
  <c r="M638" i="13"/>
  <c r="N638" i="13"/>
  <c r="A639" i="13"/>
  <c r="B639" i="13"/>
  <c r="C639" i="13"/>
  <c r="D639" i="13"/>
  <c r="E639" i="13"/>
  <c r="F639" i="13"/>
  <c r="G639" i="13"/>
  <c r="H639" i="13"/>
  <c r="I639" i="13"/>
  <c r="J639" i="13"/>
  <c r="K639" i="13"/>
  <c r="L639" i="13"/>
  <c r="M639" i="13"/>
  <c r="N639" i="13"/>
  <c r="A640" i="13"/>
  <c r="B640" i="13"/>
  <c r="C640" i="13"/>
  <c r="D640" i="13"/>
  <c r="E640" i="13"/>
  <c r="F640" i="13"/>
  <c r="G640" i="13"/>
  <c r="H640" i="13"/>
  <c r="I640" i="13"/>
  <c r="J640" i="13"/>
  <c r="K640" i="13"/>
  <c r="L640" i="13"/>
  <c r="M640" i="13"/>
  <c r="N640" i="13"/>
  <c r="A641" i="13"/>
  <c r="B641" i="13"/>
  <c r="C641" i="13"/>
  <c r="D641" i="13"/>
  <c r="E641" i="13"/>
  <c r="F641" i="13"/>
  <c r="G641" i="13"/>
  <c r="H641" i="13"/>
  <c r="I641" i="13"/>
  <c r="J641" i="13"/>
  <c r="K641" i="13"/>
  <c r="L641" i="13"/>
  <c r="M641" i="13"/>
  <c r="N641" i="13"/>
  <c r="A642" i="13"/>
  <c r="B642" i="13"/>
  <c r="C642" i="13"/>
  <c r="D642" i="13"/>
  <c r="E642" i="13"/>
  <c r="F642" i="13"/>
  <c r="G642" i="13"/>
  <c r="H642" i="13"/>
  <c r="I642" i="13"/>
  <c r="J642" i="13"/>
  <c r="K642" i="13"/>
  <c r="L642" i="13"/>
  <c r="M642" i="13"/>
  <c r="N642" i="13"/>
  <c r="A643" i="13"/>
  <c r="B643" i="13"/>
  <c r="C643" i="13"/>
  <c r="D643" i="13"/>
  <c r="E643" i="13"/>
  <c r="F643" i="13"/>
  <c r="G643" i="13"/>
  <c r="H643" i="13"/>
  <c r="I643" i="13"/>
  <c r="J643" i="13"/>
  <c r="K643" i="13"/>
  <c r="L643" i="13"/>
  <c r="M643" i="13"/>
  <c r="N643" i="13"/>
  <c r="A644" i="13"/>
  <c r="B644" i="13"/>
  <c r="C644" i="13"/>
  <c r="D644" i="13"/>
  <c r="E644" i="13"/>
  <c r="F644" i="13"/>
  <c r="G644" i="13"/>
  <c r="H644" i="13"/>
  <c r="I644" i="13"/>
  <c r="J644" i="13"/>
  <c r="K644" i="13"/>
  <c r="L644" i="13"/>
  <c r="M644" i="13"/>
  <c r="N64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14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M614" i="13"/>
  <c r="N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M615" i="13"/>
  <c r="N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M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M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M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M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M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M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M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M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M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M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M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M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M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M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M630" i="13"/>
  <c r="N63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00" i="13"/>
  <c r="A600" i="13"/>
  <c r="B600" i="13"/>
  <c r="C600" i="13"/>
  <c r="D600" i="13"/>
  <c r="E600" i="13"/>
  <c r="F600" i="13"/>
  <c r="G600" i="13"/>
  <c r="H600" i="13"/>
  <c r="I600" i="13"/>
  <c r="J600" i="13"/>
  <c r="K600" i="13"/>
  <c r="L600" i="13"/>
  <c r="M600" i="13"/>
  <c r="N600" i="13"/>
  <c r="A601" i="13"/>
  <c r="B601" i="13"/>
  <c r="C601" i="13"/>
  <c r="D601" i="13"/>
  <c r="E601" i="13"/>
  <c r="F601" i="13"/>
  <c r="G601" i="13"/>
  <c r="H601" i="13"/>
  <c r="I601" i="13"/>
  <c r="J601" i="13"/>
  <c r="K601" i="13"/>
  <c r="L601" i="13"/>
  <c r="M601" i="13"/>
  <c r="N601" i="13"/>
  <c r="A602" i="13"/>
  <c r="B602" i="13"/>
  <c r="C602" i="13"/>
  <c r="D602" i="13"/>
  <c r="E602" i="13"/>
  <c r="F602" i="13"/>
  <c r="G602" i="13"/>
  <c r="H602" i="13"/>
  <c r="I602" i="13"/>
  <c r="J602" i="13"/>
  <c r="K602" i="13"/>
  <c r="L602" i="13"/>
  <c r="M602" i="13"/>
  <c r="N602" i="13"/>
  <c r="A603" i="13"/>
  <c r="B603" i="13"/>
  <c r="C603" i="13"/>
  <c r="D603" i="13"/>
  <c r="E603" i="13"/>
  <c r="F603" i="13"/>
  <c r="G603" i="13"/>
  <c r="H603" i="13"/>
  <c r="I603" i="13"/>
  <c r="J603" i="13"/>
  <c r="K603" i="13"/>
  <c r="L603" i="13"/>
  <c r="M603" i="13"/>
  <c r="N603" i="13"/>
  <c r="A604" i="13"/>
  <c r="B604" i="13"/>
  <c r="C604" i="13"/>
  <c r="D604" i="13"/>
  <c r="E604" i="13"/>
  <c r="F604" i="13"/>
  <c r="G604" i="13"/>
  <c r="H604" i="13"/>
  <c r="I604" i="13"/>
  <c r="J604" i="13"/>
  <c r="K604" i="13"/>
  <c r="L604" i="13"/>
  <c r="M604" i="13"/>
  <c r="N604" i="13"/>
  <c r="A605" i="13"/>
  <c r="B605" i="13"/>
  <c r="C605" i="13"/>
  <c r="D605" i="13"/>
  <c r="E605" i="13"/>
  <c r="F605" i="13"/>
  <c r="G605" i="13"/>
  <c r="H605" i="13"/>
  <c r="I605" i="13"/>
  <c r="J605" i="13"/>
  <c r="K605" i="13"/>
  <c r="L605" i="13"/>
  <c r="M605" i="13"/>
  <c r="N605" i="13"/>
  <c r="A606" i="13"/>
  <c r="B606" i="13"/>
  <c r="C606" i="13"/>
  <c r="D606" i="13"/>
  <c r="E606" i="13"/>
  <c r="F606" i="13"/>
  <c r="G606" i="13"/>
  <c r="H606" i="13"/>
  <c r="I606" i="13"/>
  <c r="J606" i="13"/>
  <c r="K606" i="13"/>
  <c r="L606" i="13"/>
  <c r="M606" i="13"/>
  <c r="N606" i="13"/>
  <c r="A607" i="13"/>
  <c r="B607" i="13"/>
  <c r="C607" i="13"/>
  <c r="D607" i="13"/>
  <c r="E607" i="13"/>
  <c r="F607" i="13"/>
  <c r="G607" i="13"/>
  <c r="H607" i="13"/>
  <c r="I607" i="13"/>
  <c r="J607" i="13"/>
  <c r="K607" i="13"/>
  <c r="L607" i="13"/>
  <c r="M607" i="13"/>
  <c r="N607" i="13"/>
  <c r="A608" i="13"/>
  <c r="B608" i="13"/>
  <c r="C608" i="13"/>
  <c r="D608" i="13"/>
  <c r="E608" i="13"/>
  <c r="F608" i="13"/>
  <c r="G608" i="13"/>
  <c r="H608" i="13"/>
  <c r="I608" i="13"/>
  <c r="J608" i="13"/>
  <c r="K608" i="13"/>
  <c r="L608" i="13"/>
  <c r="M608" i="13"/>
  <c r="N608" i="13"/>
  <c r="A609" i="13"/>
  <c r="B609" i="13"/>
  <c r="C609" i="13"/>
  <c r="D609" i="13"/>
  <c r="E609" i="13"/>
  <c r="F609" i="13"/>
  <c r="G609" i="13"/>
  <c r="H609" i="13"/>
  <c r="I609" i="13"/>
  <c r="J609" i="13"/>
  <c r="K609" i="13"/>
  <c r="L609" i="13"/>
  <c r="M609" i="13"/>
  <c r="N609" i="13"/>
  <c r="A610" i="13"/>
  <c r="B610" i="13"/>
  <c r="C610" i="13"/>
  <c r="D610" i="13"/>
  <c r="E610" i="13"/>
  <c r="F610" i="13"/>
  <c r="G610" i="13"/>
  <c r="H610" i="13"/>
  <c r="I610" i="13"/>
  <c r="J610" i="13"/>
  <c r="K610" i="13"/>
  <c r="L610" i="13"/>
  <c r="M610" i="13"/>
  <c r="N610" i="13"/>
  <c r="A611" i="13"/>
  <c r="B611" i="13"/>
  <c r="C611" i="13"/>
  <c r="D611" i="13"/>
  <c r="E611" i="13"/>
  <c r="F611" i="13"/>
  <c r="G611" i="13"/>
  <c r="H611" i="13"/>
  <c r="I611" i="13"/>
  <c r="J611" i="13"/>
  <c r="K611" i="13"/>
  <c r="L611" i="13"/>
  <c r="M611" i="13"/>
  <c r="N611" i="13"/>
  <c r="A612" i="13"/>
  <c r="B612" i="13"/>
  <c r="C612" i="13"/>
  <c r="D612" i="13"/>
  <c r="E612" i="13"/>
  <c r="F612" i="13"/>
  <c r="G612" i="13"/>
  <c r="H612" i="13"/>
  <c r="I612" i="13"/>
  <c r="J612" i="13"/>
  <c r="K612" i="13"/>
  <c r="L612" i="13"/>
  <c r="M612" i="13"/>
  <c r="N612" i="13"/>
  <c r="A613" i="13"/>
  <c r="B613" i="13"/>
  <c r="C613" i="13"/>
  <c r="D613" i="13"/>
  <c r="E613" i="13"/>
  <c r="F613" i="13"/>
  <c r="G613" i="13"/>
  <c r="H613" i="13"/>
  <c r="I613" i="13"/>
  <c r="J613" i="13"/>
  <c r="K613" i="13"/>
  <c r="L613" i="13"/>
  <c r="M613" i="13"/>
  <c r="N613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582" i="13"/>
  <c r="A582" i="13"/>
  <c r="B582" i="13"/>
  <c r="C582" i="13"/>
  <c r="D582" i="13"/>
  <c r="E582" i="13"/>
  <c r="F582" i="13"/>
  <c r="G582" i="13"/>
  <c r="H582" i="13"/>
  <c r="I582" i="13"/>
  <c r="J582" i="13"/>
  <c r="K582" i="13"/>
  <c r="L582" i="13"/>
  <c r="M582" i="13"/>
  <c r="A583" i="13"/>
  <c r="B583" i="13"/>
  <c r="C583" i="13"/>
  <c r="D583" i="13"/>
  <c r="E583" i="13"/>
  <c r="F583" i="13"/>
  <c r="G583" i="13"/>
  <c r="H583" i="13"/>
  <c r="I583" i="13"/>
  <c r="J583" i="13"/>
  <c r="K583" i="13"/>
  <c r="L583" i="13"/>
  <c r="M583" i="13"/>
  <c r="A584" i="13"/>
  <c r="B584" i="13"/>
  <c r="C584" i="13"/>
  <c r="D584" i="13"/>
  <c r="E584" i="13"/>
  <c r="F584" i="13"/>
  <c r="G584" i="13"/>
  <c r="H584" i="13"/>
  <c r="I584" i="13"/>
  <c r="J584" i="13"/>
  <c r="K584" i="13"/>
  <c r="L584" i="13"/>
  <c r="M584" i="13"/>
  <c r="A585" i="13"/>
  <c r="B585" i="13"/>
  <c r="C585" i="13"/>
  <c r="D585" i="13"/>
  <c r="E585" i="13"/>
  <c r="F585" i="13"/>
  <c r="G585" i="13"/>
  <c r="H585" i="13"/>
  <c r="I585" i="13"/>
  <c r="J585" i="13"/>
  <c r="K585" i="13"/>
  <c r="L585" i="13"/>
  <c r="M585" i="13"/>
  <c r="A586" i="13"/>
  <c r="B586" i="13"/>
  <c r="C586" i="13"/>
  <c r="D586" i="13"/>
  <c r="E586" i="13"/>
  <c r="F586" i="13"/>
  <c r="G586" i="13"/>
  <c r="H586" i="13"/>
  <c r="I586" i="13"/>
  <c r="J586" i="13"/>
  <c r="K586" i="13"/>
  <c r="L586" i="13"/>
  <c r="M586" i="13"/>
  <c r="A587" i="13"/>
  <c r="B587" i="13"/>
  <c r="C587" i="13"/>
  <c r="D587" i="13"/>
  <c r="E587" i="13"/>
  <c r="F587" i="13"/>
  <c r="G587" i="13"/>
  <c r="H587" i="13"/>
  <c r="I587" i="13"/>
  <c r="J587" i="13"/>
  <c r="K587" i="13"/>
  <c r="L587" i="13"/>
  <c r="M587" i="13"/>
  <c r="A588" i="13"/>
  <c r="B588" i="13"/>
  <c r="C588" i="13"/>
  <c r="D588" i="13"/>
  <c r="E588" i="13"/>
  <c r="F588" i="13"/>
  <c r="G588" i="13"/>
  <c r="H588" i="13"/>
  <c r="I588" i="13"/>
  <c r="J588" i="13"/>
  <c r="K588" i="13"/>
  <c r="L588" i="13"/>
  <c r="M588" i="13"/>
  <c r="A589" i="13"/>
  <c r="B589" i="13"/>
  <c r="C589" i="13"/>
  <c r="D589" i="13"/>
  <c r="E589" i="13"/>
  <c r="F589" i="13"/>
  <c r="G589" i="13"/>
  <c r="H589" i="13"/>
  <c r="I589" i="13"/>
  <c r="J589" i="13"/>
  <c r="K589" i="13"/>
  <c r="L589" i="13"/>
  <c r="M589" i="13"/>
  <c r="A590" i="13"/>
  <c r="B590" i="13"/>
  <c r="C590" i="13"/>
  <c r="D590" i="13"/>
  <c r="E590" i="13"/>
  <c r="F590" i="13"/>
  <c r="G590" i="13"/>
  <c r="H590" i="13"/>
  <c r="I590" i="13"/>
  <c r="J590" i="13"/>
  <c r="K590" i="13"/>
  <c r="L590" i="13"/>
  <c r="M590" i="13"/>
  <c r="A591" i="13"/>
  <c r="B591" i="13"/>
  <c r="C591" i="13"/>
  <c r="D591" i="13"/>
  <c r="E591" i="13"/>
  <c r="F591" i="13"/>
  <c r="G591" i="13"/>
  <c r="H591" i="13"/>
  <c r="I591" i="13"/>
  <c r="J591" i="13"/>
  <c r="K591" i="13"/>
  <c r="L591" i="13"/>
  <c r="M591" i="13"/>
  <c r="A592" i="13"/>
  <c r="B592" i="13"/>
  <c r="C592" i="13"/>
  <c r="D592" i="13"/>
  <c r="E592" i="13"/>
  <c r="F592" i="13"/>
  <c r="G592" i="13"/>
  <c r="H592" i="13"/>
  <c r="I592" i="13"/>
  <c r="J592" i="13"/>
  <c r="K592" i="13"/>
  <c r="L592" i="13"/>
  <c r="M592" i="13"/>
  <c r="A593" i="13"/>
  <c r="B593" i="13"/>
  <c r="C593" i="13"/>
  <c r="D593" i="13"/>
  <c r="E593" i="13"/>
  <c r="F593" i="13"/>
  <c r="G593" i="13"/>
  <c r="H593" i="13"/>
  <c r="I593" i="13"/>
  <c r="J593" i="13"/>
  <c r="K593" i="13"/>
  <c r="L593" i="13"/>
  <c r="M593" i="13"/>
  <c r="A594" i="13"/>
  <c r="B594" i="13"/>
  <c r="C594" i="13"/>
  <c r="D594" i="13"/>
  <c r="E594" i="13"/>
  <c r="F594" i="13"/>
  <c r="G594" i="13"/>
  <c r="H594" i="13"/>
  <c r="I594" i="13"/>
  <c r="J594" i="13"/>
  <c r="K594" i="13"/>
  <c r="L594" i="13"/>
  <c r="M594" i="13"/>
  <c r="A595" i="13"/>
  <c r="B595" i="13"/>
  <c r="C595" i="13"/>
  <c r="D595" i="13"/>
  <c r="E595" i="13"/>
  <c r="F595" i="13"/>
  <c r="G595" i="13"/>
  <c r="H595" i="13"/>
  <c r="I595" i="13"/>
  <c r="J595" i="13"/>
  <c r="K595" i="13"/>
  <c r="L595" i="13"/>
  <c r="M595" i="13"/>
  <c r="A596" i="13"/>
  <c r="B596" i="13"/>
  <c r="C596" i="13"/>
  <c r="D596" i="13"/>
  <c r="E596" i="13"/>
  <c r="F596" i="13"/>
  <c r="G596" i="13"/>
  <c r="H596" i="13"/>
  <c r="I596" i="13"/>
  <c r="J596" i="13"/>
  <c r="K596" i="13"/>
  <c r="L596" i="13"/>
  <c r="M596" i="13"/>
  <c r="A597" i="13"/>
  <c r="B597" i="13"/>
  <c r="C597" i="13"/>
  <c r="D597" i="13"/>
  <c r="E597" i="13"/>
  <c r="F597" i="13"/>
  <c r="G597" i="13"/>
  <c r="H597" i="13"/>
  <c r="I597" i="13"/>
  <c r="J597" i="13"/>
  <c r="K597" i="13"/>
  <c r="L597" i="13"/>
  <c r="M597" i="13"/>
  <c r="A598" i="13"/>
  <c r="B598" i="13"/>
  <c r="C598" i="13"/>
  <c r="D598" i="13"/>
  <c r="E598" i="13"/>
  <c r="F598" i="13"/>
  <c r="G598" i="13"/>
  <c r="H598" i="13"/>
  <c r="I598" i="13"/>
  <c r="J598" i="13"/>
  <c r="K598" i="13"/>
  <c r="L598" i="13"/>
  <c r="M598" i="13"/>
  <c r="A599" i="13"/>
  <c r="B599" i="13"/>
  <c r="C599" i="13"/>
  <c r="D599" i="13"/>
  <c r="E599" i="13"/>
  <c r="F599" i="13"/>
  <c r="G599" i="13"/>
  <c r="H599" i="13"/>
  <c r="I599" i="13"/>
  <c r="J599" i="13"/>
  <c r="K599" i="13"/>
  <c r="L599" i="13"/>
  <c r="M599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64" i="13"/>
  <c r="A564" i="13"/>
  <c r="B564" i="13"/>
  <c r="C564" i="13"/>
  <c r="D564" i="13"/>
  <c r="E564" i="13"/>
  <c r="F564" i="13"/>
  <c r="G564" i="13"/>
  <c r="H564" i="13"/>
  <c r="I564" i="13"/>
  <c r="J564" i="13"/>
  <c r="K564" i="13"/>
  <c r="L564" i="13"/>
  <c r="M564" i="13"/>
  <c r="N564" i="13"/>
  <c r="A565" i="13"/>
  <c r="B565" i="13"/>
  <c r="C565" i="13"/>
  <c r="D565" i="13"/>
  <c r="E565" i="13"/>
  <c r="F565" i="13"/>
  <c r="G565" i="13"/>
  <c r="H565" i="13"/>
  <c r="I565" i="13"/>
  <c r="J565" i="13"/>
  <c r="K565" i="13"/>
  <c r="L565" i="13"/>
  <c r="M565" i="13"/>
  <c r="N565" i="13"/>
  <c r="A566" i="13"/>
  <c r="B566" i="13"/>
  <c r="C566" i="13"/>
  <c r="D566" i="13"/>
  <c r="E566" i="13"/>
  <c r="F566" i="13"/>
  <c r="G566" i="13"/>
  <c r="H566" i="13"/>
  <c r="I566" i="13"/>
  <c r="J566" i="13"/>
  <c r="K566" i="13"/>
  <c r="L566" i="13"/>
  <c r="M566" i="13"/>
  <c r="N566" i="13"/>
  <c r="A567" i="13"/>
  <c r="B567" i="13"/>
  <c r="C567" i="13"/>
  <c r="D567" i="13"/>
  <c r="E567" i="13"/>
  <c r="F567" i="13"/>
  <c r="G567" i="13"/>
  <c r="H567" i="13"/>
  <c r="I567" i="13"/>
  <c r="J567" i="13"/>
  <c r="K567" i="13"/>
  <c r="L567" i="13"/>
  <c r="M567" i="13"/>
  <c r="N567" i="13"/>
  <c r="A568" i="13"/>
  <c r="B568" i="13"/>
  <c r="C568" i="13"/>
  <c r="D568" i="13"/>
  <c r="E568" i="13"/>
  <c r="F568" i="13"/>
  <c r="G568" i="13"/>
  <c r="H568" i="13"/>
  <c r="I568" i="13"/>
  <c r="J568" i="13"/>
  <c r="K568" i="13"/>
  <c r="L568" i="13"/>
  <c r="M568" i="13"/>
  <c r="N568" i="13"/>
  <c r="A569" i="13"/>
  <c r="B569" i="13"/>
  <c r="C569" i="13"/>
  <c r="D569" i="13"/>
  <c r="E569" i="13"/>
  <c r="F569" i="13"/>
  <c r="G569" i="13"/>
  <c r="H569" i="13"/>
  <c r="I569" i="13"/>
  <c r="J569" i="13"/>
  <c r="K569" i="13"/>
  <c r="L569" i="13"/>
  <c r="M569" i="13"/>
  <c r="N569" i="13"/>
  <c r="A570" i="13"/>
  <c r="B570" i="13"/>
  <c r="C570" i="13"/>
  <c r="D570" i="13"/>
  <c r="E570" i="13"/>
  <c r="F570" i="13"/>
  <c r="G570" i="13"/>
  <c r="H570" i="13"/>
  <c r="I570" i="13"/>
  <c r="J570" i="13"/>
  <c r="K570" i="13"/>
  <c r="L570" i="13"/>
  <c r="M570" i="13"/>
  <c r="N570" i="13"/>
  <c r="A571" i="13"/>
  <c r="B571" i="13"/>
  <c r="C571" i="13"/>
  <c r="D571" i="13"/>
  <c r="E571" i="13"/>
  <c r="F571" i="13"/>
  <c r="G571" i="13"/>
  <c r="H571" i="13"/>
  <c r="I571" i="13"/>
  <c r="J571" i="13"/>
  <c r="K571" i="13"/>
  <c r="L571" i="13"/>
  <c r="M571" i="13"/>
  <c r="N571" i="13"/>
  <c r="A572" i="13"/>
  <c r="B572" i="13"/>
  <c r="C572" i="13"/>
  <c r="D572" i="13"/>
  <c r="E572" i="13"/>
  <c r="F572" i="13"/>
  <c r="G572" i="13"/>
  <c r="H572" i="13"/>
  <c r="I572" i="13"/>
  <c r="J572" i="13"/>
  <c r="K572" i="13"/>
  <c r="L572" i="13"/>
  <c r="M572" i="13"/>
  <c r="N572" i="13"/>
  <c r="A573" i="13"/>
  <c r="B573" i="13"/>
  <c r="C573" i="13"/>
  <c r="D573" i="13"/>
  <c r="E573" i="13"/>
  <c r="F573" i="13"/>
  <c r="G573" i="13"/>
  <c r="H573" i="13"/>
  <c r="I573" i="13"/>
  <c r="J573" i="13"/>
  <c r="K573" i="13"/>
  <c r="L573" i="13"/>
  <c r="M573" i="13"/>
  <c r="N573" i="13"/>
  <c r="A574" i="13"/>
  <c r="B574" i="13"/>
  <c r="C574" i="13"/>
  <c r="D574" i="13"/>
  <c r="E574" i="13"/>
  <c r="F574" i="13"/>
  <c r="G574" i="13"/>
  <c r="H574" i="13"/>
  <c r="I574" i="13"/>
  <c r="J574" i="13"/>
  <c r="K574" i="13"/>
  <c r="L574" i="13"/>
  <c r="M574" i="13"/>
  <c r="N574" i="13"/>
  <c r="A575" i="13"/>
  <c r="B575" i="13"/>
  <c r="C575" i="13"/>
  <c r="D575" i="13"/>
  <c r="E575" i="13"/>
  <c r="F575" i="13"/>
  <c r="G575" i="13"/>
  <c r="H575" i="13"/>
  <c r="I575" i="13"/>
  <c r="J575" i="13"/>
  <c r="K575" i="13"/>
  <c r="L575" i="13"/>
  <c r="M575" i="13"/>
  <c r="N575" i="13"/>
  <c r="A576" i="13"/>
  <c r="B576" i="13"/>
  <c r="C576" i="13"/>
  <c r="D576" i="13"/>
  <c r="E576" i="13"/>
  <c r="F576" i="13"/>
  <c r="G576" i="13"/>
  <c r="H576" i="13"/>
  <c r="I576" i="13"/>
  <c r="J576" i="13"/>
  <c r="K576" i="13"/>
  <c r="L576" i="13"/>
  <c r="M576" i="13"/>
  <c r="N576" i="13"/>
  <c r="A577" i="13"/>
  <c r="B577" i="13"/>
  <c r="C577" i="13"/>
  <c r="D577" i="13"/>
  <c r="E577" i="13"/>
  <c r="F577" i="13"/>
  <c r="G577" i="13"/>
  <c r="H577" i="13"/>
  <c r="I577" i="13"/>
  <c r="J577" i="13"/>
  <c r="K577" i="13"/>
  <c r="L577" i="13"/>
  <c r="M577" i="13"/>
  <c r="N577" i="13"/>
  <c r="A578" i="13"/>
  <c r="B578" i="13"/>
  <c r="C578" i="13"/>
  <c r="D578" i="13"/>
  <c r="E578" i="13"/>
  <c r="F578" i="13"/>
  <c r="G578" i="13"/>
  <c r="H578" i="13"/>
  <c r="I578" i="13"/>
  <c r="J578" i="13"/>
  <c r="K578" i="13"/>
  <c r="L578" i="13"/>
  <c r="M578" i="13"/>
  <c r="N578" i="13"/>
  <c r="A579" i="13"/>
  <c r="B579" i="13"/>
  <c r="C579" i="13"/>
  <c r="D579" i="13"/>
  <c r="E579" i="13"/>
  <c r="F579" i="13"/>
  <c r="G579" i="13"/>
  <c r="H579" i="13"/>
  <c r="I579" i="13"/>
  <c r="J579" i="13"/>
  <c r="K579" i="13"/>
  <c r="L579" i="13"/>
  <c r="M579" i="13"/>
  <c r="N579" i="13"/>
  <c r="A580" i="13"/>
  <c r="B580" i="13"/>
  <c r="C580" i="13"/>
  <c r="D580" i="13"/>
  <c r="E580" i="13"/>
  <c r="F580" i="13"/>
  <c r="G580" i="13"/>
  <c r="H580" i="13"/>
  <c r="I580" i="13"/>
  <c r="J580" i="13"/>
  <c r="K580" i="13"/>
  <c r="L580" i="13"/>
  <c r="M580" i="13"/>
  <c r="N580" i="13"/>
  <c r="A581" i="13"/>
  <c r="B581" i="13"/>
  <c r="C581" i="13"/>
  <c r="D581" i="13"/>
  <c r="E581" i="13"/>
  <c r="F581" i="13"/>
  <c r="G581" i="13"/>
  <c r="H581" i="13"/>
  <c r="I581" i="13"/>
  <c r="J581" i="13"/>
  <c r="K581" i="13"/>
  <c r="L581" i="13"/>
  <c r="M581" i="13"/>
  <c r="N581" i="13"/>
  <c r="O555" i="13"/>
  <c r="O556" i="13"/>
  <c r="O557" i="13"/>
  <c r="O558" i="13"/>
  <c r="O559" i="13"/>
  <c r="O560" i="13"/>
  <c r="O561" i="13"/>
  <c r="O562" i="13"/>
  <c r="O563" i="13"/>
  <c r="O554" i="13"/>
  <c r="A554" i="13"/>
  <c r="B554" i="13"/>
  <c r="C554" i="13"/>
  <c r="D554" i="13"/>
  <c r="E554" i="13"/>
  <c r="F554" i="13"/>
  <c r="G554" i="13"/>
  <c r="H554" i="13"/>
  <c r="I554" i="13"/>
  <c r="J554" i="13"/>
  <c r="K554" i="13"/>
  <c r="L554" i="13"/>
  <c r="M554" i="13"/>
  <c r="N554" i="13"/>
  <c r="A555" i="13"/>
  <c r="B555" i="13"/>
  <c r="C555" i="13"/>
  <c r="D555" i="13"/>
  <c r="E555" i="13"/>
  <c r="F555" i="13"/>
  <c r="G555" i="13"/>
  <c r="H555" i="13"/>
  <c r="I555" i="13"/>
  <c r="J555" i="13"/>
  <c r="K555" i="13"/>
  <c r="L555" i="13"/>
  <c r="M555" i="13"/>
  <c r="N555" i="13"/>
  <c r="A556" i="13"/>
  <c r="B556" i="13"/>
  <c r="C556" i="13"/>
  <c r="D556" i="13"/>
  <c r="E556" i="13"/>
  <c r="F556" i="13"/>
  <c r="G556" i="13"/>
  <c r="H556" i="13"/>
  <c r="I556" i="13"/>
  <c r="J556" i="13"/>
  <c r="K556" i="13"/>
  <c r="L556" i="13"/>
  <c r="M556" i="13"/>
  <c r="N556" i="13"/>
  <c r="A557" i="13"/>
  <c r="B557" i="13"/>
  <c r="C557" i="13"/>
  <c r="D557" i="13"/>
  <c r="E557" i="13"/>
  <c r="F557" i="13"/>
  <c r="G557" i="13"/>
  <c r="H557" i="13"/>
  <c r="I557" i="13"/>
  <c r="J557" i="13"/>
  <c r="K557" i="13"/>
  <c r="L557" i="13"/>
  <c r="M557" i="13"/>
  <c r="N557" i="13"/>
  <c r="A558" i="13"/>
  <c r="B558" i="13"/>
  <c r="C558" i="13"/>
  <c r="D558" i="13"/>
  <c r="E558" i="13"/>
  <c r="F558" i="13"/>
  <c r="G558" i="13"/>
  <c r="H558" i="13"/>
  <c r="I558" i="13"/>
  <c r="J558" i="13"/>
  <c r="K558" i="13"/>
  <c r="L558" i="13"/>
  <c r="M558" i="13"/>
  <c r="N558" i="13"/>
  <c r="A559" i="13"/>
  <c r="B559" i="13"/>
  <c r="C559" i="13"/>
  <c r="D559" i="13"/>
  <c r="E559" i="13"/>
  <c r="F559" i="13"/>
  <c r="G559" i="13"/>
  <c r="H559" i="13"/>
  <c r="I559" i="13"/>
  <c r="J559" i="13"/>
  <c r="K559" i="13"/>
  <c r="L559" i="13"/>
  <c r="M559" i="13"/>
  <c r="N559" i="13"/>
  <c r="A560" i="13"/>
  <c r="B560" i="13"/>
  <c r="C560" i="13"/>
  <c r="D560" i="13"/>
  <c r="E560" i="13"/>
  <c r="F560" i="13"/>
  <c r="G560" i="13"/>
  <c r="H560" i="13"/>
  <c r="I560" i="13"/>
  <c r="J560" i="13"/>
  <c r="K560" i="13"/>
  <c r="L560" i="13"/>
  <c r="M560" i="13"/>
  <c r="N560" i="13"/>
  <c r="A561" i="13"/>
  <c r="B561" i="13"/>
  <c r="C561" i="13"/>
  <c r="D561" i="13"/>
  <c r="E561" i="13"/>
  <c r="F561" i="13"/>
  <c r="G561" i="13"/>
  <c r="H561" i="13"/>
  <c r="I561" i="13"/>
  <c r="J561" i="13"/>
  <c r="K561" i="13"/>
  <c r="L561" i="13"/>
  <c r="M561" i="13"/>
  <c r="N561" i="13"/>
  <c r="A562" i="13"/>
  <c r="B562" i="13"/>
  <c r="C562" i="13"/>
  <c r="D562" i="13"/>
  <c r="E562" i="13"/>
  <c r="F562" i="13"/>
  <c r="G562" i="13"/>
  <c r="H562" i="13"/>
  <c r="I562" i="13"/>
  <c r="J562" i="13"/>
  <c r="K562" i="13"/>
  <c r="L562" i="13"/>
  <c r="M562" i="13"/>
  <c r="N562" i="13"/>
  <c r="A563" i="13"/>
  <c r="B563" i="13"/>
  <c r="C563" i="13"/>
  <c r="D563" i="13"/>
  <c r="E563" i="13"/>
  <c r="F563" i="13"/>
  <c r="G563" i="13"/>
  <c r="H563" i="13"/>
  <c r="I563" i="13"/>
  <c r="J563" i="13"/>
  <c r="K563" i="13"/>
  <c r="L563" i="13"/>
  <c r="M563" i="13"/>
  <c r="N563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38" i="13"/>
  <c r="A538" i="13"/>
  <c r="B538" i="13"/>
  <c r="C538" i="13"/>
  <c r="D538" i="13"/>
  <c r="E538" i="13"/>
  <c r="F538" i="13"/>
  <c r="G538" i="13"/>
  <c r="H538" i="13"/>
  <c r="I538" i="13"/>
  <c r="J538" i="13"/>
  <c r="K538" i="13"/>
  <c r="L538" i="13"/>
  <c r="M538" i="13"/>
  <c r="N538" i="13"/>
  <c r="A539" i="13"/>
  <c r="B539" i="13"/>
  <c r="C539" i="13"/>
  <c r="D539" i="13"/>
  <c r="E539" i="13"/>
  <c r="F539" i="13"/>
  <c r="G539" i="13"/>
  <c r="H539" i="13"/>
  <c r="I539" i="13"/>
  <c r="J539" i="13"/>
  <c r="K539" i="13"/>
  <c r="L539" i="13"/>
  <c r="M539" i="13"/>
  <c r="N539" i="13"/>
  <c r="A540" i="13"/>
  <c r="B540" i="13"/>
  <c r="C540" i="13"/>
  <c r="D540" i="13"/>
  <c r="E540" i="13"/>
  <c r="F540" i="13"/>
  <c r="G540" i="13"/>
  <c r="H540" i="13"/>
  <c r="I540" i="13"/>
  <c r="J540" i="13"/>
  <c r="K540" i="13"/>
  <c r="L540" i="13"/>
  <c r="M540" i="13"/>
  <c r="N540" i="13"/>
  <c r="A541" i="13"/>
  <c r="B541" i="13"/>
  <c r="C541" i="13"/>
  <c r="D541" i="13"/>
  <c r="E541" i="13"/>
  <c r="F541" i="13"/>
  <c r="G541" i="13"/>
  <c r="H541" i="13"/>
  <c r="I541" i="13"/>
  <c r="J541" i="13"/>
  <c r="K541" i="13"/>
  <c r="L541" i="13"/>
  <c r="M541" i="13"/>
  <c r="N541" i="13"/>
  <c r="A542" i="13"/>
  <c r="B542" i="13"/>
  <c r="C542" i="13"/>
  <c r="D542" i="13"/>
  <c r="E542" i="13"/>
  <c r="F542" i="13"/>
  <c r="G542" i="13"/>
  <c r="H542" i="13"/>
  <c r="I542" i="13"/>
  <c r="J542" i="13"/>
  <c r="K542" i="13"/>
  <c r="L542" i="13"/>
  <c r="M542" i="13"/>
  <c r="N542" i="13"/>
  <c r="A543" i="13"/>
  <c r="B543" i="13"/>
  <c r="C543" i="13"/>
  <c r="D543" i="13"/>
  <c r="E543" i="13"/>
  <c r="F543" i="13"/>
  <c r="G543" i="13"/>
  <c r="H543" i="13"/>
  <c r="I543" i="13"/>
  <c r="J543" i="13"/>
  <c r="K543" i="13"/>
  <c r="L543" i="13"/>
  <c r="M543" i="13"/>
  <c r="N543" i="13"/>
  <c r="A544" i="13"/>
  <c r="B544" i="13"/>
  <c r="C544" i="13"/>
  <c r="D544" i="13"/>
  <c r="E544" i="13"/>
  <c r="F544" i="13"/>
  <c r="G544" i="13"/>
  <c r="H544" i="13"/>
  <c r="I544" i="13"/>
  <c r="J544" i="13"/>
  <c r="K544" i="13"/>
  <c r="L544" i="13"/>
  <c r="M544" i="13"/>
  <c r="N544" i="13"/>
  <c r="A545" i="13"/>
  <c r="B545" i="13"/>
  <c r="C545" i="13"/>
  <c r="D545" i="13"/>
  <c r="E545" i="13"/>
  <c r="F545" i="13"/>
  <c r="G545" i="13"/>
  <c r="H545" i="13"/>
  <c r="I545" i="13"/>
  <c r="J545" i="13"/>
  <c r="K545" i="13"/>
  <c r="L545" i="13"/>
  <c r="M545" i="13"/>
  <c r="N545" i="13"/>
  <c r="A546" i="13"/>
  <c r="B546" i="13"/>
  <c r="C546" i="13"/>
  <c r="D546" i="13"/>
  <c r="E546" i="13"/>
  <c r="F546" i="13"/>
  <c r="G546" i="13"/>
  <c r="H546" i="13"/>
  <c r="I546" i="13"/>
  <c r="J546" i="13"/>
  <c r="K546" i="13"/>
  <c r="L546" i="13"/>
  <c r="M546" i="13"/>
  <c r="N546" i="13"/>
  <c r="A547" i="13"/>
  <c r="B547" i="13"/>
  <c r="C547" i="13"/>
  <c r="D547" i="13"/>
  <c r="E547" i="13"/>
  <c r="F547" i="13"/>
  <c r="G547" i="13"/>
  <c r="H547" i="13"/>
  <c r="I547" i="13"/>
  <c r="J547" i="13"/>
  <c r="K547" i="13"/>
  <c r="L547" i="13"/>
  <c r="M547" i="13"/>
  <c r="N547" i="13"/>
  <c r="A548" i="13"/>
  <c r="B548" i="13"/>
  <c r="C548" i="13"/>
  <c r="D548" i="13"/>
  <c r="E548" i="13"/>
  <c r="F548" i="13"/>
  <c r="G548" i="13"/>
  <c r="H548" i="13"/>
  <c r="I548" i="13"/>
  <c r="J548" i="13"/>
  <c r="K548" i="13"/>
  <c r="L548" i="13"/>
  <c r="M548" i="13"/>
  <c r="N548" i="13"/>
  <c r="A549" i="13"/>
  <c r="B549" i="13"/>
  <c r="C549" i="13"/>
  <c r="D549" i="13"/>
  <c r="E549" i="13"/>
  <c r="F549" i="13"/>
  <c r="G549" i="13"/>
  <c r="H549" i="13"/>
  <c r="I549" i="13"/>
  <c r="J549" i="13"/>
  <c r="K549" i="13"/>
  <c r="L549" i="13"/>
  <c r="M549" i="13"/>
  <c r="N549" i="13"/>
  <c r="A550" i="13"/>
  <c r="B550" i="13"/>
  <c r="C550" i="13"/>
  <c r="D550" i="13"/>
  <c r="E550" i="13"/>
  <c r="F550" i="13"/>
  <c r="G550" i="13"/>
  <c r="H550" i="13"/>
  <c r="I550" i="13"/>
  <c r="J550" i="13"/>
  <c r="K550" i="13"/>
  <c r="L550" i="13"/>
  <c r="M550" i="13"/>
  <c r="N550" i="13"/>
  <c r="A551" i="13"/>
  <c r="B551" i="13"/>
  <c r="C551" i="13"/>
  <c r="D551" i="13"/>
  <c r="E551" i="13"/>
  <c r="F551" i="13"/>
  <c r="G551" i="13"/>
  <c r="H551" i="13"/>
  <c r="I551" i="13"/>
  <c r="J551" i="13"/>
  <c r="K551" i="13"/>
  <c r="L551" i="13"/>
  <c r="M551" i="13"/>
  <c r="N551" i="13"/>
  <c r="A552" i="13"/>
  <c r="B552" i="13"/>
  <c r="C552" i="13"/>
  <c r="D552" i="13"/>
  <c r="E552" i="13"/>
  <c r="F552" i="13"/>
  <c r="G552" i="13"/>
  <c r="H552" i="13"/>
  <c r="I552" i="13"/>
  <c r="J552" i="13"/>
  <c r="K552" i="13"/>
  <c r="L552" i="13"/>
  <c r="M552" i="13"/>
  <c r="N552" i="13"/>
  <c r="A553" i="13"/>
  <c r="B553" i="13"/>
  <c r="C553" i="13"/>
  <c r="D553" i="13"/>
  <c r="E553" i="13"/>
  <c r="F553" i="13"/>
  <c r="G553" i="13"/>
  <c r="H553" i="13"/>
  <c r="I553" i="13"/>
  <c r="J553" i="13"/>
  <c r="K553" i="13"/>
  <c r="L553" i="13"/>
  <c r="M553" i="13"/>
  <c r="N55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23" i="13"/>
  <c r="A523" i="13"/>
  <c r="B523" i="13"/>
  <c r="C523" i="13"/>
  <c r="D523" i="13"/>
  <c r="E523" i="13"/>
  <c r="F523" i="13"/>
  <c r="G523" i="13"/>
  <c r="H523" i="13"/>
  <c r="I523" i="13"/>
  <c r="J523" i="13"/>
  <c r="K523" i="13"/>
  <c r="L523" i="13"/>
  <c r="M523" i="13"/>
  <c r="N523" i="13"/>
  <c r="A524" i="13"/>
  <c r="B524" i="13"/>
  <c r="C524" i="13"/>
  <c r="D524" i="13"/>
  <c r="E524" i="13"/>
  <c r="F524" i="13"/>
  <c r="G524" i="13"/>
  <c r="H524" i="13"/>
  <c r="I524" i="13"/>
  <c r="J524" i="13"/>
  <c r="K524" i="13"/>
  <c r="L524" i="13"/>
  <c r="M524" i="13"/>
  <c r="N524" i="13"/>
  <c r="A525" i="13"/>
  <c r="B525" i="13"/>
  <c r="C525" i="13"/>
  <c r="D525" i="13"/>
  <c r="E525" i="13"/>
  <c r="F525" i="13"/>
  <c r="G525" i="13"/>
  <c r="H525" i="13"/>
  <c r="I525" i="13"/>
  <c r="J525" i="13"/>
  <c r="K525" i="13"/>
  <c r="L525" i="13"/>
  <c r="M525" i="13"/>
  <c r="N525" i="13"/>
  <c r="A526" i="13"/>
  <c r="B526" i="13"/>
  <c r="C526" i="13"/>
  <c r="D526" i="13"/>
  <c r="E526" i="13"/>
  <c r="F526" i="13"/>
  <c r="G526" i="13"/>
  <c r="H526" i="13"/>
  <c r="I526" i="13"/>
  <c r="J526" i="13"/>
  <c r="K526" i="13"/>
  <c r="L526" i="13"/>
  <c r="M526" i="13"/>
  <c r="N526" i="13"/>
  <c r="A527" i="13"/>
  <c r="B527" i="13"/>
  <c r="C527" i="13"/>
  <c r="D527" i="13"/>
  <c r="E527" i="13"/>
  <c r="F527" i="13"/>
  <c r="G527" i="13"/>
  <c r="H527" i="13"/>
  <c r="I527" i="13"/>
  <c r="J527" i="13"/>
  <c r="K527" i="13"/>
  <c r="L527" i="13"/>
  <c r="M527" i="13"/>
  <c r="N527" i="13"/>
  <c r="A528" i="13"/>
  <c r="B528" i="13"/>
  <c r="C528" i="13"/>
  <c r="D528" i="13"/>
  <c r="E528" i="13"/>
  <c r="F528" i="13"/>
  <c r="G528" i="13"/>
  <c r="H528" i="13"/>
  <c r="I528" i="13"/>
  <c r="J528" i="13"/>
  <c r="K528" i="13"/>
  <c r="L528" i="13"/>
  <c r="M528" i="13"/>
  <c r="N528" i="13"/>
  <c r="A529" i="13"/>
  <c r="B529" i="13"/>
  <c r="C529" i="13"/>
  <c r="D529" i="13"/>
  <c r="E529" i="13"/>
  <c r="F529" i="13"/>
  <c r="G529" i="13"/>
  <c r="H529" i="13"/>
  <c r="I529" i="13"/>
  <c r="J529" i="13"/>
  <c r="K529" i="13"/>
  <c r="L529" i="13"/>
  <c r="M529" i="13"/>
  <c r="N529" i="13"/>
  <c r="A530" i="13"/>
  <c r="B530" i="13"/>
  <c r="C530" i="13"/>
  <c r="D530" i="13"/>
  <c r="E530" i="13"/>
  <c r="F530" i="13"/>
  <c r="G530" i="13"/>
  <c r="H530" i="13"/>
  <c r="I530" i="13"/>
  <c r="J530" i="13"/>
  <c r="K530" i="13"/>
  <c r="L530" i="13"/>
  <c r="M530" i="13"/>
  <c r="N530" i="13"/>
  <c r="A531" i="13"/>
  <c r="B531" i="13"/>
  <c r="C531" i="13"/>
  <c r="D531" i="13"/>
  <c r="E531" i="13"/>
  <c r="F531" i="13"/>
  <c r="G531" i="13"/>
  <c r="H531" i="13"/>
  <c r="I531" i="13"/>
  <c r="J531" i="13"/>
  <c r="K531" i="13"/>
  <c r="L531" i="13"/>
  <c r="M531" i="13"/>
  <c r="N531" i="13"/>
  <c r="A532" i="13"/>
  <c r="B532" i="13"/>
  <c r="C532" i="13"/>
  <c r="D532" i="13"/>
  <c r="E532" i="13"/>
  <c r="F532" i="13"/>
  <c r="G532" i="13"/>
  <c r="H532" i="13"/>
  <c r="I532" i="13"/>
  <c r="J532" i="13"/>
  <c r="K532" i="13"/>
  <c r="L532" i="13"/>
  <c r="M532" i="13"/>
  <c r="N532" i="13"/>
  <c r="A533" i="13"/>
  <c r="B533" i="13"/>
  <c r="C533" i="13"/>
  <c r="D533" i="13"/>
  <c r="E533" i="13"/>
  <c r="F533" i="13"/>
  <c r="G533" i="13"/>
  <c r="H533" i="13"/>
  <c r="I533" i="13"/>
  <c r="J533" i="13"/>
  <c r="K533" i="13"/>
  <c r="L533" i="13"/>
  <c r="M533" i="13"/>
  <c r="N533" i="13"/>
  <c r="A534" i="13"/>
  <c r="B534" i="13"/>
  <c r="C534" i="13"/>
  <c r="D534" i="13"/>
  <c r="E534" i="13"/>
  <c r="F534" i="13"/>
  <c r="G534" i="13"/>
  <c r="H534" i="13"/>
  <c r="I534" i="13"/>
  <c r="J534" i="13"/>
  <c r="K534" i="13"/>
  <c r="L534" i="13"/>
  <c r="M534" i="13"/>
  <c r="N534" i="13"/>
  <c r="A535" i="13"/>
  <c r="B535" i="13"/>
  <c r="C535" i="13"/>
  <c r="D535" i="13"/>
  <c r="E535" i="13"/>
  <c r="F535" i="13"/>
  <c r="G535" i="13"/>
  <c r="H535" i="13"/>
  <c r="I535" i="13"/>
  <c r="J535" i="13"/>
  <c r="K535" i="13"/>
  <c r="L535" i="13"/>
  <c r="M535" i="13"/>
  <c r="N535" i="13"/>
  <c r="A536" i="13"/>
  <c r="B536" i="13"/>
  <c r="C536" i="13"/>
  <c r="D536" i="13"/>
  <c r="E536" i="13"/>
  <c r="F536" i="13"/>
  <c r="G536" i="13"/>
  <c r="H536" i="13"/>
  <c r="I536" i="13"/>
  <c r="J536" i="13"/>
  <c r="K536" i="13"/>
  <c r="L536" i="13"/>
  <c r="M536" i="13"/>
  <c r="N536" i="13"/>
  <c r="A537" i="13"/>
  <c r="B537" i="13"/>
  <c r="C537" i="13"/>
  <c r="D537" i="13"/>
  <c r="E537" i="13"/>
  <c r="F537" i="13"/>
  <c r="G537" i="13"/>
  <c r="H537" i="13"/>
  <c r="I537" i="13"/>
  <c r="J537" i="13"/>
  <c r="K537" i="13"/>
  <c r="L537" i="13"/>
  <c r="M537" i="13"/>
  <c r="N537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08" i="13"/>
  <c r="A508" i="13"/>
  <c r="B508" i="13"/>
  <c r="C508" i="13"/>
  <c r="D508" i="13"/>
  <c r="E508" i="13"/>
  <c r="F508" i="13"/>
  <c r="G508" i="13"/>
  <c r="H508" i="13"/>
  <c r="I508" i="13"/>
  <c r="J508" i="13"/>
  <c r="K508" i="13"/>
  <c r="L508" i="13"/>
  <c r="M508" i="13"/>
  <c r="N508" i="13"/>
  <c r="A509" i="13"/>
  <c r="B509" i="13"/>
  <c r="C509" i="13"/>
  <c r="D509" i="13"/>
  <c r="E509" i="13"/>
  <c r="F509" i="13"/>
  <c r="G509" i="13"/>
  <c r="H509" i="13"/>
  <c r="I509" i="13"/>
  <c r="J509" i="13"/>
  <c r="K509" i="13"/>
  <c r="L509" i="13"/>
  <c r="M509" i="13"/>
  <c r="N509" i="13"/>
  <c r="A510" i="13"/>
  <c r="B510" i="13"/>
  <c r="C510" i="13"/>
  <c r="D510" i="13"/>
  <c r="E510" i="13"/>
  <c r="F510" i="13"/>
  <c r="G510" i="13"/>
  <c r="H510" i="13"/>
  <c r="I510" i="13"/>
  <c r="J510" i="13"/>
  <c r="K510" i="13"/>
  <c r="L510" i="13"/>
  <c r="M510" i="13"/>
  <c r="N510" i="13"/>
  <c r="A511" i="13"/>
  <c r="B511" i="13"/>
  <c r="C511" i="13"/>
  <c r="D511" i="13"/>
  <c r="E511" i="13"/>
  <c r="F511" i="13"/>
  <c r="G511" i="13"/>
  <c r="H511" i="13"/>
  <c r="I511" i="13"/>
  <c r="J511" i="13"/>
  <c r="K511" i="13"/>
  <c r="L511" i="13"/>
  <c r="M511" i="13"/>
  <c r="N511" i="13"/>
  <c r="A512" i="13"/>
  <c r="B512" i="13"/>
  <c r="C512" i="13"/>
  <c r="D512" i="13"/>
  <c r="E512" i="13"/>
  <c r="F512" i="13"/>
  <c r="G512" i="13"/>
  <c r="H512" i="13"/>
  <c r="I512" i="13"/>
  <c r="J512" i="13"/>
  <c r="K512" i="13"/>
  <c r="L512" i="13"/>
  <c r="M512" i="13"/>
  <c r="N512" i="13"/>
  <c r="A513" i="13"/>
  <c r="B513" i="13"/>
  <c r="C513" i="13"/>
  <c r="D513" i="13"/>
  <c r="E513" i="13"/>
  <c r="F513" i="13"/>
  <c r="G513" i="13"/>
  <c r="H513" i="13"/>
  <c r="I513" i="13"/>
  <c r="J513" i="13"/>
  <c r="K513" i="13"/>
  <c r="L513" i="13"/>
  <c r="M513" i="13"/>
  <c r="N513" i="13"/>
  <c r="A514" i="13"/>
  <c r="B514" i="13"/>
  <c r="C514" i="13"/>
  <c r="D514" i="13"/>
  <c r="E514" i="13"/>
  <c r="F514" i="13"/>
  <c r="G514" i="13"/>
  <c r="H514" i="13"/>
  <c r="I514" i="13"/>
  <c r="J514" i="13"/>
  <c r="K514" i="13"/>
  <c r="L514" i="13"/>
  <c r="M514" i="13"/>
  <c r="N514" i="13"/>
  <c r="A515" i="13"/>
  <c r="B515" i="13"/>
  <c r="C515" i="13"/>
  <c r="D515" i="13"/>
  <c r="E515" i="13"/>
  <c r="F515" i="13"/>
  <c r="G515" i="13"/>
  <c r="H515" i="13"/>
  <c r="I515" i="13"/>
  <c r="J515" i="13"/>
  <c r="K515" i="13"/>
  <c r="L515" i="13"/>
  <c r="M515" i="13"/>
  <c r="N515" i="13"/>
  <c r="A516" i="13"/>
  <c r="B516" i="13"/>
  <c r="C516" i="13"/>
  <c r="D516" i="13"/>
  <c r="E516" i="13"/>
  <c r="F516" i="13"/>
  <c r="G516" i="13"/>
  <c r="H516" i="13"/>
  <c r="I516" i="13"/>
  <c r="J516" i="13"/>
  <c r="K516" i="13"/>
  <c r="L516" i="13"/>
  <c r="M516" i="13"/>
  <c r="N516" i="13"/>
  <c r="A517" i="13"/>
  <c r="B517" i="13"/>
  <c r="C517" i="13"/>
  <c r="D517" i="13"/>
  <c r="E517" i="13"/>
  <c r="F517" i="13"/>
  <c r="G517" i="13"/>
  <c r="H517" i="13"/>
  <c r="I517" i="13"/>
  <c r="J517" i="13"/>
  <c r="K517" i="13"/>
  <c r="L517" i="13"/>
  <c r="M517" i="13"/>
  <c r="N517" i="13"/>
  <c r="A518" i="13"/>
  <c r="B518" i="13"/>
  <c r="C518" i="13"/>
  <c r="D518" i="13"/>
  <c r="E518" i="13"/>
  <c r="F518" i="13"/>
  <c r="G518" i="13"/>
  <c r="H518" i="13"/>
  <c r="I518" i="13"/>
  <c r="J518" i="13"/>
  <c r="K518" i="13"/>
  <c r="L518" i="13"/>
  <c r="M518" i="13"/>
  <c r="N518" i="13"/>
  <c r="A519" i="13"/>
  <c r="B519" i="13"/>
  <c r="C519" i="13"/>
  <c r="D519" i="13"/>
  <c r="E519" i="13"/>
  <c r="F519" i="13"/>
  <c r="G519" i="13"/>
  <c r="H519" i="13"/>
  <c r="I519" i="13"/>
  <c r="J519" i="13"/>
  <c r="K519" i="13"/>
  <c r="L519" i="13"/>
  <c r="M519" i="13"/>
  <c r="N519" i="13"/>
  <c r="A520" i="13"/>
  <c r="B520" i="13"/>
  <c r="C520" i="13"/>
  <c r="D520" i="13"/>
  <c r="E520" i="13"/>
  <c r="F520" i="13"/>
  <c r="G520" i="13"/>
  <c r="H520" i="13"/>
  <c r="I520" i="13"/>
  <c r="J520" i="13"/>
  <c r="K520" i="13"/>
  <c r="L520" i="13"/>
  <c r="M520" i="13"/>
  <c r="N520" i="13"/>
  <c r="A521" i="13"/>
  <c r="B521" i="13"/>
  <c r="C521" i="13"/>
  <c r="D521" i="13"/>
  <c r="E521" i="13"/>
  <c r="F521" i="13"/>
  <c r="G521" i="13"/>
  <c r="H521" i="13"/>
  <c r="I521" i="13"/>
  <c r="J521" i="13"/>
  <c r="K521" i="13"/>
  <c r="L521" i="13"/>
  <c r="M521" i="13"/>
  <c r="N521" i="13"/>
  <c r="A522" i="13"/>
  <c r="B522" i="13"/>
  <c r="C522" i="13"/>
  <c r="D522" i="13"/>
  <c r="E522" i="13"/>
  <c r="F522" i="13"/>
  <c r="G522" i="13"/>
  <c r="H522" i="13"/>
  <c r="I522" i="13"/>
  <c r="J522" i="13"/>
  <c r="K522" i="13"/>
  <c r="L522" i="13"/>
  <c r="M522" i="13"/>
  <c r="N522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493" i="13"/>
  <c r="A493" i="13"/>
  <c r="B493" i="13"/>
  <c r="C493" i="13"/>
  <c r="D493" i="13"/>
  <c r="E493" i="13"/>
  <c r="F493" i="13"/>
  <c r="G493" i="13"/>
  <c r="H493" i="13"/>
  <c r="I493" i="13"/>
  <c r="J493" i="13"/>
  <c r="K493" i="13"/>
  <c r="L493" i="13"/>
  <c r="M493" i="13"/>
  <c r="N493" i="13"/>
  <c r="A494" i="13"/>
  <c r="B494" i="13"/>
  <c r="C494" i="13"/>
  <c r="D494" i="13"/>
  <c r="E494" i="13"/>
  <c r="F494" i="13"/>
  <c r="G494" i="13"/>
  <c r="H494" i="13"/>
  <c r="I494" i="13"/>
  <c r="J494" i="13"/>
  <c r="K494" i="13"/>
  <c r="L494" i="13"/>
  <c r="M494" i="13"/>
  <c r="N494" i="13"/>
  <c r="A495" i="13"/>
  <c r="B495" i="13"/>
  <c r="C495" i="13"/>
  <c r="D495" i="13"/>
  <c r="E495" i="13"/>
  <c r="F495" i="13"/>
  <c r="G495" i="13"/>
  <c r="H495" i="13"/>
  <c r="I495" i="13"/>
  <c r="J495" i="13"/>
  <c r="K495" i="13"/>
  <c r="L495" i="13"/>
  <c r="M495" i="13"/>
  <c r="N495" i="13"/>
  <c r="A496" i="13"/>
  <c r="B496" i="13"/>
  <c r="C496" i="13"/>
  <c r="D496" i="13"/>
  <c r="E496" i="13"/>
  <c r="F496" i="13"/>
  <c r="G496" i="13"/>
  <c r="H496" i="13"/>
  <c r="I496" i="13"/>
  <c r="J496" i="13"/>
  <c r="K496" i="13"/>
  <c r="L496" i="13"/>
  <c r="M496" i="13"/>
  <c r="N496" i="13"/>
  <c r="A497" i="13"/>
  <c r="B497" i="13"/>
  <c r="C497" i="13"/>
  <c r="D497" i="13"/>
  <c r="E497" i="13"/>
  <c r="F497" i="13"/>
  <c r="G497" i="13"/>
  <c r="H497" i="13"/>
  <c r="I497" i="13"/>
  <c r="J497" i="13"/>
  <c r="K497" i="13"/>
  <c r="L497" i="13"/>
  <c r="M497" i="13"/>
  <c r="N497" i="13"/>
  <c r="A498" i="13"/>
  <c r="B498" i="13"/>
  <c r="C498" i="13"/>
  <c r="D498" i="13"/>
  <c r="E498" i="13"/>
  <c r="F498" i="13"/>
  <c r="G498" i="13"/>
  <c r="H498" i="13"/>
  <c r="I498" i="13"/>
  <c r="J498" i="13"/>
  <c r="K498" i="13"/>
  <c r="L498" i="13"/>
  <c r="M498" i="13"/>
  <c r="N498" i="13"/>
  <c r="A499" i="13"/>
  <c r="B499" i="13"/>
  <c r="C499" i="13"/>
  <c r="D499" i="13"/>
  <c r="E499" i="13"/>
  <c r="F499" i="13"/>
  <c r="G499" i="13"/>
  <c r="H499" i="13"/>
  <c r="I499" i="13"/>
  <c r="J499" i="13"/>
  <c r="K499" i="13"/>
  <c r="L499" i="13"/>
  <c r="M499" i="13"/>
  <c r="N499" i="13"/>
  <c r="A500" i="13"/>
  <c r="B500" i="13"/>
  <c r="C500" i="13"/>
  <c r="D500" i="13"/>
  <c r="E500" i="13"/>
  <c r="F500" i="13"/>
  <c r="G500" i="13"/>
  <c r="H500" i="13"/>
  <c r="I500" i="13"/>
  <c r="J500" i="13"/>
  <c r="K500" i="13"/>
  <c r="L500" i="13"/>
  <c r="M500" i="13"/>
  <c r="N500" i="13"/>
  <c r="A501" i="13"/>
  <c r="B501" i="13"/>
  <c r="C501" i="13"/>
  <c r="D501" i="13"/>
  <c r="E501" i="13"/>
  <c r="F501" i="13"/>
  <c r="G501" i="13"/>
  <c r="H501" i="13"/>
  <c r="I501" i="13"/>
  <c r="J501" i="13"/>
  <c r="K501" i="13"/>
  <c r="L501" i="13"/>
  <c r="M501" i="13"/>
  <c r="N501" i="13"/>
  <c r="A502" i="13"/>
  <c r="B502" i="13"/>
  <c r="C502" i="13"/>
  <c r="D502" i="13"/>
  <c r="E502" i="13"/>
  <c r="F502" i="13"/>
  <c r="G502" i="13"/>
  <c r="H502" i="13"/>
  <c r="I502" i="13"/>
  <c r="J502" i="13"/>
  <c r="K502" i="13"/>
  <c r="L502" i="13"/>
  <c r="M502" i="13"/>
  <c r="N502" i="13"/>
  <c r="A503" i="13"/>
  <c r="B503" i="13"/>
  <c r="C503" i="13"/>
  <c r="D503" i="13"/>
  <c r="E503" i="13"/>
  <c r="F503" i="13"/>
  <c r="G503" i="13"/>
  <c r="H503" i="13"/>
  <c r="I503" i="13"/>
  <c r="J503" i="13"/>
  <c r="K503" i="13"/>
  <c r="L503" i="13"/>
  <c r="M503" i="13"/>
  <c r="N503" i="13"/>
  <c r="A504" i="13"/>
  <c r="B504" i="13"/>
  <c r="C504" i="13"/>
  <c r="D504" i="13"/>
  <c r="E504" i="13"/>
  <c r="F504" i="13"/>
  <c r="G504" i="13"/>
  <c r="H504" i="13"/>
  <c r="I504" i="13"/>
  <c r="J504" i="13"/>
  <c r="K504" i="13"/>
  <c r="L504" i="13"/>
  <c r="M504" i="13"/>
  <c r="N504" i="13"/>
  <c r="A505" i="13"/>
  <c r="B505" i="13"/>
  <c r="C505" i="13"/>
  <c r="D505" i="13"/>
  <c r="E505" i="13"/>
  <c r="F505" i="13"/>
  <c r="G505" i="13"/>
  <c r="H505" i="13"/>
  <c r="I505" i="13"/>
  <c r="J505" i="13"/>
  <c r="K505" i="13"/>
  <c r="L505" i="13"/>
  <c r="M505" i="13"/>
  <c r="N505" i="13"/>
  <c r="A506" i="13"/>
  <c r="B506" i="13"/>
  <c r="C506" i="13"/>
  <c r="D506" i="13"/>
  <c r="E506" i="13"/>
  <c r="F506" i="13"/>
  <c r="G506" i="13"/>
  <c r="H506" i="13"/>
  <c r="I506" i="13"/>
  <c r="J506" i="13"/>
  <c r="K506" i="13"/>
  <c r="L506" i="13"/>
  <c r="M506" i="13"/>
  <c r="N506" i="13"/>
  <c r="A507" i="13"/>
  <c r="B507" i="13"/>
  <c r="C507" i="13"/>
  <c r="D507" i="13"/>
  <c r="E507" i="13"/>
  <c r="F507" i="13"/>
  <c r="G507" i="13"/>
  <c r="H507" i="13"/>
  <c r="I507" i="13"/>
  <c r="J507" i="13"/>
  <c r="K507" i="13"/>
  <c r="L507" i="13"/>
  <c r="M507" i="13"/>
  <c r="N507" i="13"/>
  <c r="O482" i="13"/>
  <c r="O483" i="13"/>
  <c r="O484" i="13"/>
  <c r="O485" i="13"/>
  <c r="O486" i="13"/>
  <c r="O487" i="13"/>
  <c r="O488" i="13"/>
  <c r="O489" i="13"/>
  <c r="O490" i="13"/>
  <c r="O491" i="13"/>
  <c r="O492" i="13"/>
  <c r="O481" i="13"/>
  <c r="A481" i="13"/>
  <c r="B481" i="13"/>
  <c r="C481" i="13"/>
  <c r="D481" i="13"/>
  <c r="E481" i="13"/>
  <c r="F481" i="13"/>
  <c r="G481" i="13"/>
  <c r="H481" i="13"/>
  <c r="I481" i="13"/>
  <c r="J481" i="13"/>
  <c r="K481" i="13"/>
  <c r="L481" i="13"/>
  <c r="M481" i="13"/>
  <c r="N481" i="13"/>
  <c r="A482" i="13"/>
  <c r="B482" i="13"/>
  <c r="C482" i="13"/>
  <c r="D482" i="13"/>
  <c r="E482" i="13"/>
  <c r="F482" i="13"/>
  <c r="G482" i="13"/>
  <c r="H482" i="13"/>
  <c r="I482" i="13"/>
  <c r="J482" i="13"/>
  <c r="K482" i="13"/>
  <c r="L482" i="13"/>
  <c r="M482" i="13"/>
  <c r="N482" i="13"/>
  <c r="A483" i="13"/>
  <c r="B483" i="13"/>
  <c r="C483" i="13"/>
  <c r="D483" i="13"/>
  <c r="E483" i="13"/>
  <c r="F483" i="13"/>
  <c r="G483" i="13"/>
  <c r="H483" i="13"/>
  <c r="I483" i="13"/>
  <c r="J483" i="13"/>
  <c r="K483" i="13"/>
  <c r="L483" i="13"/>
  <c r="M483" i="13"/>
  <c r="N483" i="13"/>
  <c r="A484" i="13"/>
  <c r="B484" i="13"/>
  <c r="C484" i="13"/>
  <c r="D484" i="13"/>
  <c r="E484" i="13"/>
  <c r="F484" i="13"/>
  <c r="G484" i="13"/>
  <c r="H484" i="13"/>
  <c r="I484" i="13"/>
  <c r="J484" i="13"/>
  <c r="K484" i="13"/>
  <c r="L484" i="13"/>
  <c r="M484" i="13"/>
  <c r="N484" i="13"/>
  <c r="A485" i="13"/>
  <c r="B485" i="13"/>
  <c r="C485" i="13"/>
  <c r="D485" i="13"/>
  <c r="E485" i="13"/>
  <c r="F485" i="13"/>
  <c r="G485" i="13"/>
  <c r="H485" i="13"/>
  <c r="I485" i="13"/>
  <c r="J485" i="13"/>
  <c r="K485" i="13"/>
  <c r="L485" i="13"/>
  <c r="M485" i="13"/>
  <c r="N485" i="13"/>
  <c r="A486" i="13"/>
  <c r="B486" i="13"/>
  <c r="C486" i="13"/>
  <c r="D486" i="13"/>
  <c r="E486" i="13"/>
  <c r="F486" i="13"/>
  <c r="G486" i="13"/>
  <c r="H486" i="13"/>
  <c r="I486" i="13"/>
  <c r="J486" i="13"/>
  <c r="K486" i="13"/>
  <c r="L486" i="13"/>
  <c r="M486" i="13"/>
  <c r="N486" i="13"/>
  <c r="A487" i="13"/>
  <c r="B487" i="13"/>
  <c r="C487" i="13"/>
  <c r="D487" i="13"/>
  <c r="E487" i="13"/>
  <c r="F487" i="13"/>
  <c r="G487" i="13"/>
  <c r="H487" i="13"/>
  <c r="I487" i="13"/>
  <c r="J487" i="13"/>
  <c r="K487" i="13"/>
  <c r="L487" i="13"/>
  <c r="M487" i="13"/>
  <c r="N487" i="13"/>
  <c r="A488" i="13"/>
  <c r="B488" i="13"/>
  <c r="C488" i="13"/>
  <c r="D488" i="13"/>
  <c r="E488" i="13"/>
  <c r="F488" i="13"/>
  <c r="G488" i="13"/>
  <c r="H488" i="13"/>
  <c r="I488" i="13"/>
  <c r="J488" i="13"/>
  <c r="K488" i="13"/>
  <c r="L488" i="13"/>
  <c r="M488" i="13"/>
  <c r="N488" i="13"/>
  <c r="A489" i="13"/>
  <c r="B489" i="13"/>
  <c r="C489" i="13"/>
  <c r="D489" i="13"/>
  <c r="E489" i="13"/>
  <c r="F489" i="13"/>
  <c r="G489" i="13"/>
  <c r="H489" i="13"/>
  <c r="I489" i="13"/>
  <c r="J489" i="13"/>
  <c r="K489" i="13"/>
  <c r="L489" i="13"/>
  <c r="M489" i="13"/>
  <c r="N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M490" i="13"/>
  <c r="N490" i="13"/>
  <c r="A491" i="13"/>
  <c r="B491" i="13"/>
  <c r="C491" i="13"/>
  <c r="D491" i="13"/>
  <c r="E491" i="13"/>
  <c r="F491" i="13"/>
  <c r="G491" i="13"/>
  <c r="H491" i="13"/>
  <c r="I491" i="13"/>
  <c r="J491" i="13"/>
  <c r="K491" i="13"/>
  <c r="L491" i="13"/>
  <c r="M491" i="13"/>
  <c r="N491" i="13"/>
  <c r="A492" i="13"/>
  <c r="B492" i="13"/>
  <c r="C492" i="13"/>
  <c r="D492" i="13"/>
  <c r="E492" i="13"/>
  <c r="F492" i="13"/>
  <c r="G492" i="13"/>
  <c r="H492" i="13"/>
  <c r="I492" i="13"/>
  <c r="J492" i="13"/>
  <c r="K492" i="13"/>
  <c r="L492" i="13"/>
  <c r="M492" i="13"/>
  <c r="N492" i="13"/>
  <c r="O470" i="13"/>
  <c r="O471" i="13"/>
  <c r="O472" i="13"/>
  <c r="O473" i="13"/>
  <c r="O474" i="13"/>
  <c r="O475" i="13"/>
  <c r="O476" i="13"/>
  <c r="O477" i="13"/>
  <c r="O478" i="13"/>
  <c r="O479" i="13"/>
  <c r="O480" i="13"/>
  <c r="O469" i="13"/>
  <c r="A469" i="13"/>
  <c r="B469" i="13"/>
  <c r="C469" i="13"/>
  <c r="D469" i="13"/>
  <c r="E469" i="13"/>
  <c r="F469" i="13"/>
  <c r="G469" i="13"/>
  <c r="H469" i="13"/>
  <c r="I469" i="13"/>
  <c r="J469" i="13"/>
  <c r="K469" i="13"/>
  <c r="L469" i="13"/>
  <c r="M469" i="13"/>
  <c r="N469" i="13"/>
  <c r="A470" i="13"/>
  <c r="B470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A471" i="13"/>
  <c r="B471" i="13"/>
  <c r="C471" i="13"/>
  <c r="D471" i="13"/>
  <c r="E471" i="13"/>
  <c r="F471" i="13"/>
  <c r="G471" i="13"/>
  <c r="H471" i="13"/>
  <c r="I471" i="13"/>
  <c r="J471" i="13"/>
  <c r="K471" i="13"/>
  <c r="L471" i="13"/>
  <c r="M471" i="13"/>
  <c r="N471" i="13"/>
  <c r="A472" i="13"/>
  <c r="B472" i="13"/>
  <c r="C472" i="13"/>
  <c r="D472" i="13"/>
  <c r="E472" i="13"/>
  <c r="F472" i="13"/>
  <c r="G472" i="13"/>
  <c r="H472" i="13"/>
  <c r="I472" i="13"/>
  <c r="J472" i="13"/>
  <c r="K472" i="13"/>
  <c r="L472" i="13"/>
  <c r="M472" i="13"/>
  <c r="N472" i="13"/>
  <c r="A473" i="13"/>
  <c r="B473" i="13"/>
  <c r="C473" i="13"/>
  <c r="D473" i="13"/>
  <c r="E473" i="13"/>
  <c r="F473" i="13"/>
  <c r="G473" i="13"/>
  <c r="H473" i="13"/>
  <c r="I473" i="13"/>
  <c r="J473" i="13"/>
  <c r="K473" i="13"/>
  <c r="L473" i="13"/>
  <c r="M473" i="13"/>
  <c r="N473" i="13"/>
  <c r="A474" i="13"/>
  <c r="B474" i="13"/>
  <c r="C474" i="13"/>
  <c r="D474" i="13"/>
  <c r="E474" i="13"/>
  <c r="F474" i="13"/>
  <c r="G474" i="13"/>
  <c r="H474" i="13"/>
  <c r="I474" i="13"/>
  <c r="J474" i="13"/>
  <c r="K474" i="13"/>
  <c r="L474" i="13"/>
  <c r="M474" i="13"/>
  <c r="N474" i="13"/>
  <c r="A475" i="13"/>
  <c r="B475" i="13"/>
  <c r="C475" i="13"/>
  <c r="D475" i="13"/>
  <c r="E475" i="13"/>
  <c r="F475" i="13"/>
  <c r="G475" i="13"/>
  <c r="H475" i="13"/>
  <c r="I475" i="13"/>
  <c r="J475" i="13"/>
  <c r="K475" i="13"/>
  <c r="L475" i="13"/>
  <c r="M475" i="13"/>
  <c r="N475" i="13"/>
  <c r="A476" i="13"/>
  <c r="B476" i="13"/>
  <c r="C476" i="13"/>
  <c r="D476" i="13"/>
  <c r="E476" i="13"/>
  <c r="F476" i="13"/>
  <c r="G476" i="13"/>
  <c r="H476" i="13"/>
  <c r="I476" i="13"/>
  <c r="J476" i="13"/>
  <c r="K476" i="13"/>
  <c r="L476" i="13"/>
  <c r="M476" i="13"/>
  <c r="N476" i="13"/>
  <c r="A477" i="13"/>
  <c r="B477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A478" i="13"/>
  <c r="B478" i="13"/>
  <c r="C478" i="13"/>
  <c r="D478" i="13"/>
  <c r="E478" i="13"/>
  <c r="F478" i="13"/>
  <c r="G478" i="13"/>
  <c r="H478" i="13"/>
  <c r="I478" i="13"/>
  <c r="J478" i="13"/>
  <c r="K478" i="13"/>
  <c r="L478" i="13"/>
  <c r="M478" i="13"/>
  <c r="N478" i="13"/>
  <c r="A479" i="13"/>
  <c r="B479" i="13"/>
  <c r="C479" i="13"/>
  <c r="D479" i="13"/>
  <c r="E479" i="13"/>
  <c r="F479" i="13"/>
  <c r="G479" i="13"/>
  <c r="H479" i="13"/>
  <c r="I479" i="13"/>
  <c r="J479" i="13"/>
  <c r="K479" i="13"/>
  <c r="L479" i="13"/>
  <c r="M479" i="13"/>
  <c r="N479" i="13"/>
  <c r="A480" i="13"/>
  <c r="B480" i="13"/>
  <c r="C480" i="13"/>
  <c r="D480" i="13"/>
  <c r="E480" i="13"/>
  <c r="F480" i="13"/>
  <c r="G480" i="13"/>
  <c r="H480" i="13"/>
  <c r="I480" i="13"/>
  <c r="J480" i="13"/>
  <c r="K480" i="13"/>
  <c r="L480" i="13"/>
  <c r="M480" i="13"/>
  <c r="N480" i="13"/>
  <c r="O461" i="13"/>
  <c r="O462" i="13"/>
  <c r="O463" i="13"/>
  <c r="O464" i="13"/>
  <c r="O465" i="13"/>
  <c r="O466" i="13"/>
  <c r="O467" i="13"/>
  <c r="O468" i="13"/>
  <c r="O460" i="13"/>
  <c r="A460" i="13"/>
  <c r="B460" i="13"/>
  <c r="C460" i="13"/>
  <c r="D460" i="13"/>
  <c r="E460" i="13"/>
  <c r="F460" i="13"/>
  <c r="G460" i="13"/>
  <c r="H460" i="13"/>
  <c r="I460" i="13"/>
  <c r="J460" i="13"/>
  <c r="K460" i="13"/>
  <c r="L460" i="13"/>
  <c r="M460" i="13"/>
  <c r="N460" i="13"/>
  <c r="A461" i="13"/>
  <c r="B461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A462" i="13"/>
  <c r="B462" i="13"/>
  <c r="C462" i="13"/>
  <c r="D462" i="13"/>
  <c r="E462" i="13"/>
  <c r="F462" i="13"/>
  <c r="G462" i="13"/>
  <c r="H462" i="13"/>
  <c r="I462" i="13"/>
  <c r="J462" i="13"/>
  <c r="K462" i="13"/>
  <c r="L462" i="13"/>
  <c r="M462" i="13"/>
  <c r="N462" i="13"/>
  <c r="A463" i="13"/>
  <c r="B463" i="13"/>
  <c r="C463" i="13"/>
  <c r="D463" i="13"/>
  <c r="E463" i="13"/>
  <c r="F463" i="13"/>
  <c r="G463" i="13"/>
  <c r="H463" i="13"/>
  <c r="I463" i="13"/>
  <c r="J463" i="13"/>
  <c r="K463" i="13"/>
  <c r="L463" i="13"/>
  <c r="M463" i="13"/>
  <c r="N463" i="13"/>
  <c r="A464" i="13"/>
  <c r="B464" i="13"/>
  <c r="C464" i="13"/>
  <c r="D464" i="13"/>
  <c r="E464" i="13"/>
  <c r="F464" i="13"/>
  <c r="G464" i="13"/>
  <c r="H464" i="13"/>
  <c r="I464" i="13"/>
  <c r="J464" i="13"/>
  <c r="K464" i="13"/>
  <c r="L464" i="13"/>
  <c r="M464" i="13"/>
  <c r="N464" i="13"/>
  <c r="A465" i="13"/>
  <c r="B465" i="13"/>
  <c r="C465" i="13"/>
  <c r="D465" i="13"/>
  <c r="E465" i="13"/>
  <c r="F465" i="13"/>
  <c r="G465" i="13"/>
  <c r="H465" i="13"/>
  <c r="I465" i="13"/>
  <c r="J465" i="13"/>
  <c r="K465" i="13"/>
  <c r="L465" i="13"/>
  <c r="M465" i="13"/>
  <c r="N465" i="13"/>
  <c r="A466" i="13"/>
  <c r="B466" i="13"/>
  <c r="C466" i="13"/>
  <c r="D466" i="13"/>
  <c r="E466" i="13"/>
  <c r="F466" i="13"/>
  <c r="G466" i="13"/>
  <c r="H466" i="13"/>
  <c r="I466" i="13"/>
  <c r="J466" i="13"/>
  <c r="K466" i="13"/>
  <c r="L466" i="13"/>
  <c r="M466" i="13"/>
  <c r="N466" i="13"/>
  <c r="A467" i="13"/>
  <c r="B467" i="13"/>
  <c r="C467" i="13"/>
  <c r="D467" i="13"/>
  <c r="E467" i="13"/>
  <c r="F467" i="13"/>
  <c r="G467" i="13"/>
  <c r="H467" i="13"/>
  <c r="I467" i="13"/>
  <c r="J467" i="13"/>
  <c r="K467" i="13"/>
  <c r="L467" i="13"/>
  <c r="M467" i="13"/>
  <c r="N467" i="13"/>
  <c r="A468" i="13"/>
  <c r="B468" i="13"/>
  <c r="C468" i="13"/>
  <c r="D468" i="13"/>
  <c r="E468" i="13"/>
  <c r="F468" i="13"/>
  <c r="G468" i="13"/>
  <c r="H468" i="13"/>
  <c r="I468" i="13"/>
  <c r="J468" i="13"/>
  <c r="K468" i="13"/>
  <c r="L468" i="13"/>
  <c r="M468" i="13"/>
  <c r="N468" i="13"/>
  <c r="O449" i="13"/>
  <c r="O450" i="13"/>
  <c r="O451" i="13"/>
  <c r="O452" i="13"/>
  <c r="O453" i="13"/>
  <c r="O454" i="13"/>
  <c r="O455" i="13"/>
  <c r="O456" i="13"/>
  <c r="O457" i="13"/>
  <c r="O458" i="13"/>
  <c r="O459" i="13"/>
  <c r="O448" i="13"/>
  <c r="A448" i="13"/>
  <c r="B448" i="13"/>
  <c r="C448" i="13"/>
  <c r="D448" i="13"/>
  <c r="E448" i="13"/>
  <c r="F448" i="13"/>
  <c r="G448" i="13"/>
  <c r="H448" i="13"/>
  <c r="I448" i="13"/>
  <c r="J448" i="13"/>
  <c r="K448" i="13"/>
  <c r="L448" i="13"/>
  <c r="M448" i="13"/>
  <c r="N448" i="13"/>
  <c r="A449" i="13"/>
  <c r="B449" i="13"/>
  <c r="C449" i="13"/>
  <c r="D449" i="13"/>
  <c r="E449" i="13"/>
  <c r="F449" i="13"/>
  <c r="G449" i="13"/>
  <c r="H449" i="13"/>
  <c r="I449" i="13"/>
  <c r="J449" i="13"/>
  <c r="K449" i="13"/>
  <c r="L449" i="13"/>
  <c r="M449" i="13"/>
  <c r="N449" i="13"/>
  <c r="A450" i="13"/>
  <c r="B450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A451" i="13"/>
  <c r="B451" i="13"/>
  <c r="C451" i="13"/>
  <c r="D451" i="13"/>
  <c r="E451" i="13"/>
  <c r="F451" i="13"/>
  <c r="G451" i="13"/>
  <c r="H451" i="13"/>
  <c r="I451" i="13"/>
  <c r="J451" i="13"/>
  <c r="K451" i="13"/>
  <c r="L451" i="13"/>
  <c r="M451" i="13"/>
  <c r="N451" i="13"/>
  <c r="A452" i="13"/>
  <c r="B452" i="13"/>
  <c r="C452" i="13"/>
  <c r="D452" i="13"/>
  <c r="E452" i="13"/>
  <c r="F452" i="13"/>
  <c r="G452" i="13"/>
  <c r="H452" i="13"/>
  <c r="I452" i="13"/>
  <c r="J452" i="13"/>
  <c r="K452" i="13"/>
  <c r="L452" i="13"/>
  <c r="M452" i="13"/>
  <c r="N452" i="13"/>
  <c r="A453" i="13"/>
  <c r="B453" i="13"/>
  <c r="C453" i="13"/>
  <c r="D453" i="13"/>
  <c r="E453" i="13"/>
  <c r="F453" i="13"/>
  <c r="G453" i="13"/>
  <c r="H453" i="13"/>
  <c r="I453" i="13"/>
  <c r="J453" i="13"/>
  <c r="K453" i="13"/>
  <c r="L453" i="13"/>
  <c r="M453" i="13"/>
  <c r="N453" i="13"/>
  <c r="A454" i="13"/>
  <c r="B454" i="13"/>
  <c r="C454" i="13"/>
  <c r="D454" i="13"/>
  <c r="E454" i="13"/>
  <c r="F454" i="13"/>
  <c r="G454" i="13"/>
  <c r="H454" i="13"/>
  <c r="I454" i="13"/>
  <c r="J454" i="13"/>
  <c r="K454" i="13"/>
  <c r="L454" i="13"/>
  <c r="M454" i="13"/>
  <c r="N454" i="13"/>
  <c r="A455" i="13"/>
  <c r="B455" i="13"/>
  <c r="C455" i="13"/>
  <c r="D455" i="13"/>
  <c r="E455" i="13"/>
  <c r="F455" i="13"/>
  <c r="G455" i="13"/>
  <c r="H455" i="13"/>
  <c r="I455" i="13"/>
  <c r="J455" i="13"/>
  <c r="K455" i="13"/>
  <c r="L455" i="13"/>
  <c r="M455" i="13"/>
  <c r="N455" i="13"/>
  <c r="A456" i="13"/>
  <c r="B456" i="13"/>
  <c r="C456" i="13"/>
  <c r="D456" i="13"/>
  <c r="E456" i="13"/>
  <c r="F456" i="13"/>
  <c r="G456" i="13"/>
  <c r="H456" i="13"/>
  <c r="I456" i="13"/>
  <c r="J456" i="13"/>
  <c r="K456" i="13"/>
  <c r="L456" i="13"/>
  <c r="M456" i="13"/>
  <c r="N456" i="13"/>
  <c r="A457" i="13"/>
  <c r="B457" i="13"/>
  <c r="C457" i="13"/>
  <c r="D457" i="13"/>
  <c r="E457" i="13"/>
  <c r="F457" i="13"/>
  <c r="G457" i="13"/>
  <c r="H457" i="13"/>
  <c r="I457" i="13"/>
  <c r="J457" i="13"/>
  <c r="K457" i="13"/>
  <c r="L457" i="13"/>
  <c r="M457" i="13"/>
  <c r="N457" i="13"/>
  <c r="A458" i="13"/>
  <c r="B458" i="13"/>
  <c r="C458" i="13"/>
  <c r="D458" i="13"/>
  <c r="E458" i="13"/>
  <c r="F458" i="13"/>
  <c r="G458" i="13"/>
  <c r="H458" i="13"/>
  <c r="I458" i="13"/>
  <c r="J458" i="13"/>
  <c r="K458" i="13"/>
  <c r="L458" i="13"/>
  <c r="M458" i="13"/>
  <c r="N458" i="13"/>
  <c r="A459" i="13"/>
  <c r="B459" i="13"/>
  <c r="C459" i="13"/>
  <c r="D459" i="13"/>
  <c r="E459" i="13"/>
  <c r="F459" i="13"/>
  <c r="G459" i="13"/>
  <c r="H459" i="13"/>
  <c r="I459" i="13"/>
  <c r="J459" i="13"/>
  <c r="K459" i="13"/>
  <c r="L459" i="13"/>
  <c r="M459" i="13"/>
  <c r="N459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31" i="13"/>
  <c r="A431" i="13"/>
  <c r="B431" i="13"/>
  <c r="C431" i="13"/>
  <c r="D431" i="13"/>
  <c r="E431" i="13"/>
  <c r="F431" i="13"/>
  <c r="G431" i="13"/>
  <c r="H431" i="13"/>
  <c r="I431" i="13"/>
  <c r="J431" i="13"/>
  <c r="K431" i="13"/>
  <c r="L431" i="13"/>
  <c r="M431" i="13"/>
  <c r="N431" i="13"/>
  <c r="A432" i="13"/>
  <c r="B432" i="13"/>
  <c r="C432" i="13"/>
  <c r="D432" i="13"/>
  <c r="E432" i="13"/>
  <c r="F432" i="13"/>
  <c r="G432" i="13"/>
  <c r="H432" i="13"/>
  <c r="I432" i="13"/>
  <c r="J432" i="13"/>
  <c r="K432" i="13"/>
  <c r="L432" i="13"/>
  <c r="M432" i="13"/>
  <c r="N432" i="13"/>
  <c r="A433" i="13"/>
  <c r="B433" i="13"/>
  <c r="C433" i="13"/>
  <c r="D433" i="13"/>
  <c r="E433" i="13"/>
  <c r="F433" i="13"/>
  <c r="G433" i="13"/>
  <c r="H433" i="13"/>
  <c r="I433" i="13"/>
  <c r="J433" i="13"/>
  <c r="K433" i="13"/>
  <c r="L433" i="13"/>
  <c r="M433" i="13"/>
  <c r="N433" i="13"/>
  <c r="A434" i="13"/>
  <c r="B434" i="13"/>
  <c r="C434" i="13"/>
  <c r="D434" i="13"/>
  <c r="E434" i="13"/>
  <c r="F434" i="13"/>
  <c r="G434" i="13"/>
  <c r="H434" i="13"/>
  <c r="I434" i="13"/>
  <c r="J434" i="13"/>
  <c r="K434" i="13"/>
  <c r="L434" i="13"/>
  <c r="M434" i="13"/>
  <c r="N434" i="13"/>
  <c r="A435" i="13"/>
  <c r="B435" i="13"/>
  <c r="C435" i="13"/>
  <c r="D435" i="13"/>
  <c r="E435" i="13"/>
  <c r="F435" i="13"/>
  <c r="G435" i="13"/>
  <c r="H435" i="13"/>
  <c r="I435" i="13"/>
  <c r="J435" i="13"/>
  <c r="K435" i="13"/>
  <c r="L435" i="13"/>
  <c r="M435" i="13"/>
  <c r="N435" i="13"/>
  <c r="A436" i="13"/>
  <c r="B436" i="13"/>
  <c r="C436" i="13"/>
  <c r="D436" i="13"/>
  <c r="E436" i="13"/>
  <c r="F436" i="13"/>
  <c r="G436" i="13"/>
  <c r="H436" i="13"/>
  <c r="I436" i="13"/>
  <c r="J436" i="13"/>
  <c r="K436" i="13"/>
  <c r="L436" i="13"/>
  <c r="M436" i="13"/>
  <c r="N436" i="13"/>
  <c r="A437" i="13"/>
  <c r="B437" i="13"/>
  <c r="C437" i="13"/>
  <c r="D437" i="13"/>
  <c r="E437" i="13"/>
  <c r="F437" i="13"/>
  <c r="G437" i="13"/>
  <c r="H437" i="13"/>
  <c r="I437" i="13"/>
  <c r="J437" i="13"/>
  <c r="K437" i="13"/>
  <c r="L437" i="13"/>
  <c r="M437" i="13"/>
  <c r="N437" i="13"/>
  <c r="A438" i="13"/>
  <c r="B438" i="13"/>
  <c r="C438" i="13"/>
  <c r="D438" i="13"/>
  <c r="E438" i="13"/>
  <c r="F438" i="13"/>
  <c r="G438" i="13"/>
  <c r="H438" i="13"/>
  <c r="I438" i="13"/>
  <c r="J438" i="13"/>
  <c r="K438" i="13"/>
  <c r="L438" i="13"/>
  <c r="M438" i="13"/>
  <c r="N438" i="13"/>
  <c r="A439" i="13"/>
  <c r="B439" i="13"/>
  <c r="C439" i="13"/>
  <c r="D439" i="13"/>
  <c r="E439" i="13"/>
  <c r="F439" i="13"/>
  <c r="G439" i="13"/>
  <c r="H439" i="13"/>
  <c r="I439" i="13"/>
  <c r="J439" i="13"/>
  <c r="K439" i="13"/>
  <c r="L439" i="13"/>
  <c r="M439" i="13"/>
  <c r="N439" i="13"/>
  <c r="A440" i="13"/>
  <c r="B440" i="13"/>
  <c r="C440" i="13"/>
  <c r="D440" i="13"/>
  <c r="E440" i="13"/>
  <c r="F440" i="13"/>
  <c r="G440" i="13"/>
  <c r="H440" i="13"/>
  <c r="I440" i="13"/>
  <c r="J440" i="13"/>
  <c r="K440" i="13"/>
  <c r="L440" i="13"/>
  <c r="M440" i="13"/>
  <c r="N440" i="13"/>
  <c r="A441" i="13"/>
  <c r="B441" i="13"/>
  <c r="C441" i="13"/>
  <c r="D441" i="13"/>
  <c r="E441" i="13"/>
  <c r="F441" i="13"/>
  <c r="G441" i="13"/>
  <c r="H441" i="13"/>
  <c r="I441" i="13"/>
  <c r="J441" i="13"/>
  <c r="K441" i="13"/>
  <c r="L441" i="13"/>
  <c r="M441" i="13"/>
  <c r="N441" i="13"/>
  <c r="A442" i="13"/>
  <c r="B442" i="13"/>
  <c r="C442" i="13"/>
  <c r="D442" i="13"/>
  <c r="E442" i="13"/>
  <c r="F442" i="13"/>
  <c r="G442" i="13"/>
  <c r="H442" i="13"/>
  <c r="I442" i="13"/>
  <c r="J442" i="13"/>
  <c r="K442" i="13"/>
  <c r="L442" i="13"/>
  <c r="M442" i="13"/>
  <c r="N442" i="13"/>
  <c r="A443" i="13"/>
  <c r="B443" i="13"/>
  <c r="C443" i="13"/>
  <c r="D443" i="13"/>
  <c r="E443" i="13"/>
  <c r="F443" i="13"/>
  <c r="G443" i="13"/>
  <c r="H443" i="13"/>
  <c r="I443" i="13"/>
  <c r="J443" i="13"/>
  <c r="K443" i="13"/>
  <c r="L443" i="13"/>
  <c r="M443" i="13"/>
  <c r="N443" i="13"/>
  <c r="A444" i="13"/>
  <c r="B444" i="13"/>
  <c r="C444" i="13"/>
  <c r="D444" i="13"/>
  <c r="E444" i="13"/>
  <c r="F444" i="13"/>
  <c r="G444" i="13"/>
  <c r="H444" i="13"/>
  <c r="I444" i="13"/>
  <c r="J444" i="13"/>
  <c r="K444" i="13"/>
  <c r="L444" i="13"/>
  <c r="M444" i="13"/>
  <c r="N444" i="13"/>
  <c r="A445" i="13"/>
  <c r="B445" i="13"/>
  <c r="C445" i="13"/>
  <c r="D445" i="13"/>
  <c r="E445" i="13"/>
  <c r="F445" i="13"/>
  <c r="G445" i="13"/>
  <c r="H445" i="13"/>
  <c r="I445" i="13"/>
  <c r="J445" i="13"/>
  <c r="K445" i="13"/>
  <c r="L445" i="13"/>
  <c r="M445" i="13"/>
  <c r="N445" i="13"/>
  <c r="A446" i="13"/>
  <c r="B446" i="13"/>
  <c r="C446" i="13"/>
  <c r="D446" i="13"/>
  <c r="E446" i="13"/>
  <c r="F446" i="13"/>
  <c r="G446" i="13"/>
  <c r="H446" i="13"/>
  <c r="I446" i="13"/>
  <c r="J446" i="13"/>
  <c r="K446" i="13"/>
  <c r="L446" i="13"/>
  <c r="M446" i="13"/>
  <c r="N446" i="13"/>
  <c r="A447" i="13"/>
  <c r="B447" i="13"/>
  <c r="C447" i="13"/>
  <c r="D447" i="13"/>
  <c r="E447" i="13"/>
  <c r="F447" i="13"/>
  <c r="G447" i="13"/>
  <c r="H447" i="13"/>
  <c r="I447" i="13"/>
  <c r="J447" i="13"/>
  <c r="K447" i="13"/>
  <c r="L447" i="13"/>
  <c r="M447" i="13"/>
  <c r="N447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09" i="13"/>
  <c r="A409" i="13"/>
  <c r="B409" i="13"/>
  <c r="C409" i="13"/>
  <c r="D409" i="13"/>
  <c r="E409" i="13"/>
  <c r="F409" i="13"/>
  <c r="G409" i="13"/>
  <c r="H409" i="13"/>
  <c r="I409" i="13"/>
  <c r="J409" i="13"/>
  <c r="K409" i="13"/>
  <c r="L409" i="13"/>
  <c r="M409" i="13"/>
  <c r="N409" i="13"/>
  <c r="A410" i="13"/>
  <c r="B410" i="13"/>
  <c r="C410" i="13"/>
  <c r="D410" i="13"/>
  <c r="E410" i="13"/>
  <c r="F410" i="13"/>
  <c r="G410" i="13"/>
  <c r="H410" i="13"/>
  <c r="I410" i="13"/>
  <c r="J410" i="13"/>
  <c r="K410" i="13"/>
  <c r="L410" i="13"/>
  <c r="M410" i="13"/>
  <c r="N410" i="13"/>
  <c r="A411" i="13"/>
  <c r="B411" i="13"/>
  <c r="C411" i="13"/>
  <c r="D411" i="13"/>
  <c r="E411" i="13"/>
  <c r="F411" i="13"/>
  <c r="G411" i="13"/>
  <c r="H411" i="13"/>
  <c r="I411" i="13"/>
  <c r="J411" i="13"/>
  <c r="K411" i="13"/>
  <c r="L411" i="13"/>
  <c r="M411" i="13"/>
  <c r="N411" i="13"/>
  <c r="A412" i="13"/>
  <c r="B412" i="13"/>
  <c r="C412" i="13"/>
  <c r="D412" i="13"/>
  <c r="E412" i="13"/>
  <c r="F412" i="13"/>
  <c r="G412" i="13"/>
  <c r="H412" i="13"/>
  <c r="I412" i="13"/>
  <c r="J412" i="13"/>
  <c r="K412" i="13"/>
  <c r="L412" i="13"/>
  <c r="M412" i="13"/>
  <c r="N412" i="13"/>
  <c r="A413" i="13"/>
  <c r="B413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A414" i="13"/>
  <c r="B414" i="13"/>
  <c r="C414" i="13"/>
  <c r="D414" i="13"/>
  <c r="E414" i="13"/>
  <c r="F414" i="13"/>
  <c r="G414" i="13"/>
  <c r="H414" i="13"/>
  <c r="I414" i="13"/>
  <c r="J414" i="13"/>
  <c r="K414" i="13"/>
  <c r="L414" i="13"/>
  <c r="M414" i="13"/>
  <c r="N414" i="13"/>
  <c r="A415" i="13"/>
  <c r="B415" i="13"/>
  <c r="C415" i="13"/>
  <c r="D415" i="13"/>
  <c r="E415" i="13"/>
  <c r="F415" i="13"/>
  <c r="G415" i="13"/>
  <c r="H415" i="13"/>
  <c r="I415" i="13"/>
  <c r="J415" i="13"/>
  <c r="K415" i="13"/>
  <c r="L415" i="13"/>
  <c r="M415" i="13"/>
  <c r="N415" i="13"/>
  <c r="A416" i="13"/>
  <c r="B416" i="13"/>
  <c r="C416" i="13"/>
  <c r="D416" i="13"/>
  <c r="E416" i="13"/>
  <c r="F416" i="13"/>
  <c r="G416" i="13"/>
  <c r="H416" i="13"/>
  <c r="I416" i="13"/>
  <c r="J416" i="13"/>
  <c r="K416" i="13"/>
  <c r="L416" i="13"/>
  <c r="M416" i="13"/>
  <c r="N416" i="13"/>
  <c r="A417" i="13"/>
  <c r="B417" i="13"/>
  <c r="C417" i="13"/>
  <c r="D417" i="13"/>
  <c r="E417" i="13"/>
  <c r="F417" i="13"/>
  <c r="G417" i="13"/>
  <c r="H417" i="13"/>
  <c r="I417" i="13"/>
  <c r="J417" i="13"/>
  <c r="K417" i="13"/>
  <c r="L417" i="13"/>
  <c r="M417" i="13"/>
  <c r="N417" i="13"/>
  <c r="A418" i="13"/>
  <c r="B418" i="13"/>
  <c r="C418" i="13"/>
  <c r="D418" i="13"/>
  <c r="E418" i="13"/>
  <c r="F418" i="13"/>
  <c r="G418" i="13"/>
  <c r="H418" i="13"/>
  <c r="I418" i="13"/>
  <c r="J418" i="13"/>
  <c r="K418" i="13"/>
  <c r="L418" i="13"/>
  <c r="M418" i="13"/>
  <c r="N418" i="13"/>
  <c r="A419" i="13"/>
  <c r="B419" i="13"/>
  <c r="C419" i="13"/>
  <c r="D419" i="13"/>
  <c r="E419" i="13"/>
  <c r="F419" i="13"/>
  <c r="G419" i="13"/>
  <c r="H419" i="13"/>
  <c r="I419" i="13"/>
  <c r="J419" i="13"/>
  <c r="K419" i="13"/>
  <c r="L419" i="13"/>
  <c r="M419" i="13"/>
  <c r="N419" i="13"/>
  <c r="A420" i="13"/>
  <c r="B420" i="13"/>
  <c r="C420" i="13"/>
  <c r="D420" i="13"/>
  <c r="E420" i="13"/>
  <c r="F420" i="13"/>
  <c r="G420" i="13"/>
  <c r="H420" i="13"/>
  <c r="I420" i="13"/>
  <c r="J420" i="13"/>
  <c r="K420" i="13"/>
  <c r="L420" i="13"/>
  <c r="M420" i="13"/>
  <c r="N420" i="13"/>
  <c r="A421" i="13"/>
  <c r="B421" i="13"/>
  <c r="C421" i="13"/>
  <c r="D421" i="13"/>
  <c r="E421" i="13"/>
  <c r="F421" i="13"/>
  <c r="G421" i="13"/>
  <c r="H421" i="13"/>
  <c r="I421" i="13"/>
  <c r="J421" i="13"/>
  <c r="K421" i="13"/>
  <c r="L421" i="13"/>
  <c r="M421" i="13"/>
  <c r="N421" i="13"/>
  <c r="A422" i="13"/>
  <c r="B422" i="13"/>
  <c r="C422" i="13"/>
  <c r="D422" i="13"/>
  <c r="E422" i="13"/>
  <c r="F422" i="13"/>
  <c r="G422" i="13"/>
  <c r="H422" i="13"/>
  <c r="I422" i="13"/>
  <c r="J422" i="13"/>
  <c r="K422" i="13"/>
  <c r="L422" i="13"/>
  <c r="M422" i="13"/>
  <c r="N422" i="13"/>
  <c r="A423" i="13"/>
  <c r="B423" i="13"/>
  <c r="C423" i="13"/>
  <c r="D423" i="13"/>
  <c r="E423" i="13"/>
  <c r="F423" i="13"/>
  <c r="G423" i="13"/>
  <c r="H423" i="13"/>
  <c r="I423" i="13"/>
  <c r="J423" i="13"/>
  <c r="K423" i="13"/>
  <c r="L423" i="13"/>
  <c r="M423" i="13"/>
  <c r="N423" i="13"/>
  <c r="A424" i="13"/>
  <c r="B424" i="13"/>
  <c r="C424" i="13"/>
  <c r="D424" i="13"/>
  <c r="E424" i="13"/>
  <c r="F424" i="13"/>
  <c r="G424" i="13"/>
  <c r="H424" i="13"/>
  <c r="I424" i="13"/>
  <c r="J424" i="13"/>
  <c r="K424" i="13"/>
  <c r="L424" i="13"/>
  <c r="M424" i="13"/>
  <c r="N424" i="13"/>
  <c r="A425" i="13"/>
  <c r="B425" i="13"/>
  <c r="C425" i="13"/>
  <c r="D425" i="13"/>
  <c r="E425" i="13"/>
  <c r="F425" i="13"/>
  <c r="G425" i="13"/>
  <c r="H425" i="13"/>
  <c r="I425" i="13"/>
  <c r="J425" i="13"/>
  <c r="K425" i="13"/>
  <c r="L425" i="13"/>
  <c r="M425" i="13"/>
  <c r="N425" i="13"/>
  <c r="A426" i="13"/>
  <c r="B426" i="13"/>
  <c r="C426" i="13"/>
  <c r="D426" i="13"/>
  <c r="E426" i="13"/>
  <c r="F426" i="13"/>
  <c r="G426" i="13"/>
  <c r="H426" i="13"/>
  <c r="I426" i="13"/>
  <c r="J426" i="13"/>
  <c r="K426" i="13"/>
  <c r="L426" i="13"/>
  <c r="M426" i="13"/>
  <c r="N426" i="13"/>
  <c r="A427" i="13"/>
  <c r="B427" i="13"/>
  <c r="C427" i="13"/>
  <c r="D427" i="13"/>
  <c r="E427" i="13"/>
  <c r="F427" i="13"/>
  <c r="G427" i="13"/>
  <c r="H427" i="13"/>
  <c r="I427" i="13"/>
  <c r="J427" i="13"/>
  <c r="K427" i="13"/>
  <c r="L427" i="13"/>
  <c r="M427" i="13"/>
  <c r="N427" i="13"/>
  <c r="A428" i="13"/>
  <c r="B428" i="13"/>
  <c r="C428" i="13"/>
  <c r="D428" i="13"/>
  <c r="E428" i="13"/>
  <c r="F428" i="13"/>
  <c r="G428" i="13"/>
  <c r="H428" i="13"/>
  <c r="I428" i="13"/>
  <c r="J428" i="13"/>
  <c r="K428" i="13"/>
  <c r="L428" i="13"/>
  <c r="M428" i="13"/>
  <c r="N428" i="13"/>
  <c r="A429" i="13"/>
  <c r="B429" i="13"/>
  <c r="C429" i="13"/>
  <c r="D429" i="13"/>
  <c r="E429" i="13"/>
  <c r="F429" i="13"/>
  <c r="G429" i="13"/>
  <c r="H429" i="13"/>
  <c r="I429" i="13"/>
  <c r="J429" i="13"/>
  <c r="K429" i="13"/>
  <c r="L429" i="13"/>
  <c r="M429" i="13"/>
  <c r="N429" i="13"/>
  <c r="A430" i="13"/>
  <c r="B430" i="13"/>
  <c r="C430" i="13"/>
  <c r="D430" i="13"/>
  <c r="E430" i="13"/>
  <c r="F430" i="13"/>
  <c r="G430" i="13"/>
  <c r="H430" i="13"/>
  <c r="I430" i="13"/>
  <c r="J430" i="13"/>
  <c r="K430" i="13"/>
  <c r="L430" i="13"/>
  <c r="M430" i="13"/>
  <c r="N430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393" i="13"/>
  <c r="A393" i="13"/>
  <c r="B393" i="13"/>
  <c r="C393" i="13"/>
  <c r="D393" i="13"/>
  <c r="E393" i="13"/>
  <c r="F393" i="13"/>
  <c r="G393" i="13"/>
  <c r="H393" i="13"/>
  <c r="I393" i="13"/>
  <c r="J393" i="13"/>
  <c r="K393" i="13"/>
  <c r="L393" i="13"/>
  <c r="M393" i="13"/>
  <c r="N393" i="13"/>
  <c r="A394" i="13"/>
  <c r="B394" i="13"/>
  <c r="C394" i="13"/>
  <c r="D394" i="13"/>
  <c r="E394" i="13"/>
  <c r="F394" i="13"/>
  <c r="G394" i="13"/>
  <c r="H394" i="13"/>
  <c r="I394" i="13"/>
  <c r="J394" i="13"/>
  <c r="K394" i="13"/>
  <c r="L394" i="13"/>
  <c r="M394" i="13"/>
  <c r="N394" i="13"/>
  <c r="A395" i="13"/>
  <c r="B395" i="13"/>
  <c r="C395" i="13"/>
  <c r="D395" i="13"/>
  <c r="E395" i="13"/>
  <c r="F395" i="13"/>
  <c r="G395" i="13"/>
  <c r="H395" i="13"/>
  <c r="I395" i="13"/>
  <c r="J395" i="13"/>
  <c r="K395" i="13"/>
  <c r="L395" i="13"/>
  <c r="M395" i="13"/>
  <c r="N395" i="13"/>
  <c r="A396" i="13"/>
  <c r="B396" i="13"/>
  <c r="C396" i="13"/>
  <c r="D396" i="13"/>
  <c r="E396" i="13"/>
  <c r="F396" i="13"/>
  <c r="G396" i="13"/>
  <c r="H396" i="13"/>
  <c r="I396" i="13"/>
  <c r="J396" i="13"/>
  <c r="K396" i="13"/>
  <c r="L396" i="13"/>
  <c r="M396" i="13"/>
  <c r="N396" i="13"/>
  <c r="A397" i="13"/>
  <c r="B397" i="13"/>
  <c r="C397" i="13"/>
  <c r="D397" i="13"/>
  <c r="E397" i="13"/>
  <c r="F397" i="13"/>
  <c r="G397" i="13"/>
  <c r="H397" i="13"/>
  <c r="I397" i="13"/>
  <c r="J397" i="13"/>
  <c r="K397" i="13"/>
  <c r="L397" i="13"/>
  <c r="M397" i="13"/>
  <c r="N397" i="13"/>
  <c r="A398" i="13"/>
  <c r="B398" i="13"/>
  <c r="C398" i="13"/>
  <c r="D398" i="13"/>
  <c r="E398" i="13"/>
  <c r="F398" i="13"/>
  <c r="G398" i="13"/>
  <c r="H398" i="13"/>
  <c r="I398" i="13"/>
  <c r="J398" i="13"/>
  <c r="K398" i="13"/>
  <c r="L398" i="13"/>
  <c r="M398" i="13"/>
  <c r="N398" i="13"/>
  <c r="A399" i="13"/>
  <c r="B399" i="13"/>
  <c r="C399" i="13"/>
  <c r="D399" i="13"/>
  <c r="E399" i="13"/>
  <c r="F399" i="13"/>
  <c r="G399" i="13"/>
  <c r="H399" i="13"/>
  <c r="I399" i="13"/>
  <c r="J399" i="13"/>
  <c r="K399" i="13"/>
  <c r="L399" i="13"/>
  <c r="M399" i="13"/>
  <c r="N399" i="13"/>
  <c r="A400" i="13"/>
  <c r="B400" i="13"/>
  <c r="C400" i="13"/>
  <c r="D400" i="13"/>
  <c r="E400" i="13"/>
  <c r="F400" i="13"/>
  <c r="G400" i="13"/>
  <c r="H400" i="13"/>
  <c r="I400" i="13"/>
  <c r="J400" i="13"/>
  <c r="K400" i="13"/>
  <c r="L400" i="13"/>
  <c r="M400" i="13"/>
  <c r="N400" i="13"/>
  <c r="A401" i="13"/>
  <c r="B401" i="13"/>
  <c r="C401" i="13"/>
  <c r="D401" i="13"/>
  <c r="E401" i="13"/>
  <c r="F401" i="13"/>
  <c r="G401" i="13"/>
  <c r="H401" i="13"/>
  <c r="I401" i="13"/>
  <c r="J401" i="13"/>
  <c r="K401" i="13"/>
  <c r="L401" i="13"/>
  <c r="M401" i="13"/>
  <c r="N401" i="13"/>
  <c r="A402" i="13"/>
  <c r="B402" i="13"/>
  <c r="C402" i="13"/>
  <c r="D402" i="13"/>
  <c r="E402" i="13"/>
  <c r="F402" i="13"/>
  <c r="G402" i="13"/>
  <c r="H402" i="13"/>
  <c r="I402" i="13"/>
  <c r="J402" i="13"/>
  <c r="K402" i="13"/>
  <c r="L402" i="13"/>
  <c r="M402" i="13"/>
  <c r="N402" i="13"/>
  <c r="A403" i="13"/>
  <c r="B403" i="13"/>
  <c r="C403" i="13"/>
  <c r="D403" i="13"/>
  <c r="E403" i="13"/>
  <c r="F403" i="13"/>
  <c r="G403" i="13"/>
  <c r="H403" i="13"/>
  <c r="I403" i="13"/>
  <c r="J403" i="13"/>
  <c r="K403" i="13"/>
  <c r="L403" i="13"/>
  <c r="M403" i="13"/>
  <c r="N403" i="13"/>
  <c r="A404" i="13"/>
  <c r="B404" i="13"/>
  <c r="C404" i="13"/>
  <c r="D404" i="13"/>
  <c r="E404" i="13"/>
  <c r="F404" i="13"/>
  <c r="G404" i="13"/>
  <c r="H404" i="13"/>
  <c r="I404" i="13"/>
  <c r="J404" i="13"/>
  <c r="K404" i="13"/>
  <c r="L404" i="13"/>
  <c r="M404" i="13"/>
  <c r="N404" i="13"/>
  <c r="A405" i="13"/>
  <c r="B405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A406" i="13"/>
  <c r="B406" i="13"/>
  <c r="C406" i="13"/>
  <c r="D406" i="13"/>
  <c r="E406" i="13"/>
  <c r="F406" i="13"/>
  <c r="G406" i="13"/>
  <c r="H406" i="13"/>
  <c r="I406" i="13"/>
  <c r="J406" i="13"/>
  <c r="K406" i="13"/>
  <c r="L406" i="13"/>
  <c r="M406" i="13"/>
  <c r="N406" i="13"/>
  <c r="A407" i="13"/>
  <c r="B407" i="13"/>
  <c r="C407" i="13"/>
  <c r="D407" i="13"/>
  <c r="E407" i="13"/>
  <c r="F407" i="13"/>
  <c r="G407" i="13"/>
  <c r="H407" i="13"/>
  <c r="I407" i="13"/>
  <c r="J407" i="13"/>
  <c r="K407" i="13"/>
  <c r="L407" i="13"/>
  <c r="M407" i="13"/>
  <c r="N407" i="13"/>
  <c r="A408" i="13"/>
  <c r="B408" i="13"/>
  <c r="C408" i="13"/>
  <c r="D408" i="13"/>
  <c r="E408" i="13"/>
  <c r="F408" i="13"/>
  <c r="G408" i="13"/>
  <c r="H408" i="13"/>
  <c r="I408" i="13"/>
  <c r="J408" i="13"/>
  <c r="K408" i="13"/>
  <c r="L408" i="13"/>
  <c r="M408" i="13"/>
  <c r="N408" i="13"/>
  <c r="O385" i="13"/>
  <c r="O386" i="13"/>
  <c r="O387" i="13"/>
  <c r="O388" i="13"/>
  <c r="O389" i="13"/>
  <c r="O390" i="13"/>
  <c r="O391" i="13"/>
  <c r="O392" i="13"/>
  <c r="O384" i="13"/>
  <c r="A384" i="13"/>
  <c r="B384" i="13"/>
  <c r="C384" i="13"/>
  <c r="D384" i="13"/>
  <c r="E384" i="13"/>
  <c r="F384" i="13"/>
  <c r="G384" i="13"/>
  <c r="H384" i="13"/>
  <c r="I384" i="13"/>
  <c r="J384" i="13"/>
  <c r="K384" i="13"/>
  <c r="L384" i="13"/>
  <c r="M384" i="13"/>
  <c r="N384" i="13"/>
  <c r="A385" i="13"/>
  <c r="B385" i="13"/>
  <c r="C385" i="13"/>
  <c r="D385" i="13"/>
  <c r="E385" i="13"/>
  <c r="F385" i="13"/>
  <c r="G385" i="13"/>
  <c r="H385" i="13"/>
  <c r="I385" i="13"/>
  <c r="J385" i="13"/>
  <c r="K385" i="13"/>
  <c r="L385" i="13"/>
  <c r="M385" i="13"/>
  <c r="N385" i="13"/>
  <c r="A386" i="13"/>
  <c r="B386" i="13"/>
  <c r="C386" i="13"/>
  <c r="D386" i="13"/>
  <c r="E386" i="13"/>
  <c r="F386" i="13"/>
  <c r="G386" i="13"/>
  <c r="H386" i="13"/>
  <c r="I386" i="13"/>
  <c r="J386" i="13"/>
  <c r="K386" i="13"/>
  <c r="L386" i="13"/>
  <c r="M386" i="13"/>
  <c r="N386" i="13"/>
  <c r="A387" i="13"/>
  <c r="B387" i="13"/>
  <c r="C387" i="13"/>
  <c r="D387" i="13"/>
  <c r="E387" i="13"/>
  <c r="F387" i="13"/>
  <c r="G387" i="13"/>
  <c r="H387" i="13"/>
  <c r="I387" i="13"/>
  <c r="J387" i="13"/>
  <c r="K387" i="13"/>
  <c r="L387" i="13"/>
  <c r="M387" i="13"/>
  <c r="N387" i="13"/>
  <c r="A388" i="13"/>
  <c r="B388" i="13"/>
  <c r="C388" i="13"/>
  <c r="D388" i="13"/>
  <c r="E388" i="13"/>
  <c r="F388" i="13"/>
  <c r="G388" i="13"/>
  <c r="H388" i="13"/>
  <c r="I388" i="13"/>
  <c r="J388" i="13"/>
  <c r="K388" i="13"/>
  <c r="L388" i="13"/>
  <c r="M388" i="13"/>
  <c r="N388" i="13"/>
  <c r="A389" i="13"/>
  <c r="B389" i="13"/>
  <c r="C389" i="13"/>
  <c r="D389" i="13"/>
  <c r="E389" i="13"/>
  <c r="F389" i="13"/>
  <c r="G389" i="13"/>
  <c r="H389" i="13"/>
  <c r="I389" i="13"/>
  <c r="J389" i="13"/>
  <c r="K389" i="13"/>
  <c r="L389" i="13"/>
  <c r="M389" i="13"/>
  <c r="N389" i="13"/>
  <c r="A390" i="13"/>
  <c r="B390" i="13"/>
  <c r="C390" i="13"/>
  <c r="D390" i="13"/>
  <c r="E390" i="13"/>
  <c r="F390" i="13"/>
  <c r="G390" i="13"/>
  <c r="H390" i="13"/>
  <c r="I390" i="13"/>
  <c r="J390" i="13"/>
  <c r="K390" i="13"/>
  <c r="L390" i="13"/>
  <c r="M390" i="13"/>
  <c r="N390" i="13"/>
  <c r="A391" i="13"/>
  <c r="B391" i="13"/>
  <c r="C391" i="13"/>
  <c r="D391" i="13"/>
  <c r="E391" i="13"/>
  <c r="F391" i="13"/>
  <c r="G391" i="13"/>
  <c r="H391" i="13"/>
  <c r="I391" i="13"/>
  <c r="J391" i="13"/>
  <c r="K391" i="13"/>
  <c r="L391" i="13"/>
  <c r="M391" i="13"/>
  <c r="N391" i="13"/>
  <c r="A392" i="13"/>
  <c r="B392" i="13"/>
  <c r="C392" i="13"/>
  <c r="D392" i="13"/>
  <c r="E392" i="13"/>
  <c r="F392" i="13"/>
  <c r="G392" i="13"/>
  <c r="H392" i="13"/>
  <c r="I392" i="13"/>
  <c r="J392" i="13"/>
  <c r="K392" i="13"/>
  <c r="L392" i="13"/>
  <c r="M392" i="13"/>
  <c r="N392" i="13"/>
  <c r="O374" i="13"/>
  <c r="O375" i="13"/>
  <c r="O376" i="13"/>
  <c r="O377" i="13"/>
  <c r="O378" i="13"/>
  <c r="O379" i="13"/>
  <c r="O380" i="13"/>
  <c r="O381" i="13"/>
  <c r="O382" i="13"/>
  <c r="O383" i="13"/>
  <c r="O373" i="13"/>
  <c r="A373" i="13"/>
  <c r="B373" i="13"/>
  <c r="C373" i="13"/>
  <c r="D373" i="13"/>
  <c r="E373" i="13"/>
  <c r="F373" i="13"/>
  <c r="G373" i="13"/>
  <c r="H373" i="13"/>
  <c r="I373" i="13"/>
  <c r="J373" i="13"/>
  <c r="K373" i="13"/>
  <c r="L373" i="13"/>
  <c r="M373" i="13"/>
  <c r="N373" i="13"/>
  <c r="A374" i="13"/>
  <c r="B374" i="13"/>
  <c r="C374" i="13"/>
  <c r="D374" i="13"/>
  <c r="E374" i="13"/>
  <c r="F374" i="13"/>
  <c r="G374" i="13"/>
  <c r="H374" i="13"/>
  <c r="I374" i="13"/>
  <c r="J374" i="13"/>
  <c r="K374" i="13"/>
  <c r="L374" i="13"/>
  <c r="M374" i="13"/>
  <c r="N374" i="13"/>
  <c r="A375" i="13"/>
  <c r="B375" i="13"/>
  <c r="C375" i="13"/>
  <c r="D375" i="13"/>
  <c r="E375" i="13"/>
  <c r="F375" i="13"/>
  <c r="G375" i="13"/>
  <c r="H375" i="13"/>
  <c r="I375" i="13"/>
  <c r="J375" i="13"/>
  <c r="K375" i="13"/>
  <c r="L375" i="13"/>
  <c r="M375" i="13"/>
  <c r="N375" i="13"/>
  <c r="A376" i="13"/>
  <c r="B376" i="13"/>
  <c r="C376" i="13"/>
  <c r="D376" i="13"/>
  <c r="E376" i="13"/>
  <c r="F376" i="13"/>
  <c r="G376" i="13"/>
  <c r="H376" i="13"/>
  <c r="I376" i="13"/>
  <c r="J376" i="13"/>
  <c r="K376" i="13"/>
  <c r="L376" i="13"/>
  <c r="M376" i="13"/>
  <c r="N376" i="13"/>
  <c r="A377" i="13"/>
  <c r="B377" i="13"/>
  <c r="C377" i="13"/>
  <c r="D377" i="13"/>
  <c r="E377" i="13"/>
  <c r="F377" i="13"/>
  <c r="G377" i="13"/>
  <c r="H377" i="13"/>
  <c r="I377" i="13"/>
  <c r="J377" i="13"/>
  <c r="K377" i="13"/>
  <c r="L377" i="13"/>
  <c r="M377" i="13"/>
  <c r="N377" i="13"/>
  <c r="A378" i="13"/>
  <c r="B378" i="13"/>
  <c r="C378" i="13"/>
  <c r="D378" i="13"/>
  <c r="E378" i="13"/>
  <c r="F378" i="13"/>
  <c r="G378" i="13"/>
  <c r="H378" i="13"/>
  <c r="I378" i="13"/>
  <c r="J378" i="13"/>
  <c r="K378" i="13"/>
  <c r="L378" i="13"/>
  <c r="M378" i="13"/>
  <c r="N378" i="13"/>
  <c r="A379" i="13"/>
  <c r="B379" i="13"/>
  <c r="C379" i="13"/>
  <c r="D379" i="13"/>
  <c r="E379" i="13"/>
  <c r="F379" i="13"/>
  <c r="G379" i="13"/>
  <c r="H379" i="13"/>
  <c r="I379" i="13"/>
  <c r="J379" i="13"/>
  <c r="K379" i="13"/>
  <c r="L379" i="13"/>
  <c r="M379" i="13"/>
  <c r="N379" i="13"/>
  <c r="A380" i="13"/>
  <c r="B380" i="13"/>
  <c r="C380" i="13"/>
  <c r="D380" i="13"/>
  <c r="E380" i="13"/>
  <c r="F380" i="13"/>
  <c r="G380" i="13"/>
  <c r="H380" i="13"/>
  <c r="I380" i="13"/>
  <c r="J380" i="13"/>
  <c r="K380" i="13"/>
  <c r="L380" i="13"/>
  <c r="M380" i="13"/>
  <c r="N380" i="13"/>
  <c r="A381" i="13"/>
  <c r="B381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A382" i="13"/>
  <c r="B382" i="13"/>
  <c r="C382" i="13"/>
  <c r="D382" i="13"/>
  <c r="E382" i="13"/>
  <c r="F382" i="13"/>
  <c r="G382" i="13"/>
  <c r="H382" i="13"/>
  <c r="I382" i="13"/>
  <c r="J382" i="13"/>
  <c r="K382" i="13"/>
  <c r="L382" i="13"/>
  <c r="M382" i="13"/>
  <c r="N382" i="13"/>
  <c r="A383" i="13"/>
  <c r="B383" i="13"/>
  <c r="C383" i="13"/>
  <c r="D383" i="13"/>
  <c r="E383" i="13"/>
  <c r="F383" i="13"/>
  <c r="G383" i="13"/>
  <c r="H383" i="13"/>
  <c r="I383" i="13"/>
  <c r="J383" i="13"/>
  <c r="K383" i="13"/>
  <c r="L383" i="13"/>
  <c r="M383" i="13"/>
  <c r="N383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45" i="13"/>
  <c r="A345" i="13"/>
  <c r="B345" i="13"/>
  <c r="C345" i="13"/>
  <c r="D345" i="13"/>
  <c r="E345" i="13"/>
  <c r="F345" i="13"/>
  <c r="G345" i="13"/>
  <c r="H345" i="13"/>
  <c r="I345" i="13"/>
  <c r="J345" i="13"/>
  <c r="K345" i="13"/>
  <c r="L345" i="13"/>
  <c r="M345" i="13"/>
  <c r="N345" i="13"/>
  <c r="A346" i="13"/>
  <c r="B346" i="13"/>
  <c r="C346" i="13"/>
  <c r="D346" i="13"/>
  <c r="E346" i="13"/>
  <c r="F346" i="13"/>
  <c r="G346" i="13"/>
  <c r="H346" i="13"/>
  <c r="I346" i="13"/>
  <c r="J346" i="13"/>
  <c r="K346" i="13"/>
  <c r="L346" i="13"/>
  <c r="M346" i="13"/>
  <c r="N346" i="13"/>
  <c r="A347" i="13"/>
  <c r="B347" i="13"/>
  <c r="C347" i="13"/>
  <c r="D347" i="13"/>
  <c r="E347" i="13"/>
  <c r="F347" i="13"/>
  <c r="G347" i="13"/>
  <c r="H347" i="13"/>
  <c r="I347" i="13"/>
  <c r="J347" i="13"/>
  <c r="K347" i="13"/>
  <c r="L347" i="13"/>
  <c r="M347" i="13"/>
  <c r="N347" i="13"/>
  <c r="A348" i="13"/>
  <c r="B348" i="13"/>
  <c r="C348" i="13"/>
  <c r="D348" i="13"/>
  <c r="E348" i="13"/>
  <c r="F348" i="13"/>
  <c r="G348" i="13"/>
  <c r="H348" i="13"/>
  <c r="I348" i="13"/>
  <c r="J348" i="13"/>
  <c r="K348" i="13"/>
  <c r="L348" i="13"/>
  <c r="M348" i="13"/>
  <c r="N348" i="13"/>
  <c r="A349" i="13"/>
  <c r="B349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A350" i="13"/>
  <c r="B350" i="13"/>
  <c r="C350" i="13"/>
  <c r="D350" i="13"/>
  <c r="E350" i="13"/>
  <c r="F350" i="13"/>
  <c r="G350" i="13"/>
  <c r="H350" i="13"/>
  <c r="I350" i="13"/>
  <c r="J350" i="13"/>
  <c r="K350" i="13"/>
  <c r="L350" i="13"/>
  <c r="M350" i="13"/>
  <c r="N350" i="13"/>
  <c r="A351" i="13"/>
  <c r="B351" i="13"/>
  <c r="C351" i="13"/>
  <c r="D351" i="13"/>
  <c r="E351" i="13"/>
  <c r="F351" i="13"/>
  <c r="G351" i="13"/>
  <c r="H351" i="13"/>
  <c r="I351" i="13"/>
  <c r="J351" i="13"/>
  <c r="K351" i="13"/>
  <c r="L351" i="13"/>
  <c r="M351" i="13"/>
  <c r="N351" i="13"/>
  <c r="A352" i="13"/>
  <c r="B352" i="13"/>
  <c r="C352" i="13"/>
  <c r="D352" i="13"/>
  <c r="E352" i="13"/>
  <c r="F352" i="13"/>
  <c r="G352" i="13"/>
  <c r="H352" i="13"/>
  <c r="I352" i="13"/>
  <c r="J352" i="13"/>
  <c r="K352" i="13"/>
  <c r="L352" i="13"/>
  <c r="M352" i="13"/>
  <c r="N352" i="13"/>
  <c r="A353" i="13"/>
  <c r="B353" i="13"/>
  <c r="C353" i="13"/>
  <c r="D353" i="13"/>
  <c r="E353" i="13"/>
  <c r="F353" i="13"/>
  <c r="G353" i="13"/>
  <c r="H353" i="13"/>
  <c r="I353" i="13"/>
  <c r="J353" i="13"/>
  <c r="K353" i="13"/>
  <c r="L353" i="13"/>
  <c r="M353" i="13"/>
  <c r="N353" i="13"/>
  <c r="A354" i="13"/>
  <c r="B354" i="13"/>
  <c r="C354" i="13"/>
  <c r="D354" i="13"/>
  <c r="E354" i="13"/>
  <c r="F354" i="13"/>
  <c r="G354" i="13"/>
  <c r="H354" i="13"/>
  <c r="I354" i="13"/>
  <c r="J354" i="13"/>
  <c r="K354" i="13"/>
  <c r="L354" i="13"/>
  <c r="M354" i="13"/>
  <c r="N354" i="13"/>
  <c r="A355" i="13"/>
  <c r="B355" i="13"/>
  <c r="C355" i="13"/>
  <c r="D355" i="13"/>
  <c r="E355" i="13"/>
  <c r="F355" i="13"/>
  <c r="G355" i="13"/>
  <c r="H355" i="13"/>
  <c r="I355" i="13"/>
  <c r="J355" i="13"/>
  <c r="K355" i="13"/>
  <c r="L355" i="13"/>
  <c r="M355" i="13"/>
  <c r="N355" i="13"/>
  <c r="A356" i="13"/>
  <c r="B356" i="13"/>
  <c r="C356" i="13"/>
  <c r="D356" i="13"/>
  <c r="E356" i="13"/>
  <c r="F356" i="13"/>
  <c r="G356" i="13"/>
  <c r="H356" i="13"/>
  <c r="I356" i="13"/>
  <c r="J356" i="13"/>
  <c r="K356" i="13"/>
  <c r="L356" i="13"/>
  <c r="M356" i="13"/>
  <c r="N356" i="13"/>
  <c r="A357" i="13"/>
  <c r="B357" i="13"/>
  <c r="C357" i="13"/>
  <c r="D357" i="13"/>
  <c r="E357" i="13"/>
  <c r="F357" i="13"/>
  <c r="G357" i="13"/>
  <c r="H357" i="13"/>
  <c r="I357" i="13"/>
  <c r="J357" i="13"/>
  <c r="K357" i="13"/>
  <c r="L357" i="13"/>
  <c r="M357" i="13"/>
  <c r="N357" i="13"/>
  <c r="A358" i="13"/>
  <c r="B358" i="13"/>
  <c r="C358" i="13"/>
  <c r="D358" i="13"/>
  <c r="E358" i="13"/>
  <c r="F358" i="13"/>
  <c r="G358" i="13"/>
  <c r="H358" i="13"/>
  <c r="I358" i="13"/>
  <c r="J358" i="13"/>
  <c r="K358" i="13"/>
  <c r="L358" i="13"/>
  <c r="M358" i="13"/>
  <c r="N358" i="13"/>
  <c r="A359" i="13"/>
  <c r="B359" i="13"/>
  <c r="C359" i="13"/>
  <c r="D359" i="13"/>
  <c r="E359" i="13"/>
  <c r="F359" i="13"/>
  <c r="G359" i="13"/>
  <c r="H359" i="13"/>
  <c r="I359" i="13"/>
  <c r="J359" i="13"/>
  <c r="K359" i="13"/>
  <c r="L359" i="13"/>
  <c r="M359" i="13"/>
  <c r="N359" i="13"/>
  <c r="A360" i="13"/>
  <c r="B360" i="13"/>
  <c r="C360" i="13"/>
  <c r="D360" i="13"/>
  <c r="E360" i="13"/>
  <c r="F360" i="13"/>
  <c r="G360" i="13"/>
  <c r="H360" i="13"/>
  <c r="I360" i="13"/>
  <c r="J360" i="13"/>
  <c r="K360" i="13"/>
  <c r="L360" i="13"/>
  <c r="M360" i="13"/>
  <c r="N360" i="13"/>
  <c r="A361" i="13"/>
  <c r="B361" i="13"/>
  <c r="C361" i="13"/>
  <c r="D361" i="13"/>
  <c r="E361" i="13"/>
  <c r="F361" i="13"/>
  <c r="G361" i="13"/>
  <c r="H361" i="13"/>
  <c r="I361" i="13"/>
  <c r="J361" i="13"/>
  <c r="K361" i="13"/>
  <c r="L361" i="13"/>
  <c r="M361" i="13"/>
  <c r="N361" i="13"/>
  <c r="A362" i="13"/>
  <c r="B362" i="13"/>
  <c r="C362" i="13"/>
  <c r="D362" i="13"/>
  <c r="E362" i="13"/>
  <c r="F362" i="13"/>
  <c r="G362" i="13"/>
  <c r="H362" i="13"/>
  <c r="I362" i="13"/>
  <c r="J362" i="13"/>
  <c r="K362" i="13"/>
  <c r="L362" i="13"/>
  <c r="M362" i="13"/>
  <c r="N362" i="13"/>
  <c r="A363" i="13"/>
  <c r="B363" i="13"/>
  <c r="C363" i="13"/>
  <c r="D363" i="13"/>
  <c r="E363" i="13"/>
  <c r="F363" i="13"/>
  <c r="G363" i="13"/>
  <c r="H363" i="13"/>
  <c r="I363" i="13"/>
  <c r="J363" i="13"/>
  <c r="K363" i="13"/>
  <c r="L363" i="13"/>
  <c r="M363" i="13"/>
  <c r="N363" i="13"/>
  <c r="A364" i="13"/>
  <c r="B364" i="13"/>
  <c r="C364" i="13"/>
  <c r="D364" i="13"/>
  <c r="E364" i="13"/>
  <c r="F364" i="13"/>
  <c r="G364" i="13"/>
  <c r="H364" i="13"/>
  <c r="I364" i="13"/>
  <c r="J364" i="13"/>
  <c r="K364" i="13"/>
  <c r="L364" i="13"/>
  <c r="M364" i="13"/>
  <c r="N364" i="13"/>
  <c r="A365" i="13"/>
  <c r="B365" i="13"/>
  <c r="C365" i="13"/>
  <c r="D365" i="13"/>
  <c r="E365" i="13"/>
  <c r="F365" i="13"/>
  <c r="G365" i="13"/>
  <c r="H365" i="13"/>
  <c r="I365" i="13"/>
  <c r="J365" i="13"/>
  <c r="K365" i="13"/>
  <c r="L365" i="13"/>
  <c r="M365" i="13"/>
  <c r="N365" i="13"/>
  <c r="A366" i="13"/>
  <c r="B366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A367" i="13"/>
  <c r="B367" i="13"/>
  <c r="C367" i="13"/>
  <c r="D367" i="13"/>
  <c r="E367" i="13"/>
  <c r="F367" i="13"/>
  <c r="G367" i="13"/>
  <c r="H367" i="13"/>
  <c r="I367" i="13"/>
  <c r="J367" i="13"/>
  <c r="K367" i="13"/>
  <c r="L367" i="13"/>
  <c r="M367" i="13"/>
  <c r="N367" i="13"/>
  <c r="A368" i="13"/>
  <c r="B368" i="13"/>
  <c r="C368" i="13"/>
  <c r="D368" i="13"/>
  <c r="E368" i="13"/>
  <c r="F368" i="13"/>
  <c r="G368" i="13"/>
  <c r="H368" i="13"/>
  <c r="I368" i="13"/>
  <c r="J368" i="13"/>
  <c r="K368" i="13"/>
  <c r="L368" i="13"/>
  <c r="M368" i="13"/>
  <c r="N368" i="13"/>
  <c r="A369" i="13"/>
  <c r="B369" i="13"/>
  <c r="C369" i="13"/>
  <c r="D369" i="13"/>
  <c r="E369" i="13"/>
  <c r="F369" i="13"/>
  <c r="G369" i="13"/>
  <c r="H369" i="13"/>
  <c r="I369" i="13"/>
  <c r="J369" i="13"/>
  <c r="K369" i="13"/>
  <c r="L369" i="13"/>
  <c r="M369" i="13"/>
  <c r="N369" i="13"/>
  <c r="A370" i="13"/>
  <c r="B370" i="13"/>
  <c r="C370" i="13"/>
  <c r="D370" i="13"/>
  <c r="E370" i="13"/>
  <c r="F370" i="13"/>
  <c r="G370" i="13"/>
  <c r="H370" i="13"/>
  <c r="I370" i="13"/>
  <c r="J370" i="13"/>
  <c r="K370" i="13"/>
  <c r="L370" i="13"/>
  <c r="M370" i="13"/>
  <c r="N370" i="13"/>
  <c r="A371" i="13"/>
  <c r="B371" i="13"/>
  <c r="C371" i="13"/>
  <c r="D371" i="13"/>
  <c r="E371" i="13"/>
  <c r="F371" i="13"/>
  <c r="G371" i="13"/>
  <c r="H371" i="13"/>
  <c r="I371" i="13"/>
  <c r="J371" i="13"/>
  <c r="K371" i="13"/>
  <c r="L371" i="13"/>
  <c r="M371" i="13"/>
  <c r="N371" i="13"/>
  <c r="A372" i="13"/>
  <c r="B372" i="13"/>
  <c r="C372" i="13"/>
  <c r="D372" i="13"/>
  <c r="E372" i="13"/>
  <c r="F372" i="13"/>
  <c r="G372" i="13"/>
  <c r="H372" i="13"/>
  <c r="I372" i="13"/>
  <c r="J372" i="13"/>
  <c r="K372" i="13"/>
  <c r="L372" i="13"/>
  <c r="M372" i="13"/>
  <c r="N372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28" i="13"/>
  <c r="A328" i="13"/>
  <c r="B328" i="13"/>
  <c r="C328" i="13"/>
  <c r="D328" i="13"/>
  <c r="E328" i="13"/>
  <c r="F328" i="13"/>
  <c r="G328" i="13"/>
  <c r="H328" i="13"/>
  <c r="I328" i="13"/>
  <c r="J328" i="13"/>
  <c r="K328" i="13"/>
  <c r="L328" i="13"/>
  <c r="M328" i="13"/>
  <c r="N328" i="13"/>
  <c r="A329" i="13"/>
  <c r="B329" i="13"/>
  <c r="C329" i="13"/>
  <c r="D329" i="13"/>
  <c r="E329" i="13"/>
  <c r="F329" i="13"/>
  <c r="G329" i="13"/>
  <c r="H329" i="13"/>
  <c r="I329" i="13"/>
  <c r="J329" i="13"/>
  <c r="K329" i="13"/>
  <c r="L329" i="13"/>
  <c r="M329" i="13"/>
  <c r="N329" i="13"/>
  <c r="A330" i="13"/>
  <c r="B330" i="13"/>
  <c r="C330" i="13"/>
  <c r="D330" i="13"/>
  <c r="E330" i="13"/>
  <c r="F330" i="13"/>
  <c r="G330" i="13"/>
  <c r="H330" i="13"/>
  <c r="I330" i="13"/>
  <c r="J330" i="13"/>
  <c r="K330" i="13"/>
  <c r="L330" i="13"/>
  <c r="M330" i="13"/>
  <c r="N330" i="13"/>
  <c r="A331" i="13"/>
  <c r="B331" i="13"/>
  <c r="C331" i="13"/>
  <c r="D331" i="13"/>
  <c r="E331" i="13"/>
  <c r="F331" i="13"/>
  <c r="G331" i="13"/>
  <c r="H331" i="13"/>
  <c r="I331" i="13"/>
  <c r="J331" i="13"/>
  <c r="K331" i="13"/>
  <c r="L331" i="13"/>
  <c r="M331" i="13"/>
  <c r="N331" i="13"/>
  <c r="A332" i="13"/>
  <c r="B332" i="13"/>
  <c r="C332" i="13"/>
  <c r="D332" i="13"/>
  <c r="E332" i="13"/>
  <c r="F332" i="13"/>
  <c r="G332" i="13"/>
  <c r="H332" i="13"/>
  <c r="I332" i="13"/>
  <c r="J332" i="13"/>
  <c r="K332" i="13"/>
  <c r="L332" i="13"/>
  <c r="M332" i="13"/>
  <c r="N332" i="13"/>
  <c r="A333" i="13"/>
  <c r="B333" i="13"/>
  <c r="C333" i="13"/>
  <c r="D333" i="13"/>
  <c r="E333" i="13"/>
  <c r="F333" i="13"/>
  <c r="G333" i="13"/>
  <c r="H333" i="13"/>
  <c r="I333" i="13"/>
  <c r="J333" i="13"/>
  <c r="K333" i="13"/>
  <c r="L333" i="13"/>
  <c r="M333" i="13"/>
  <c r="N333" i="13"/>
  <c r="A334" i="13"/>
  <c r="B334" i="13"/>
  <c r="C334" i="13"/>
  <c r="D334" i="13"/>
  <c r="E334" i="13"/>
  <c r="F334" i="13"/>
  <c r="G334" i="13"/>
  <c r="H334" i="13"/>
  <c r="I334" i="13"/>
  <c r="J334" i="13"/>
  <c r="K334" i="13"/>
  <c r="L334" i="13"/>
  <c r="M334" i="13"/>
  <c r="N334" i="13"/>
  <c r="A335" i="13"/>
  <c r="B335" i="13"/>
  <c r="C335" i="13"/>
  <c r="D335" i="13"/>
  <c r="E335" i="13"/>
  <c r="F335" i="13"/>
  <c r="G335" i="13"/>
  <c r="H335" i="13"/>
  <c r="I335" i="13"/>
  <c r="J335" i="13"/>
  <c r="K335" i="13"/>
  <c r="L335" i="13"/>
  <c r="M335" i="13"/>
  <c r="N335" i="13"/>
  <c r="A336" i="13"/>
  <c r="B336" i="13"/>
  <c r="C336" i="13"/>
  <c r="D336" i="13"/>
  <c r="E336" i="13"/>
  <c r="F336" i="13"/>
  <c r="G336" i="13"/>
  <c r="H336" i="13"/>
  <c r="I336" i="13"/>
  <c r="J336" i="13"/>
  <c r="K336" i="13"/>
  <c r="L336" i="13"/>
  <c r="M336" i="13"/>
  <c r="N336" i="13"/>
  <c r="A337" i="13"/>
  <c r="B337" i="13"/>
  <c r="C337" i="13"/>
  <c r="D337" i="13"/>
  <c r="E337" i="13"/>
  <c r="F337" i="13"/>
  <c r="G337" i="13"/>
  <c r="H337" i="13"/>
  <c r="I337" i="13"/>
  <c r="J337" i="13"/>
  <c r="K337" i="13"/>
  <c r="L337" i="13"/>
  <c r="M337" i="13"/>
  <c r="N337" i="13"/>
  <c r="A338" i="13"/>
  <c r="B338" i="13"/>
  <c r="C338" i="13"/>
  <c r="D338" i="13"/>
  <c r="E338" i="13"/>
  <c r="F338" i="13"/>
  <c r="G338" i="13"/>
  <c r="H338" i="13"/>
  <c r="I338" i="13"/>
  <c r="J338" i="13"/>
  <c r="K338" i="13"/>
  <c r="L338" i="13"/>
  <c r="M338" i="13"/>
  <c r="N338" i="13"/>
  <c r="A339" i="13"/>
  <c r="B339" i="13"/>
  <c r="C339" i="13"/>
  <c r="D339" i="13"/>
  <c r="E339" i="13"/>
  <c r="F339" i="13"/>
  <c r="G339" i="13"/>
  <c r="H339" i="13"/>
  <c r="I339" i="13"/>
  <c r="J339" i="13"/>
  <c r="K339" i="13"/>
  <c r="L339" i="13"/>
  <c r="M339" i="13"/>
  <c r="N339" i="13"/>
  <c r="A340" i="13"/>
  <c r="B340" i="13"/>
  <c r="C340" i="13"/>
  <c r="D340" i="13"/>
  <c r="E340" i="13"/>
  <c r="F340" i="13"/>
  <c r="G340" i="13"/>
  <c r="H340" i="13"/>
  <c r="I340" i="13"/>
  <c r="J340" i="13"/>
  <c r="K340" i="13"/>
  <c r="L340" i="13"/>
  <c r="M340" i="13"/>
  <c r="N340" i="13"/>
  <c r="A341" i="13"/>
  <c r="B341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A342" i="13"/>
  <c r="B342" i="13"/>
  <c r="C342" i="13"/>
  <c r="D342" i="13"/>
  <c r="E342" i="13"/>
  <c r="F342" i="13"/>
  <c r="G342" i="13"/>
  <c r="H342" i="13"/>
  <c r="I342" i="13"/>
  <c r="J342" i="13"/>
  <c r="K342" i="13"/>
  <c r="L342" i="13"/>
  <c r="M342" i="13"/>
  <c r="N342" i="13"/>
  <c r="A343" i="13"/>
  <c r="B343" i="13"/>
  <c r="C343" i="13"/>
  <c r="D343" i="13"/>
  <c r="E343" i="13"/>
  <c r="F343" i="13"/>
  <c r="G343" i="13"/>
  <c r="H343" i="13"/>
  <c r="I343" i="13"/>
  <c r="J343" i="13"/>
  <c r="K343" i="13"/>
  <c r="L343" i="13"/>
  <c r="M343" i="13"/>
  <c r="N343" i="13"/>
  <c r="A344" i="13"/>
  <c r="B344" i="13"/>
  <c r="C344" i="13"/>
  <c r="D344" i="13"/>
  <c r="E344" i="13"/>
  <c r="F344" i="13"/>
  <c r="G344" i="13"/>
  <c r="H344" i="13"/>
  <c r="I344" i="13"/>
  <c r="J344" i="13"/>
  <c r="K344" i="13"/>
  <c r="L344" i="13"/>
  <c r="M344" i="13"/>
  <c r="N344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10" i="13"/>
  <c r="A310" i="13"/>
  <c r="B310" i="13"/>
  <c r="C310" i="13"/>
  <c r="D310" i="13"/>
  <c r="E310" i="13"/>
  <c r="F310" i="13"/>
  <c r="G310" i="13"/>
  <c r="H310" i="13"/>
  <c r="I310" i="13"/>
  <c r="J310" i="13"/>
  <c r="K310" i="13"/>
  <c r="L310" i="13"/>
  <c r="M310" i="13"/>
  <c r="N310" i="13"/>
  <c r="A311" i="13"/>
  <c r="B311" i="13"/>
  <c r="C311" i="13"/>
  <c r="D311" i="13"/>
  <c r="E311" i="13"/>
  <c r="F311" i="13"/>
  <c r="G311" i="13"/>
  <c r="H311" i="13"/>
  <c r="I311" i="13"/>
  <c r="J311" i="13"/>
  <c r="K311" i="13"/>
  <c r="L311" i="13"/>
  <c r="M311" i="13"/>
  <c r="N311" i="13"/>
  <c r="A312" i="13"/>
  <c r="B312" i="13"/>
  <c r="C312" i="13"/>
  <c r="D312" i="13"/>
  <c r="E312" i="13"/>
  <c r="F312" i="13"/>
  <c r="G312" i="13"/>
  <c r="H312" i="13"/>
  <c r="I312" i="13"/>
  <c r="J312" i="13"/>
  <c r="K312" i="13"/>
  <c r="L312" i="13"/>
  <c r="M312" i="13"/>
  <c r="N312" i="13"/>
  <c r="A313" i="13"/>
  <c r="B313" i="13"/>
  <c r="C313" i="13"/>
  <c r="D313" i="13"/>
  <c r="E313" i="13"/>
  <c r="F313" i="13"/>
  <c r="G313" i="13"/>
  <c r="H313" i="13"/>
  <c r="I313" i="13"/>
  <c r="J313" i="13"/>
  <c r="K313" i="13"/>
  <c r="L313" i="13"/>
  <c r="M313" i="13"/>
  <c r="N313" i="13"/>
  <c r="A314" i="13"/>
  <c r="B314" i="13"/>
  <c r="C314" i="13"/>
  <c r="D314" i="13"/>
  <c r="E314" i="13"/>
  <c r="F314" i="13"/>
  <c r="G314" i="13"/>
  <c r="H314" i="13"/>
  <c r="I314" i="13"/>
  <c r="J314" i="13"/>
  <c r="K314" i="13"/>
  <c r="L314" i="13"/>
  <c r="M314" i="13"/>
  <c r="N314" i="13"/>
  <c r="A315" i="13"/>
  <c r="B315" i="13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A316" i="13"/>
  <c r="B316" i="13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A317" i="13"/>
  <c r="B317" i="13"/>
  <c r="C317" i="13"/>
  <c r="D317" i="13"/>
  <c r="E317" i="13"/>
  <c r="F317" i="13"/>
  <c r="G317" i="13"/>
  <c r="H317" i="13"/>
  <c r="I317" i="13"/>
  <c r="J317" i="13"/>
  <c r="K317" i="13"/>
  <c r="L317" i="13"/>
  <c r="M317" i="13"/>
  <c r="N317" i="13"/>
  <c r="A318" i="13"/>
  <c r="B318" i="13"/>
  <c r="C318" i="13"/>
  <c r="D318" i="13"/>
  <c r="E318" i="13"/>
  <c r="F318" i="13"/>
  <c r="G318" i="13"/>
  <c r="H318" i="13"/>
  <c r="I318" i="13"/>
  <c r="J318" i="13"/>
  <c r="K318" i="13"/>
  <c r="L318" i="13"/>
  <c r="M318" i="13"/>
  <c r="N318" i="13"/>
  <c r="A319" i="13"/>
  <c r="B319" i="13"/>
  <c r="C319" i="13"/>
  <c r="D319" i="13"/>
  <c r="E319" i="13"/>
  <c r="F319" i="13"/>
  <c r="G319" i="13"/>
  <c r="H319" i="13"/>
  <c r="I319" i="13"/>
  <c r="J319" i="13"/>
  <c r="K319" i="13"/>
  <c r="L319" i="13"/>
  <c r="M319" i="13"/>
  <c r="N319" i="13"/>
  <c r="A320" i="13"/>
  <c r="B320" i="13"/>
  <c r="C320" i="13"/>
  <c r="D320" i="13"/>
  <c r="E320" i="13"/>
  <c r="F320" i="13"/>
  <c r="G320" i="13"/>
  <c r="H320" i="13"/>
  <c r="I320" i="13"/>
  <c r="J320" i="13"/>
  <c r="K320" i="13"/>
  <c r="L320" i="13"/>
  <c r="M320" i="13"/>
  <c r="N320" i="13"/>
  <c r="A321" i="13"/>
  <c r="B321" i="13"/>
  <c r="C321" i="13"/>
  <c r="D321" i="13"/>
  <c r="E321" i="13"/>
  <c r="F321" i="13"/>
  <c r="G321" i="13"/>
  <c r="H321" i="13"/>
  <c r="I321" i="13"/>
  <c r="J321" i="13"/>
  <c r="K321" i="13"/>
  <c r="L321" i="13"/>
  <c r="M321" i="13"/>
  <c r="N321" i="13"/>
  <c r="A322" i="13"/>
  <c r="B322" i="13"/>
  <c r="C322" i="13"/>
  <c r="D322" i="13"/>
  <c r="E322" i="13"/>
  <c r="F322" i="13"/>
  <c r="G322" i="13"/>
  <c r="H322" i="13"/>
  <c r="I322" i="13"/>
  <c r="J322" i="13"/>
  <c r="K322" i="13"/>
  <c r="L322" i="13"/>
  <c r="M322" i="13"/>
  <c r="N322" i="13"/>
  <c r="A323" i="13"/>
  <c r="B323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A324" i="13"/>
  <c r="B324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A325" i="13"/>
  <c r="B325" i="13"/>
  <c r="C325" i="13"/>
  <c r="D325" i="13"/>
  <c r="E325" i="13"/>
  <c r="F325" i="13"/>
  <c r="G325" i="13"/>
  <c r="H325" i="13"/>
  <c r="I325" i="13"/>
  <c r="J325" i="13"/>
  <c r="K325" i="13"/>
  <c r="L325" i="13"/>
  <c r="M325" i="13"/>
  <c r="N325" i="13"/>
  <c r="A326" i="13"/>
  <c r="B326" i="13"/>
  <c r="C326" i="13"/>
  <c r="D326" i="13"/>
  <c r="E326" i="13"/>
  <c r="F326" i="13"/>
  <c r="G326" i="13"/>
  <c r="H326" i="13"/>
  <c r="I326" i="13"/>
  <c r="J326" i="13"/>
  <c r="K326" i="13"/>
  <c r="L326" i="13"/>
  <c r="M326" i="13"/>
  <c r="N326" i="13"/>
  <c r="A327" i="13"/>
  <c r="B327" i="13"/>
  <c r="C327" i="13"/>
  <c r="D327" i="13"/>
  <c r="E327" i="13"/>
  <c r="F327" i="13"/>
  <c r="G327" i="13"/>
  <c r="H327" i="13"/>
  <c r="I327" i="13"/>
  <c r="J327" i="13"/>
  <c r="K327" i="13"/>
  <c r="L327" i="13"/>
  <c r="M327" i="13"/>
  <c r="N327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292" i="13"/>
  <c r="A292" i="13"/>
  <c r="B292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A293" i="13"/>
  <c r="B293" i="13"/>
  <c r="C293" i="13"/>
  <c r="D293" i="13"/>
  <c r="E293" i="13"/>
  <c r="F293" i="13"/>
  <c r="G293" i="13"/>
  <c r="H293" i="13"/>
  <c r="I293" i="13"/>
  <c r="J293" i="13"/>
  <c r="K293" i="13"/>
  <c r="L293" i="13"/>
  <c r="M293" i="13"/>
  <c r="N293" i="13"/>
  <c r="A294" i="13"/>
  <c r="B294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A295" i="13"/>
  <c r="B295" i="13"/>
  <c r="C295" i="13"/>
  <c r="D295" i="13"/>
  <c r="E295" i="13"/>
  <c r="F295" i="13"/>
  <c r="G295" i="13"/>
  <c r="H295" i="13"/>
  <c r="I295" i="13"/>
  <c r="J295" i="13"/>
  <c r="K295" i="13"/>
  <c r="L295" i="13"/>
  <c r="M295" i="13"/>
  <c r="N295" i="13"/>
  <c r="A296" i="13"/>
  <c r="B296" i="13"/>
  <c r="C296" i="13"/>
  <c r="D296" i="13"/>
  <c r="E296" i="13"/>
  <c r="F296" i="13"/>
  <c r="G296" i="13"/>
  <c r="H296" i="13"/>
  <c r="I296" i="13"/>
  <c r="J296" i="13"/>
  <c r="K296" i="13"/>
  <c r="L296" i="13"/>
  <c r="M296" i="13"/>
  <c r="N296" i="13"/>
  <c r="A297" i="13"/>
  <c r="B297" i="13"/>
  <c r="C297" i="13"/>
  <c r="D297" i="13"/>
  <c r="E297" i="13"/>
  <c r="F297" i="13"/>
  <c r="G297" i="13"/>
  <c r="H297" i="13"/>
  <c r="I297" i="13"/>
  <c r="J297" i="13"/>
  <c r="K297" i="13"/>
  <c r="L297" i="13"/>
  <c r="M297" i="13"/>
  <c r="N297" i="13"/>
  <c r="A298" i="13"/>
  <c r="B298" i="13"/>
  <c r="C298" i="13"/>
  <c r="D298" i="13"/>
  <c r="E298" i="13"/>
  <c r="F298" i="13"/>
  <c r="G298" i="13"/>
  <c r="H298" i="13"/>
  <c r="I298" i="13"/>
  <c r="J298" i="13"/>
  <c r="K298" i="13"/>
  <c r="L298" i="13"/>
  <c r="M298" i="13"/>
  <c r="N298" i="13"/>
  <c r="A299" i="13"/>
  <c r="B299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A300" i="13"/>
  <c r="B300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A301" i="13"/>
  <c r="B301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A302" i="13"/>
  <c r="B302" i="13"/>
  <c r="C302" i="13"/>
  <c r="D302" i="13"/>
  <c r="E302" i="13"/>
  <c r="F302" i="13"/>
  <c r="G302" i="13"/>
  <c r="H302" i="13"/>
  <c r="I302" i="13"/>
  <c r="J302" i="13"/>
  <c r="K302" i="13"/>
  <c r="L302" i="13"/>
  <c r="M302" i="13"/>
  <c r="N302" i="13"/>
  <c r="A303" i="13"/>
  <c r="B303" i="13"/>
  <c r="C303" i="13"/>
  <c r="D303" i="13"/>
  <c r="E303" i="13"/>
  <c r="F303" i="13"/>
  <c r="G303" i="13"/>
  <c r="H303" i="13"/>
  <c r="I303" i="13"/>
  <c r="J303" i="13"/>
  <c r="K303" i="13"/>
  <c r="L303" i="13"/>
  <c r="M303" i="13"/>
  <c r="N303" i="13"/>
  <c r="A304" i="13"/>
  <c r="B304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A305" i="13"/>
  <c r="B305" i="13"/>
  <c r="C305" i="13"/>
  <c r="D305" i="13"/>
  <c r="E305" i="13"/>
  <c r="F305" i="13"/>
  <c r="G305" i="13"/>
  <c r="H305" i="13"/>
  <c r="I305" i="13"/>
  <c r="J305" i="13"/>
  <c r="K305" i="13"/>
  <c r="L305" i="13"/>
  <c r="M305" i="13"/>
  <c r="N305" i="13"/>
  <c r="A306" i="13"/>
  <c r="B306" i="13"/>
  <c r="C306" i="13"/>
  <c r="D306" i="13"/>
  <c r="E306" i="13"/>
  <c r="F306" i="13"/>
  <c r="G306" i="13"/>
  <c r="H306" i="13"/>
  <c r="I306" i="13"/>
  <c r="J306" i="13"/>
  <c r="K306" i="13"/>
  <c r="L306" i="13"/>
  <c r="M306" i="13"/>
  <c r="N306" i="13"/>
  <c r="A307" i="13"/>
  <c r="B307" i="13"/>
  <c r="C307" i="13"/>
  <c r="D307" i="13"/>
  <c r="E307" i="13"/>
  <c r="F307" i="13"/>
  <c r="G307" i="13"/>
  <c r="H307" i="13"/>
  <c r="I307" i="13"/>
  <c r="J307" i="13"/>
  <c r="K307" i="13"/>
  <c r="L307" i="13"/>
  <c r="M307" i="13"/>
  <c r="N307" i="13"/>
  <c r="A308" i="13"/>
  <c r="B308" i="13"/>
  <c r="C308" i="13"/>
  <c r="D308" i="13"/>
  <c r="E308" i="13"/>
  <c r="F308" i="13"/>
  <c r="G308" i="13"/>
  <c r="H308" i="13"/>
  <c r="I308" i="13"/>
  <c r="J308" i="13"/>
  <c r="K308" i="13"/>
  <c r="L308" i="13"/>
  <c r="M308" i="13"/>
  <c r="N308" i="13"/>
  <c r="A309" i="13"/>
  <c r="B309" i="13"/>
  <c r="C309" i="13"/>
  <c r="D309" i="13"/>
  <c r="E309" i="13"/>
  <c r="F309" i="13"/>
  <c r="G309" i="13"/>
  <c r="H309" i="13"/>
  <c r="I309" i="13"/>
  <c r="J309" i="13"/>
  <c r="K309" i="13"/>
  <c r="L309" i="13"/>
  <c r="M309" i="13"/>
  <c r="N309" i="13"/>
  <c r="O283" i="13"/>
  <c r="O284" i="13"/>
  <c r="O285" i="13"/>
  <c r="O286" i="13"/>
  <c r="O287" i="13"/>
  <c r="O288" i="13"/>
  <c r="O289" i="13"/>
  <c r="O290" i="13"/>
  <c r="O291" i="13"/>
  <c r="O282" i="13"/>
  <c r="A282" i="13"/>
  <c r="B282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A283" i="13"/>
  <c r="B283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A284" i="13"/>
  <c r="B284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A285" i="13"/>
  <c r="B285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A286" i="13"/>
  <c r="B286" i="13"/>
  <c r="C286" i="13"/>
  <c r="D286" i="13"/>
  <c r="E286" i="13"/>
  <c r="F286" i="13"/>
  <c r="G286" i="13"/>
  <c r="H286" i="13"/>
  <c r="I286" i="13"/>
  <c r="J286" i="13"/>
  <c r="K286" i="13"/>
  <c r="L286" i="13"/>
  <c r="M286" i="13"/>
  <c r="N286" i="13"/>
  <c r="A287" i="13"/>
  <c r="B287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A288" i="13"/>
  <c r="B288" i="13"/>
  <c r="C288" i="13"/>
  <c r="D288" i="13"/>
  <c r="E288" i="13"/>
  <c r="F288" i="13"/>
  <c r="G288" i="13"/>
  <c r="H288" i="13"/>
  <c r="I288" i="13"/>
  <c r="J288" i="13"/>
  <c r="K288" i="13"/>
  <c r="L288" i="13"/>
  <c r="M288" i="13"/>
  <c r="N288" i="13"/>
  <c r="A289" i="13"/>
  <c r="B289" i="13"/>
  <c r="C289" i="13"/>
  <c r="D289" i="13"/>
  <c r="E289" i="13"/>
  <c r="F289" i="13"/>
  <c r="G289" i="13"/>
  <c r="H289" i="13"/>
  <c r="I289" i="13"/>
  <c r="J289" i="13"/>
  <c r="K289" i="13"/>
  <c r="L289" i="13"/>
  <c r="M289" i="13"/>
  <c r="N289" i="13"/>
  <c r="A290" i="13"/>
  <c r="B290" i="13"/>
  <c r="C290" i="13"/>
  <c r="D290" i="13"/>
  <c r="E290" i="13"/>
  <c r="F290" i="13"/>
  <c r="G290" i="13"/>
  <c r="H290" i="13"/>
  <c r="I290" i="13"/>
  <c r="J290" i="13"/>
  <c r="K290" i="13"/>
  <c r="L290" i="13"/>
  <c r="M290" i="13"/>
  <c r="N290" i="13"/>
  <c r="A291" i="13"/>
  <c r="B291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66" i="13"/>
  <c r="A266" i="13"/>
  <c r="B266" i="13"/>
  <c r="C266" i="13"/>
  <c r="D266" i="13"/>
  <c r="E266" i="13"/>
  <c r="F266" i="13"/>
  <c r="G266" i="13"/>
  <c r="H266" i="13"/>
  <c r="I266" i="13"/>
  <c r="J266" i="13"/>
  <c r="K266" i="13"/>
  <c r="L266" i="13"/>
  <c r="M266" i="13"/>
  <c r="N266" i="13"/>
  <c r="A267" i="13"/>
  <c r="B267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A268" i="13"/>
  <c r="B268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A269" i="13"/>
  <c r="B269" i="13"/>
  <c r="C269" i="13"/>
  <c r="D269" i="13"/>
  <c r="E269" i="13"/>
  <c r="F269" i="13"/>
  <c r="G269" i="13"/>
  <c r="H269" i="13"/>
  <c r="I269" i="13"/>
  <c r="J269" i="13"/>
  <c r="K269" i="13"/>
  <c r="L269" i="13"/>
  <c r="M269" i="13"/>
  <c r="N269" i="13"/>
  <c r="A270" i="13"/>
  <c r="B270" i="13"/>
  <c r="C270" i="13"/>
  <c r="D270" i="13"/>
  <c r="E270" i="13"/>
  <c r="F270" i="13"/>
  <c r="G270" i="13"/>
  <c r="H270" i="13"/>
  <c r="I270" i="13"/>
  <c r="J270" i="13"/>
  <c r="K270" i="13"/>
  <c r="L270" i="13"/>
  <c r="M270" i="13"/>
  <c r="N270" i="13"/>
  <c r="A271" i="13"/>
  <c r="B271" i="13"/>
  <c r="C271" i="13"/>
  <c r="D271" i="13"/>
  <c r="E271" i="13"/>
  <c r="F271" i="13"/>
  <c r="G271" i="13"/>
  <c r="H271" i="13"/>
  <c r="I271" i="13"/>
  <c r="J271" i="13"/>
  <c r="K271" i="13"/>
  <c r="L271" i="13"/>
  <c r="M271" i="13"/>
  <c r="N271" i="13"/>
  <c r="A272" i="13"/>
  <c r="B272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A273" i="13"/>
  <c r="B273" i="13"/>
  <c r="C273" i="13"/>
  <c r="D273" i="13"/>
  <c r="E273" i="13"/>
  <c r="F273" i="13"/>
  <c r="G273" i="13"/>
  <c r="H273" i="13"/>
  <c r="I273" i="13"/>
  <c r="J273" i="13"/>
  <c r="K273" i="13"/>
  <c r="L273" i="13"/>
  <c r="M273" i="13"/>
  <c r="N273" i="13"/>
  <c r="A274" i="13"/>
  <c r="B274" i="13"/>
  <c r="C274" i="13"/>
  <c r="D274" i="13"/>
  <c r="E274" i="13"/>
  <c r="F274" i="13"/>
  <c r="G274" i="13"/>
  <c r="H274" i="13"/>
  <c r="I274" i="13"/>
  <c r="J274" i="13"/>
  <c r="K274" i="13"/>
  <c r="L274" i="13"/>
  <c r="M274" i="13"/>
  <c r="N274" i="13"/>
  <c r="A275" i="13"/>
  <c r="B275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A276" i="13"/>
  <c r="B276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A277" i="13"/>
  <c r="B277" i="13"/>
  <c r="C277" i="13"/>
  <c r="D277" i="13"/>
  <c r="E277" i="13"/>
  <c r="F277" i="13"/>
  <c r="G277" i="13"/>
  <c r="H277" i="13"/>
  <c r="I277" i="13"/>
  <c r="J277" i="13"/>
  <c r="K277" i="13"/>
  <c r="L277" i="13"/>
  <c r="M277" i="13"/>
  <c r="N277" i="13"/>
  <c r="A278" i="13"/>
  <c r="B278" i="13"/>
  <c r="C278" i="13"/>
  <c r="D278" i="13"/>
  <c r="E278" i="13"/>
  <c r="F278" i="13"/>
  <c r="G278" i="13"/>
  <c r="H278" i="13"/>
  <c r="I278" i="13"/>
  <c r="J278" i="13"/>
  <c r="K278" i="13"/>
  <c r="L278" i="13"/>
  <c r="M278" i="13"/>
  <c r="N278" i="13"/>
  <c r="A279" i="13"/>
  <c r="B279" i="13"/>
  <c r="C279" i="13"/>
  <c r="D279" i="13"/>
  <c r="E279" i="13"/>
  <c r="F279" i="13"/>
  <c r="G279" i="13"/>
  <c r="H279" i="13"/>
  <c r="I279" i="13"/>
  <c r="J279" i="13"/>
  <c r="K279" i="13"/>
  <c r="L279" i="13"/>
  <c r="M279" i="13"/>
  <c r="N279" i="13"/>
  <c r="A280" i="13"/>
  <c r="B280" i="13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A281" i="13"/>
  <c r="B281" i="13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O255" i="13"/>
  <c r="O256" i="13"/>
  <c r="O257" i="13"/>
  <c r="O258" i="13"/>
  <c r="O259" i="13"/>
  <c r="O260" i="13"/>
  <c r="O261" i="13"/>
  <c r="O262" i="13"/>
  <c r="O263" i="13"/>
  <c r="O264" i="13"/>
  <c r="O265" i="13"/>
  <c r="O254" i="13"/>
  <c r="A254" i="13"/>
  <c r="B254" i="13"/>
  <c r="C254" i="13"/>
  <c r="D254" i="13"/>
  <c r="E254" i="13"/>
  <c r="F254" i="13"/>
  <c r="G254" i="13"/>
  <c r="H254" i="13"/>
  <c r="I254" i="13"/>
  <c r="J254" i="13"/>
  <c r="K254" i="13"/>
  <c r="L254" i="13"/>
  <c r="M254" i="13"/>
  <c r="N254" i="13"/>
  <c r="A255" i="13"/>
  <c r="B255" i="13"/>
  <c r="C255" i="13"/>
  <c r="D255" i="13"/>
  <c r="E255" i="13"/>
  <c r="F255" i="13"/>
  <c r="G255" i="13"/>
  <c r="H255" i="13"/>
  <c r="I255" i="13"/>
  <c r="J255" i="13"/>
  <c r="K255" i="13"/>
  <c r="L255" i="13"/>
  <c r="M255" i="13"/>
  <c r="N255" i="13"/>
  <c r="A256" i="13"/>
  <c r="B256" i="13"/>
  <c r="C256" i="13"/>
  <c r="D256" i="13"/>
  <c r="E256" i="13"/>
  <c r="F256" i="13"/>
  <c r="G256" i="13"/>
  <c r="H256" i="13"/>
  <c r="I256" i="13"/>
  <c r="J256" i="13"/>
  <c r="K256" i="13"/>
  <c r="L256" i="13"/>
  <c r="M256" i="13"/>
  <c r="N256" i="13"/>
  <c r="A257" i="13"/>
  <c r="B257" i="13"/>
  <c r="C257" i="13"/>
  <c r="D257" i="13"/>
  <c r="E257" i="13"/>
  <c r="F257" i="13"/>
  <c r="G257" i="13"/>
  <c r="H257" i="13"/>
  <c r="I257" i="13"/>
  <c r="J257" i="13"/>
  <c r="K257" i="13"/>
  <c r="L257" i="13"/>
  <c r="M257" i="13"/>
  <c r="N257" i="13"/>
  <c r="A258" i="13"/>
  <c r="B258" i="13"/>
  <c r="C258" i="13"/>
  <c r="D258" i="13"/>
  <c r="E258" i="13"/>
  <c r="F258" i="13"/>
  <c r="G258" i="13"/>
  <c r="H258" i="13"/>
  <c r="I258" i="13"/>
  <c r="J258" i="13"/>
  <c r="K258" i="13"/>
  <c r="L258" i="13"/>
  <c r="M258" i="13"/>
  <c r="N258" i="13"/>
  <c r="A259" i="13"/>
  <c r="B259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A260" i="13"/>
  <c r="B260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A261" i="13"/>
  <c r="B261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A262" i="13"/>
  <c r="B262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A263" i="13"/>
  <c r="B263" i="13"/>
  <c r="C263" i="13"/>
  <c r="D263" i="13"/>
  <c r="E263" i="13"/>
  <c r="F263" i="13"/>
  <c r="G263" i="13"/>
  <c r="H263" i="13"/>
  <c r="I263" i="13"/>
  <c r="J263" i="13"/>
  <c r="K263" i="13"/>
  <c r="L263" i="13"/>
  <c r="M263" i="13"/>
  <c r="N263" i="13"/>
  <c r="A264" i="13"/>
  <c r="B264" i="13"/>
  <c r="C264" i="13"/>
  <c r="D264" i="13"/>
  <c r="E264" i="13"/>
  <c r="F264" i="13"/>
  <c r="G264" i="13"/>
  <c r="H264" i="13"/>
  <c r="I264" i="13"/>
  <c r="J264" i="13"/>
  <c r="K264" i="13"/>
  <c r="L264" i="13"/>
  <c r="M264" i="13"/>
  <c r="N264" i="13"/>
  <c r="A265" i="13"/>
  <c r="B265" i="13"/>
  <c r="C265" i="13"/>
  <c r="D265" i="13"/>
  <c r="E265" i="13"/>
  <c r="F265" i="13"/>
  <c r="G265" i="13"/>
  <c r="H265" i="13"/>
  <c r="I265" i="13"/>
  <c r="J265" i="13"/>
  <c r="K265" i="13"/>
  <c r="L265" i="13"/>
  <c r="M265" i="13"/>
  <c r="N265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37" i="13"/>
  <c r="A237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A238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A239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A240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A241" i="13"/>
  <c r="B241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A242" i="13"/>
  <c r="B242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A243" i="13"/>
  <c r="B243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A244" i="13"/>
  <c r="B244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A245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A246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A247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A248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A249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A250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A251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A252" i="13"/>
  <c r="B252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A253" i="13"/>
  <c r="B253" i="13"/>
  <c r="C253" i="13"/>
  <c r="D253" i="13"/>
  <c r="E253" i="13"/>
  <c r="F253" i="13"/>
  <c r="G253" i="13"/>
  <c r="H253" i="13"/>
  <c r="I253" i="13"/>
  <c r="J253" i="13"/>
  <c r="K253" i="13"/>
  <c r="L253" i="13"/>
  <c r="M253" i="13"/>
  <c r="N253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19" i="13"/>
  <c r="A219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N219" i="13"/>
  <c r="A220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N220" i="13"/>
  <c r="A221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N221" i="13"/>
  <c r="A222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N222" i="13"/>
  <c r="A223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N223" i="13"/>
  <c r="A224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N224" i="13"/>
  <c r="A225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A226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A227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A228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A229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A230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A231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N231" i="13"/>
  <c r="A232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N232" i="13"/>
  <c r="A233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N233" i="13"/>
  <c r="A234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N234" i="13"/>
  <c r="A235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A236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01" i="13"/>
  <c r="A201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A202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N202" i="13"/>
  <c r="A203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N203" i="13"/>
  <c r="A204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N204" i="13"/>
  <c r="A205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N205" i="13"/>
  <c r="A206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N206" i="13"/>
  <c r="A207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N207" i="13"/>
  <c r="A208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N208" i="13"/>
  <c r="A209" i="13"/>
  <c r="B209" i="13"/>
  <c r="C209" i="13"/>
  <c r="D209" i="13"/>
  <c r="E209" i="13"/>
  <c r="F209" i="13"/>
  <c r="G209" i="13"/>
  <c r="H209" i="13"/>
  <c r="I209" i="13"/>
  <c r="J209" i="13"/>
  <c r="K209" i="13"/>
  <c r="L209" i="13"/>
  <c r="M209" i="13"/>
  <c r="N209" i="13"/>
  <c r="A210" i="13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A211" i="13"/>
  <c r="B211" i="13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A212" i="13"/>
  <c r="B212" i="13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A213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A214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A215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N215" i="13"/>
  <c r="A216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N216" i="13"/>
  <c r="A217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N217" i="13"/>
  <c r="A218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185" i="13"/>
  <c r="A185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A186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A187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A188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A189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A190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A191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A192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A193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A194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A195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A196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A197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A198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A199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A200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67" i="13"/>
  <c r="A167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A168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A169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A170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A171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A172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A173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A174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A175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A176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A177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A178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A179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A180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A181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A182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A183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A184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51" i="13"/>
  <c r="A151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A152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A153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A154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A155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A156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A157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A158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A159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A160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A161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A162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A163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A164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A165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A166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36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A150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21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03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89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71" i="13"/>
  <c r="A71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A72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55" i="13"/>
  <c r="A55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A56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A57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A58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A59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A60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A61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A62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A63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A64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A65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A66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A67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A68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A69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A70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32" i="13"/>
  <c r="A32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A33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A34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A35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A36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A37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A38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A39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A40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A41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A42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A43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A44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A45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A46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A47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A48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A49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A50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A51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A52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A53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A54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22" i="13"/>
  <c r="O23" i="13"/>
  <c r="O24" i="13"/>
  <c r="O25" i="13"/>
  <c r="O26" i="13"/>
  <c r="O27" i="13"/>
  <c r="O28" i="13"/>
  <c r="O29" i="13"/>
  <c r="O30" i="13"/>
  <c r="O31" i="13"/>
  <c r="O21" i="13"/>
  <c r="A21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A22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A23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A24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A25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A26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A27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A28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A29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A30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A31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" i="13"/>
  <c r="A2" i="13"/>
  <c r="B2" i="13"/>
  <c r="C2" i="13"/>
  <c r="D2" i="13"/>
  <c r="E2" i="13"/>
  <c r="F2" i="13"/>
  <c r="G2" i="13"/>
  <c r="H2" i="13"/>
  <c r="I2" i="13"/>
  <c r="J2" i="13"/>
  <c r="K2" i="13"/>
  <c r="L2" i="13"/>
  <c r="M2" i="13"/>
  <c r="N2" i="13"/>
  <c r="A3" i="13"/>
  <c r="B3" i="13"/>
  <c r="C3" i="13"/>
  <c r="D3" i="13"/>
  <c r="E3" i="13"/>
  <c r="F3" i="13"/>
  <c r="G3" i="13"/>
  <c r="H3" i="13"/>
  <c r="I3" i="13"/>
  <c r="J3" i="13"/>
  <c r="K3" i="13"/>
  <c r="L3" i="13"/>
  <c r="M3" i="13"/>
  <c r="N3" i="13"/>
  <c r="A4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A5" i="13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A6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A7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A8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A9" i="13"/>
  <c r="B9" i="13"/>
  <c r="C9" i="13"/>
  <c r="D9" i="13"/>
  <c r="E9" i="13"/>
  <c r="F9" i="13"/>
  <c r="G9" i="13"/>
  <c r="H9" i="13"/>
  <c r="I9" i="13"/>
  <c r="J9" i="13"/>
  <c r="K9" i="13"/>
  <c r="L9" i="13"/>
  <c r="M9" i="13"/>
  <c r="N9" i="13"/>
  <c r="A10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A11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A12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A13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A14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A15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A16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A17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A18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A19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A20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I103" i="9"/>
  <c r="K103" i="9" s="1"/>
  <c r="I102" i="9"/>
  <c r="K102" i="9" s="1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N612" i="1"/>
  <c r="B1310" i="10" l="1"/>
  <c r="B1317" i="10"/>
  <c r="B234" i="11"/>
  <c r="B241" i="11"/>
  <c r="B727" i="10"/>
  <c r="B734" i="10"/>
  <c r="B414" i="10"/>
  <c r="B421" i="10"/>
  <c r="I21" i="10"/>
  <c r="B20" i="10"/>
  <c r="B27" i="10"/>
  <c r="M20" i="10"/>
  <c r="I20" i="10"/>
  <c r="I22" i="10" s="1"/>
  <c r="B956" i="10"/>
  <c r="B963" i="10"/>
  <c r="B1360" i="11"/>
  <c r="B1367" i="11"/>
  <c r="B1046" i="11"/>
  <c r="B1053" i="11"/>
  <c r="B893" i="11"/>
  <c r="B900" i="11"/>
  <c r="B382" i="1"/>
  <c r="B389" i="1"/>
  <c r="B36" i="11"/>
  <c r="B43" i="11"/>
  <c r="B617" i="11" l="1"/>
  <c r="B624" i="11"/>
  <c r="L527" i="11"/>
  <c r="L526" i="11"/>
  <c r="M519" i="11"/>
  <c r="L519" i="11"/>
  <c r="B531" i="11"/>
  <c r="B538" i="11"/>
  <c r="B1073" i="9"/>
  <c r="B1080" i="9"/>
  <c r="B1560" i="9"/>
  <c r="B1567" i="9"/>
  <c r="B1362" i="9"/>
  <c r="B1369" i="9"/>
  <c r="B505" i="9"/>
  <c r="B512" i="9"/>
  <c r="B866" i="9"/>
  <c r="B873" i="9"/>
  <c r="B274" i="1"/>
  <c r="B273" i="1"/>
  <c r="B272" i="1"/>
  <c r="B279" i="1"/>
  <c r="B48" i="9"/>
  <c r="B41" i="9"/>
  <c r="E51" i="6"/>
  <c r="E50" i="6"/>
  <c r="I1948" i="9" l="1"/>
  <c r="L1948" i="9" s="1"/>
  <c r="I1947" i="9"/>
  <c r="L1947" i="9" s="1"/>
  <c r="L1946" i="9"/>
  <c r="L1945" i="9"/>
  <c r="I1944" i="9"/>
  <c r="L1944" i="9" s="1"/>
  <c r="I1943" i="9"/>
  <c r="L1943" i="9" s="1"/>
  <c r="I1942" i="9"/>
  <c r="L1942" i="9" s="1"/>
  <c r="I1941" i="9"/>
  <c r="L1941" i="9" s="1"/>
  <c r="I1940" i="9"/>
  <c r="L1940" i="9" s="1"/>
  <c r="I1939" i="9"/>
  <c r="L1939" i="9" s="1"/>
  <c r="I1938" i="9"/>
  <c r="L1938" i="9" s="1"/>
  <c r="I1937" i="9"/>
  <c r="L1937" i="9" s="1"/>
  <c r="I1936" i="9"/>
  <c r="L1936" i="9" s="1"/>
  <c r="I1935" i="9"/>
  <c r="L1935" i="9" s="1"/>
  <c r="I1934" i="9"/>
  <c r="L1934" i="9" s="1"/>
  <c r="I1933" i="9"/>
  <c r="L1933" i="9" s="1"/>
  <c r="I1932" i="9"/>
  <c r="L1932" i="9" s="1"/>
  <c r="I1929" i="9"/>
  <c r="I1928" i="9"/>
  <c r="K1928" i="9" s="1"/>
  <c r="I1927" i="9"/>
  <c r="K1927" i="9" s="1"/>
  <c r="I1910" i="9"/>
  <c r="L1910" i="9" s="1"/>
  <c r="I1909" i="9"/>
  <c r="L1909" i="9" s="1"/>
  <c r="I1908" i="9"/>
  <c r="L1908" i="9" s="1"/>
  <c r="L1949" i="9" l="1"/>
  <c r="I1868" i="9"/>
  <c r="L1868" i="9" s="1"/>
  <c r="I1867" i="9"/>
  <c r="L1867" i="9" s="1"/>
  <c r="I1866" i="9"/>
  <c r="L1866" i="9" s="1"/>
  <c r="I1865" i="9"/>
  <c r="L1865" i="9" s="1"/>
  <c r="I1864" i="9"/>
  <c r="L1864" i="9" s="1"/>
  <c r="I1863" i="9"/>
  <c r="L1863" i="9" s="1"/>
  <c r="I1862" i="9"/>
  <c r="L1862" i="9" s="1"/>
  <c r="I1861" i="9"/>
  <c r="L1861" i="9" s="1"/>
  <c r="I1860" i="9"/>
  <c r="L1860" i="9" s="1"/>
  <c r="I1859" i="9"/>
  <c r="L1859" i="9" s="1"/>
  <c r="I1858" i="9"/>
  <c r="L1858" i="9" s="1"/>
  <c r="I1857" i="9"/>
  <c r="L1857" i="9" s="1"/>
  <c r="I1856" i="9"/>
  <c r="L1856" i="9" s="1"/>
  <c r="I1855" i="9"/>
  <c r="L1855" i="9" s="1"/>
  <c r="I1854" i="9"/>
  <c r="L1854" i="9" s="1"/>
  <c r="I1853" i="9"/>
  <c r="L1853" i="9" s="1"/>
  <c r="I1852" i="9"/>
  <c r="L1852" i="9" s="1"/>
  <c r="I1851" i="9"/>
  <c r="L1851" i="9" s="1"/>
  <c r="I1848" i="9"/>
  <c r="K1848" i="9" s="1"/>
  <c r="I1847" i="9"/>
  <c r="K1847" i="9" s="1"/>
  <c r="I1830" i="9"/>
  <c r="L1830" i="9" s="1"/>
  <c r="I1829" i="9"/>
  <c r="L1829" i="9" s="1"/>
  <c r="K1822" i="9"/>
  <c r="M1822" i="9"/>
  <c r="I1816" i="9"/>
  <c r="K1816" i="9" s="1"/>
  <c r="I1815" i="9"/>
  <c r="K1815" i="9" s="1"/>
  <c r="I1789" i="9"/>
  <c r="K1789" i="9" s="1"/>
  <c r="I1788" i="9"/>
  <c r="I1787" i="9"/>
  <c r="L1787" i="9" s="1"/>
  <c r="I1786" i="9"/>
  <c r="L1786" i="9" s="1"/>
  <c r="I1785" i="9"/>
  <c r="L1785" i="9" s="1"/>
  <c r="I1784" i="9"/>
  <c r="L1784" i="9" s="1"/>
  <c r="I1783" i="9"/>
  <c r="L1783" i="9" s="1"/>
  <c r="I1782" i="9"/>
  <c r="L1782" i="9" s="1"/>
  <c r="I1781" i="9"/>
  <c r="L1781" i="9" s="1"/>
  <c r="I1780" i="9"/>
  <c r="L1780" i="9" s="1"/>
  <c r="I1779" i="9"/>
  <c r="L1779" i="9" s="1"/>
  <c r="I1778" i="9"/>
  <c r="L1778" i="9" s="1"/>
  <c r="I1777" i="9"/>
  <c r="L1777" i="9" s="1"/>
  <c r="I1776" i="9"/>
  <c r="L1776" i="9" s="1"/>
  <c r="I1775" i="9"/>
  <c r="L1775" i="9" s="1"/>
  <c r="I1774" i="9"/>
  <c r="L1774" i="9" s="1"/>
  <c r="I1773" i="9"/>
  <c r="L1773" i="9" s="1"/>
  <c r="I1772" i="9"/>
  <c r="L1772" i="9" s="1"/>
  <c r="I1769" i="9"/>
  <c r="K1769" i="9" s="1"/>
  <c r="I1768" i="9"/>
  <c r="K1768" i="9" s="1"/>
  <c r="K1743" i="9"/>
  <c r="M1743" i="9"/>
  <c r="I1751" i="9"/>
  <c r="L1751" i="9" s="1"/>
  <c r="I1750" i="9"/>
  <c r="L1750" i="9" s="1"/>
  <c r="I1737" i="9"/>
  <c r="K1737" i="9" s="1"/>
  <c r="I1736" i="9"/>
  <c r="K1736" i="9" s="1"/>
  <c r="I1735" i="9"/>
  <c r="K1735" i="9" s="1"/>
  <c r="I1734" i="9"/>
  <c r="K1734" i="9" s="1"/>
  <c r="K1817" i="9" l="1"/>
  <c r="K1738" i="9"/>
  <c r="L1752" i="9"/>
  <c r="I1708" i="9" l="1"/>
  <c r="L1708" i="9" s="1"/>
  <c r="I1707" i="9"/>
  <c r="L1707" i="9" s="1"/>
  <c r="I1706" i="9"/>
  <c r="L1706" i="9" s="1"/>
  <c r="I1705" i="9"/>
  <c r="L1705" i="9" s="1"/>
  <c r="I1704" i="9"/>
  <c r="L1704" i="9" s="1"/>
  <c r="I1703" i="9"/>
  <c r="L1703" i="9" s="1"/>
  <c r="I1702" i="9"/>
  <c r="L1702" i="9" s="1"/>
  <c r="I1701" i="9"/>
  <c r="L1701" i="9" s="1"/>
  <c r="I1700" i="9"/>
  <c r="L1700" i="9" s="1"/>
  <c r="I1699" i="9"/>
  <c r="L1699" i="9" s="1"/>
  <c r="I1696" i="9"/>
  <c r="K1696" i="9" s="1"/>
  <c r="I1695" i="9"/>
  <c r="K1695" i="9" s="1"/>
  <c r="I1678" i="9"/>
  <c r="L1678" i="9" s="1"/>
  <c r="I1677" i="9"/>
  <c r="L1677" i="9" s="1"/>
  <c r="I1664" i="9"/>
  <c r="K1664" i="9" s="1"/>
  <c r="I1663" i="9"/>
  <c r="K1663" i="9" s="1"/>
  <c r="I1662" i="9"/>
  <c r="L1662" i="9" s="1"/>
  <c r="L1665" i="9" s="1"/>
  <c r="I1661" i="9"/>
  <c r="K1661" i="9" s="1"/>
  <c r="I1634" i="9"/>
  <c r="L1634" i="9" s="1"/>
  <c r="I1633" i="9"/>
  <c r="L1633" i="9" s="1"/>
  <c r="I1632" i="9"/>
  <c r="L1632" i="9" s="1"/>
  <c r="I1631" i="9"/>
  <c r="L1631" i="9" s="1"/>
  <c r="I1630" i="9"/>
  <c r="L1630" i="9" s="1"/>
  <c r="I1629" i="9"/>
  <c r="L1629" i="9" s="1"/>
  <c r="I1628" i="9"/>
  <c r="L1628" i="9" s="1"/>
  <c r="I1627" i="9"/>
  <c r="L1627" i="9" s="1"/>
  <c r="I1626" i="9"/>
  <c r="L1626" i="9" s="1"/>
  <c r="I1625" i="9"/>
  <c r="L1625" i="9" s="1"/>
  <c r="I1624" i="9"/>
  <c r="L1624" i="9" s="1"/>
  <c r="I1623" i="9"/>
  <c r="L1623" i="9" s="1"/>
  <c r="I1622" i="9"/>
  <c r="L1622" i="9" s="1"/>
  <c r="I1621" i="9"/>
  <c r="L1621" i="9" s="1"/>
  <c r="I1620" i="9"/>
  <c r="L1620" i="9" s="1"/>
  <c r="I1619" i="9"/>
  <c r="L1619" i="9" s="1"/>
  <c r="I1616" i="9"/>
  <c r="K1616" i="9" s="1"/>
  <c r="I1615" i="9"/>
  <c r="K1615" i="9" s="1"/>
  <c r="I1614" i="9"/>
  <c r="K1614" i="9" s="1"/>
  <c r="I1594" i="9"/>
  <c r="L1594" i="9" s="1"/>
  <c r="I1593" i="9"/>
  <c r="L1593" i="9" s="1"/>
  <c r="I1592" i="9"/>
  <c r="L1592" i="9" s="1"/>
  <c r="I1591" i="9"/>
  <c r="L1591" i="9" s="1"/>
  <c r="I1590" i="9"/>
  <c r="L1590" i="9" s="1"/>
  <c r="I1589" i="9"/>
  <c r="L1589" i="9" s="1"/>
  <c r="I1588" i="9"/>
  <c r="L1588" i="9" s="1"/>
  <c r="I1587" i="9"/>
  <c r="L1587" i="9" s="1"/>
  <c r="I1586" i="9"/>
  <c r="L1586" i="9" s="1"/>
  <c r="I1585" i="9"/>
  <c r="L1585" i="9" s="1"/>
  <c r="I1583" i="9"/>
  <c r="L1583" i="9" s="1"/>
  <c r="I1582" i="9"/>
  <c r="L1582" i="9" s="1"/>
  <c r="I1581" i="9"/>
  <c r="L1581" i="9" s="1"/>
  <c r="K1665" i="9" l="1"/>
  <c r="K1666" i="9" s="1"/>
  <c r="I1577" i="9"/>
  <c r="K1577" i="9" s="1"/>
  <c r="I1576" i="9"/>
  <c r="K1576" i="9" s="1"/>
  <c r="I1556" i="9"/>
  <c r="L1556" i="9" s="1"/>
  <c r="I1555" i="9"/>
  <c r="L1555" i="9" s="1"/>
  <c r="I1540" i="9"/>
  <c r="K1540" i="9" s="1"/>
  <c r="I1539" i="9"/>
  <c r="L1539" i="9" s="1"/>
  <c r="I1538" i="9"/>
  <c r="K1538" i="9" s="1"/>
  <c r="I1537" i="9"/>
  <c r="K1537" i="9" s="1"/>
  <c r="I1508" i="9"/>
  <c r="L1508" i="9" s="1"/>
  <c r="I1507" i="9"/>
  <c r="L1507" i="9" s="1"/>
  <c r="I1506" i="9"/>
  <c r="L1506" i="9" s="1"/>
  <c r="I1505" i="9"/>
  <c r="L1505" i="9" s="1"/>
  <c r="I1504" i="9"/>
  <c r="L1504" i="9" s="1"/>
  <c r="I1503" i="9"/>
  <c r="L1503" i="9" s="1"/>
  <c r="I1502" i="9"/>
  <c r="L1502" i="9" s="1"/>
  <c r="I1501" i="9"/>
  <c r="L1501" i="9" s="1"/>
  <c r="I1500" i="9"/>
  <c r="L1500" i="9" s="1"/>
  <c r="I1499" i="9"/>
  <c r="L1499" i="9" s="1"/>
  <c r="I1498" i="9"/>
  <c r="L1498" i="9" s="1"/>
  <c r="I1497" i="9"/>
  <c r="L1497" i="9" s="1"/>
  <c r="I1494" i="9"/>
  <c r="K1494" i="9" s="1"/>
  <c r="I1493" i="9"/>
  <c r="K1493" i="9" s="1"/>
  <c r="I1476" i="9"/>
  <c r="L1476" i="9" s="1"/>
  <c r="I1475" i="9"/>
  <c r="L1475" i="9" s="1"/>
  <c r="I1462" i="9"/>
  <c r="K1462" i="9" s="1"/>
  <c r="I1461" i="9"/>
  <c r="K1461" i="9" s="1"/>
  <c r="I1460" i="9"/>
  <c r="L1460" i="9" s="1"/>
  <c r="I1459" i="9"/>
  <c r="L1459" i="9" s="1"/>
  <c r="I1432" i="9"/>
  <c r="L1432" i="9" s="1"/>
  <c r="I1431" i="9"/>
  <c r="L1431" i="9" s="1"/>
  <c r="I1430" i="9"/>
  <c r="L1430" i="9" s="1"/>
  <c r="I1429" i="9"/>
  <c r="L1429" i="9" s="1"/>
  <c r="I1428" i="9"/>
  <c r="L1428" i="9" s="1"/>
  <c r="I1427" i="9"/>
  <c r="L1427" i="9" s="1"/>
  <c r="I1426" i="9"/>
  <c r="L1426" i="9" s="1"/>
  <c r="I1425" i="9"/>
  <c r="L1425" i="9" s="1"/>
  <c r="I1424" i="9"/>
  <c r="L1424" i="9" s="1"/>
  <c r="I1423" i="9"/>
  <c r="L1423" i="9" s="1"/>
  <c r="I1422" i="9"/>
  <c r="L1422" i="9" s="1"/>
  <c r="I1421" i="9"/>
  <c r="L1421" i="9" s="1"/>
  <c r="I1420" i="9"/>
  <c r="L1420" i="9" s="1"/>
  <c r="I1419" i="9"/>
  <c r="L1419" i="9" s="1"/>
  <c r="I1418" i="9"/>
  <c r="L1418" i="9" s="1"/>
  <c r="I1417" i="9"/>
  <c r="L1417" i="9" s="1"/>
  <c r="I1416" i="9"/>
  <c r="L1416" i="9" s="1"/>
  <c r="I1413" i="9"/>
  <c r="K1413" i="9" s="1"/>
  <c r="I1412" i="9"/>
  <c r="K1412" i="9" s="1"/>
  <c r="I1392" i="9"/>
  <c r="L1392" i="9" s="1"/>
  <c r="I1391" i="9"/>
  <c r="L1391" i="9" s="1"/>
  <c r="I1390" i="9"/>
  <c r="L1390" i="9" s="1"/>
  <c r="I1389" i="9"/>
  <c r="L1389" i="9" s="1"/>
  <c r="I1388" i="9"/>
  <c r="L1388" i="9" s="1"/>
  <c r="I1387" i="9"/>
  <c r="L1387" i="9" s="1"/>
  <c r="I1385" i="9"/>
  <c r="L1385" i="9" s="1"/>
  <c r="I1384" i="9"/>
  <c r="L1384" i="9" s="1"/>
  <c r="I1379" i="9"/>
  <c r="K1379" i="9" s="1"/>
  <c r="I1378" i="9"/>
  <c r="K1378" i="9" s="1"/>
  <c r="I1357" i="9"/>
  <c r="L1357" i="9" s="1"/>
  <c r="I1356" i="9"/>
  <c r="L1356" i="9" s="1"/>
  <c r="I1311" i="9"/>
  <c r="I1310" i="9"/>
  <c r="I1309" i="9"/>
  <c r="L1309" i="9" s="1"/>
  <c r="I1308" i="9"/>
  <c r="L1308" i="9" s="1"/>
  <c r="I1307" i="9"/>
  <c r="L1307" i="9" s="1"/>
  <c r="I1306" i="9"/>
  <c r="L1306" i="9" s="1"/>
  <c r="I1305" i="9"/>
  <c r="L1305" i="9" s="1"/>
  <c r="I1304" i="9"/>
  <c r="L1304" i="9" s="1"/>
  <c r="I1303" i="9"/>
  <c r="L1303" i="9" s="1"/>
  <c r="I1302" i="9"/>
  <c r="L1302" i="9" s="1"/>
  <c r="I1301" i="9"/>
  <c r="L1301" i="9" s="1"/>
  <c r="I1300" i="9"/>
  <c r="L1300" i="9" s="1"/>
  <c r="I1299" i="9"/>
  <c r="L1299" i="9" s="1"/>
  <c r="I1298" i="9"/>
  <c r="L1298" i="9" s="1"/>
  <c r="I1297" i="9"/>
  <c r="L1297" i="9" s="1"/>
  <c r="I1296" i="9"/>
  <c r="L1296" i="9" s="1"/>
  <c r="I1295" i="9"/>
  <c r="L1295" i="9" s="1"/>
  <c r="I1294" i="9"/>
  <c r="L1294" i="9" s="1"/>
  <c r="I1291" i="9"/>
  <c r="K1291" i="9" s="1"/>
  <c r="I1290" i="9"/>
  <c r="K1290" i="9" s="1"/>
  <c r="M1264" i="9"/>
  <c r="I1273" i="9"/>
  <c r="L1273" i="9" s="1"/>
  <c r="L1272" i="9"/>
  <c r="I1271" i="9"/>
  <c r="L1271" i="9" s="1"/>
  <c r="I1258" i="9"/>
  <c r="K1258" i="9" s="1"/>
  <c r="I1257" i="9"/>
  <c r="K1257" i="9" s="1"/>
  <c r="I1256" i="9"/>
  <c r="K1256" i="9" s="1"/>
  <c r="I1255" i="9"/>
  <c r="K1255" i="9" s="1"/>
  <c r="I1229" i="9"/>
  <c r="I1228" i="9"/>
  <c r="I1227" i="9"/>
  <c r="L1227" i="9" s="1"/>
  <c r="I1226" i="9"/>
  <c r="L1226" i="9" s="1"/>
  <c r="I1225" i="9"/>
  <c r="L1225" i="9" s="1"/>
  <c r="I1224" i="9"/>
  <c r="L1224" i="9" s="1"/>
  <c r="I1223" i="9"/>
  <c r="L1223" i="9" s="1"/>
  <c r="I1222" i="9"/>
  <c r="L1222" i="9" s="1"/>
  <c r="I1221" i="9"/>
  <c r="L1221" i="9" s="1"/>
  <c r="I1220" i="9"/>
  <c r="L1220" i="9" s="1"/>
  <c r="I1219" i="9"/>
  <c r="L1219" i="9" s="1"/>
  <c r="I1218" i="9"/>
  <c r="L1218" i="9" s="1"/>
  <c r="I1217" i="9"/>
  <c r="L1217" i="9" s="1"/>
  <c r="I1216" i="9"/>
  <c r="L1216" i="9" s="1"/>
  <c r="I1215" i="9"/>
  <c r="L1215" i="9" s="1"/>
  <c r="I1214" i="9"/>
  <c r="L1214" i="9" s="1"/>
  <c r="I1213" i="9"/>
  <c r="L1213" i="9" s="1"/>
  <c r="I1212" i="9"/>
  <c r="L1212" i="9" s="1"/>
  <c r="I1209" i="9"/>
  <c r="K1209" i="9" s="1"/>
  <c r="I1208" i="9"/>
  <c r="K1208" i="9" s="1"/>
  <c r="I1207" i="9"/>
  <c r="K1207" i="9" s="1"/>
  <c r="I1176" i="9"/>
  <c r="K1176" i="9" s="1"/>
  <c r="I1175" i="9"/>
  <c r="L1175" i="9" s="1"/>
  <c r="I1174" i="9"/>
  <c r="L1174" i="9" s="1"/>
  <c r="M1182" i="9"/>
  <c r="L1557" i="9" l="1"/>
  <c r="I1561" i="9" s="1"/>
  <c r="M1560" i="9" s="1"/>
  <c r="K1463" i="9"/>
  <c r="L1463" i="9"/>
  <c r="K1507" i="9"/>
  <c r="L1274" i="9"/>
  <c r="L1312" i="9"/>
  <c r="K1259" i="9"/>
  <c r="I1147" i="9" l="1"/>
  <c r="L1147" i="9" s="1"/>
  <c r="I1146" i="9"/>
  <c r="L1146" i="9" s="1"/>
  <c r="I1145" i="9"/>
  <c r="L1145" i="9" s="1"/>
  <c r="I1144" i="9"/>
  <c r="L1144" i="9" s="1"/>
  <c r="I1143" i="9"/>
  <c r="L1143" i="9" s="1"/>
  <c r="I1142" i="9"/>
  <c r="L1142" i="9" s="1"/>
  <c r="I1141" i="9"/>
  <c r="L1141" i="9" s="1"/>
  <c r="I1140" i="9"/>
  <c r="L1140" i="9" s="1"/>
  <c r="I1139" i="9"/>
  <c r="L1139" i="9" s="1"/>
  <c r="I1138" i="9"/>
  <c r="L1138" i="9" s="1"/>
  <c r="I1137" i="9"/>
  <c r="L1137" i="9" s="1"/>
  <c r="I1136" i="9"/>
  <c r="L1136" i="9" s="1"/>
  <c r="I1135" i="9"/>
  <c r="L1135" i="9" s="1"/>
  <c r="I1134" i="9"/>
  <c r="L1134" i="9" s="1"/>
  <c r="I1133" i="9"/>
  <c r="L1133" i="9" s="1"/>
  <c r="I1132" i="9"/>
  <c r="L1132" i="9" s="1"/>
  <c r="K1129" i="9"/>
  <c r="I1129" i="9"/>
  <c r="I1128" i="9"/>
  <c r="K1128" i="9" s="1"/>
  <c r="I1127" i="9"/>
  <c r="K1127" i="9" s="1"/>
  <c r="I1107" i="9"/>
  <c r="L1107" i="9" s="1"/>
  <c r="I1106" i="9"/>
  <c r="L1106" i="9" s="1"/>
  <c r="I1105" i="9"/>
  <c r="L1105" i="9" s="1"/>
  <c r="I1104" i="9"/>
  <c r="L1104" i="9" s="1"/>
  <c r="I1103" i="9"/>
  <c r="L1103" i="9" s="1"/>
  <c r="I1102" i="9"/>
  <c r="L1102" i="9" s="1"/>
  <c r="I1101" i="9"/>
  <c r="L1101" i="9" s="1"/>
  <c r="I1100" i="9"/>
  <c r="L1100" i="9" s="1"/>
  <c r="I1099" i="9"/>
  <c r="L1099" i="9" s="1"/>
  <c r="I1098" i="9"/>
  <c r="L1098" i="9" s="1"/>
  <c r="I1096" i="9"/>
  <c r="L1096" i="9" s="1"/>
  <c r="I1095" i="9"/>
  <c r="L1095" i="9" s="1"/>
  <c r="I1094" i="9"/>
  <c r="L1094" i="9" s="1"/>
  <c r="I1090" i="9"/>
  <c r="K1090" i="9" s="1"/>
  <c r="I1089" i="9"/>
  <c r="K1089" i="9" s="1"/>
  <c r="I1069" i="9"/>
  <c r="L1069" i="9" s="1"/>
  <c r="I1068" i="9"/>
  <c r="L1068" i="9" s="1"/>
  <c r="I1053" i="9"/>
  <c r="K1053" i="9" s="1"/>
  <c r="I1052" i="9"/>
  <c r="K1052" i="9" s="1"/>
  <c r="I1023" i="9"/>
  <c r="L1023" i="9" s="1"/>
  <c r="I1022" i="9"/>
  <c r="L1022" i="9" s="1"/>
  <c r="I1021" i="9"/>
  <c r="L1021" i="9" s="1"/>
  <c r="I1020" i="9"/>
  <c r="L1020" i="9" s="1"/>
  <c r="I1019" i="9"/>
  <c r="L1019" i="9" s="1"/>
  <c r="I1018" i="9"/>
  <c r="L1018" i="9" s="1"/>
  <c r="I1017" i="9"/>
  <c r="L1017" i="9" s="1"/>
  <c r="I1016" i="9"/>
  <c r="L1016" i="9" s="1"/>
  <c r="I1015" i="9"/>
  <c r="L1015" i="9" s="1"/>
  <c r="I1014" i="9"/>
  <c r="L1014" i="9" s="1"/>
  <c r="I1013" i="9"/>
  <c r="L1013" i="9" s="1"/>
  <c r="I1012" i="9"/>
  <c r="L1012" i="9" s="1"/>
  <c r="I1011" i="9"/>
  <c r="L1011" i="9" s="1"/>
  <c r="I1010" i="9"/>
  <c r="L1010" i="9" s="1"/>
  <c r="I1009" i="9"/>
  <c r="L1009" i="9" s="1"/>
  <c r="I1008" i="9"/>
  <c r="L1008" i="9" s="1"/>
  <c r="I1007" i="9"/>
  <c r="L1007" i="9" s="1"/>
  <c r="I1006" i="9"/>
  <c r="L1006" i="9" s="1"/>
  <c r="I1003" i="9"/>
  <c r="L1003" i="9" s="1"/>
  <c r="I1002" i="9"/>
  <c r="K1002" i="9" s="1"/>
  <c r="I1001" i="9"/>
  <c r="K1001" i="9" s="1"/>
  <c r="I984" i="9"/>
  <c r="L984" i="9" s="1"/>
  <c r="I983" i="9"/>
  <c r="L983" i="9" s="1"/>
  <c r="I982" i="9"/>
  <c r="L982" i="9" s="1"/>
  <c r="M975" i="9"/>
  <c r="I974" i="9"/>
  <c r="K974" i="9" s="1"/>
  <c r="I973" i="9"/>
  <c r="K973" i="9" s="1"/>
  <c r="I970" i="9"/>
  <c r="K970" i="9" s="1"/>
  <c r="I969" i="9"/>
  <c r="K969" i="9" s="1"/>
  <c r="I942" i="9"/>
  <c r="L942" i="9" s="1"/>
  <c r="I941" i="9"/>
  <c r="L941" i="9" s="1"/>
  <c r="I940" i="9"/>
  <c r="L940" i="9" s="1"/>
  <c r="I939" i="9"/>
  <c r="L939" i="9" s="1"/>
  <c r="I938" i="9"/>
  <c r="L938" i="9" s="1"/>
  <c r="I937" i="9"/>
  <c r="L937" i="9" s="1"/>
  <c r="I936" i="9"/>
  <c r="L936" i="9" s="1"/>
  <c r="I935" i="9"/>
  <c r="L935" i="9" s="1"/>
  <c r="I934" i="9"/>
  <c r="L934" i="9" s="1"/>
  <c r="I933" i="9"/>
  <c r="L933" i="9" s="1"/>
  <c r="I932" i="9"/>
  <c r="L932" i="9" s="1"/>
  <c r="I931" i="9"/>
  <c r="L931" i="9" s="1"/>
  <c r="I930" i="9"/>
  <c r="L930" i="9" s="1"/>
  <c r="I929" i="9"/>
  <c r="L929" i="9" s="1"/>
  <c r="I928" i="9"/>
  <c r="L928" i="9" s="1"/>
  <c r="I927" i="9"/>
  <c r="L927" i="9" s="1"/>
  <c r="I924" i="9"/>
  <c r="K924" i="9" s="1"/>
  <c r="I923" i="9"/>
  <c r="K923" i="9" s="1"/>
  <c r="K922" i="9" s="1"/>
  <c r="I922" i="9"/>
  <c r="I902" i="9"/>
  <c r="L902" i="9" s="1"/>
  <c r="I901" i="9"/>
  <c r="L901" i="9" s="1"/>
  <c r="I900" i="9"/>
  <c r="F900" i="9"/>
  <c r="I899" i="9"/>
  <c r="L899" i="9" s="1"/>
  <c r="I898" i="9"/>
  <c r="L898" i="9" s="1"/>
  <c r="I897" i="9"/>
  <c r="L897" i="9" s="1"/>
  <c r="I896" i="9"/>
  <c r="L896" i="9" s="1"/>
  <c r="I895" i="9"/>
  <c r="L895" i="9" s="1"/>
  <c r="I894" i="9"/>
  <c r="L894" i="9" s="1"/>
  <c r="I893" i="9"/>
  <c r="L893" i="9" s="1"/>
  <c r="I892" i="9"/>
  <c r="L892" i="9" s="1"/>
  <c r="I890" i="9"/>
  <c r="L890" i="9" s="1"/>
  <c r="I889" i="9"/>
  <c r="L889" i="9" s="1"/>
  <c r="I888" i="9"/>
  <c r="L888" i="9" s="1"/>
  <c r="I884" i="9"/>
  <c r="K884" i="9" s="1"/>
  <c r="I883" i="9"/>
  <c r="K883" i="9" s="1"/>
  <c r="I882" i="9"/>
  <c r="K882" i="9" s="1"/>
  <c r="I862" i="9"/>
  <c r="L862" i="9" s="1"/>
  <c r="I861" i="9"/>
  <c r="L861" i="9" s="1"/>
  <c r="I860" i="9"/>
  <c r="L860" i="9" s="1"/>
  <c r="I852" i="9"/>
  <c r="K852" i="9" s="1"/>
  <c r="I847" i="9"/>
  <c r="L847" i="9" s="1"/>
  <c r="I846" i="9"/>
  <c r="K846" i="9" s="1"/>
  <c r="I845" i="9"/>
  <c r="L845" i="9" s="1"/>
  <c r="I844" i="9"/>
  <c r="K844" i="9" s="1"/>
  <c r="I857" i="9"/>
  <c r="L857" i="9" s="1"/>
  <c r="I856" i="9"/>
  <c r="L856" i="9" s="1"/>
  <c r="L858" i="9" s="1"/>
  <c r="I866" i="9" s="1"/>
  <c r="I815" i="9"/>
  <c r="L815" i="9" s="1"/>
  <c r="I814" i="9"/>
  <c r="L814" i="9" s="1"/>
  <c r="I813" i="9"/>
  <c r="L813" i="9" s="1"/>
  <c r="I812" i="9"/>
  <c r="L812" i="9" s="1"/>
  <c r="I811" i="9"/>
  <c r="L811" i="9" s="1"/>
  <c r="I810" i="9"/>
  <c r="L810" i="9" s="1"/>
  <c r="I809" i="9"/>
  <c r="L809" i="9" s="1"/>
  <c r="I808" i="9"/>
  <c r="L808" i="9" s="1"/>
  <c r="I807" i="9"/>
  <c r="L807" i="9" s="1"/>
  <c r="I806" i="9"/>
  <c r="L806" i="9" s="1"/>
  <c r="I805" i="9"/>
  <c r="L805" i="9" s="1"/>
  <c r="I804" i="9"/>
  <c r="L804" i="9" s="1"/>
  <c r="I803" i="9"/>
  <c r="L803" i="9" s="1"/>
  <c r="I802" i="9"/>
  <c r="L802" i="9" s="1"/>
  <c r="I801" i="9"/>
  <c r="L801" i="9" s="1"/>
  <c r="I798" i="9"/>
  <c r="K798" i="9" s="1"/>
  <c r="I797" i="9"/>
  <c r="K797" i="9" s="1"/>
  <c r="I766" i="9"/>
  <c r="K766" i="9" s="1"/>
  <c r="I765" i="9"/>
  <c r="K765" i="9" s="1"/>
  <c r="I764" i="9"/>
  <c r="K764" i="9" s="1"/>
  <c r="I763" i="9"/>
  <c r="K763" i="9" s="1"/>
  <c r="I780" i="9"/>
  <c r="L780" i="9" s="1"/>
  <c r="I779" i="9"/>
  <c r="L779" i="9" s="1"/>
  <c r="I737" i="9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L724" i="9" s="1"/>
  <c r="I723" i="9"/>
  <c r="L723" i="9" s="1"/>
  <c r="I720" i="9"/>
  <c r="K720" i="9" s="1"/>
  <c r="I719" i="9"/>
  <c r="K719" i="9" s="1"/>
  <c r="I697" i="9"/>
  <c r="L697" i="9" s="1"/>
  <c r="I696" i="9"/>
  <c r="L696" i="9" s="1"/>
  <c r="I688" i="9"/>
  <c r="K688" i="9" s="1"/>
  <c r="I687" i="9"/>
  <c r="K687" i="9" s="1"/>
  <c r="I702" i="9"/>
  <c r="L702" i="9" s="1"/>
  <c r="I701" i="9"/>
  <c r="L701" i="9" s="1"/>
  <c r="I661" i="9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L654" i="9" s="1"/>
  <c r="I653" i="9"/>
  <c r="L653" i="9" s="1"/>
  <c r="I652" i="9"/>
  <c r="L652" i="9" s="1"/>
  <c r="I651" i="9"/>
  <c r="L651" i="9" s="1"/>
  <c r="I650" i="9"/>
  <c r="L650" i="9" s="1"/>
  <c r="I649" i="9"/>
  <c r="L649" i="9" s="1"/>
  <c r="I648" i="9"/>
  <c r="L648" i="9" s="1"/>
  <c r="I647" i="9"/>
  <c r="L647" i="9" s="1"/>
  <c r="I646" i="9"/>
  <c r="L646" i="9" s="1"/>
  <c r="I645" i="9"/>
  <c r="L645" i="9" s="1"/>
  <c r="I644" i="9"/>
  <c r="L644" i="9" s="1"/>
  <c r="L622" i="9"/>
  <c r="I622" i="9"/>
  <c r="L621" i="9"/>
  <c r="I621" i="9"/>
  <c r="L620" i="9"/>
  <c r="I620" i="9"/>
  <c r="L619" i="9"/>
  <c r="I619" i="9"/>
  <c r="I641" i="9"/>
  <c r="K641" i="9" s="1"/>
  <c r="I640" i="9"/>
  <c r="K640" i="9" s="1"/>
  <c r="I639" i="9"/>
  <c r="K639" i="9" s="1"/>
  <c r="I573" i="9"/>
  <c r="L573" i="9" s="1"/>
  <c r="I572" i="9"/>
  <c r="L572" i="9" s="1"/>
  <c r="I571" i="9"/>
  <c r="L571" i="9" s="1"/>
  <c r="I570" i="9"/>
  <c r="L570" i="9" s="1"/>
  <c r="I569" i="9"/>
  <c r="L569" i="9" s="1"/>
  <c r="I568" i="9"/>
  <c r="L568" i="9" s="1"/>
  <c r="I567" i="9"/>
  <c r="L567" i="9" s="1"/>
  <c r="I566" i="9"/>
  <c r="L566" i="9" s="1"/>
  <c r="I565" i="9"/>
  <c r="L565" i="9" s="1"/>
  <c r="I564" i="9"/>
  <c r="L564" i="9" s="1"/>
  <c r="I563" i="9"/>
  <c r="L563" i="9" s="1"/>
  <c r="I562" i="9"/>
  <c r="L562" i="9" s="1"/>
  <c r="I561" i="9"/>
  <c r="L561" i="9" s="1"/>
  <c r="I560" i="9"/>
  <c r="L560" i="9" s="1"/>
  <c r="I557" i="9"/>
  <c r="K557" i="9" s="1"/>
  <c r="I556" i="9"/>
  <c r="K556" i="9" s="1"/>
  <c r="I536" i="9"/>
  <c r="K536" i="9" s="1"/>
  <c r="I535" i="9"/>
  <c r="I534" i="9"/>
  <c r="L534" i="9" s="1"/>
  <c r="I533" i="9"/>
  <c r="L533" i="9" s="1"/>
  <c r="I532" i="9"/>
  <c r="L532" i="9" s="1"/>
  <c r="I531" i="9"/>
  <c r="L531" i="9" s="1"/>
  <c r="I530" i="9"/>
  <c r="L530" i="9" s="1"/>
  <c r="L529" i="9"/>
  <c r="I527" i="9"/>
  <c r="L527" i="9" s="1"/>
  <c r="I526" i="9"/>
  <c r="L526" i="9" s="1"/>
  <c r="I522" i="9"/>
  <c r="K522" i="9" s="1"/>
  <c r="I521" i="9"/>
  <c r="K521" i="9" s="1"/>
  <c r="L1070" i="9" l="1"/>
  <c r="I1074" i="9" s="1"/>
  <c r="M1073" i="9" s="1"/>
  <c r="L985" i="9"/>
  <c r="K1003" i="9"/>
  <c r="K975" i="9"/>
  <c r="K971" i="9"/>
  <c r="L900" i="9"/>
  <c r="K902" i="9"/>
  <c r="K848" i="9"/>
  <c r="K767" i="9"/>
  <c r="K689" i="9"/>
  <c r="L528" i="9"/>
  <c r="L537" i="9"/>
  <c r="I501" i="9" l="1"/>
  <c r="L501" i="9" s="1"/>
  <c r="I500" i="9"/>
  <c r="L500" i="9" s="1"/>
  <c r="I485" i="9"/>
  <c r="L485" i="9" s="1"/>
  <c r="I484" i="9"/>
  <c r="K484" i="9" s="1"/>
  <c r="I483" i="9"/>
  <c r="L483" i="9" s="1"/>
  <c r="I482" i="9"/>
  <c r="K482" i="9" s="1"/>
  <c r="I481" i="9"/>
  <c r="L481" i="9" s="1"/>
  <c r="I480" i="9"/>
  <c r="K480" i="9" s="1"/>
  <c r="I497" i="9"/>
  <c r="L497" i="9" s="1"/>
  <c r="I496" i="9"/>
  <c r="K496" i="9" s="1"/>
  <c r="I451" i="9"/>
  <c r="I450" i="9"/>
  <c r="K450" i="9" s="1"/>
  <c r="I449" i="9"/>
  <c r="L449" i="9" s="1"/>
  <c r="I448" i="9"/>
  <c r="L448" i="9" s="1"/>
  <c r="I447" i="9"/>
  <c r="L447" i="9" s="1"/>
  <c r="I446" i="9"/>
  <c r="L446" i="9" s="1"/>
  <c r="I445" i="9"/>
  <c r="L445" i="9" s="1"/>
  <c r="I444" i="9"/>
  <c r="L444" i="9" s="1"/>
  <c r="I443" i="9"/>
  <c r="L443" i="9" s="1"/>
  <c r="I442" i="9"/>
  <c r="L442" i="9" s="1"/>
  <c r="I441" i="9"/>
  <c r="L441" i="9" s="1"/>
  <c r="I440" i="9"/>
  <c r="L440" i="9" s="1"/>
  <c r="I439" i="9"/>
  <c r="L439" i="9" s="1"/>
  <c r="I438" i="9"/>
  <c r="L438" i="9" s="1"/>
  <c r="I437" i="9"/>
  <c r="L437" i="9" s="1"/>
  <c r="I436" i="9"/>
  <c r="L436" i="9" s="1"/>
  <c r="I435" i="9"/>
  <c r="L435" i="9" s="1"/>
  <c r="I434" i="9"/>
  <c r="L434" i="9" s="1"/>
  <c r="I431" i="9"/>
  <c r="K431" i="9" s="1"/>
  <c r="I430" i="9"/>
  <c r="K430" i="9" s="1"/>
  <c r="I413" i="9"/>
  <c r="L413" i="9" s="1"/>
  <c r="I412" i="9"/>
  <c r="L412" i="9" s="1"/>
  <c r="M405" i="9"/>
  <c r="I403" i="9"/>
  <c r="K403" i="9" s="1"/>
  <c r="I402" i="9"/>
  <c r="K402" i="9" s="1"/>
  <c r="L502" i="9" l="1"/>
  <c r="I506" i="9" s="1"/>
  <c r="M505" i="9" s="1"/>
  <c r="I372" i="9"/>
  <c r="I371" i="9"/>
  <c r="I370" i="9"/>
  <c r="L370" i="9" s="1"/>
  <c r="I369" i="9"/>
  <c r="L369" i="9" s="1"/>
  <c r="I368" i="9"/>
  <c r="L368" i="9" s="1"/>
  <c r="I367" i="9"/>
  <c r="L367" i="9" s="1"/>
  <c r="I366" i="9"/>
  <c r="L366" i="9" s="1"/>
  <c r="I365" i="9"/>
  <c r="L365" i="9" s="1"/>
  <c r="I364" i="9"/>
  <c r="L364" i="9" s="1"/>
  <c r="I363" i="9"/>
  <c r="L363" i="9" s="1"/>
  <c r="I362" i="9"/>
  <c r="L362" i="9" s="1"/>
  <c r="I361" i="9"/>
  <c r="L361" i="9" s="1"/>
  <c r="I360" i="9"/>
  <c r="L360" i="9" s="1"/>
  <c r="I359" i="9"/>
  <c r="L359" i="9" s="1"/>
  <c r="I358" i="9"/>
  <c r="L358" i="9" s="1"/>
  <c r="I357" i="9"/>
  <c r="L357" i="9" s="1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8" i="9"/>
  <c r="I287" i="9"/>
  <c r="I286" i="9"/>
  <c r="L286" i="9" s="1"/>
  <c r="I285" i="9"/>
  <c r="L285" i="9" s="1"/>
  <c r="I284" i="9"/>
  <c r="L284" i="9" s="1"/>
  <c r="I283" i="9"/>
  <c r="L283" i="9" s="1"/>
  <c r="I282" i="9"/>
  <c r="L282" i="9" s="1"/>
  <c r="I281" i="9"/>
  <c r="L281" i="9" s="1"/>
  <c r="I280" i="9"/>
  <c r="L280" i="9" s="1"/>
  <c r="I279" i="9"/>
  <c r="L279" i="9" s="1"/>
  <c r="I278" i="9"/>
  <c r="L278" i="9" s="1"/>
  <c r="I277" i="9"/>
  <c r="L277" i="9" s="1"/>
  <c r="I276" i="9"/>
  <c r="L276" i="9" s="1"/>
  <c r="I275" i="9"/>
  <c r="L275" i="9" s="1"/>
  <c r="I274" i="9"/>
  <c r="L274" i="9" s="1"/>
  <c r="I273" i="9"/>
  <c r="L273" i="9" s="1"/>
  <c r="I272" i="9"/>
  <c r="L272" i="9" s="1"/>
  <c r="I271" i="9"/>
  <c r="L271" i="9" s="1"/>
  <c r="I270" i="9"/>
  <c r="L270" i="9" s="1"/>
  <c r="I269" i="9"/>
  <c r="L269" i="9" s="1"/>
  <c r="I268" i="9"/>
  <c r="L268" i="9" s="1"/>
  <c r="I267" i="9"/>
  <c r="L267" i="9" s="1"/>
  <c r="I266" i="9"/>
  <c r="L266" i="9" s="1"/>
  <c r="I263" i="9"/>
  <c r="K263" i="9" s="1"/>
  <c r="I262" i="9"/>
  <c r="K262" i="9" s="1"/>
  <c r="I261" i="9"/>
  <c r="K261" i="9" s="1"/>
  <c r="I229" i="9"/>
  <c r="K229" i="9" s="1"/>
  <c r="K230" i="9" s="1"/>
  <c r="I226" i="9"/>
  <c r="K226" i="9" s="1"/>
  <c r="I225" i="9"/>
  <c r="K225" i="9" s="1"/>
  <c r="I200" i="9"/>
  <c r="L200" i="9" s="1"/>
  <c r="I199" i="9"/>
  <c r="L199" i="9" s="1"/>
  <c r="I198" i="9"/>
  <c r="L198" i="9" s="1"/>
  <c r="I197" i="9"/>
  <c r="L197" i="9" s="1"/>
  <c r="I196" i="9"/>
  <c r="L196" i="9" s="1"/>
  <c r="I195" i="9"/>
  <c r="L195" i="9" s="1"/>
  <c r="I194" i="9"/>
  <c r="L194" i="9" s="1"/>
  <c r="I193" i="9"/>
  <c r="L193" i="9" s="1"/>
  <c r="I192" i="9"/>
  <c r="L192" i="9" s="1"/>
  <c r="I191" i="9"/>
  <c r="L191" i="9" s="1"/>
  <c r="I190" i="9"/>
  <c r="L190" i="9" s="1"/>
  <c r="I187" i="9"/>
  <c r="K187" i="9" s="1"/>
  <c r="I186" i="9"/>
  <c r="K186" i="9" s="1"/>
  <c r="I177" i="9"/>
  <c r="I169" i="9"/>
  <c r="L169" i="9" s="1"/>
  <c r="I168" i="9"/>
  <c r="L168" i="9" s="1"/>
  <c r="I160" i="9"/>
  <c r="K160" i="9" s="1"/>
  <c r="I159" i="9"/>
  <c r="K159" i="9" s="1"/>
  <c r="I158" i="9"/>
  <c r="K158" i="9" s="1"/>
  <c r="I124" i="9"/>
  <c r="L124" i="9" s="1"/>
  <c r="I123" i="9"/>
  <c r="L123" i="9" s="1"/>
  <c r="I122" i="9"/>
  <c r="L122" i="9" s="1"/>
  <c r="I121" i="9"/>
  <c r="L121" i="9" s="1"/>
  <c r="I120" i="9"/>
  <c r="L120" i="9" s="1"/>
  <c r="I119" i="9"/>
  <c r="L119" i="9" s="1"/>
  <c r="I118" i="9"/>
  <c r="L118" i="9" s="1"/>
  <c r="I117" i="9"/>
  <c r="L117" i="9" s="1"/>
  <c r="I116" i="9"/>
  <c r="L116" i="9" s="1"/>
  <c r="I115" i="9"/>
  <c r="L115" i="9" s="1"/>
  <c r="I114" i="9"/>
  <c r="L114" i="9" s="1"/>
  <c r="I113" i="9"/>
  <c r="L113" i="9" s="1"/>
  <c r="I112" i="9"/>
  <c r="L112" i="9" s="1"/>
  <c r="I111" i="9"/>
  <c r="L111" i="9" s="1"/>
  <c r="I110" i="9"/>
  <c r="L110" i="9" s="1"/>
  <c r="I109" i="9"/>
  <c r="L109" i="9" s="1"/>
  <c r="I108" i="9"/>
  <c r="L108" i="9" s="1"/>
  <c r="I107" i="9"/>
  <c r="L107" i="9" s="1"/>
  <c r="I106" i="9"/>
  <c r="L106" i="9" s="1"/>
  <c r="I81" i="9"/>
  <c r="K81" i="9" s="1"/>
  <c r="I80" i="9"/>
  <c r="L80" i="9" s="1"/>
  <c r="I79" i="9"/>
  <c r="L79" i="9" s="1"/>
  <c r="I78" i="9"/>
  <c r="L78" i="9" s="1"/>
  <c r="I77" i="9"/>
  <c r="L77" i="9" s="1"/>
  <c r="I76" i="9"/>
  <c r="L76" i="9" s="1"/>
  <c r="I75" i="9"/>
  <c r="L75" i="9" s="1"/>
  <c r="I74" i="9"/>
  <c r="L74" i="9" s="1"/>
  <c r="I73" i="9"/>
  <c r="L73" i="9" s="1"/>
  <c r="I72" i="9"/>
  <c r="L72" i="9" s="1"/>
  <c r="I71" i="9"/>
  <c r="L71" i="9" s="1"/>
  <c r="I70" i="9"/>
  <c r="L70" i="9" s="1"/>
  <c r="I69" i="9"/>
  <c r="L69" i="9" s="1"/>
  <c r="I68" i="9"/>
  <c r="L68" i="9" s="1"/>
  <c r="I67" i="9"/>
  <c r="L67" i="9" s="1"/>
  <c r="I65" i="9"/>
  <c r="L65" i="9" s="1"/>
  <c r="I64" i="9"/>
  <c r="L64" i="9" s="1"/>
  <c r="I60" i="9"/>
  <c r="K60" i="9" s="1"/>
  <c r="I59" i="9"/>
  <c r="K59" i="9" s="1"/>
  <c r="I58" i="9"/>
  <c r="K58" i="9" s="1"/>
  <c r="I57" i="9"/>
  <c r="K57" i="9" s="1"/>
  <c r="I37" i="9"/>
  <c r="L37" i="9" s="1"/>
  <c r="I36" i="9"/>
  <c r="L36" i="9" s="1"/>
  <c r="I35" i="9"/>
  <c r="L35" i="9" s="1"/>
  <c r="I34" i="9"/>
  <c r="L34" i="9" s="1"/>
  <c r="I26" i="9"/>
  <c r="K26" i="9" s="1"/>
  <c r="I25" i="9"/>
  <c r="K25" i="9" s="1"/>
  <c r="I24" i="9"/>
  <c r="K24" i="9" s="1"/>
  <c r="I23" i="9"/>
  <c r="L23" i="9" s="1"/>
  <c r="I22" i="9"/>
  <c r="K22" i="9" s="1"/>
  <c r="I21" i="9"/>
  <c r="K21" i="9" s="1"/>
  <c r="I20" i="9"/>
  <c r="K20" i="9" s="1"/>
  <c r="L170" i="9" l="1"/>
  <c r="K227" i="9"/>
  <c r="K161" i="9"/>
  <c r="K27" i="9"/>
  <c r="L81" i="9"/>
  <c r="I1460" i="1" l="1"/>
  <c r="L1460" i="1" s="1"/>
  <c r="I1459" i="1"/>
  <c r="L1459" i="1" s="1"/>
  <c r="I1458" i="1"/>
  <c r="L1458" i="1" s="1"/>
  <c r="I1457" i="1"/>
  <c r="L1457" i="1" s="1"/>
  <c r="I1456" i="1"/>
  <c r="L1456" i="1" s="1"/>
  <c r="I1455" i="1"/>
  <c r="L1455" i="1" s="1"/>
  <c r="I1454" i="1"/>
  <c r="L1454" i="1" s="1"/>
  <c r="L1453" i="1"/>
  <c r="I1453" i="1"/>
  <c r="I1452" i="1"/>
  <c r="L1452" i="1" s="1"/>
  <c r="I1451" i="1"/>
  <c r="L1451" i="1" s="1"/>
  <c r="I1450" i="1"/>
  <c r="L1450" i="1" s="1"/>
  <c r="I1449" i="1"/>
  <c r="L1449" i="1" s="1"/>
  <c r="I1448" i="1"/>
  <c r="L1448" i="1" s="1"/>
  <c r="I1447" i="1"/>
  <c r="L1447" i="1" s="1"/>
  <c r="I1446" i="1"/>
  <c r="L1446" i="1" s="1"/>
  <c r="I1445" i="1"/>
  <c r="L1445" i="1" s="1"/>
  <c r="I1444" i="1"/>
  <c r="L1444" i="1" s="1"/>
  <c r="I1443" i="1"/>
  <c r="L1443" i="1" s="1"/>
  <c r="I1440" i="1"/>
  <c r="K1440" i="1" s="1"/>
  <c r="I1439" i="1"/>
  <c r="K1439" i="1" s="1"/>
  <c r="I1422" i="1"/>
  <c r="L1422" i="1" s="1"/>
  <c r="I1421" i="1"/>
  <c r="L1421" i="1" s="1"/>
  <c r="I1413" i="1"/>
  <c r="K1413" i="1" s="1"/>
  <c r="I1412" i="1"/>
  <c r="K1412" i="1" s="1"/>
  <c r="I1409" i="1"/>
  <c r="K1409" i="1" s="1"/>
  <c r="I1408" i="1"/>
  <c r="K1408" i="1" s="1"/>
  <c r="I1466" i="1"/>
  <c r="I1465" i="1"/>
  <c r="I1464" i="1"/>
  <c r="M1461" i="1"/>
  <c r="M1427" i="1" s="1"/>
  <c r="M1441" i="1"/>
  <c r="L1441" i="1"/>
  <c r="H1436" i="1"/>
  <c r="G1436" i="1"/>
  <c r="O1434" i="1"/>
  <c r="K1426" i="1"/>
  <c r="B1426" i="1"/>
  <c r="M1423" i="1"/>
  <c r="L1417" i="1"/>
  <c r="L1416" i="1"/>
  <c r="M1414" i="1"/>
  <c r="L1414" i="1"/>
  <c r="M1410" i="1"/>
  <c r="L1410" i="1"/>
  <c r="H1405" i="1"/>
  <c r="G1405" i="1"/>
  <c r="O1403" i="1"/>
  <c r="I1380" i="1"/>
  <c r="L1380" i="1" s="1"/>
  <c r="I1379" i="1"/>
  <c r="L1379" i="1" s="1"/>
  <c r="I1378" i="1"/>
  <c r="L1378" i="1" s="1"/>
  <c r="I1377" i="1"/>
  <c r="L1377" i="1" s="1"/>
  <c r="I1376" i="1"/>
  <c r="L1376" i="1" s="1"/>
  <c r="I1375" i="1"/>
  <c r="L1375" i="1" s="1"/>
  <c r="I1374" i="1"/>
  <c r="L1374" i="1" s="1"/>
  <c r="I1373" i="1"/>
  <c r="L1373" i="1" s="1"/>
  <c r="I1372" i="1"/>
  <c r="L1372" i="1" s="1"/>
  <c r="I1371" i="1"/>
  <c r="L1371" i="1" s="1"/>
  <c r="I1370" i="1"/>
  <c r="L1370" i="1" s="1"/>
  <c r="I1369" i="1"/>
  <c r="L1369" i="1" s="1"/>
  <c r="I1368" i="1"/>
  <c r="L1368" i="1" s="1"/>
  <c r="I1367" i="1"/>
  <c r="L1367" i="1" s="1"/>
  <c r="I1366" i="1"/>
  <c r="L1366" i="1" s="1"/>
  <c r="I1365" i="1"/>
  <c r="L1365" i="1" s="1"/>
  <c r="I1364" i="1"/>
  <c r="L1364" i="1" s="1"/>
  <c r="I1363" i="1"/>
  <c r="L1363" i="1" s="1"/>
  <c r="L1361" i="1"/>
  <c r="M1361" i="1"/>
  <c r="I1360" i="1"/>
  <c r="K1360" i="1" s="1"/>
  <c r="I1359" i="1"/>
  <c r="K1359" i="1" s="1"/>
  <c r="I1342" i="1"/>
  <c r="L1342" i="1" s="1"/>
  <c r="I1341" i="1"/>
  <c r="L1341" i="1" s="1"/>
  <c r="M1334" i="1"/>
  <c r="I1333" i="1"/>
  <c r="K1333" i="1" s="1"/>
  <c r="I1332" i="1"/>
  <c r="K1332" i="1" s="1"/>
  <c r="L1330" i="1"/>
  <c r="I1329" i="1"/>
  <c r="K1329" i="1" s="1"/>
  <c r="I1328" i="1"/>
  <c r="K1328" i="1" s="1"/>
  <c r="I1300" i="1"/>
  <c r="L1300" i="1" s="1"/>
  <c r="I1299" i="1"/>
  <c r="L1299" i="1" s="1"/>
  <c r="I1298" i="1"/>
  <c r="L1298" i="1" s="1"/>
  <c r="I1297" i="1"/>
  <c r="L1297" i="1" s="1"/>
  <c r="I1296" i="1"/>
  <c r="L1296" i="1" s="1"/>
  <c r="I1295" i="1"/>
  <c r="L1295" i="1" s="1"/>
  <c r="I1294" i="1"/>
  <c r="L1294" i="1" s="1"/>
  <c r="I1293" i="1"/>
  <c r="L1293" i="1" s="1"/>
  <c r="I1292" i="1"/>
  <c r="L1292" i="1" s="1"/>
  <c r="I1291" i="1"/>
  <c r="L1291" i="1" s="1"/>
  <c r="I1288" i="1"/>
  <c r="K1288" i="1" s="1"/>
  <c r="I1287" i="1"/>
  <c r="K1287" i="1" s="1"/>
  <c r="I1270" i="1"/>
  <c r="L1270" i="1" s="1"/>
  <c r="I1269" i="1"/>
  <c r="L1269" i="1" s="1"/>
  <c r="L1255" i="1"/>
  <c r="I1254" i="1"/>
  <c r="K1254" i="1" s="1"/>
  <c r="I1253" i="1"/>
  <c r="I1252" i="1"/>
  <c r="K1252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L1213" i="1" s="1"/>
  <c r="I1212" i="1"/>
  <c r="L1212" i="1" s="1"/>
  <c r="I1211" i="1"/>
  <c r="L1211" i="1" s="1"/>
  <c r="I1210" i="1"/>
  <c r="L1210" i="1" s="1"/>
  <c r="I1209" i="1"/>
  <c r="L1209" i="1" s="1"/>
  <c r="I1206" i="1"/>
  <c r="K1206" i="1" s="1"/>
  <c r="I1205" i="1"/>
  <c r="K1205" i="1" s="1"/>
  <c r="I1188" i="1"/>
  <c r="L1188" i="1" s="1"/>
  <c r="I1187" i="1"/>
  <c r="L1187" i="1" s="1"/>
  <c r="M1180" i="1"/>
  <c r="I1179" i="1"/>
  <c r="K1179" i="1" s="1"/>
  <c r="I1178" i="1"/>
  <c r="K1178" i="1" s="1"/>
  <c r="I1146" i="1"/>
  <c r="L1146" i="1" s="1"/>
  <c r="I1145" i="1"/>
  <c r="L1145" i="1" s="1"/>
  <c r="I1144" i="1"/>
  <c r="L1144" i="1" s="1"/>
  <c r="I1143" i="1"/>
  <c r="I1142" i="1"/>
  <c r="I1141" i="1"/>
  <c r="L1141" i="1" s="1"/>
  <c r="I1140" i="1"/>
  <c r="L1140" i="1" s="1"/>
  <c r="I1139" i="1"/>
  <c r="L1139" i="1" s="1"/>
  <c r="I1138" i="1"/>
  <c r="L1138" i="1" s="1"/>
  <c r="I1137" i="1"/>
  <c r="L1137" i="1" s="1"/>
  <c r="I1136" i="1"/>
  <c r="L1136" i="1" s="1"/>
  <c r="I1135" i="1"/>
  <c r="L1135" i="1" s="1"/>
  <c r="I1134" i="1"/>
  <c r="L1134" i="1" s="1"/>
  <c r="I1133" i="1"/>
  <c r="L1133" i="1" s="1"/>
  <c r="I1132" i="1"/>
  <c r="L1132" i="1" s="1"/>
  <c r="I1129" i="1"/>
  <c r="K1129" i="1" s="1"/>
  <c r="I1128" i="1"/>
  <c r="K1128" i="1" s="1"/>
  <c r="I1111" i="1"/>
  <c r="L1111" i="1" s="1"/>
  <c r="I1110" i="1"/>
  <c r="L1110" i="1" s="1"/>
  <c r="M1103" i="1"/>
  <c r="I1102" i="1"/>
  <c r="K1102" i="1" s="1"/>
  <c r="I1101" i="1"/>
  <c r="K1101" i="1" s="1"/>
  <c r="I1098" i="1"/>
  <c r="K1098" i="1" s="1"/>
  <c r="I1097" i="1"/>
  <c r="K1097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L1058" i="1" s="1"/>
  <c r="I1057" i="1"/>
  <c r="L1057" i="1" s="1"/>
  <c r="I1056" i="1"/>
  <c r="L1056" i="1" s="1"/>
  <c r="I1055" i="1"/>
  <c r="L1055" i="1" s="1"/>
  <c r="I1052" i="1"/>
  <c r="K1052" i="1" s="1"/>
  <c r="I1051" i="1"/>
  <c r="K1051" i="1" s="1"/>
  <c r="I1050" i="1"/>
  <c r="K105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L978" i="1" s="1"/>
  <c r="I977" i="1"/>
  <c r="L977" i="1" s="1"/>
  <c r="I976" i="1"/>
  <c r="L976" i="1" s="1"/>
  <c r="I975" i="1"/>
  <c r="L975" i="1" s="1"/>
  <c r="I972" i="1"/>
  <c r="K972" i="1" s="1"/>
  <c r="I971" i="1"/>
  <c r="K971" i="1" s="1"/>
  <c r="I954" i="1"/>
  <c r="L954" i="1" s="1"/>
  <c r="I953" i="1"/>
  <c r="L953" i="1" s="1"/>
  <c r="M946" i="1"/>
  <c r="I945" i="1"/>
  <c r="K945" i="1" s="1"/>
  <c r="I944" i="1"/>
  <c r="K944" i="1" s="1"/>
  <c r="I943" i="1"/>
  <c r="K943" i="1" s="1"/>
  <c r="I909" i="1"/>
  <c r="L909" i="1" s="1"/>
  <c r="I908" i="1"/>
  <c r="I907" i="1"/>
  <c r="L907" i="1" s="1"/>
  <c r="I906" i="1"/>
  <c r="L906" i="1" s="1"/>
  <c r="I905" i="1"/>
  <c r="L905" i="1" s="1"/>
  <c r="I904" i="1"/>
  <c r="L904" i="1" s="1"/>
  <c r="I903" i="1"/>
  <c r="I902" i="1"/>
  <c r="L902" i="1" s="1"/>
  <c r="I901" i="1"/>
  <c r="L901" i="1" s="1"/>
  <c r="I900" i="1"/>
  <c r="L900" i="1" s="1"/>
  <c r="I899" i="1"/>
  <c r="L899" i="1" s="1"/>
  <c r="I896" i="1"/>
  <c r="K896" i="1" s="1"/>
  <c r="I895" i="1"/>
  <c r="K895" i="1" s="1"/>
  <c r="B882" i="1"/>
  <c r="M870" i="1"/>
  <c r="K865" i="1"/>
  <c r="I836" i="1"/>
  <c r="I835" i="1"/>
  <c r="L835" i="1" s="1"/>
  <c r="I834" i="1"/>
  <c r="L834" i="1" s="1"/>
  <c r="I833" i="1"/>
  <c r="L833" i="1" s="1"/>
  <c r="I832" i="1"/>
  <c r="L832" i="1" s="1"/>
  <c r="I831" i="1"/>
  <c r="L831" i="1" s="1"/>
  <c r="I830" i="1"/>
  <c r="L830" i="1" s="1"/>
  <c r="I829" i="1"/>
  <c r="L829" i="1" s="1"/>
  <c r="I828" i="1"/>
  <c r="L828" i="1" s="1"/>
  <c r="I827" i="1"/>
  <c r="L827" i="1" s="1"/>
  <c r="I826" i="1"/>
  <c r="L826" i="1" s="1"/>
  <c r="I825" i="1"/>
  <c r="L825" i="1" s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90" i="1"/>
  <c r="K790" i="1" s="1"/>
  <c r="I789" i="1"/>
  <c r="K789" i="1" s="1"/>
  <c r="I788" i="1"/>
  <c r="K788" i="1" s="1"/>
  <c r="I760" i="1"/>
  <c r="L760" i="1" s="1"/>
  <c r="I759" i="1"/>
  <c r="L759" i="1" s="1"/>
  <c r="I758" i="1"/>
  <c r="L758" i="1" s="1"/>
  <c r="I757" i="1"/>
  <c r="L757" i="1" s="1"/>
  <c r="I756" i="1"/>
  <c r="L756" i="1" s="1"/>
  <c r="I755" i="1"/>
  <c r="L755" i="1" s="1"/>
  <c r="I754" i="1"/>
  <c r="L754" i="1" s="1"/>
  <c r="I753" i="1"/>
  <c r="L753" i="1" s="1"/>
  <c r="I752" i="1"/>
  <c r="L752" i="1" s="1"/>
  <c r="I730" i="1"/>
  <c r="L730" i="1" s="1"/>
  <c r="I729" i="1"/>
  <c r="L729" i="1" s="1"/>
  <c r="I728" i="1"/>
  <c r="L728" i="1" s="1"/>
  <c r="M721" i="1"/>
  <c r="I720" i="1"/>
  <c r="K720" i="1" s="1"/>
  <c r="I719" i="1"/>
  <c r="K719" i="1" s="1"/>
  <c r="L717" i="1"/>
  <c r="I716" i="1"/>
  <c r="K716" i="1" s="1"/>
  <c r="I715" i="1"/>
  <c r="K715" i="1" s="1"/>
  <c r="I687" i="1"/>
  <c r="L687" i="1" s="1"/>
  <c r="I686" i="1"/>
  <c r="L686" i="1" s="1"/>
  <c r="I685" i="1"/>
  <c r="L685" i="1" s="1"/>
  <c r="I684" i="1"/>
  <c r="L684" i="1" s="1"/>
  <c r="I683" i="1"/>
  <c r="L683" i="1" s="1"/>
  <c r="I682" i="1"/>
  <c r="L682" i="1" s="1"/>
  <c r="I681" i="1"/>
  <c r="L681" i="1" s="1"/>
  <c r="I680" i="1"/>
  <c r="L680" i="1" s="1"/>
  <c r="I679" i="1"/>
  <c r="L679" i="1" s="1"/>
  <c r="I678" i="1"/>
  <c r="L678" i="1" s="1"/>
  <c r="I677" i="1"/>
  <c r="L677" i="1" s="1"/>
  <c r="I676" i="1"/>
  <c r="L676" i="1" s="1"/>
  <c r="I673" i="1"/>
  <c r="K673" i="1" s="1"/>
  <c r="I672" i="1"/>
  <c r="K672" i="1" s="1"/>
  <c r="I655" i="1"/>
  <c r="L655" i="1" s="1"/>
  <c r="I654" i="1"/>
  <c r="L654" i="1" s="1"/>
  <c r="M647" i="1"/>
  <c r="I646" i="1"/>
  <c r="K646" i="1" s="1"/>
  <c r="I645" i="1"/>
  <c r="K645" i="1" s="1"/>
  <c r="I644" i="1"/>
  <c r="K644" i="1" s="1"/>
  <c r="I611" i="1"/>
  <c r="L611" i="1" s="1"/>
  <c r="I610" i="1"/>
  <c r="L610" i="1" s="1"/>
  <c r="I609" i="1"/>
  <c r="L609" i="1" s="1"/>
  <c r="I608" i="1"/>
  <c r="L608" i="1" s="1"/>
  <c r="I607" i="1"/>
  <c r="L607" i="1" s="1"/>
  <c r="I606" i="1"/>
  <c r="L606" i="1" s="1"/>
  <c r="I605" i="1"/>
  <c r="L605" i="1" s="1"/>
  <c r="I604" i="1"/>
  <c r="L604" i="1" s="1"/>
  <c r="I603" i="1"/>
  <c r="L603" i="1" s="1"/>
  <c r="I602" i="1"/>
  <c r="L602" i="1" s="1"/>
  <c r="I601" i="1"/>
  <c r="L601" i="1" s="1"/>
  <c r="I600" i="1"/>
  <c r="L600" i="1" s="1"/>
  <c r="I599" i="1"/>
  <c r="L599" i="1" s="1"/>
  <c r="I598" i="1"/>
  <c r="L598" i="1" s="1"/>
  <c r="I597" i="1"/>
  <c r="L597" i="1" s="1"/>
  <c r="I596" i="1"/>
  <c r="L596" i="1" s="1"/>
  <c r="I595" i="1"/>
  <c r="L595" i="1" s="1"/>
  <c r="I592" i="1"/>
  <c r="K592" i="1" s="1"/>
  <c r="I591" i="1"/>
  <c r="K591" i="1" s="1"/>
  <c r="I574" i="1"/>
  <c r="L574" i="1" s="1"/>
  <c r="I573" i="1"/>
  <c r="L573" i="1" s="1"/>
  <c r="I565" i="1"/>
  <c r="K565" i="1" s="1"/>
  <c r="I564" i="1"/>
  <c r="K564" i="1" s="1"/>
  <c r="I532" i="1"/>
  <c r="L532" i="1" s="1"/>
  <c r="I531" i="1"/>
  <c r="L531" i="1" s="1"/>
  <c r="I530" i="1"/>
  <c r="L530" i="1" s="1"/>
  <c r="I529" i="1"/>
  <c r="L529" i="1" s="1"/>
  <c r="I528" i="1"/>
  <c r="L528" i="1" s="1"/>
  <c r="I527" i="1"/>
  <c r="L527" i="1" s="1"/>
  <c r="I526" i="1"/>
  <c r="L526" i="1" s="1"/>
  <c r="I525" i="1"/>
  <c r="L525" i="1" s="1"/>
  <c r="I524" i="1"/>
  <c r="L524" i="1" s="1"/>
  <c r="I523" i="1"/>
  <c r="L523" i="1" s="1"/>
  <c r="I522" i="1"/>
  <c r="L522" i="1" s="1"/>
  <c r="I521" i="1"/>
  <c r="L521" i="1" s="1"/>
  <c r="I520" i="1"/>
  <c r="L520" i="1" s="1"/>
  <c r="I519" i="1"/>
  <c r="L519" i="1" s="1"/>
  <c r="I518" i="1"/>
  <c r="L518" i="1" s="1"/>
  <c r="I517" i="1"/>
  <c r="L517" i="1" s="1"/>
  <c r="I516" i="1"/>
  <c r="L516" i="1" s="1"/>
  <c r="I515" i="1"/>
  <c r="L515" i="1" s="1"/>
  <c r="I514" i="1"/>
  <c r="L514" i="1" s="1"/>
  <c r="I513" i="1"/>
  <c r="L513" i="1" s="1"/>
  <c r="I512" i="1"/>
  <c r="L512" i="1" s="1"/>
  <c r="I511" i="1"/>
  <c r="L511" i="1" s="1"/>
  <c r="I508" i="1"/>
  <c r="K508" i="1" s="1"/>
  <c r="I507" i="1"/>
  <c r="K507" i="1" s="1"/>
  <c r="I506" i="1"/>
  <c r="K506" i="1" s="1"/>
  <c r="I489" i="1"/>
  <c r="L489" i="1" s="1"/>
  <c r="I488" i="1"/>
  <c r="L488" i="1" s="1"/>
  <c r="I487" i="1"/>
  <c r="L487" i="1" s="1"/>
  <c r="M480" i="1"/>
  <c r="I474" i="1"/>
  <c r="I479" i="1"/>
  <c r="K479" i="1" s="1"/>
  <c r="H478" i="1"/>
  <c r="G478" i="1"/>
  <c r="H477" i="1"/>
  <c r="G477" i="1"/>
  <c r="I446" i="1"/>
  <c r="L446" i="1" s="1"/>
  <c r="I445" i="1"/>
  <c r="L445" i="1" s="1"/>
  <c r="I444" i="1"/>
  <c r="L444" i="1" s="1"/>
  <c r="I443" i="1"/>
  <c r="L443" i="1" s="1"/>
  <c r="I442" i="1"/>
  <c r="L442" i="1" s="1"/>
  <c r="I441" i="1"/>
  <c r="L441" i="1" s="1"/>
  <c r="I440" i="1"/>
  <c r="L440" i="1" s="1"/>
  <c r="I439" i="1"/>
  <c r="L439" i="1" s="1"/>
  <c r="I438" i="1"/>
  <c r="L438" i="1" s="1"/>
  <c r="I437" i="1"/>
  <c r="L437" i="1" s="1"/>
  <c r="I436" i="1"/>
  <c r="L436" i="1" s="1"/>
  <c r="I435" i="1"/>
  <c r="L435" i="1" s="1"/>
  <c r="I434" i="1"/>
  <c r="L434" i="1" s="1"/>
  <c r="I433" i="1"/>
  <c r="L433" i="1" s="1"/>
  <c r="I432" i="1"/>
  <c r="L432" i="1" s="1"/>
  <c r="I431" i="1"/>
  <c r="L431" i="1" s="1"/>
  <c r="I428" i="1"/>
  <c r="K428" i="1" s="1"/>
  <c r="I427" i="1"/>
  <c r="K427" i="1" s="1"/>
  <c r="I426" i="1"/>
  <c r="K426" i="1" s="1"/>
  <c r="I410" i="1"/>
  <c r="L410" i="1" s="1"/>
  <c r="I409" i="1"/>
  <c r="L409" i="1" s="1"/>
  <c r="I408" i="1"/>
  <c r="L408" i="1" s="1"/>
  <c r="I407" i="1"/>
  <c r="L407" i="1" s="1"/>
  <c r="I405" i="1"/>
  <c r="L405" i="1" s="1"/>
  <c r="I404" i="1"/>
  <c r="L404" i="1" s="1"/>
  <c r="I403" i="1"/>
  <c r="L403" i="1" s="1"/>
  <c r="I399" i="1"/>
  <c r="K399" i="1" s="1"/>
  <c r="I398" i="1"/>
  <c r="K398" i="1" s="1"/>
  <c r="I378" i="1"/>
  <c r="L378" i="1" s="1"/>
  <c r="I377" i="1"/>
  <c r="L377" i="1" s="1"/>
  <c r="I369" i="1"/>
  <c r="I368" i="1"/>
  <c r="K368" i="1" s="1"/>
  <c r="I367" i="1"/>
  <c r="I366" i="1"/>
  <c r="K366" i="1" s="1"/>
  <c r="I362" i="1"/>
  <c r="I361" i="1"/>
  <c r="K361" i="1" s="1"/>
  <c r="I360" i="1"/>
  <c r="I359" i="1"/>
  <c r="K359" i="1" s="1"/>
  <c r="I336" i="1"/>
  <c r="L336" i="1" s="1"/>
  <c r="I335" i="1"/>
  <c r="L335" i="1" s="1"/>
  <c r="I334" i="1"/>
  <c r="L334" i="1" s="1"/>
  <c r="I333" i="1"/>
  <c r="L333" i="1" s="1"/>
  <c r="I332" i="1"/>
  <c r="L332" i="1" s="1"/>
  <c r="I331" i="1"/>
  <c r="I330" i="1"/>
  <c r="L330" i="1" s="1"/>
  <c r="I329" i="1"/>
  <c r="L329" i="1" s="1"/>
  <c r="I328" i="1"/>
  <c r="L328" i="1" s="1"/>
  <c r="I325" i="1"/>
  <c r="K325" i="1" s="1"/>
  <c r="I324" i="1"/>
  <c r="K324" i="1" s="1"/>
  <c r="I300" i="1"/>
  <c r="L300" i="1" s="1"/>
  <c r="I299" i="1"/>
  <c r="L299" i="1" s="1"/>
  <c r="I298" i="1"/>
  <c r="L298" i="1" s="1"/>
  <c r="I297" i="1"/>
  <c r="L297" i="1" s="1"/>
  <c r="N296" i="1"/>
  <c r="I296" i="1"/>
  <c r="L296" i="1" s="1"/>
  <c r="I295" i="1"/>
  <c r="L295" i="1" s="1"/>
  <c r="I294" i="1"/>
  <c r="L294" i="1" s="1"/>
  <c r="I293" i="1"/>
  <c r="L293" i="1" s="1"/>
  <c r="I290" i="1"/>
  <c r="K290" i="1" s="1"/>
  <c r="I289" i="1"/>
  <c r="K289" i="1" s="1"/>
  <c r="I288" i="1"/>
  <c r="K288" i="1" s="1"/>
  <c r="L1418" i="1" l="1"/>
  <c r="I1426" i="1" s="1"/>
  <c r="K1414" i="1"/>
  <c r="K1334" i="1"/>
  <c r="K1441" i="1"/>
  <c r="K1461" i="1" s="1"/>
  <c r="L1423" i="1"/>
  <c r="N1421" i="1" s="1"/>
  <c r="I1467" i="1"/>
  <c r="J1467" i="1" s="1"/>
  <c r="L1461" i="1"/>
  <c r="K1410" i="1"/>
  <c r="D1426" i="1" s="1"/>
  <c r="D1430" i="1" s="1"/>
  <c r="K1330" i="1"/>
  <c r="K1255" i="1"/>
  <c r="L1301" i="1"/>
  <c r="K1180" i="1"/>
  <c r="D1192" i="1" s="1"/>
  <c r="L1112" i="1"/>
  <c r="K1099" i="1"/>
  <c r="D1115" i="1" s="1"/>
  <c r="K1103" i="1"/>
  <c r="K946" i="1"/>
  <c r="K823" i="1"/>
  <c r="K837" i="1" s="1"/>
  <c r="K796" i="1"/>
  <c r="K717" i="1"/>
  <c r="K791" i="1"/>
  <c r="K721" i="1"/>
  <c r="D734" i="1" s="1"/>
  <c r="L575" i="1"/>
  <c r="K647" i="1"/>
  <c r="D659" i="1" s="1"/>
  <c r="K566" i="1"/>
  <c r="D578" i="1" s="1"/>
  <c r="I478" i="1"/>
  <c r="K478" i="1" s="1"/>
  <c r="L688" i="1"/>
  <c r="I477" i="1"/>
  <c r="K477" i="1" s="1"/>
  <c r="L533" i="1"/>
  <c r="L301" i="1"/>
  <c r="I1427" i="1" l="1"/>
  <c r="M1426" i="1" s="1"/>
  <c r="M1428" i="1" s="1"/>
  <c r="M1429" i="1" s="1"/>
  <c r="N1461" i="1"/>
  <c r="I1428" i="1"/>
  <c r="I1429" i="1" s="1"/>
  <c r="I200" i="1" l="1"/>
  <c r="L200" i="1" s="1"/>
  <c r="I199" i="1"/>
  <c r="L199" i="1" s="1"/>
  <c r="I198" i="1"/>
  <c r="L198" i="1" s="1"/>
  <c r="I197" i="1"/>
  <c r="L197" i="1" s="1"/>
  <c r="I196" i="1"/>
  <c r="L196" i="1" s="1"/>
  <c r="I195" i="1"/>
  <c r="L195" i="1" s="1"/>
  <c r="I194" i="1"/>
  <c r="L194" i="1" s="1"/>
  <c r="I193" i="1"/>
  <c r="L193" i="1" s="1"/>
  <c r="I192" i="1"/>
  <c r="L192" i="1" s="1"/>
  <c r="I191" i="1"/>
  <c r="L191" i="1" s="1"/>
  <c r="I190" i="1"/>
  <c r="L190" i="1" s="1"/>
  <c r="I187" i="1"/>
  <c r="K187" i="1" s="1"/>
  <c r="I186" i="1"/>
  <c r="K186" i="1" s="1"/>
  <c r="I169" i="1"/>
  <c r="L169" i="1" s="1"/>
  <c r="I168" i="1"/>
  <c r="L168" i="1" s="1"/>
  <c r="M161" i="1"/>
  <c r="I160" i="1"/>
  <c r="K160" i="1" s="1"/>
  <c r="I159" i="1"/>
  <c r="K159" i="1" s="1"/>
  <c r="I158" i="1"/>
  <c r="K158" i="1" s="1"/>
  <c r="I155" i="1"/>
  <c r="K155" i="1" s="1"/>
  <c r="I154" i="1"/>
  <c r="K154" i="1" s="1"/>
  <c r="I153" i="1"/>
  <c r="K153" i="1" s="1"/>
  <c r="I124" i="1"/>
  <c r="L124" i="1" s="1"/>
  <c r="I123" i="1"/>
  <c r="L123" i="1" s="1"/>
  <c r="I122" i="1"/>
  <c r="L122" i="1" s="1"/>
  <c r="I121" i="1"/>
  <c r="L121" i="1" s="1"/>
  <c r="I120" i="1"/>
  <c r="L120" i="1" s="1"/>
  <c r="I119" i="1"/>
  <c r="L119" i="1" s="1"/>
  <c r="I118" i="1"/>
  <c r="L118" i="1" s="1"/>
  <c r="I117" i="1"/>
  <c r="L117" i="1" s="1"/>
  <c r="I116" i="1"/>
  <c r="L116" i="1" s="1"/>
  <c r="I115" i="1"/>
  <c r="L115" i="1" s="1"/>
  <c r="I114" i="1"/>
  <c r="L114" i="1" s="1"/>
  <c r="I113" i="1"/>
  <c r="L113" i="1" s="1"/>
  <c r="I112" i="1"/>
  <c r="L112" i="1" s="1"/>
  <c r="I111" i="1"/>
  <c r="L111" i="1" s="1"/>
  <c r="I110" i="1"/>
  <c r="L110" i="1" s="1"/>
  <c r="I109" i="1"/>
  <c r="L109" i="1" s="1"/>
  <c r="I108" i="1"/>
  <c r="L108" i="1" s="1"/>
  <c r="I107" i="1"/>
  <c r="L107" i="1" s="1"/>
  <c r="I106" i="1"/>
  <c r="L106" i="1" s="1"/>
  <c r="I105" i="1"/>
  <c r="L105" i="1" s="1"/>
  <c r="I104" i="1"/>
  <c r="L104" i="1" s="1"/>
  <c r="I103" i="1"/>
  <c r="L103" i="1" s="1"/>
  <c r="I102" i="1"/>
  <c r="L102" i="1" s="1"/>
  <c r="I101" i="1"/>
  <c r="L101" i="1" s="1"/>
  <c r="I100" i="1"/>
  <c r="L100" i="1" s="1"/>
  <c r="I99" i="1"/>
  <c r="L99" i="1" s="1"/>
  <c r="I96" i="1"/>
  <c r="K96" i="1" s="1"/>
  <c r="I95" i="1"/>
  <c r="K95" i="1" s="1"/>
  <c r="I94" i="1"/>
  <c r="K94" i="1" s="1"/>
  <c r="I93" i="1"/>
  <c r="K93" i="1" s="1"/>
  <c r="I62" i="1"/>
  <c r="L62" i="1" s="1"/>
  <c r="I63" i="1"/>
  <c r="L63" i="1" s="1"/>
  <c r="I64" i="1"/>
  <c r="L64" i="1" s="1"/>
  <c r="I65" i="1"/>
  <c r="L65" i="1" s="1"/>
  <c r="I66" i="1"/>
  <c r="L66" i="1" s="1"/>
  <c r="I67" i="1"/>
  <c r="L67" i="1" s="1"/>
  <c r="I68" i="1"/>
  <c r="L68" i="1" s="1"/>
  <c r="I69" i="1"/>
  <c r="L69" i="1" s="1"/>
  <c r="I70" i="1"/>
  <c r="L70" i="1" s="1"/>
  <c r="I71" i="1"/>
  <c r="L71" i="1" s="1"/>
  <c r="I72" i="1"/>
  <c r="L72" i="1" s="1"/>
  <c r="K161" i="1" l="1"/>
  <c r="K156" i="1"/>
  <c r="D173" i="1" s="1"/>
  <c r="L73" i="1"/>
  <c r="I18" i="1" l="1"/>
  <c r="I1530" i="11" l="1"/>
  <c r="L1530" i="11" s="1"/>
  <c r="I1529" i="11"/>
  <c r="L1529" i="11" s="1"/>
  <c r="I1528" i="11"/>
  <c r="L1528" i="11" s="1"/>
  <c r="I1527" i="11"/>
  <c r="L1527" i="11" s="1"/>
  <c r="I1526" i="11"/>
  <c r="L1526" i="11" s="1"/>
  <c r="I1525" i="11"/>
  <c r="L1525" i="11" s="1"/>
  <c r="I1524" i="11"/>
  <c r="L1524" i="11" s="1"/>
  <c r="I1523" i="11"/>
  <c r="L1523" i="11" s="1"/>
  <c r="I1522" i="11"/>
  <c r="L1522" i="11" s="1"/>
  <c r="I1521" i="11"/>
  <c r="L1521" i="11" s="1"/>
  <c r="I1520" i="11"/>
  <c r="L1520" i="11" s="1"/>
  <c r="I1519" i="11"/>
  <c r="L1519" i="11" s="1"/>
  <c r="I1518" i="11"/>
  <c r="L1518" i="11" s="1"/>
  <c r="I1517" i="11"/>
  <c r="L1517" i="11" s="1"/>
  <c r="I1516" i="11"/>
  <c r="L1516" i="11" s="1"/>
  <c r="I1513" i="11"/>
  <c r="K1513" i="11" s="1"/>
  <c r="O1512" i="11"/>
  <c r="I1512" i="11"/>
  <c r="K1512" i="11" s="1"/>
  <c r="I1495" i="11"/>
  <c r="L1495" i="11" s="1"/>
  <c r="O1494" i="11"/>
  <c r="I1494" i="11"/>
  <c r="L1494" i="11" s="1"/>
  <c r="M1487" i="11"/>
  <c r="I1486" i="11"/>
  <c r="K1486" i="11" s="1"/>
  <c r="K1487" i="11" s="1"/>
  <c r="I1485" i="11"/>
  <c r="K1485" i="11" s="1"/>
  <c r="I1482" i="11"/>
  <c r="K1482" i="11" s="1"/>
  <c r="I1481" i="11"/>
  <c r="K1481" i="11" s="1"/>
  <c r="I1451" i="11"/>
  <c r="L1451" i="11" s="1"/>
  <c r="I1450" i="11"/>
  <c r="L1450" i="11" s="1"/>
  <c r="I1449" i="11"/>
  <c r="L1449" i="11" s="1"/>
  <c r="I1448" i="11"/>
  <c r="L1448" i="11" s="1"/>
  <c r="I1447" i="11"/>
  <c r="L1447" i="11" s="1"/>
  <c r="I1446" i="11"/>
  <c r="L1446" i="11" s="1"/>
  <c r="I1445" i="11"/>
  <c r="L1445" i="11" s="1"/>
  <c r="I1444" i="11"/>
  <c r="L1444" i="11" s="1"/>
  <c r="I1443" i="11"/>
  <c r="L1443" i="11" s="1"/>
  <c r="I1442" i="11"/>
  <c r="L1442" i="11" s="1"/>
  <c r="I1441" i="11"/>
  <c r="L1441" i="11" s="1"/>
  <c r="I1440" i="11"/>
  <c r="L1440" i="11" s="1"/>
  <c r="I1439" i="11"/>
  <c r="L1439" i="11" s="1"/>
  <c r="I1438" i="11"/>
  <c r="L1438" i="11" s="1"/>
  <c r="I1437" i="11"/>
  <c r="L1437" i="11" s="1"/>
  <c r="I1434" i="11"/>
  <c r="K1434" i="11" s="1"/>
  <c r="I1433" i="11"/>
  <c r="K1433" i="11" s="1"/>
  <c r="M1435" i="11"/>
  <c r="K1483" i="11" l="1"/>
  <c r="D1499" i="11" s="1"/>
  <c r="L1452" i="11"/>
  <c r="K1435" i="11"/>
  <c r="K1452" i="11" s="1"/>
  <c r="I1430" i="11" l="1"/>
  <c r="L1430" i="11" s="1"/>
  <c r="O1429" i="11"/>
  <c r="I1429" i="11"/>
  <c r="L1429" i="11" s="1"/>
  <c r="I1421" i="11"/>
  <c r="I1422" i="11"/>
  <c r="I1426" i="11"/>
  <c r="K1426" i="11" s="1"/>
  <c r="I1425" i="11"/>
  <c r="K1425" i="11" s="1"/>
  <c r="J1421" i="11"/>
  <c r="I1401" i="11"/>
  <c r="L1401" i="11" s="1"/>
  <c r="I1400" i="11"/>
  <c r="L1400" i="11" s="1"/>
  <c r="I1399" i="11"/>
  <c r="L1399" i="11" s="1"/>
  <c r="I1398" i="11"/>
  <c r="L1398" i="11" s="1"/>
  <c r="I1397" i="11"/>
  <c r="L1397" i="11" s="1"/>
  <c r="I1396" i="11"/>
  <c r="L1396" i="11" s="1"/>
  <c r="I1395" i="11"/>
  <c r="L1395" i="11" s="1"/>
  <c r="I1394" i="11"/>
  <c r="L1394" i="11" s="1"/>
  <c r="I1393" i="11"/>
  <c r="L1393" i="11" s="1"/>
  <c r="I1392" i="11"/>
  <c r="L1392" i="11" s="1"/>
  <c r="I1391" i="11"/>
  <c r="L1391" i="11" s="1"/>
  <c r="I1390" i="11"/>
  <c r="L1390" i="11" s="1"/>
  <c r="I1389" i="11"/>
  <c r="L1389" i="11" s="1"/>
  <c r="I1388" i="11"/>
  <c r="L1388" i="11" s="1"/>
  <c r="I1386" i="11"/>
  <c r="L1386" i="11" s="1"/>
  <c r="I1385" i="11"/>
  <c r="L1385" i="11" s="1"/>
  <c r="O1392" i="11" s="1"/>
  <c r="I1384" i="11"/>
  <c r="L1384" i="11" s="1"/>
  <c r="I1383" i="11"/>
  <c r="L1383" i="11" s="1"/>
  <c r="I1379" i="11"/>
  <c r="K1379" i="11" s="1"/>
  <c r="I1378" i="11"/>
  <c r="K1378" i="11" s="1"/>
  <c r="O1377" i="11"/>
  <c r="I1377" i="11"/>
  <c r="K1377" i="11" s="1"/>
  <c r="I1376" i="11"/>
  <c r="K1376" i="11" s="1"/>
  <c r="I1356" i="11"/>
  <c r="L1356" i="11" s="1"/>
  <c r="I1355" i="11"/>
  <c r="L1355" i="11" s="1"/>
  <c r="I1354" i="11"/>
  <c r="L1354" i="11" s="1"/>
  <c r="I1353" i="11"/>
  <c r="L1353" i="11" s="1"/>
  <c r="I1345" i="11"/>
  <c r="K1345" i="11" s="1"/>
  <c r="I1344" i="11"/>
  <c r="K1344" i="11" s="1"/>
  <c r="I1343" i="11"/>
  <c r="K1343" i="11" s="1"/>
  <c r="I1342" i="11"/>
  <c r="K1342" i="11" s="1"/>
  <c r="I1338" i="11"/>
  <c r="K1338" i="11" s="1"/>
  <c r="I1337" i="11"/>
  <c r="K1337" i="11" s="1"/>
  <c r="I1311" i="11"/>
  <c r="L1311" i="11" s="1"/>
  <c r="I1310" i="11"/>
  <c r="L1310" i="11" s="1"/>
  <c r="I1309" i="11"/>
  <c r="L1309" i="11" s="1"/>
  <c r="I1308" i="11"/>
  <c r="L1308" i="11" s="1"/>
  <c r="I1307" i="11"/>
  <c r="L1307" i="11" s="1"/>
  <c r="I1306" i="11"/>
  <c r="L1306" i="11" s="1"/>
  <c r="I1305" i="11"/>
  <c r="L1305" i="11" s="1"/>
  <c r="I1304" i="11"/>
  <c r="L1304" i="11" s="1"/>
  <c r="I1303" i="11"/>
  <c r="L1303" i="11" s="1"/>
  <c r="I1302" i="11"/>
  <c r="L1302" i="11" s="1"/>
  <c r="I1301" i="11"/>
  <c r="L1301" i="11" s="1"/>
  <c r="I1300" i="11"/>
  <c r="L1300" i="11" s="1"/>
  <c r="I1299" i="11"/>
  <c r="L1299" i="11" s="1"/>
  <c r="I1298" i="11"/>
  <c r="L1298" i="11" s="1"/>
  <c r="I1297" i="11"/>
  <c r="L1297" i="11" s="1"/>
  <c r="I1296" i="11"/>
  <c r="L1296" i="11" s="1"/>
  <c r="I1295" i="11"/>
  <c r="L1295" i="11" s="1"/>
  <c r="I1294" i="11"/>
  <c r="L1294" i="11" s="1"/>
  <c r="I1291" i="11"/>
  <c r="K1291" i="11" s="1"/>
  <c r="O1290" i="11"/>
  <c r="I1290" i="11"/>
  <c r="K1290" i="11" s="1"/>
  <c r="I1273" i="11"/>
  <c r="L1273" i="11" s="1"/>
  <c r="O1272" i="11"/>
  <c r="I1272" i="11"/>
  <c r="L1272" i="11" s="1"/>
  <c r="M1265" i="11"/>
  <c r="I1264" i="11"/>
  <c r="K1264" i="11" s="1"/>
  <c r="I1263" i="11"/>
  <c r="K1263" i="11" s="1"/>
  <c r="I1260" i="11"/>
  <c r="K1260" i="11" s="1"/>
  <c r="I1259" i="11"/>
  <c r="K1259" i="11" s="1"/>
  <c r="I1230" i="11"/>
  <c r="L1230" i="11" s="1"/>
  <c r="I1229" i="11"/>
  <c r="L1229" i="11" s="1"/>
  <c r="I1228" i="11"/>
  <c r="L1228" i="11" s="1"/>
  <c r="I1227" i="11"/>
  <c r="L1227" i="11" s="1"/>
  <c r="I1226" i="11"/>
  <c r="L1226" i="11" s="1"/>
  <c r="I1225" i="11"/>
  <c r="L1225" i="11" s="1"/>
  <c r="I1224" i="11"/>
  <c r="L1224" i="11" s="1"/>
  <c r="I1223" i="11"/>
  <c r="L1223" i="11" s="1"/>
  <c r="I1222" i="11"/>
  <c r="L1222" i="11" s="1"/>
  <c r="I1221" i="11"/>
  <c r="L1221" i="11" s="1"/>
  <c r="I1220" i="11"/>
  <c r="L1220" i="11" s="1"/>
  <c r="I1219" i="11"/>
  <c r="L1219" i="11" s="1"/>
  <c r="I1218" i="11"/>
  <c r="K1218" i="11" s="1"/>
  <c r="I1217" i="11"/>
  <c r="L1217" i="11" s="1"/>
  <c r="I1216" i="11"/>
  <c r="L1216" i="11" s="1"/>
  <c r="I1215" i="11"/>
  <c r="L1215" i="11" s="1"/>
  <c r="I1212" i="11"/>
  <c r="K1212" i="11" s="1"/>
  <c r="O1211" i="11"/>
  <c r="I1211" i="11"/>
  <c r="K1211" i="11" s="1"/>
  <c r="I1194" i="11"/>
  <c r="L1194" i="11" s="1"/>
  <c r="I1193" i="11"/>
  <c r="L1193" i="11" s="1"/>
  <c r="M1186" i="11"/>
  <c r="N1186" i="11"/>
  <c r="O1186" i="11"/>
  <c r="I1185" i="11"/>
  <c r="K1185" i="11" s="1"/>
  <c r="I1184" i="11"/>
  <c r="K1184" i="11" s="1"/>
  <c r="I1181" i="11"/>
  <c r="K1181" i="11" s="1"/>
  <c r="I1180" i="11"/>
  <c r="K1180" i="11" s="1"/>
  <c r="I1148" i="11"/>
  <c r="L1148" i="11" s="1"/>
  <c r="I1147" i="11"/>
  <c r="K1147" i="11" s="1"/>
  <c r="I1146" i="11"/>
  <c r="L1146" i="11" s="1"/>
  <c r="I1145" i="11"/>
  <c r="L1145" i="11" s="1"/>
  <c r="I1144" i="11"/>
  <c r="L1144" i="11" s="1"/>
  <c r="I1143" i="11"/>
  <c r="L1143" i="11" s="1"/>
  <c r="I1142" i="11"/>
  <c r="L1142" i="11" s="1"/>
  <c r="I1141" i="11"/>
  <c r="L1141" i="11" s="1"/>
  <c r="I1140" i="11"/>
  <c r="L1140" i="11" s="1"/>
  <c r="I1139" i="11"/>
  <c r="L1139" i="11" s="1"/>
  <c r="I1138" i="11"/>
  <c r="L1138" i="11" s="1"/>
  <c r="I1137" i="11"/>
  <c r="L1137" i="11" s="1"/>
  <c r="I1136" i="11"/>
  <c r="L1136" i="11" s="1"/>
  <c r="I1135" i="11"/>
  <c r="L1135" i="11" s="1"/>
  <c r="I1134" i="11"/>
  <c r="L1134" i="11" s="1"/>
  <c r="I1133" i="11"/>
  <c r="L1133" i="11" s="1"/>
  <c r="I1132" i="11"/>
  <c r="L1132" i="11" s="1"/>
  <c r="I1131" i="11"/>
  <c r="L1131" i="11" s="1"/>
  <c r="I1130" i="11"/>
  <c r="L1130" i="11" s="1"/>
  <c r="I1129" i="11"/>
  <c r="L1129" i="11" s="1"/>
  <c r="I1128" i="11"/>
  <c r="L1128" i="11" s="1"/>
  <c r="I1127" i="11"/>
  <c r="L1127" i="11" s="1"/>
  <c r="I1126" i="11"/>
  <c r="L1126" i="11" s="1"/>
  <c r="I1125" i="11"/>
  <c r="L1125" i="11" s="1"/>
  <c r="I1124" i="11"/>
  <c r="L1124" i="11" s="1"/>
  <c r="I1123" i="11"/>
  <c r="L1123" i="11" s="1"/>
  <c r="I1122" i="11"/>
  <c r="L1122" i="11" s="1"/>
  <c r="I1121" i="11"/>
  <c r="L1121" i="11" s="1"/>
  <c r="I1120" i="11"/>
  <c r="L1120" i="11" s="1"/>
  <c r="I1119" i="11"/>
  <c r="L1119" i="11" s="1"/>
  <c r="I1118" i="11"/>
  <c r="L1118" i="11" s="1"/>
  <c r="I1117" i="11"/>
  <c r="L1117" i="11" s="1"/>
  <c r="I1116" i="11"/>
  <c r="L1116" i="11" s="1"/>
  <c r="I1115" i="11"/>
  <c r="L1115" i="11" s="1"/>
  <c r="I1112" i="11"/>
  <c r="K1112" i="11" s="1"/>
  <c r="I1111" i="11"/>
  <c r="K1111" i="11" s="1"/>
  <c r="I1110" i="11"/>
  <c r="K1110" i="11" s="1"/>
  <c r="I1109" i="11"/>
  <c r="K1109" i="11" s="1"/>
  <c r="O1109" i="11" s="1"/>
  <c r="I1150" i="11"/>
  <c r="K1150" i="11" s="1"/>
  <c r="I1149" i="11"/>
  <c r="L1149" i="11" s="1"/>
  <c r="O1075" i="11"/>
  <c r="I1075" i="11"/>
  <c r="L1075" i="11" s="1"/>
  <c r="I1074" i="11"/>
  <c r="L1074" i="11" s="1"/>
  <c r="I1089" i="11"/>
  <c r="L1089" i="11" s="1"/>
  <c r="I1088" i="11"/>
  <c r="L1088" i="11" s="1"/>
  <c r="I1087" i="11"/>
  <c r="L1087" i="11" s="1"/>
  <c r="I1086" i="11"/>
  <c r="L1086" i="11" s="1"/>
  <c r="I1085" i="11"/>
  <c r="L1085" i="11" s="1"/>
  <c r="I1084" i="11"/>
  <c r="L1084" i="11" s="1"/>
  <c r="O1083" i="11"/>
  <c r="I1083" i="11"/>
  <c r="L1083" i="11" s="1"/>
  <c r="I1082" i="11"/>
  <c r="L1082" i="11" s="1"/>
  <c r="I1081" i="11"/>
  <c r="L1081" i="11" s="1"/>
  <c r="I1080" i="11"/>
  <c r="L1080" i="11" s="1"/>
  <c r="I1079" i="11"/>
  <c r="L1079" i="11" s="1"/>
  <c r="I1078" i="11"/>
  <c r="L1078" i="11" s="1"/>
  <c r="I1077" i="11"/>
  <c r="L1077" i="11" s="1"/>
  <c r="I1076" i="11"/>
  <c r="L1076" i="11" s="1"/>
  <c r="I1072" i="11"/>
  <c r="L1072" i="11" s="1"/>
  <c r="I1071" i="11"/>
  <c r="L1071" i="11" s="1"/>
  <c r="I1070" i="11"/>
  <c r="L1070" i="11" s="1"/>
  <c r="I1069" i="11"/>
  <c r="L1069" i="11" s="1"/>
  <c r="I1065" i="11"/>
  <c r="K1065" i="11" s="1"/>
  <c r="I1064" i="11"/>
  <c r="K1064" i="11" s="1"/>
  <c r="I1063" i="11"/>
  <c r="K1063" i="11" s="1"/>
  <c r="I1062" i="11"/>
  <c r="K1062" i="11" s="1"/>
  <c r="I1042" i="11"/>
  <c r="L1042" i="11" s="1"/>
  <c r="I1041" i="11"/>
  <c r="L1041" i="11" s="1"/>
  <c r="I1040" i="11"/>
  <c r="L1040" i="11" s="1"/>
  <c r="I1039" i="11"/>
  <c r="L1039" i="11" s="1"/>
  <c r="I1031" i="11"/>
  <c r="L1031" i="11" s="1"/>
  <c r="I1030" i="11"/>
  <c r="K1030" i="11" s="1"/>
  <c r="I1029" i="11"/>
  <c r="L1029" i="11" s="1"/>
  <c r="I1028" i="11"/>
  <c r="K1028" i="11" s="1"/>
  <c r="I1024" i="11"/>
  <c r="K1024" i="11" s="1"/>
  <c r="I1023" i="11"/>
  <c r="K1023" i="11" s="1"/>
  <c r="I1022" i="11"/>
  <c r="K1022" i="11" s="1"/>
  <c r="I1021" i="11"/>
  <c r="K1021" i="11" s="1"/>
  <c r="M996" i="11"/>
  <c r="I994" i="11"/>
  <c r="K994" i="11" s="1"/>
  <c r="I993" i="11"/>
  <c r="K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L985" i="11" s="1"/>
  <c r="I984" i="11"/>
  <c r="L984" i="11" s="1"/>
  <c r="I983" i="11"/>
  <c r="L983" i="11" s="1"/>
  <c r="I982" i="11"/>
  <c r="L982" i="11" s="1"/>
  <c r="I981" i="11"/>
  <c r="L981" i="11" s="1"/>
  <c r="I980" i="11"/>
  <c r="L980" i="11" s="1"/>
  <c r="I979" i="11"/>
  <c r="L979" i="11" s="1"/>
  <c r="I978" i="11"/>
  <c r="L978" i="11" s="1"/>
  <c r="I977" i="11"/>
  <c r="L977" i="11" s="1"/>
  <c r="I976" i="11"/>
  <c r="L976" i="11" s="1"/>
  <c r="I975" i="11"/>
  <c r="L975" i="11" s="1"/>
  <c r="I974" i="11"/>
  <c r="L974" i="11" s="1"/>
  <c r="I973" i="11"/>
  <c r="L973" i="11" s="1"/>
  <c r="I972" i="11"/>
  <c r="L972" i="11" s="1"/>
  <c r="I971" i="11"/>
  <c r="L971" i="11" s="1"/>
  <c r="I970" i="11"/>
  <c r="L970" i="11" s="1"/>
  <c r="I969" i="11"/>
  <c r="L969" i="11" s="1"/>
  <c r="I968" i="11"/>
  <c r="L968" i="11" s="1"/>
  <c r="I967" i="11"/>
  <c r="L967" i="11" s="1"/>
  <c r="I964" i="11"/>
  <c r="K964" i="11" s="1"/>
  <c r="O963" i="11"/>
  <c r="I963" i="11"/>
  <c r="K963" i="11" s="1"/>
  <c r="I962" i="11"/>
  <c r="K962" i="11" s="1"/>
  <c r="O961" i="11"/>
  <c r="I961" i="11"/>
  <c r="K961" i="11" s="1"/>
  <c r="I960" i="11"/>
  <c r="K960" i="11" s="1"/>
  <c r="I995" i="11"/>
  <c r="L995" i="11" s="1"/>
  <c r="I940" i="11"/>
  <c r="L940" i="11" s="1"/>
  <c r="I939" i="11"/>
  <c r="L939" i="11" s="1"/>
  <c r="I938" i="11"/>
  <c r="L938" i="11" s="1"/>
  <c r="I937" i="11"/>
  <c r="L937" i="11" s="1"/>
  <c r="I936" i="11"/>
  <c r="L936" i="11" s="1"/>
  <c r="I935" i="11"/>
  <c r="L935" i="11" s="1"/>
  <c r="O934" i="11"/>
  <c r="I934" i="11"/>
  <c r="L934" i="11" s="1"/>
  <c r="I933" i="11"/>
  <c r="L933" i="11" s="1"/>
  <c r="I932" i="11"/>
  <c r="L932" i="11" s="1"/>
  <c r="I931" i="11"/>
  <c r="L931" i="11" s="1"/>
  <c r="I930" i="11"/>
  <c r="L930" i="11" s="1"/>
  <c r="O929" i="11"/>
  <c r="I929" i="11"/>
  <c r="L929" i="11" s="1"/>
  <c r="I928" i="11"/>
  <c r="L928" i="11" s="1"/>
  <c r="I927" i="11"/>
  <c r="L927" i="11" s="1"/>
  <c r="I925" i="11"/>
  <c r="L925" i="11" s="1"/>
  <c r="I924" i="11"/>
  <c r="L924" i="11" s="1"/>
  <c r="I923" i="11"/>
  <c r="L923" i="11" s="1"/>
  <c r="I922" i="11"/>
  <c r="L922" i="11" s="1"/>
  <c r="I921" i="11"/>
  <c r="L921" i="11" s="1"/>
  <c r="I920" i="11"/>
  <c r="L920" i="11" s="1"/>
  <c r="I919" i="11"/>
  <c r="L919" i="11" s="1"/>
  <c r="O918" i="11"/>
  <c r="I918" i="11"/>
  <c r="L918" i="11" s="1"/>
  <c r="O917" i="11"/>
  <c r="I917" i="11"/>
  <c r="L917" i="11" s="1"/>
  <c r="I916" i="11"/>
  <c r="L916" i="11" s="1"/>
  <c r="I912" i="11"/>
  <c r="K912" i="11" s="1"/>
  <c r="I911" i="11"/>
  <c r="K911" i="11" s="1"/>
  <c r="I910" i="11"/>
  <c r="K910" i="11" s="1"/>
  <c r="O909" i="11"/>
  <c r="I909" i="11"/>
  <c r="K909" i="11" s="1"/>
  <c r="I889" i="11"/>
  <c r="L889" i="11" s="1"/>
  <c r="I888" i="11"/>
  <c r="L888" i="11" s="1"/>
  <c r="I887" i="11"/>
  <c r="L887" i="11" s="1"/>
  <c r="O886" i="11"/>
  <c r="I886" i="11"/>
  <c r="L886" i="11" s="1"/>
  <c r="I878" i="11"/>
  <c r="K878" i="11" s="1"/>
  <c r="I877" i="11"/>
  <c r="K877" i="11" s="1"/>
  <c r="I876" i="11"/>
  <c r="K876" i="11" s="1"/>
  <c r="I875" i="11"/>
  <c r="K875" i="11" s="1"/>
  <c r="J871" i="11"/>
  <c r="I871" i="11"/>
  <c r="J870" i="11"/>
  <c r="I870" i="11"/>
  <c r="I845" i="11"/>
  <c r="L845" i="11" s="1"/>
  <c r="I844" i="11"/>
  <c r="L844" i="11" s="1"/>
  <c r="I843" i="11"/>
  <c r="L843" i="11" s="1"/>
  <c r="I842" i="11"/>
  <c r="L842" i="11" s="1"/>
  <c r="I841" i="11"/>
  <c r="L841" i="11" s="1"/>
  <c r="I840" i="11"/>
  <c r="L840" i="11" s="1"/>
  <c r="I839" i="11"/>
  <c r="L839" i="11" s="1"/>
  <c r="I838" i="11"/>
  <c r="L838" i="11" s="1"/>
  <c r="I837" i="11"/>
  <c r="L837" i="11" s="1"/>
  <c r="I836" i="11"/>
  <c r="L836" i="11" s="1"/>
  <c r="I835" i="11"/>
  <c r="L835" i="11" s="1"/>
  <c r="I834" i="11"/>
  <c r="L834" i="11" s="1"/>
  <c r="I831" i="11"/>
  <c r="K831" i="11" s="1"/>
  <c r="O830" i="11"/>
  <c r="I830" i="11"/>
  <c r="K830" i="11" s="1"/>
  <c r="O813" i="11"/>
  <c r="I813" i="11"/>
  <c r="L813" i="11" s="1"/>
  <c r="I812" i="11"/>
  <c r="L812" i="11" s="1"/>
  <c r="M805" i="11"/>
  <c r="I804" i="11"/>
  <c r="K804" i="11" s="1"/>
  <c r="I803" i="11"/>
  <c r="K803" i="11" s="1"/>
  <c r="L801" i="11"/>
  <c r="I800" i="11"/>
  <c r="K800" i="11" s="1"/>
  <c r="I799" i="11"/>
  <c r="K799" i="11" s="1"/>
  <c r="I771" i="11"/>
  <c r="L771" i="11" s="1"/>
  <c r="I770" i="11"/>
  <c r="L770" i="11" s="1"/>
  <c r="I769" i="11"/>
  <c r="L769" i="11" s="1"/>
  <c r="I768" i="11"/>
  <c r="L768" i="11" s="1"/>
  <c r="I767" i="11"/>
  <c r="L767" i="11" s="1"/>
  <c r="I766" i="11"/>
  <c r="L766" i="11" s="1"/>
  <c r="I765" i="11"/>
  <c r="L765" i="11" s="1"/>
  <c r="I764" i="11"/>
  <c r="L764" i="11" s="1"/>
  <c r="I763" i="11"/>
  <c r="L763" i="11" s="1"/>
  <c r="I762" i="11"/>
  <c r="L762" i="11" s="1"/>
  <c r="I761" i="11"/>
  <c r="L761" i="11" s="1"/>
  <c r="I760" i="11"/>
  <c r="L760" i="11" s="1"/>
  <c r="I759" i="11"/>
  <c r="L759" i="11" s="1"/>
  <c r="I758" i="11"/>
  <c r="L758" i="11" s="1"/>
  <c r="I757" i="11"/>
  <c r="L757" i="11" s="1"/>
  <c r="I756" i="11"/>
  <c r="L756" i="11" s="1"/>
  <c r="I753" i="11"/>
  <c r="K753" i="11" s="1"/>
  <c r="O752" i="11"/>
  <c r="I752" i="11"/>
  <c r="K752" i="11" s="1"/>
  <c r="I735" i="11"/>
  <c r="L735" i="11" s="1"/>
  <c r="I734" i="11"/>
  <c r="L734" i="11" s="1"/>
  <c r="M727" i="11"/>
  <c r="I726" i="11"/>
  <c r="K726" i="11" s="1"/>
  <c r="I725" i="11"/>
  <c r="K725" i="11" s="1"/>
  <c r="O724" i="11"/>
  <c r="I724" i="11"/>
  <c r="K724" i="11" s="1"/>
  <c r="I723" i="11"/>
  <c r="K723" i="11" s="1"/>
  <c r="I720" i="11"/>
  <c r="K720" i="11" s="1"/>
  <c r="I719" i="11"/>
  <c r="K719" i="11" s="1"/>
  <c r="I718" i="11"/>
  <c r="K718" i="11" s="1"/>
  <c r="I717" i="11"/>
  <c r="K71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72" i="11"/>
  <c r="L672" i="11" s="1"/>
  <c r="I671" i="11"/>
  <c r="L671" i="11" s="1"/>
  <c r="I688" i="11"/>
  <c r="L688" i="11" s="1"/>
  <c r="I687" i="11"/>
  <c r="L687" i="11" s="1"/>
  <c r="I668" i="11"/>
  <c r="K668" i="11" s="1"/>
  <c r="O667" i="11"/>
  <c r="I667" i="11"/>
  <c r="K667" i="11" s="1"/>
  <c r="I647" i="11"/>
  <c r="I642" i="11"/>
  <c r="I646" i="11"/>
  <c r="L646" i="11" s="1"/>
  <c r="I645" i="11"/>
  <c r="L645" i="11" s="1"/>
  <c r="I644" i="11"/>
  <c r="L644" i="11" s="1"/>
  <c r="I643" i="11"/>
  <c r="L643" i="11" s="1"/>
  <c r="I641" i="11"/>
  <c r="L641" i="11" s="1"/>
  <c r="I639" i="11"/>
  <c r="L639" i="11" s="1"/>
  <c r="I638" i="11"/>
  <c r="L638" i="11" s="1"/>
  <c r="I634" i="11"/>
  <c r="K634" i="11" s="1"/>
  <c r="I633" i="11"/>
  <c r="K633" i="11" s="1"/>
  <c r="K635" i="11" s="1"/>
  <c r="D622" i="11" s="1"/>
  <c r="M618" i="11" s="1"/>
  <c r="I597" i="11"/>
  <c r="K597" i="11" s="1"/>
  <c r="I596" i="11"/>
  <c r="K596" i="11" s="1"/>
  <c r="I548" i="11"/>
  <c r="K548" i="11" s="1"/>
  <c r="I547" i="11"/>
  <c r="K547" i="11" s="1"/>
  <c r="I572" i="11"/>
  <c r="L572" i="11" s="1"/>
  <c r="I571" i="11"/>
  <c r="L571" i="11" s="1"/>
  <c r="I570" i="11"/>
  <c r="L570" i="11" s="1"/>
  <c r="I569" i="11"/>
  <c r="L569" i="11" s="1"/>
  <c r="I568" i="11"/>
  <c r="L568" i="11" s="1"/>
  <c r="I567" i="11"/>
  <c r="L567" i="11" s="1"/>
  <c r="I566" i="11"/>
  <c r="L566" i="11" s="1"/>
  <c r="I565" i="11"/>
  <c r="L565" i="11" s="1"/>
  <c r="I564" i="11"/>
  <c r="L564" i="11" s="1"/>
  <c r="I563" i="11"/>
  <c r="L563" i="11" s="1"/>
  <c r="I562" i="11"/>
  <c r="L562" i="11" s="1"/>
  <c r="I561" i="11"/>
  <c r="L561" i="11" s="1"/>
  <c r="I560" i="11"/>
  <c r="L560" i="11" s="1"/>
  <c r="I559" i="11"/>
  <c r="L559" i="11" s="1"/>
  <c r="I558" i="11"/>
  <c r="L558" i="11" s="1"/>
  <c r="I557" i="11"/>
  <c r="L557" i="11" s="1"/>
  <c r="I556" i="11"/>
  <c r="L556" i="11" s="1"/>
  <c r="I555" i="11"/>
  <c r="L555" i="11" s="1"/>
  <c r="I554" i="11"/>
  <c r="L554" i="11" s="1"/>
  <c r="I553" i="11"/>
  <c r="L553" i="11" s="1"/>
  <c r="I552" i="11"/>
  <c r="L552" i="11" s="1"/>
  <c r="I551" i="11"/>
  <c r="L551" i="11" s="1"/>
  <c r="I514" i="11"/>
  <c r="K514" i="11" s="1"/>
  <c r="I513" i="11"/>
  <c r="K513" i="11" s="1"/>
  <c r="K515" i="11" s="1"/>
  <c r="U514" i="11"/>
  <c r="Q514" i="11"/>
  <c r="D531" i="11" l="1"/>
  <c r="D535" i="11" s="1"/>
  <c r="L528" i="11"/>
  <c r="I532" i="11" s="1"/>
  <c r="M531" i="11" s="1"/>
  <c r="K519" i="11"/>
  <c r="K913" i="11"/>
  <c r="D898" i="11" s="1"/>
  <c r="M894" i="11" s="1"/>
  <c r="M895" i="11" s="1"/>
  <c r="M896" i="11" s="1"/>
  <c r="L1431" i="11"/>
  <c r="O1433" i="11" s="1"/>
  <c r="K1427" i="11"/>
  <c r="K1422" i="11"/>
  <c r="K1421" i="11"/>
  <c r="L1402" i="11"/>
  <c r="L1357" i="11"/>
  <c r="I1361" i="11" s="1"/>
  <c r="M1360" i="11" s="1"/>
  <c r="K1380" i="11"/>
  <c r="K1339" i="11"/>
  <c r="K1346" i="11"/>
  <c r="K1261" i="11"/>
  <c r="D1277" i="11" s="1"/>
  <c r="K1265" i="11"/>
  <c r="K1311" i="11"/>
  <c r="K1182" i="11"/>
  <c r="D1198" i="11" s="1"/>
  <c r="K1186" i="11"/>
  <c r="L1147" i="11"/>
  <c r="L1150" i="11"/>
  <c r="L1090" i="11"/>
  <c r="L1073" i="11"/>
  <c r="O1076" i="11" s="1"/>
  <c r="O1084" i="11"/>
  <c r="O964" i="11"/>
  <c r="O962" i="11"/>
  <c r="O960" i="11"/>
  <c r="L941" i="11"/>
  <c r="K942" i="11"/>
  <c r="K879" i="11"/>
  <c r="L926" i="11"/>
  <c r="L890" i="11"/>
  <c r="I894" i="11" s="1"/>
  <c r="M893" i="11" s="1"/>
  <c r="K871" i="11"/>
  <c r="K870" i="11"/>
  <c r="K805" i="11"/>
  <c r="K801" i="11"/>
  <c r="D817" i="11" s="1"/>
  <c r="K727" i="11"/>
  <c r="K721" i="11"/>
  <c r="D739" i="11" s="1"/>
  <c r="K549" i="11"/>
  <c r="D536" i="11" s="1"/>
  <c r="M532" i="11" s="1"/>
  <c r="K1403" i="11" l="1"/>
  <c r="D1365" i="11"/>
  <c r="M1361" i="11" s="1"/>
  <c r="M1362" i="11"/>
  <c r="M1363" i="11" s="1"/>
  <c r="M533" i="11"/>
  <c r="M534" i="11" s="1"/>
  <c r="D537" i="11"/>
  <c r="D538" i="11" s="1"/>
  <c r="K1423" i="11"/>
  <c r="I486" i="11"/>
  <c r="L486" i="11" s="1"/>
  <c r="I485" i="11"/>
  <c r="L485" i="11" s="1"/>
  <c r="I484" i="11"/>
  <c r="L484" i="11" s="1"/>
  <c r="I483" i="11"/>
  <c r="L483" i="11" s="1"/>
  <c r="I482" i="11"/>
  <c r="L482" i="11" s="1"/>
  <c r="I481" i="11"/>
  <c r="L481" i="11" s="1"/>
  <c r="I480" i="11"/>
  <c r="L480" i="11" s="1"/>
  <c r="I479" i="11"/>
  <c r="L479" i="11" s="1"/>
  <c r="I478" i="11"/>
  <c r="L478" i="11" s="1"/>
  <c r="I477" i="11"/>
  <c r="L477" i="11" s="1"/>
  <c r="I476" i="11"/>
  <c r="L476" i="11" s="1"/>
  <c r="I475" i="11"/>
  <c r="L475" i="11" s="1"/>
  <c r="I474" i="11"/>
  <c r="L474" i="11" s="1"/>
  <c r="I473" i="11"/>
  <c r="L473" i="11" s="1"/>
  <c r="I472" i="11"/>
  <c r="L472" i="11" s="1"/>
  <c r="I471" i="11"/>
  <c r="L471" i="11" s="1"/>
  <c r="I470" i="11"/>
  <c r="L470" i="11" s="1"/>
  <c r="I469" i="11"/>
  <c r="L469" i="11" s="1"/>
  <c r="I466" i="11" l="1"/>
  <c r="K466" i="11" s="1"/>
  <c r="O465" i="11"/>
  <c r="I465" i="11"/>
  <c r="K465" i="11" s="1"/>
  <c r="O448" i="11"/>
  <c r="I448" i="11"/>
  <c r="L448" i="11" s="1"/>
  <c r="I447" i="11"/>
  <c r="L447" i="11" s="1"/>
  <c r="M440" i="11"/>
  <c r="I439" i="11"/>
  <c r="K439" i="11" s="1"/>
  <c r="I438" i="11"/>
  <c r="K438" i="11" s="1"/>
  <c r="I437" i="11"/>
  <c r="K437" i="11" s="1"/>
  <c r="K444" i="11"/>
  <c r="I434" i="11"/>
  <c r="K434" i="11" s="1"/>
  <c r="E434" i="11"/>
  <c r="I433" i="11"/>
  <c r="E433" i="11"/>
  <c r="I432" i="11"/>
  <c r="E432" i="11"/>
  <c r="I395" i="11"/>
  <c r="L395" i="11" s="1"/>
  <c r="I394" i="11"/>
  <c r="L394" i="11" s="1"/>
  <c r="I393" i="11"/>
  <c r="L393" i="11" s="1"/>
  <c r="I392" i="11"/>
  <c r="L392" i="11" s="1"/>
  <c r="I391" i="11"/>
  <c r="L391" i="11" s="1"/>
  <c r="I390" i="11"/>
  <c r="L390" i="11" s="1"/>
  <c r="I389" i="11"/>
  <c r="L389" i="11" s="1"/>
  <c r="I388" i="11"/>
  <c r="L388" i="11" s="1"/>
  <c r="I396" i="11"/>
  <c r="L396" i="11" s="1"/>
  <c r="I405" i="11"/>
  <c r="L405" i="11" s="1"/>
  <c r="I404" i="11"/>
  <c r="L404" i="11" s="1"/>
  <c r="I403" i="11"/>
  <c r="L403" i="11" s="1"/>
  <c r="I402" i="11"/>
  <c r="L402" i="11" s="1"/>
  <c r="I401" i="11"/>
  <c r="L401" i="11" s="1"/>
  <c r="I400" i="11"/>
  <c r="L400" i="11" s="1"/>
  <c r="I399" i="11"/>
  <c r="L399" i="11" s="1"/>
  <c r="I398" i="11"/>
  <c r="L398" i="11" s="1"/>
  <c r="I397" i="11"/>
  <c r="L397" i="11" s="1"/>
  <c r="I385" i="11"/>
  <c r="K385" i="11" s="1"/>
  <c r="O384" i="11"/>
  <c r="K384" i="11"/>
  <c r="O355" i="11" s="1"/>
  <c r="I384" i="11"/>
  <c r="I367" i="11"/>
  <c r="L367" i="11" s="1"/>
  <c r="I366" i="11"/>
  <c r="L366" i="11" s="1"/>
  <c r="M359" i="11"/>
  <c r="I354" i="11"/>
  <c r="L354" i="11" s="1"/>
  <c r="I355" i="11"/>
  <c r="I356" i="11"/>
  <c r="I357" i="11"/>
  <c r="K357" i="11" s="1"/>
  <c r="I358" i="11"/>
  <c r="L358" i="11" s="1"/>
  <c r="O353" i="11"/>
  <c r="I353" i="11"/>
  <c r="K353" i="11" s="1"/>
  <c r="I346" i="11"/>
  <c r="L346" i="11" s="1"/>
  <c r="I347" i="11"/>
  <c r="K347" i="11" s="1"/>
  <c r="K355" i="11" s="1"/>
  <c r="I348" i="11"/>
  <c r="I349" i="11"/>
  <c r="K349" i="11" s="1"/>
  <c r="I350" i="11"/>
  <c r="L350" i="11" s="1"/>
  <c r="I345" i="11"/>
  <c r="K345" i="11" s="1"/>
  <c r="K440" i="11" l="1"/>
  <c r="K433" i="11"/>
  <c r="K432" i="11"/>
  <c r="K348" i="11"/>
  <c r="K435" i="11" l="1"/>
  <c r="K351" i="11"/>
  <c r="K356" i="11"/>
  <c r="K359" i="11" s="1"/>
  <c r="O433" i="11" l="1"/>
  <c r="D452" i="11"/>
  <c r="O347" i="11"/>
  <c r="D371" i="11"/>
  <c r="I316" i="11" l="1"/>
  <c r="L316" i="11" s="1"/>
  <c r="I315" i="11"/>
  <c r="L315" i="11" s="1"/>
  <c r="I314" i="11"/>
  <c r="L314" i="11" s="1"/>
  <c r="I313" i="11"/>
  <c r="L313" i="11" s="1"/>
  <c r="I312" i="11"/>
  <c r="L312" i="11" s="1"/>
  <c r="I311" i="11"/>
  <c r="L311" i="11" s="1"/>
  <c r="I310" i="11"/>
  <c r="L310" i="11" s="1"/>
  <c r="I309" i="11"/>
  <c r="L309" i="11" s="1"/>
  <c r="I308" i="11"/>
  <c r="L308" i="11" s="1"/>
  <c r="I307" i="11"/>
  <c r="L307" i="11" s="1"/>
  <c r="I306" i="11"/>
  <c r="L306" i="11" s="1"/>
  <c r="L305" i="11"/>
  <c r="I304" i="11"/>
  <c r="L304" i="11" s="1"/>
  <c r="I303" i="11"/>
  <c r="L303" i="11" s="1"/>
  <c r="I302" i="11"/>
  <c r="L302" i="11" s="1"/>
  <c r="I301" i="11"/>
  <c r="L301" i="11" s="1"/>
  <c r="I317" i="11"/>
  <c r="L317" i="11" s="1"/>
  <c r="I298" i="11"/>
  <c r="K298" i="11" s="1"/>
  <c r="I297" i="11"/>
  <c r="K297" i="11" s="1"/>
  <c r="I260" i="11"/>
  <c r="L260" i="11" s="1"/>
  <c r="I259" i="11"/>
  <c r="L259" i="11" s="1"/>
  <c r="I258" i="11"/>
  <c r="L258" i="11" s="1"/>
  <c r="I257" i="11"/>
  <c r="L257" i="11" s="1"/>
  <c r="I277" i="11"/>
  <c r="L277" i="11" s="1"/>
  <c r="I276" i="11"/>
  <c r="L276" i="11" s="1"/>
  <c r="I275" i="11"/>
  <c r="L275" i="11" s="1"/>
  <c r="I274" i="11"/>
  <c r="L274" i="11" s="1"/>
  <c r="I273" i="11"/>
  <c r="L273" i="11" s="1"/>
  <c r="I272" i="11"/>
  <c r="L272" i="11" s="1"/>
  <c r="I271" i="11"/>
  <c r="L271" i="11" s="1"/>
  <c r="I270" i="11"/>
  <c r="L270" i="11" s="1"/>
  <c r="O269" i="11"/>
  <c r="I269" i="11"/>
  <c r="L269" i="11" s="1"/>
  <c r="I268" i="11"/>
  <c r="L268" i="11" s="1"/>
  <c r="I267" i="11"/>
  <c r="L267" i="11" s="1"/>
  <c r="O266" i="11"/>
  <c r="I266" i="11"/>
  <c r="L266" i="11" s="1"/>
  <c r="I265" i="11"/>
  <c r="L265" i="11" s="1"/>
  <c r="I264" i="11"/>
  <c r="L264" i="11" s="1"/>
  <c r="I263" i="11"/>
  <c r="L263" i="11" s="1"/>
  <c r="I262" i="11"/>
  <c r="L262" i="11" s="1"/>
  <c r="I253" i="11"/>
  <c r="K253" i="11" s="1"/>
  <c r="I252" i="11"/>
  <c r="K252" i="11" s="1"/>
  <c r="O251" i="11"/>
  <c r="I251" i="11"/>
  <c r="K251" i="11" s="1"/>
  <c r="I250" i="11"/>
  <c r="K250" i="11" s="1"/>
  <c r="I224" i="11"/>
  <c r="L224" i="11" s="1"/>
  <c r="I223" i="11"/>
  <c r="L223" i="11" s="1"/>
  <c r="I222" i="11"/>
  <c r="L222" i="11" s="1"/>
  <c r="I221" i="11"/>
  <c r="L221" i="11" s="1"/>
  <c r="I230" i="11"/>
  <c r="L230" i="11" s="1"/>
  <c r="I229" i="11"/>
  <c r="L229" i="11" s="1"/>
  <c r="I228" i="11"/>
  <c r="L228" i="11" s="1"/>
  <c r="I227" i="11"/>
  <c r="L227" i="11" s="1"/>
  <c r="I217" i="11"/>
  <c r="K217" i="11" s="1"/>
  <c r="I216" i="11"/>
  <c r="K216" i="11" s="1"/>
  <c r="I215" i="11"/>
  <c r="K215" i="11" s="1"/>
  <c r="I214" i="11"/>
  <c r="K214" i="11" s="1"/>
  <c r="I210" i="11"/>
  <c r="K210" i="11" s="1"/>
  <c r="I186" i="11"/>
  <c r="L186" i="11" s="1"/>
  <c r="I185" i="11"/>
  <c r="L185" i="11" s="1"/>
  <c r="I184" i="11"/>
  <c r="L184" i="11" s="1"/>
  <c r="I183" i="11"/>
  <c r="L183" i="11" s="1"/>
  <c r="I182" i="11"/>
  <c r="L182" i="11" s="1"/>
  <c r="I181" i="11"/>
  <c r="L181" i="11" s="1"/>
  <c r="I180" i="11"/>
  <c r="L180" i="11" s="1"/>
  <c r="I179" i="11"/>
  <c r="L179" i="11" s="1"/>
  <c r="I178" i="11"/>
  <c r="L178" i="11" s="1"/>
  <c r="I177" i="11"/>
  <c r="L177" i="11" s="1"/>
  <c r="I176" i="11"/>
  <c r="L176" i="11" s="1"/>
  <c r="I175" i="11"/>
  <c r="L175" i="11" s="1"/>
  <c r="I174" i="11"/>
  <c r="L174" i="11" s="1"/>
  <c r="I173" i="11"/>
  <c r="L173" i="11" s="1"/>
  <c r="I172" i="11"/>
  <c r="L172" i="11" s="1"/>
  <c r="I171" i="11"/>
  <c r="L171" i="11" s="1"/>
  <c r="I168" i="11"/>
  <c r="K168" i="11" s="1"/>
  <c r="O167" i="11"/>
  <c r="I167" i="11"/>
  <c r="K167" i="11" s="1"/>
  <c r="I150" i="11"/>
  <c r="L150" i="11" s="1"/>
  <c r="O144" i="11" s="1"/>
  <c r="O149" i="11"/>
  <c r="I149" i="11"/>
  <c r="L149" i="11" s="1"/>
  <c r="I145" i="11"/>
  <c r="L145" i="11" s="1"/>
  <c r="I144" i="11"/>
  <c r="K144" i="11" s="1"/>
  <c r="M142" i="11"/>
  <c r="I141" i="11"/>
  <c r="K141" i="11" s="1"/>
  <c r="O140" i="11"/>
  <c r="I140" i="11"/>
  <c r="K140" i="11" s="1"/>
  <c r="I137" i="11"/>
  <c r="K137" i="11" s="1"/>
  <c r="I136" i="11"/>
  <c r="K136" i="11" s="1"/>
  <c r="I108" i="11"/>
  <c r="L108" i="11" s="1"/>
  <c r="I107" i="11"/>
  <c r="L107" i="11" s="1"/>
  <c r="I106" i="11"/>
  <c r="L106" i="11" s="1"/>
  <c r="L105" i="11"/>
  <c r="I104" i="11"/>
  <c r="L104" i="11" s="1"/>
  <c r="I103" i="11"/>
  <c r="L103" i="11" s="1"/>
  <c r="I102" i="11"/>
  <c r="L102" i="11" s="1"/>
  <c r="I101" i="11"/>
  <c r="L101" i="11" s="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94" i="11" s="1"/>
  <c r="L109" i="11"/>
  <c r="I91" i="11"/>
  <c r="K91" i="11" s="1"/>
  <c r="O90" i="11"/>
  <c r="I90" i="11"/>
  <c r="K90" i="11" s="1"/>
  <c r="I28" i="11"/>
  <c r="I27" i="11"/>
  <c r="I26" i="11"/>
  <c r="I25" i="11"/>
  <c r="I24" i="11"/>
  <c r="I18" i="11"/>
  <c r="I19" i="11"/>
  <c r="I20" i="11"/>
  <c r="I17" i="11"/>
  <c r="I59" i="11"/>
  <c r="L59" i="11" s="1"/>
  <c r="I58" i="11"/>
  <c r="L58" i="11" s="1"/>
  <c r="I57" i="11"/>
  <c r="L57" i="11" s="1"/>
  <c r="I70" i="11"/>
  <c r="L70" i="11" s="1"/>
  <c r="I69" i="11"/>
  <c r="L69" i="11" s="1"/>
  <c r="I68" i="11"/>
  <c r="L68" i="11" s="1"/>
  <c r="I67" i="11"/>
  <c r="L67" i="11" s="1"/>
  <c r="I66" i="11"/>
  <c r="L66" i="11" s="1"/>
  <c r="O59" i="11" s="1"/>
  <c r="I65" i="11"/>
  <c r="L65" i="11" s="1"/>
  <c r="I64" i="11"/>
  <c r="L64" i="11" s="1"/>
  <c r="I63" i="11"/>
  <c r="L63" i="11" s="1"/>
  <c r="O61" i="11"/>
  <c r="I61" i="11"/>
  <c r="L61" i="11" s="1"/>
  <c r="I53" i="11"/>
  <c r="K53" i="11" s="1"/>
  <c r="I52" i="11"/>
  <c r="K52" i="11" s="1"/>
  <c r="I32" i="11"/>
  <c r="L32" i="11" s="1"/>
  <c r="L33" i="11" s="1"/>
  <c r="I37" i="11" s="1"/>
  <c r="M36" i="11" s="1"/>
  <c r="I31" i="11"/>
  <c r="L318" i="11" l="1"/>
  <c r="K254" i="11"/>
  <c r="L278" i="11"/>
  <c r="L261" i="11"/>
  <c r="K218" i="11"/>
  <c r="L231" i="11"/>
  <c r="I235" i="11" s="1"/>
  <c r="M234" i="11" s="1"/>
  <c r="L225" i="11"/>
  <c r="I234" i="11" s="1"/>
  <c r="I236" i="11" s="1"/>
  <c r="L187" i="11"/>
  <c r="K142" i="11"/>
  <c r="I209" i="11"/>
  <c r="K209" i="11" s="1"/>
  <c r="K138" i="11"/>
  <c r="D154" i="11" s="1"/>
  <c r="L60" i="11"/>
  <c r="I62" i="11"/>
  <c r="L62" i="11" s="1"/>
  <c r="L71" i="11" s="1"/>
  <c r="O32" i="11"/>
  <c r="K279" i="11" l="1"/>
  <c r="D239" i="11"/>
  <c r="M235" i="11" s="1"/>
  <c r="M236" i="11" s="1"/>
  <c r="M237" i="11" s="1"/>
  <c r="L72" i="11"/>
  <c r="I1470" i="10" l="1"/>
  <c r="K1470" i="10" s="1"/>
  <c r="L1469" i="10"/>
  <c r="L1468" i="10"/>
  <c r="I1467" i="10"/>
  <c r="L1467" i="10" s="1"/>
  <c r="I1466" i="10"/>
  <c r="L1466" i="10" s="1"/>
  <c r="I1465" i="10"/>
  <c r="L1465" i="10" s="1"/>
  <c r="I1464" i="10"/>
  <c r="L1464" i="10" s="1"/>
  <c r="I1463" i="10"/>
  <c r="L1463" i="10" s="1"/>
  <c r="I1462" i="10"/>
  <c r="L1462" i="10" s="1"/>
  <c r="I1461" i="10"/>
  <c r="L1461" i="10" s="1"/>
  <c r="I1460" i="10"/>
  <c r="L1460" i="10" s="1"/>
  <c r="I1457" i="10"/>
  <c r="K1457" i="10" s="1"/>
  <c r="I1456" i="10"/>
  <c r="K1456" i="10" s="1"/>
  <c r="M1431" i="10"/>
  <c r="I1439" i="10"/>
  <c r="L1439" i="10" s="1"/>
  <c r="I1438" i="10"/>
  <c r="L1438" i="10" s="1"/>
  <c r="I1425" i="10"/>
  <c r="K1425" i="10" s="1"/>
  <c r="K1426" i="10" s="1"/>
  <c r="D1443" i="10" s="1"/>
  <c r="I1424" i="10"/>
  <c r="K1424" i="10" s="1"/>
  <c r="I1374" i="10"/>
  <c r="K1374" i="10" s="1"/>
  <c r="I1373" i="10"/>
  <c r="K1373" i="10" s="1"/>
  <c r="I1392" i="10"/>
  <c r="L1392" i="10" s="1"/>
  <c r="I1391" i="10"/>
  <c r="L1391" i="10" s="1"/>
  <c r="I1390" i="10"/>
  <c r="L1390" i="10" s="1"/>
  <c r="I1389" i="10"/>
  <c r="L1389" i="10" s="1"/>
  <c r="I1388" i="10"/>
  <c r="L1388" i="10" s="1"/>
  <c r="I1387" i="10"/>
  <c r="L1387" i="10" s="1"/>
  <c r="I1386" i="10"/>
  <c r="L1386" i="10" s="1"/>
  <c r="I1385" i="10"/>
  <c r="L1385" i="10" s="1"/>
  <c r="I1384" i="10"/>
  <c r="L1384" i="10" s="1"/>
  <c r="I1383" i="10"/>
  <c r="L1383" i="10" s="1"/>
  <c r="I1382" i="10"/>
  <c r="L1382" i="10" s="1"/>
  <c r="I1381" i="10"/>
  <c r="L1381" i="10" s="1"/>
  <c r="I1380" i="10"/>
  <c r="L1380" i="10" s="1"/>
  <c r="I1379" i="10"/>
  <c r="L1379" i="10" s="1"/>
  <c r="I1378" i="10"/>
  <c r="L1378" i="10" s="1"/>
  <c r="I1377" i="10"/>
  <c r="L1377" i="10" s="1"/>
  <c r="I1394" i="10"/>
  <c r="L1394" i="10" s="1"/>
  <c r="I1393" i="10"/>
  <c r="L1393" i="10" s="1"/>
  <c r="I1336" i="10"/>
  <c r="L1336" i="10" s="1"/>
  <c r="I1335" i="10"/>
  <c r="L1335" i="10" s="1"/>
  <c r="I1334" i="10"/>
  <c r="L1334" i="10" s="1"/>
  <c r="I1333" i="10"/>
  <c r="L1333" i="10" s="1"/>
  <c r="I1353" i="10"/>
  <c r="L1353" i="10" s="1"/>
  <c r="I1352" i="10"/>
  <c r="L1352" i="10" s="1"/>
  <c r="I1351" i="10"/>
  <c r="L1351" i="10" s="1"/>
  <c r="I1350" i="10"/>
  <c r="L1350" i="10" s="1"/>
  <c r="I1349" i="10"/>
  <c r="L1349" i="10" s="1"/>
  <c r="I1348" i="10"/>
  <c r="L1348" i="10" s="1"/>
  <c r="I1347" i="10"/>
  <c r="L1347" i="10" s="1"/>
  <c r="I1346" i="10"/>
  <c r="L1346" i="10" s="1"/>
  <c r="I1345" i="10"/>
  <c r="L1345" i="10" s="1"/>
  <c r="I1344" i="10"/>
  <c r="L1344" i="10" s="1"/>
  <c r="I1343" i="10"/>
  <c r="L1343" i="10" s="1"/>
  <c r="I1342" i="10"/>
  <c r="L1342" i="10" s="1"/>
  <c r="I1341" i="10"/>
  <c r="L1341" i="10" s="1"/>
  <c r="I1340" i="10"/>
  <c r="L1340" i="10" s="1"/>
  <c r="I1339" i="10"/>
  <c r="L1339" i="10" s="1"/>
  <c r="I1338" i="10"/>
  <c r="L1338" i="10" s="1"/>
  <c r="I1329" i="10"/>
  <c r="K1329" i="10" s="1"/>
  <c r="I1328" i="10"/>
  <c r="K1328" i="10" s="1"/>
  <c r="I1327" i="10"/>
  <c r="K1327" i="10" s="1"/>
  <c r="I1326" i="10"/>
  <c r="K1326" i="10" s="1"/>
  <c r="M1296" i="10"/>
  <c r="M1289" i="10"/>
  <c r="I1306" i="10"/>
  <c r="K1306" i="10" s="1"/>
  <c r="I1305" i="10"/>
  <c r="K1305" i="10" s="1"/>
  <c r="I1304" i="10"/>
  <c r="K1304" i="10" s="1"/>
  <c r="I1303" i="10"/>
  <c r="K1303" i="10" s="1"/>
  <c r="K1296" i="10"/>
  <c r="I1288" i="10"/>
  <c r="K1288" i="10" s="1"/>
  <c r="I1287" i="10"/>
  <c r="K1287" i="10" s="1"/>
  <c r="I1286" i="10"/>
  <c r="K1286" i="10" s="1"/>
  <c r="I1285" i="10"/>
  <c r="K1285" i="10" s="1"/>
  <c r="I1284" i="10"/>
  <c r="K1284" i="10" s="1"/>
  <c r="I1283" i="10"/>
  <c r="K1283" i="10" s="1"/>
  <c r="I1282" i="10"/>
  <c r="K1282" i="10" s="1"/>
  <c r="I1281" i="10"/>
  <c r="K1281" i="10" s="1"/>
  <c r="I1280" i="10"/>
  <c r="K1280" i="10" s="1"/>
  <c r="I1279" i="10"/>
  <c r="K1279" i="10" s="1"/>
  <c r="I1278" i="10"/>
  <c r="K1278" i="10" s="1"/>
  <c r="I1277" i="10"/>
  <c r="K1277" i="10" s="1"/>
  <c r="K1289" i="10" s="1"/>
  <c r="I1276" i="10"/>
  <c r="K1276" i="10" s="1"/>
  <c r="I1275" i="10"/>
  <c r="K1275" i="10" s="1"/>
  <c r="I1274" i="10"/>
  <c r="K1274" i="10" s="1"/>
  <c r="I1273" i="10"/>
  <c r="K1273" i="10" s="1"/>
  <c r="I1244" i="10"/>
  <c r="L1244" i="10" s="1"/>
  <c r="I1243" i="10"/>
  <c r="L1243" i="10" s="1"/>
  <c r="I1242" i="10"/>
  <c r="L1242" i="10" s="1"/>
  <c r="I1241" i="10"/>
  <c r="L1241" i="10" s="1"/>
  <c r="I1240" i="10"/>
  <c r="L1240" i="10" s="1"/>
  <c r="I1239" i="10"/>
  <c r="L1239" i="10" s="1"/>
  <c r="I1238" i="10"/>
  <c r="L1238" i="10" s="1"/>
  <c r="I1237" i="10"/>
  <c r="L1237" i="10" s="1"/>
  <c r="I1236" i="10"/>
  <c r="L1236" i="10" s="1"/>
  <c r="I1235" i="10"/>
  <c r="L1235" i="10" s="1"/>
  <c r="I1234" i="10"/>
  <c r="L1234" i="10" s="1"/>
  <c r="I1233" i="10"/>
  <c r="L1233" i="10" s="1"/>
  <c r="I1232" i="10"/>
  <c r="L1232" i="10" s="1"/>
  <c r="I1229" i="10"/>
  <c r="K1229" i="10" s="1"/>
  <c r="I1228" i="10"/>
  <c r="K1228" i="10" s="1"/>
  <c r="I1227" i="10"/>
  <c r="K1227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M1199" i="10"/>
  <c r="I1198" i="10"/>
  <c r="K1198" i="10" s="1"/>
  <c r="I1197" i="10"/>
  <c r="K1197" i="10" s="1"/>
  <c r="I1196" i="10"/>
  <c r="K1196" i="10" s="1"/>
  <c r="I1193" i="10"/>
  <c r="K1193" i="10" s="1"/>
  <c r="I1192" i="10"/>
  <c r="K1192" i="10" s="1"/>
  <c r="I1191" i="10"/>
  <c r="K1191" i="10" s="1"/>
  <c r="I1190" i="10"/>
  <c r="K1190" i="10" s="1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I1145" i="10"/>
  <c r="L1145" i="10" s="1"/>
  <c r="I1142" i="10"/>
  <c r="K1142" i="10" s="1"/>
  <c r="I1141" i="10"/>
  <c r="K1141" i="10" s="1"/>
  <c r="I1124" i="10"/>
  <c r="L1124" i="10" s="1"/>
  <c r="I1123" i="10"/>
  <c r="L1123" i="10" s="1"/>
  <c r="M1116" i="10"/>
  <c r="I1115" i="10"/>
  <c r="K1115" i="10" s="1"/>
  <c r="I1114" i="10"/>
  <c r="K1114" i="10" s="1"/>
  <c r="I1111" i="10"/>
  <c r="K1111" i="10" s="1"/>
  <c r="I1110" i="10"/>
  <c r="K1110" i="10" s="1"/>
  <c r="L1163" i="10" l="1"/>
  <c r="N1163" i="10" s="1"/>
  <c r="L1440" i="10"/>
  <c r="L1337" i="10"/>
  <c r="L1395" i="10"/>
  <c r="L1354" i="10"/>
  <c r="K1194" i="10"/>
  <c r="D1214" i="10" s="1"/>
  <c r="K1330" i="10"/>
  <c r="L1245" i="10"/>
  <c r="L1303" i="10"/>
  <c r="L1306" i="10"/>
  <c r="L1305" i="10"/>
  <c r="L1304" i="10"/>
  <c r="L1211" i="10"/>
  <c r="K1199" i="10"/>
  <c r="K1116" i="10"/>
  <c r="K1112" i="10"/>
  <c r="D1128" i="10" s="1"/>
  <c r="K1355" i="10" l="1"/>
  <c r="D1315" i="10"/>
  <c r="M1311" i="10" s="1"/>
  <c r="L1355" i="10"/>
  <c r="L1307" i="10"/>
  <c r="I1311" i="10" s="1"/>
  <c r="M1310" i="10" s="1"/>
  <c r="M1312" i="10" s="1"/>
  <c r="M1313" i="10" s="1"/>
  <c r="I1071" i="10" l="1"/>
  <c r="I1070" i="10"/>
  <c r="L1070" i="10" s="1"/>
  <c r="I1069" i="10"/>
  <c r="K1069" i="10" s="1"/>
  <c r="I1065" i="10"/>
  <c r="L1065" i="10" s="1"/>
  <c r="I1064" i="10"/>
  <c r="K1064" i="10" s="1"/>
  <c r="K1066" i="10" s="1"/>
  <c r="I1063" i="10"/>
  <c r="K1063" i="10" s="1"/>
  <c r="I1032" i="10"/>
  <c r="L1032" i="10" s="1"/>
  <c r="I1031" i="10"/>
  <c r="L1031" i="10" s="1"/>
  <c r="I1030" i="10"/>
  <c r="L1030" i="10" s="1"/>
  <c r="I1028" i="10"/>
  <c r="L1028" i="10" s="1"/>
  <c r="I1027" i="10"/>
  <c r="L1027" i="10" s="1"/>
  <c r="I1026" i="10"/>
  <c r="L1026" i="10" s="1"/>
  <c r="I1025" i="10"/>
  <c r="L1025" i="10" s="1"/>
  <c r="I1024" i="10"/>
  <c r="L1024" i="10" s="1"/>
  <c r="I1023" i="10"/>
  <c r="L1023" i="10" s="1"/>
  <c r="I1022" i="10"/>
  <c r="L1022" i="10" s="1"/>
  <c r="I1021" i="10"/>
  <c r="L1021" i="10" s="1"/>
  <c r="I1018" i="10"/>
  <c r="K1018" i="10" s="1"/>
  <c r="I1017" i="10"/>
  <c r="K1017" i="10" s="1"/>
  <c r="I997" i="10"/>
  <c r="L997" i="10" s="1"/>
  <c r="I996" i="10"/>
  <c r="L996" i="10" s="1"/>
  <c r="I995" i="10"/>
  <c r="L995" i="10" s="1"/>
  <c r="I994" i="10"/>
  <c r="L994" i="10" s="1"/>
  <c r="I993" i="10"/>
  <c r="L993" i="10" s="1"/>
  <c r="I992" i="10"/>
  <c r="L992" i="10" s="1"/>
  <c r="I991" i="10"/>
  <c r="L991" i="10" s="1"/>
  <c r="I990" i="10"/>
  <c r="L990" i="10" s="1"/>
  <c r="I989" i="10"/>
  <c r="L989" i="10" s="1"/>
  <c r="I988" i="10"/>
  <c r="L988" i="10" s="1"/>
  <c r="I987" i="10"/>
  <c r="L987" i="10" s="1"/>
  <c r="I986" i="10"/>
  <c r="L986" i="10" s="1"/>
  <c r="I985" i="10"/>
  <c r="L985" i="10" s="1"/>
  <c r="I983" i="10"/>
  <c r="L983" i="10" s="1"/>
  <c r="I982" i="10"/>
  <c r="L982" i="10" s="1"/>
  <c r="I981" i="10"/>
  <c r="L981" i="10" s="1"/>
  <c r="I980" i="10"/>
  <c r="L980" i="10" s="1"/>
  <c r="I976" i="10"/>
  <c r="K976" i="10" s="1"/>
  <c r="I975" i="10"/>
  <c r="K975" i="10" s="1"/>
  <c r="I974" i="10"/>
  <c r="K974" i="10" s="1"/>
  <c r="I973" i="10"/>
  <c r="K973" i="10" s="1"/>
  <c r="I972" i="10"/>
  <c r="K972" i="10" s="1"/>
  <c r="I947" i="10"/>
  <c r="L947" i="10" s="1"/>
  <c r="L948" i="10" s="1"/>
  <c r="I956" i="10" s="1"/>
  <c r="I946" i="10"/>
  <c r="L946" i="10" s="1"/>
  <c r="I935" i="10"/>
  <c r="K935" i="10" s="1"/>
  <c r="I934" i="10"/>
  <c r="K934" i="10" s="1"/>
  <c r="I933" i="10"/>
  <c r="K933" i="10" s="1"/>
  <c r="I932" i="10"/>
  <c r="K932" i="10" s="1"/>
  <c r="I931" i="10"/>
  <c r="K931" i="10" s="1"/>
  <c r="I930" i="10"/>
  <c r="K930" i="10" s="1"/>
  <c r="I929" i="10"/>
  <c r="K929" i="10" s="1"/>
  <c r="I928" i="10"/>
  <c r="K928" i="10" s="1"/>
  <c r="I899" i="10"/>
  <c r="L899" i="10" s="1"/>
  <c r="I898" i="10"/>
  <c r="L898" i="10" s="1"/>
  <c r="I897" i="10"/>
  <c r="L897" i="10" s="1"/>
  <c r="I896" i="10"/>
  <c r="L896" i="10" s="1"/>
  <c r="I895" i="10"/>
  <c r="L895" i="10" s="1"/>
  <c r="I894" i="10"/>
  <c r="L894" i="10" s="1"/>
  <c r="I893" i="10"/>
  <c r="L893" i="10" s="1"/>
  <c r="I892" i="10"/>
  <c r="L892" i="10" s="1"/>
  <c r="I891" i="10"/>
  <c r="L891" i="10" s="1"/>
  <c r="I890" i="10"/>
  <c r="L890" i="10" s="1"/>
  <c r="I889" i="10"/>
  <c r="I888" i="10"/>
  <c r="L888" i="10" s="1"/>
  <c r="I887" i="10"/>
  <c r="I886" i="10"/>
  <c r="L886" i="10" s="1"/>
  <c r="I885" i="10"/>
  <c r="L885" i="10" s="1"/>
  <c r="I884" i="10"/>
  <c r="L884" i="10" s="1"/>
  <c r="I883" i="10"/>
  <c r="L883" i="10" s="1"/>
  <c r="I882" i="10"/>
  <c r="L882" i="10" s="1"/>
  <c r="I879" i="10"/>
  <c r="K879" i="10" s="1"/>
  <c r="I878" i="10"/>
  <c r="K878" i="10" s="1"/>
  <c r="I861" i="10"/>
  <c r="L861" i="10" s="1"/>
  <c r="I860" i="10"/>
  <c r="L860" i="10" s="1"/>
  <c r="M853" i="10"/>
  <c r="I852" i="10"/>
  <c r="K852" i="10" s="1"/>
  <c r="I851" i="10"/>
  <c r="K851" i="10" s="1"/>
  <c r="I850" i="10"/>
  <c r="L850" i="10" s="1"/>
  <c r="I849" i="10"/>
  <c r="K849" i="10" s="1"/>
  <c r="I848" i="10"/>
  <c r="K848" i="10" s="1"/>
  <c r="I845" i="10"/>
  <c r="K845" i="10" s="1"/>
  <c r="I844" i="10"/>
  <c r="L844" i="10" s="1"/>
  <c r="I843" i="10"/>
  <c r="K843" i="10" s="1"/>
  <c r="I842" i="10"/>
  <c r="K842" i="10" s="1"/>
  <c r="I841" i="10"/>
  <c r="K841" i="10" s="1"/>
  <c r="I840" i="10"/>
  <c r="K840" i="10" s="1"/>
  <c r="I839" i="10"/>
  <c r="K839" i="10" s="1"/>
  <c r="I811" i="10"/>
  <c r="L811" i="10" s="1"/>
  <c r="I810" i="10"/>
  <c r="L810" i="10" s="1"/>
  <c r="I809" i="10"/>
  <c r="L809" i="10" s="1"/>
  <c r="I808" i="10"/>
  <c r="L808" i="10" s="1"/>
  <c r="I807" i="10"/>
  <c r="L807" i="10" s="1"/>
  <c r="I806" i="10"/>
  <c r="L806" i="10" s="1"/>
  <c r="I805" i="10"/>
  <c r="L805" i="10" s="1"/>
  <c r="I804" i="10"/>
  <c r="L804" i="10" s="1"/>
  <c r="I803" i="10"/>
  <c r="L803" i="10" s="1"/>
  <c r="I802" i="10"/>
  <c r="L802" i="10" s="1"/>
  <c r="I801" i="10"/>
  <c r="L801" i="10" s="1"/>
  <c r="I800" i="10"/>
  <c r="L800" i="10" s="1"/>
  <c r="I799" i="10"/>
  <c r="L799" i="10" s="1"/>
  <c r="I798" i="10"/>
  <c r="L798" i="10" s="1"/>
  <c r="I797" i="10"/>
  <c r="L797" i="10" s="1"/>
  <c r="I796" i="10"/>
  <c r="L796" i="10" s="1"/>
  <c r="K936" i="10" l="1"/>
  <c r="L1071" i="10"/>
  <c r="L1033" i="10"/>
  <c r="L998" i="10"/>
  <c r="L984" i="10"/>
  <c r="L900" i="10"/>
  <c r="K853" i="10"/>
  <c r="K899" i="10"/>
  <c r="K846" i="10"/>
  <c r="D865" i="10" s="1"/>
  <c r="K844" i="10"/>
  <c r="L812" i="10"/>
  <c r="L999" i="10" l="1"/>
  <c r="I793" i="10"/>
  <c r="K793" i="10" s="1"/>
  <c r="I792" i="10"/>
  <c r="K792" i="10" s="1"/>
  <c r="M773" i="10"/>
  <c r="L772" i="10"/>
  <c r="I771" i="10"/>
  <c r="L771" i="10" s="1"/>
  <c r="I770" i="10"/>
  <c r="L770" i="10" s="1"/>
  <c r="I769" i="10"/>
  <c r="L769" i="10" s="1"/>
  <c r="I768" i="10"/>
  <c r="L768" i="10" s="1"/>
  <c r="I767" i="10"/>
  <c r="L767" i="10" s="1"/>
  <c r="I766" i="10"/>
  <c r="L766" i="10" s="1"/>
  <c r="I765" i="10"/>
  <c r="L765" i="10" s="1"/>
  <c r="I764" i="10"/>
  <c r="L764" i="10" s="1"/>
  <c r="I763" i="10"/>
  <c r="L763" i="10" s="1"/>
  <c r="I762" i="10"/>
  <c r="L762" i="10" s="1"/>
  <c r="I761" i="10"/>
  <c r="L761" i="10" s="1"/>
  <c r="I760" i="10"/>
  <c r="L760" i="10" s="1"/>
  <c r="I759" i="10"/>
  <c r="L759" i="10" s="1"/>
  <c r="I758" i="10"/>
  <c r="L758" i="10" s="1"/>
  <c r="I757" i="10"/>
  <c r="L757" i="10" s="1"/>
  <c r="I756" i="10"/>
  <c r="L756" i="10" s="1"/>
  <c r="I755" i="10"/>
  <c r="L755" i="10" s="1"/>
  <c r="M754" i="10"/>
  <c r="I753" i="10"/>
  <c r="L753" i="10" s="1"/>
  <c r="I752" i="10"/>
  <c r="L752" i="10" s="1"/>
  <c r="I751" i="10"/>
  <c r="L751" i="10" s="1"/>
  <c r="I750" i="10"/>
  <c r="L750" i="10" s="1"/>
  <c r="I746" i="10"/>
  <c r="K746" i="10" s="1"/>
  <c r="I745" i="10"/>
  <c r="K745" i="10" s="1"/>
  <c r="I744" i="10"/>
  <c r="K744" i="10" s="1"/>
  <c r="I743" i="10"/>
  <c r="K743" i="10" s="1"/>
  <c r="L724" i="10"/>
  <c r="I728" i="10" s="1"/>
  <c r="M727" i="10" s="1"/>
  <c r="K713" i="10"/>
  <c r="I705" i="10"/>
  <c r="K705" i="10" s="1"/>
  <c r="I704" i="10"/>
  <c r="K704" i="10" s="1"/>
  <c r="I703" i="10"/>
  <c r="L703" i="10" s="1"/>
  <c r="I702" i="10"/>
  <c r="L702" i="10" s="1"/>
  <c r="I701" i="10"/>
  <c r="K701" i="10" s="1"/>
  <c r="I700" i="10"/>
  <c r="K700" i="10" s="1"/>
  <c r="I699" i="10"/>
  <c r="L699" i="10" s="1"/>
  <c r="I698" i="10"/>
  <c r="L698" i="10" s="1"/>
  <c r="I697" i="10"/>
  <c r="K697" i="10" s="1"/>
  <c r="I696" i="10"/>
  <c r="K696" i="10" s="1"/>
  <c r="I695" i="10"/>
  <c r="L695" i="10" s="1"/>
  <c r="I694" i="10"/>
  <c r="L694" i="10" s="1"/>
  <c r="I693" i="10"/>
  <c r="K693" i="10" s="1"/>
  <c r="I692" i="10"/>
  <c r="K692" i="10" s="1"/>
  <c r="I691" i="10"/>
  <c r="L691" i="10" s="1"/>
  <c r="I690" i="10"/>
  <c r="L690" i="10" s="1"/>
  <c r="I661" i="10"/>
  <c r="K661" i="10" s="1"/>
  <c r="I660" i="10"/>
  <c r="L660" i="10" s="1"/>
  <c r="I659" i="10"/>
  <c r="L659" i="10" s="1"/>
  <c r="L657" i="10"/>
  <c r="I656" i="10"/>
  <c r="L656" i="10" s="1"/>
  <c r="I655" i="10"/>
  <c r="L655" i="10" s="1"/>
  <c r="I654" i="10"/>
  <c r="L654" i="10" s="1"/>
  <c r="I653" i="10"/>
  <c r="L653" i="10" s="1"/>
  <c r="I652" i="10"/>
  <c r="L652" i="10" s="1"/>
  <c r="I651" i="10"/>
  <c r="L651" i="10" s="1"/>
  <c r="I650" i="10"/>
  <c r="L650" i="10" s="1"/>
  <c r="I649" i="10"/>
  <c r="L649" i="10" s="1"/>
  <c r="I648" i="10"/>
  <c r="L648" i="10" s="1"/>
  <c r="I647" i="10"/>
  <c r="L647" i="10" s="1"/>
  <c r="I646" i="10"/>
  <c r="L646" i="10" s="1"/>
  <c r="I645" i="10"/>
  <c r="L645" i="10" s="1"/>
  <c r="I644" i="10"/>
  <c r="L644" i="10" s="1"/>
  <c r="I643" i="10"/>
  <c r="L643" i="10" s="1"/>
  <c r="I642" i="10"/>
  <c r="L642" i="10" s="1"/>
  <c r="I641" i="10"/>
  <c r="L641" i="10" s="1"/>
  <c r="I640" i="10"/>
  <c r="L640" i="10" s="1"/>
  <c r="I637" i="10"/>
  <c r="K637" i="10" s="1"/>
  <c r="I636" i="10"/>
  <c r="K636" i="10" s="1"/>
  <c r="I635" i="10"/>
  <c r="K635" i="10" s="1"/>
  <c r="I634" i="10"/>
  <c r="K634" i="10" s="1"/>
  <c r="I617" i="10"/>
  <c r="L617" i="10" s="1"/>
  <c r="I616" i="10"/>
  <c r="L616" i="10" s="1"/>
  <c r="M609" i="10"/>
  <c r="I608" i="10"/>
  <c r="K608" i="10" s="1"/>
  <c r="I607" i="10"/>
  <c r="K607" i="10" s="1"/>
  <c r="I604" i="10"/>
  <c r="K604" i="10" s="1"/>
  <c r="I603" i="10"/>
  <c r="K603" i="10" s="1"/>
  <c r="I602" i="10"/>
  <c r="K602" i="10" s="1"/>
  <c r="I601" i="10"/>
  <c r="K601" i="10" s="1"/>
  <c r="I575" i="10"/>
  <c r="L575" i="10" s="1"/>
  <c r="I574" i="10"/>
  <c r="L574" i="10" s="1"/>
  <c r="L573" i="10"/>
  <c r="I572" i="10"/>
  <c r="L572" i="10" s="1"/>
  <c r="I571" i="10"/>
  <c r="L571" i="10" s="1"/>
  <c r="I570" i="10"/>
  <c r="L570" i="10" s="1"/>
  <c r="I569" i="10"/>
  <c r="L569" i="10" s="1"/>
  <c r="I568" i="10"/>
  <c r="L568" i="10" s="1"/>
  <c r="I567" i="10"/>
  <c r="L567" i="10" s="1"/>
  <c r="I565" i="10"/>
  <c r="L565" i="10" s="1"/>
  <c r="I564" i="10"/>
  <c r="L564" i="10" s="1"/>
  <c r="I563" i="10"/>
  <c r="L563" i="10" s="1"/>
  <c r="I562" i="10"/>
  <c r="L562" i="10" s="1"/>
  <c r="I561" i="10"/>
  <c r="L561" i="10" s="1"/>
  <c r="I560" i="10"/>
  <c r="L560" i="10" s="1"/>
  <c r="I559" i="10"/>
  <c r="L559" i="10" s="1"/>
  <c r="I558" i="10"/>
  <c r="L558" i="10" s="1"/>
  <c r="I555" i="10"/>
  <c r="K555" i="10" s="1"/>
  <c r="I554" i="10"/>
  <c r="K554" i="10" s="1"/>
  <c r="I537" i="10"/>
  <c r="L537" i="10" s="1"/>
  <c r="I536" i="10"/>
  <c r="L536" i="10" s="1"/>
  <c r="L531" i="10"/>
  <c r="L532" i="10"/>
  <c r="M529" i="10"/>
  <c r="I528" i="10"/>
  <c r="K528" i="10" s="1"/>
  <c r="I527" i="10"/>
  <c r="K527" i="10" s="1"/>
  <c r="I524" i="10"/>
  <c r="K524" i="10" s="1"/>
  <c r="I523" i="10"/>
  <c r="K523" i="10" s="1"/>
  <c r="I496" i="10"/>
  <c r="L496" i="10" s="1"/>
  <c r="I495" i="10"/>
  <c r="L495" i="10" s="1"/>
  <c r="I494" i="10"/>
  <c r="L494" i="10" s="1"/>
  <c r="I493" i="10"/>
  <c r="L493" i="10" s="1"/>
  <c r="I492" i="10"/>
  <c r="L492" i="10" s="1"/>
  <c r="I491" i="10"/>
  <c r="L491" i="10" s="1"/>
  <c r="I490" i="10"/>
  <c r="L490" i="10" s="1"/>
  <c r="I489" i="10"/>
  <c r="L489" i="10" s="1"/>
  <c r="I488" i="10"/>
  <c r="L488" i="10" s="1"/>
  <c r="I487" i="10"/>
  <c r="L487" i="10" s="1"/>
  <c r="I486" i="10"/>
  <c r="L486" i="10" s="1"/>
  <c r="I485" i="10"/>
  <c r="L485" i="10" s="1"/>
  <c r="I484" i="10"/>
  <c r="L484" i="10" s="1"/>
  <c r="I483" i="10"/>
  <c r="L483" i="10" s="1"/>
  <c r="I482" i="10"/>
  <c r="L482" i="10" s="1"/>
  <c r="I481" i="10"/>
  <c r="L481" i="10" s="1"/>
  <c r="I480" i="10"/>
  <c r="L480" i="10" s="1"/>
  <c r="I479" i="10"/>
  <c r="L479" i="10" s="1"/>
  <c r="I478" i="10"/>
  <c r="L478" i="10" s="1"/>
  <c r="I477" i="10"/>
  <c r="L477" i="10" s="1"/>
  <c r="I476" i="10"/>
  <c r="L476" i="10" s="1"/>
  <c r="I475" i="10"/>
  <c r="L475" i="10" s="1"/>
  <c r="I472" i="10"/>
  <c r="K472" i="10" s="1"/>
  <c r="I471" i="10"/>
  <c r="K471" i="10" s="1"/>
  <c r="I440" i="10"/>
  <c r="L440" i="10" s="1"/>
  <c r="I439" i="10"/>
  <c r="L439" i="10" s="1"/>
  <c r="I438" i="10"/>
  <c r="L438" i="10" s="1"/>
  <c r="I437" i="10"/>
  <c r="L437" i="10" s="1"/>
  <c r="I451" i="10"/>
  <c r="L451" i="10" s="1"/>
  <c r="I450" i="10"/>
  <c r="L450" i="10" s="1"/>
  <c r="I449" i="10"/>
  <c r="L449" i="10" s="1"/>
  <c r="I448" i="10"/>
  <c r="L448" i="10" s="1"/>
  <c r="I447" i="10"/>
  <c r="L447" i="10" s="1"/>
  <c r="I446" i="10"/>
  <c r="L446" i="10" s="1"/>
  <c r="I445" i="10"/>
  <c r="L445" i="10" s="1"/>
  <c r="I444" i="10"/>
  <c r="L444" i="10" s="1"/>
  <c r="I443" i="10"/>
  <c r="L443" i="10" s="1"/>
  <c r="I442" i="10"/>
  <c r="L442" i="10" s="1"/>
  <c r="I433" i="10"/>
  <c r="K433" i="10" s="1"/>
  <c r="I432" i="10"/>
  <c r="K432" i="10" s="1"/>
  <c r="I431" i="10"/>
  <c r="K431" i="10" s="1"/>
  <c r="I430" i="10"/>
  <c r="K430" i="10" s="1"/>
  <c r="I410" i="10"/>
  <c r="L410" i="10" s="1"/>
  <c r="I409" i="10"/>
  <c r="L409" i="10" s="1"/>
  <c r="I408" i="10"/>
  <c r="L408" i="10" s="1"/>
  <c r="I407" i="10"/>
  <c r="L407" i="10" s="1"/>
  <c r="I399" i="10"/>
  <c r="L399" i="10" s="1"/>
  <c r="I398" i="10"/>
  <c r="L398" i="10" s="1"/>
  <c r="I397" i="10"/>
  <c r="K397" i="10" s="1"/>
  <c r="I396" i="10"/>
  <c r="I395" i="10"/>
  <c r="L395" i="10" s="1"/>
  <c r="I394" i="10"/>
  <c r="K394" i="10" s="1"/>
  <c r="I393" i="10"/>
  <c r="K393" i="10" s="1"/>
  <c r="I392" i="10"/>
  <c r="K392" i="10" s="1"/>
  <c r="I388" i="10"/>
  <c r="K388" i="10" s="1"/>
  <c r="I387" i="10"/>
  <c r="K387" i="10" s="1"/>
  <c r="I386" i="10"/>
  <c r="K386" i="10" s="1"/>
  <c r="I385" i="10"/>
  <c r="K385" i="10" s="1"/>
  <c r="K706" i="10" l="1"/>
  <c r="K794" i="10"/>
  <c r="L773" i="10"/>
  <c r="L754" i="10"/>
  <c r="K747" i="10"/>
  <c r="D732" i="10" s="1"/>
  <c r="M728" i="10" s="1"/>
  <c r="M729" i="10" s="1"/>
  <c r="M730" i="10" s="1"/>
  <c r="L538" i="10"/>
  <c r="L706" i="10"/>
  <c r="K609" i="10"/>
  <c r="K638" i="10"/>
  <c r="L533" i="10"/>
  <c r="K525" i="10"/>
  <c r="K605" i="10"/>
  <c r="D621" i="10" s="1"/>
  <c r="L576" i="10"/>
  <c r="K529" i="10"/>
  <c r="K556" i="10"/>
  <c r="L441" i="10"/>
  <c r="L452" i="10"/>
  <c r="L411" i="10"/>
  <c r="I415" i="10" s="1"/>
  <c r="M414" i="10" s="1"/>
  <c r="L774" i="10" l="1"/>
  <c r="K707" i="10"/>
  <c r="D727" i="10" s="1"/>
  <c r="D731" i="10" s="1"/>
  <c r="L453" i="10"/>
  <c r="D733" i="10" l="1"/>
  <c r="D734" i="10" s="1"/>
  <c r="I356" i="10"/>
  <c r="L356" i="10" s="1"/>
  <c r="I355" i="10"/>
  <c r="L355" i="10" s="1"/>
  <c r="I354" i="10"/>
  <c r="L354" i="10" s="1"/>
  <c r="I353" i="10"/>
  <c r="L353" i="10" s="1"/>
  <c r="I352" i="10"/>
  <c r="L352" i="10" s="1"/>
  <c r="I351" i="10"/>
  <c r="L351" i="10" s="1"/>
  <c r="I350" i="10"/>
  <c r="L350" i="10" s="1"/>
  <c r="I349" i="10"/>
  <c r="L349" i="10" s="1"/>
  <c r="I348" i="10"/>
  <c r="L348" i="10" s="1"/>
  <c r="I347" i="10"/>
  <c r="L347" i="10" s="1"/>
  <c r="I346" i="10"/>
  <c r="L346" i="10" s="1"/>
  <c r="I345" i="10"/>
  <c r="L345" i="10" s="1"/>
  <c r="I344" i="10"/>
  <c r="L344" i="10" s="1"/>
  <c r="I343" i="10"/>
  <c r="L343" i="10" s="1"/>
  <c r="I342" i="10"/>
  <c r="L342" i="10" s="1"/>
  <c r="I341" i="10"/>
  <c r="L341" i="10" s="1"/>
  <c r="I340" i="10"/>
  <c r="L340" i="10" s="1"/>
  <c r="I339" i="10"/>
  <c r="L339" i="10" s="1"/>
  <c r="I338" i="10"/>
  <c r="L338" i="10" s="1"/>
  <c r="I337" i="10"/>
  <c r="L337" i="10" s="1"/>
  <c r="I336" i="10"/>
  <c r="L336" i="10" s="1"/>
  <c r="I335" i="10"/>
  <c r="L335" i="10" s="1"/>
  <c r="I334" i="10"/>
  <c r="L334" i="10" s="1"/>
  <c r="I331" i="10"/>
  <c r="K331" i="10" s="1"/>
  <c r="I330" i="10"/>
  <c r="K330" i="10" s="1"/>
  <c r="I329" i="10"/>
  <c r="K329" i="10" s="1"/>
  <c r="I328" i="10"/>
  <c r="K328" i="10" s="1"/>
  <c r="I311" i="10"/>
  <c r="L311" i="10" s="1"/>
  <c r="I310" i="10"/>
  <c r="L310" i="10" s="1"/>
  <c r="I305" i="10"/>
  <c r="L305" i="10" s="1"/>
  <c r="M303" i="10"/>
  <c r="L303" i="10"/>
  <c r="I302" i="10"/>
  <c r="K302" i="10" s="1"/>
  <c r="I301" i="10"/>
  <c r="K301" i="10" s="1"/>
  <c r="I300" i="10"/>
  <c r="I299" i="10"/>
  <c r="K299" i="10" s="1"/>
  <c r="L297" i="10"/>
  <c r="I296" i="10"/>
  <c r="K296" i="10" s="1"/>
  <c r="I295" i="10"/>
  <c r="K295" i="10" s="1"/>
  <c r="I294" i="10"/>
  <c r="K294" i="10" s="1"/>
  <c r="I293" i="10"/>
  <c r="K293" i="10" s="1"/>
  <c r="I292" i="10"/>
  <c r="K292" i="10" s="1"/>
  <c r="K300" i="10" s="1"/>
  <c r="I291" i="10"/>
  <c r="K291" i="10" s="1"/>
  <c r="I290" i="10"/>
  <c r="K290" i="10" s="1"/>
  <c r="I264" i="10"/>
  <c r="L264" i="10" s="1"/>
  <c r="I263" i="10"/>
  <c r="L263" i="10" s="1"/>
  <c r="I262" i="10"/>
  <c r="L262" i="10" s="1"/>
  <c r="I261" i="10"/>
  <c r="L261" i="10" s="1"/>
  <c r="I260" i="10"/>
  <c r="L260" i="10" s="1"/>
  <c r="I259" i="10"/>
  <c r="L259" i="10" s="1"/>
  <c r="I258" i="10"/>
  <c r="L258" i="10" s="1"/>
  <c r="I257" i="10"/>
  <c r="L257" i="10" s="1"/>
  <c r="I256" i="10"/>
  <c r="L256" i="10" s="1"/>
  <c r="I255" i="10"/>
  <c r="L255" i="10" s="1"/>
  <c r="I254" i="10"/>
  <c r="L254" i="10" s="1"/>
  <c r="I253" i="10"/>
  <c r="L253" i="10" s="1"/>
  <c r="I252" i="10"/>
  <c r="L252" i="10" s="1"/>
  <c r="I251" i="10"/>
  <c r="L251" i="10" s="1"/>
  <c r="I229" i="10"/>
  <c r="L229" i="10" s="1"/>
  <c r="I228" i="10"/>
  <c r="L228" i="10" s="1"/>
  <c r="I227" i="10"/>
  <c r="L227" i="10" s="1"/>
  <c r="M220" i="10"/>
  <c r="L220" i="10"/>
  <c r="K220" i="10"/>
  <c r="L216" i="10"/>
  <c r="I215" i="10"/>
  <c r="K215" i="10" s="1"/>
  <c r="I214" i="10"/>
  <c r="K214" i="10" s="1"/>
  <c r="I213" i="10"/>
  <c r="K213" i="10" s="1"/>
  <c r="I212" i="10"/>
  <c r="K212" i="10" s="1"/>
  <c r="L187" i="10"/>
  <c r="I167" i="10"/>
  <c r="K167" i="10" s="1"/>
  <c r="I166" i="10"/>
  <c r="K166" i="10" s="1"/>
  <c r="B149" i="10"/>
  <c r="I138" i="10"/>
  <c r="L138" i="10" s="1"/>
  <c r="M136" i="10"/>
  <c r="L145" i="10"/>
  <c r="L144" i="10"/>
  <c r="I143" i="10"/>
  <c r="L143" i="10" s="1"/>
  <c r="I135" i="10"/>
  <c r="K135" i="10" s="1"/>
  <c r="I134" i="10"/>
  <c r="K134" i="10" s="1"/>
  <c r="K332" i="10" l="1"/>
  <c r="L357" i="10"/>
  <c r="K303" i="10"/>
  <c r="L230" i="10"/>
  <c r="K297" i="10"/>
  <c r="D315" i="10" s="1"/>
  <c r="L265" i="10"/>
  <c r="K216" i="10"/>
  <c r="D233" i="10" s="1"/>
  <c r="L146" i="10"/>
  <c r="K136" i="10"/>
  <c r="L132" i="10" l="1"/>
  <c r="I131" i="10"/>
  <c r="K131" i="10" s="1"/>
  <c r="I130" i="10"/>
  <c r="K130" i="10" s="1"/>
  <c r="I129" i="10"/>
  <c r="K129" i="10" s="1"/>
  <c r="I128" i="10"/>
  <c r="K128" i="10" s="1"/>
  <c r="K132" i="10" l="1"/>
  <c r="D149" i="10" s="1"/>
  <c r="O6" i="10" l="1"/>
  <c r="O86" i="10" s="1"/>
  <c r="O32" i="10" l="1"/>
  <c r="I108" i="10" l="1"/>
  <c r="L108" i="10" s="1"/>
  <c r="I107" i="10"/>
  <c r="L107" i="10" s="1"/>
  <c r="I106" i="10"/>
  <c r="L106" i="10" s="1"/>
  <c r="I105" i="10"/>
  <c r="L105" i="10" s="1"/>
  <c r="I104" i="10"/>
  <c r="L104" i="10" s="1"/>
  <c r="I103" i="10"/>
  <c r="L103" i="10" s="1"/>
  <c r="I102" i="10"/>
  <c r="L102" i="10" s="1"/>
  <c r="I101" i="10"/>
  <c r="L101" i="10" s="1"/>
  <c r="I100" i="10"/>
  <c r="L100" i="10" s="1"/>
  <c r="I99" i="10"/>
  <c r="L99" i="10" s="1"/>
  <c r="I98" i="10"/>
  <c r="L98" i="10" s="1"/>
  <c r="I97" i="10"/>
  <c r="L97" i="10" s="1"/>
  <c r="I96" i="10"/>
  <c r="L96" i="10" s="1"/>
  <c r="I95" i="10"/>
  <c r="L95" i="10" s="1"/>
  <c r="I92" i="10"/>
  <c r="K92" i="10" s="1"/>
  <c r="I91" i="10"/>
  <c r="K91" i="10" s="1"/>
  <c r="I69" i="10"/>
  <c r="L69" i="10" s="1"/>
  <c r="I68" i="10"/>
  <c r="L68" i="10" s="1"/>
  <c r="I67" i="10"/>
  <c r="L67" i="10" s="1"/>
  <c r="I66" i="10"/>
  <c r="L66" i="10" s="1"/>
  <c r="I65" i="10"/>
  <c r="L65" i="10" s="1"/>
  <c r="I64" i="10"/>
  <c r="L64" i="10" s="1"/>
  <c r="I63" i="10"/>
  <c r="L63" i="10" s="1"/>
  <c r="I62" i="10"/>
  <c r="L62" i="10" s="1"/>
  <c r="I61" i="10"/>
  <c r="L61" i="10" s="1"/>
  <c r="I60" i="10"/>
  <c r="L60" i="10" s="1"/>
  <c r="I59" i="10"/>
  <c r="L59" i="10" s="1"/>
  <c r="I58" i="10"/>
  <c r="L58" i="10" s="1"/>
  <c r="I57" i="10"/>
  <c r="L57" i="10" s="1"/>
  <c r="I56" i="10"/>
  <c r="L56" i="10" s="1"/>
  <c r="I55" i="10"/>
  <c r="L55" i="10" s="1"/>
  <c r="I54" i="10"/>
  <c r="L54" i="10" s="1"/>
  <c r="I53" i="10"/>
  <c r="L53" i="10" s="1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K45" i="10" s="1"/>
  <c r="D25" i="10" s="1"/>
  <c r="M21" i="10" s="1"/>
  <c r="M22" i="10" s="1"/>
  <c r="M2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I12" i="10"/>
  <c r="K12" i="10" s="1"/>
  <c r="I11" i="10"/>
  <c r="K11" i="10" s="1"/>
  <c r="L52" i="10" l="1"/>
  <c r="L70" i="10"/>
  <c r="K39" i="10"/>
  <c r="K70" i="10"/>
  <c r="K42" i="10"/>
  <c r="L109" i="10"/>
  <c r="K93" i="10"/>
  <c r="K13" i="10"/>
  <c r="D20" i="10" s="1"/>
  <c r="D24" i="10" s="1"/>
  <c r="K17" i="10"/>
  <c r="D26" i="10" l="1"/>
  <c r="D27" i="10" s="1"/>
  <c r="I23" i="10"/>
  <c r="I24" i="10" s="1"/>
  <c r="M48" i="10"/>
  <c r="M65" i="10"/>
  <c r="M50" i="10"/>
  <c r="M53" i="10"/>
  <c r="M64" i="10"/>
  <c r="J77" i="10" s="1"/>
  <c r="M56" i="10"/>
  <c r="M66" i="10"/>
  <c r="M63" i="10"/>
  <c r="J76" i="10" s="1"/>
  <c r="M51" i="10"/>
  <c r="M55" i="10"/>
  <c r="M54" i="10"/>
  <c r="M60" i="10"/>
  <c r="M67" i="10"/>
  <c r="J79" i="10" s="1"/>
  <c r="M68" i="10"/>
  <c r="J80" i="10" s="1"/>
  <c r="M62" i="10"/>
  <c r="M69" i="10"/>
  <c r="M57" i="10"/>
  <c r="J73" i="10" s="1"/>
  <c r="M49" i="10"/>
  <c r="M61" i="10"/>
  <c r="M58" i="10"/>
  <c r="M59" i="10"/>
  <c r="M70" i="10" l="1"/>
  <c r="N70" i="10" s="1"/>
  <c r="E75" i="6" s="1"/>
  <c r="M52" i="10"/>
  <c r="J78" i="10"/>
  <c r="J74" i="10"/>
  <c r="J75" i="10"/>
  <c r="J81" i="10" l="1"/>
  <c r="K81" i="10" s="1"/>
  <c r="M92" i="10"/>
  <c r="M91" i="10"/>
  <c r="M93" i="10" l="1"/>
  <c r="K109" i="10" s="1"/>
  <c r="M99" i="10" s="1"/>
  <c r="M103" i="10" l="1"/>
  <c r="M106" i="10"/>
  <c r="M102" i="10"/>
  <c r="M98" i="10"/>
  <c r="M101" i="10"/>
  <c r="M108" i="10"/>
  <c r="M107" i="10"/>
  <c r="M95" i="10"/>
  <c r="M97" i="10"/>
  <c r="M100" i="10"/>
  <c r="M96" i="10"/>
  <c r="M104" i="10"/>
  <c r="M105" i="10"/>
  <c r="B42" i="1"/>
  <c r="I113" i="10" l="1"/>
  <c r="I112" i="10"/>
  <c r="I114" i="10"/>
  <c r="M109" i="10"/>
  <c r="N109" i="10" s="1"/>
  <c r="E76" i="6" s="1"/>
  <c r="I606" i="9"/>
  <c r="I602" i="9"/>
  <c r="I115" i="10" l="1"/>
  <c r="J115" i="10" s="1"/>
  <c r="L848" i="9"/>
  <c r="K1350" i="9" l="1"/>
  <c r="L1350" i="9" s="1"/>
  <c r="J1342" i="9"/>
  <c r="G1342" i="9"/>
  <c r="H1342" i="9"/>
  <c r="J1340" i="9"/>
  <c r="J1341" i="9"/>
  <c r="G1340" i="9"/>
  <c r="H1340" i="9"/>
  <c r="G1341" i="9"/>
  <c r="H1341" i="9"/>
  <c r="I1019" i="1"/>
  <c r="K1019" i="1" s="1"/>
  <c r="I1018" i="1"/>
  <c r="K1018" i="1" s="1"/>
  <c r="I1032" i="1"/>
  <c r="L1032" i="1" s="1"/>
  <c r="I1033" i="1"/>
  <c r="L1033" i="1" s="1"/>
  <c r="I749" i="1"/>
  <c r="K749" i="1" s="1"/>
  <c r="B1276" i="1"/>
  <c r="I1261" i="1"/>
  <c r="L1261" i="1" s="1"/>
  <c r="D1276" i="1"/>
  <c r="M322" i="9"/>
  <c r="D342" i="9" s="1"/>
  <c r="M319" i="9"/>
  <c r="D341" i="9" s="1"/>
  <c r="B342" i="9"/>
  <c r="B341" i="9"/>
  <c r="I326" i="9"/>
  <c r="K326" i="9" s="1"/>
  <c r="K328" i="9" s="1"/>
  <c r="I327" i="9"/>
  <c r="K327" i="9" s="1"/>
  <c r="K1020" i="1" l="1"/>
  <c r="I321" i="9"/>
  <c r="L321" i="9" s="1"/>
  <c r="I315" i="9"/>
  <c r="K315" i="9" s="1"/>
  <c r="I314" i="9"/>
  <c r="K314" i="9" s="1"/>
  <c r="L337" i="1"/>
  <c r="K316" i="9" l="1"/>
  <c r="L322" i="9"/>
  <c r="N322" i="9" s="1"/>
  <c r="G258" i="1"/>
  <c r="H258" i="1"/>
  <c r="J258" i="1"/>
  <c r="L258" i="1"/>
  <c r="G259" i="1"/>
  <c r="H259" i="1"/>
  <c r="J259" i="1"/>
  <c r="K259" i="1"/>
  <c r="G260" i="1"/>
  <c r="H260" i="1"/>
  <c r="J260" i="1"/>
  <c r="L260" i="1"/>
  <c r="G261" i="1"/>
  <c r="H261" i="1"/>
  <c r="J261" i="1"/>
  <c r="K261" i="1"/>
  <c r="G262" i="1"/>
  <c r="H262" i="1"/>
  <c r="J262" i="1"/>
  <c r="L262" i="1"/>
  <c r="G263" i="1"/>
  <c r="H263" i="1"/>
  <c r="J263" i="1"/>
  <c r="K263" i="1"/>
  <c r="B258" i="1"/>
  <c r="B259" i="1"/>
  <c r="B260" i="1"/>
  <c r="B261" i="1"/>
  <c r="B262" i="1"/>
  <c r="B263" i="1"/>
  <c r="L238" i="1"/>
  <c r="L240" i="1"/>
  <c r="K239" i="1"/>
  <c r="K241" i="1"/>
  <c r="J238" i="1"/>
  <c r="J239" i="1"/>
  <c r="J240" i="1"/>
  <c r="J241" i="1"/>
  <c r="G238" i="1"/>
  <c r="H238" i="1"/>
  <c r="G239" i="1"/>
  <c r="H239" i="1"/>
  <c r="G240" i="1"/>
  <c r="H240" i="1"/>
  <c r="G241" i="1"/>
  <c r="H241" i="1"/>
  <c r="L233" i="1"/>
  <c r="K234" i="1"/>
  <c r="J233" i="1"/>
  <c r="J234" i="1"/>
  <c r="G233" i="1"/>
  <c r="H233" i="1"/>
  <c r="G234" i="1"/>
  <c r="H234" i="1"/>
  <c r="L226" i="1"/>
  <c r="L228" i="1"/>
  <c r="K227" i="1"/>
  <c r="K229" i="1"/>
  <c r="J226" i="1"/>
  <c r="J227" i="1"/>
  <c r="J228" i="1"/>
  <c r="J229" i="1"/>
  <c r="G226" i="1"/>
  <c r="H226" i="1"/>
  <c r="G227" i="1"/>
  <c r="H227" i="1"/>
  <c r="G228" i="1"/>
  <c r="H228" i="1"/>
  <c r="G229" i="1"/>
  <c r="H229" i="1"/>
  <c r="U209" i="12"/>
  <c r="CB205" i="12"/>
  <c r="CB206" i="12" s="1"/>
  <c r="BP205" i="12"/>
  <c r="BM205" i="12"/>
  <c r="S203" i="12"/>
  <c r="U203" i="12" s="1"/>
  <c r="V203" i="12" s="1"/>
  <c r="L203" i="12"/>
  <c r="N203" i="12" s="1"/>
  <c r="O203" i="12" s="1"/>
  <c r="CS202" i="12"/>
  <c r="CR202" i="12"/>
  <c r="CN202" i="12"/>
  <c r="CM202" i="12"/>
  <c r="BM202" i="12"/>
  <c r="BQ202" i="12" s="1"/>
  <c r="S202" i="12"/>
  <c r="X202" i="12" s="1"/>
  <c r="Y202" i="12" s="1"/>
  <c r="L202" i="12"/>
  <c r="N202" i="12" s="1"/>
  <c r="O202" i="12" s="1"/>
  <c r="CS201" i="12"/>
  <c r="CR201" i="12"/>
  <c r="CN201" i="12"/>
  <c r="CM201" i="12"/>
  <c r="BM201" i="12"/>
  <c r="BQ201" i="12" s="1"/>
  <c r="S201" i="12"/>
  <c r="L201" i="12"/>
  <c r="N201" i="12" s="1"/>
  <c r="O201" i="12" s="1"/>
  <c r="CS200" i="12"/>
  <c r="CR200" i="12"/>
  <c r="CN200" i="12"/>
  <c r="CM200" i="12"/>
  <c r="BM200" i="12"/>
  <c r="BQ200" i="12" s="1"/>
  <c r="S200" i="12"/>
  <c r="U200" i="12" s="1"/>
  <c r="V200" i="12" s="1"/>
  <c r="L200" i="12"/>
  <c r="N200" i="12" s="1"/>
  <c r="CS199" i="12"/>
  <c r="CR199" i="12"/>
  <c r="CN199" i="12"/>
  <c r="CM199" i="12"/>
  <c r="BM199" i="12"/>
  <c r="BQ199" i="12" s="1"/>
  <c r="S199" i="12"/>
  <c r="U199" i="12" s="1"/>
  <c r="V199" i="12" s="1"/>
  <c r="L199" i="12"/>
  <c r="N199" i="12" s="1"/>
  <c r="CS198" i="12"/>
  <c r="CR198" i="12"/>
  <c r="CN198" i="12"/>
  <c r="CM198" i="12"/>
  <c r="BN198" i="12"/>
  <c r="S198" i="12"/>
  <c r="T198" i="12" s="1"/>
  <c r="V198" i="12" s="1"/>
  <c r="L198" i="12"/>
  <c r="M198" i="12" s="1"/>
  <c r="O198" i="12" s="1"/>
  <c r="CS197" i="12"/>
  <c r="CR197" i="12"/>
  <c r="CN197" i="12"/>
  <c r="CM197" i="12"/>
  <c r="S197" i="12"/>
  <c r="T197" i="12" s="1"/>
  <c r="V197" i="12" s="1"/>
  <c r="L197" i="12"/>
  <c r="M197" i="12" s="1"/>
  <c r="O197" i="12" s="1"/>
  <c r="CS196" i="12"/>
  <c r="CR196" i="12"/>
  <c r="CN196" i="12"/>
  <c r="CM196" i="12"/>
  <c r="S196" i="12"/>
  <c r="L196" i="12"/>
  <c r="M196" i="12" s="1"/>
  <c r="O196" i="12" s="1"/>
  <c r="CS195" i="12"/>
  <c r="CR195" i="12"/>
  <c r="CN195" i="12"/>
  <c r="CM195" i="12"/>
  <c r="BN195" i="12"/>
  <c r="S195" i="12"/>
  <c r="L195" i="12"/>
  <c r="M195" i="12" s="1"/>
  <c r="O195" i="12" s="1"/>
  <c r="CS194" i="12"/>
  <c r="CR194" i="12"/>
  <c r="CN194" i="12"/>
  <c r="CM194" i="12"/>
  <c r="BN194" i="12"/>
  <c r="S194" i="12"/>
  <c r="L194" i="12"/>
  <c r="M194" i="12" s="1"/>
  <c r="O194" i="12" s="1"/>
  <c r="CS193" i="12"/>
  <c r="CR193" i="12"/>
  <c r="CN193" i="12"/>
  <c r="CM193" i="12"/>
  <c r="BM193" i="12"/>
  <c r="BQ193" i="12" s="1"/>
  <c r="BL193" i="12"/>
  <c r="S193" i="12"/>
  <c r="L193" i="12"/>
  <c r="N193" i="12" s="1"/>
  <c r="CS192" i="12"/>
  <c r="CR192" i="12"/>
  <c r="CN192" i="12"/>
  <c r="CM192" i="12"/>
  <c r="CO192" i="12" s="1"/>
  <c r="CQ192" i="12" s="1"/>
  <c r="BM192" i="12"/>
  <c r="BQ192" i="12" s="1"/>
  <c r="S192" i="12"/>
  <c r="L192" i="12"/>
  <c r="N192" i="12" s="1"/>
  <c r="CS191" i="12"/>
  <c r="BP191" i="12"/>
  <c r="CS190" i="12"/>
  <c r="CR190" i="12"/>
  <c r="CN190" i="12"/>
  <c r="CM190" i="12"/>
  <c r="BM190" i="12"/>
  <c r="BQ190" i="12" s="1"/>
  <c r="BL190" i="12"/>
  <c r="S190" i="12"/>
  <c r="L190" i="12"/>
  <c r="N190" i="12" s="1"/>
  <c r="BN190" i="12" s="1"/>
  <c r="CS189" i="12"/>
  <c r="CR189" i="12"/>
  <c r="CN189" i="12"/>
  <c r="CM189" i="12"/>
  <c r="BM189" i="12"/>
  <c r="BQ189" i="12" s="1"/>
  <c r="S189" i="12"/>
  <c r="X189" i="12" s="1"/>
  <c r="Y189" i="12" s="1"/>
  <c r="L189" i="12"/>
  <c r="N189" i="12" s="1"/>
  <c r="BN189" i="12" s="1"/>
  <c r="CS188" i="12"/>
  <c r="CR188" i="12"/>
  <c r="CN188" i="12"/>
  <c r="CM188" i="12"/>
  <c r="BM188" i="12"/>
  <c r="BQ188" i="12" s="1"/>
  <c r="BL188" i="12"/>
  <c r="S188" i="12"/>
  <c r="U188" i="12" s="1"/>
  <c r="L188" i="12"/>
  <c r="N188" i="12" s="1"/>
  <c r="BN188" i="12" s="1"/>
  <c r="CS187" i="12"/>
  <c r="CR187" i="12"/>
  <c r="CN187" i="12"/>
  <c r="CM187" i="12"/>
  <c r="BM187" i="12"/>
  <c r="BQ187" i="12" s="1"/>
  <c r="S187" i="12"/>
  <c r="X187" i="12" s="1"/>
  <c r="Y187" i="12" s="1"/>
  <c r="L187" i="12"/>
  <c r="N187" i="12" s="1"/>
  <c r="BN187" i="12" s="1"/>
  <c r="CS186" i="12"/>
  <c r="CR186" i="12"/>
  <c r="CN186" i="12"/>
  <c r="CM186" i="12"/>
  <c r="BM186" i="12"/>
  <c r="BQ186" i="12" s="1"/>
  <c r="S186" i="12"/>
  <c r="X186" i="12" s="1"/>
  <c r="Y186" i="12" s="1"/>
  <c r="L186" i="12"/>
  <c r="N186" i="12" s="1"/>
  <c r="BN186" i="12" s="1"/>
  <c r="CS185" i="12"/>
  <c r="CR185" i="12"/>
  <c r="CN185" i="12"/>
  <c r="CM185" i="12"/>
  <c r="BM185" i="12"/>
  <c r="BQ185" i="12" s="1"/>
  <c r="S185" i="12"/>
  <c r="U185" i="12" s="1"/>
  <c r="L185" i="12"/>
  <c r="N185" i="12" s="1"/>
  <c r="BN185" i="12" s="1"/>
  <c r="CS184" i="12"/>
  <c r="CR184" i="12"/>
  <c r="CN184" i="12"/>
  <c r="CM184" i="12"/>
  <c r="BM184" i="12"/>
  <c r="BQ184" i="12" s="1"/>
  <c r="BL184" i="12"/>
  <c r="BL191" i="12" s="1"/>
  <c r="S184" i="12"/>
  <c r="X184" i="12" s="1"/>
  <c r="Y184" i="12" s="1"/>
  <c r="L184" i="12"/>
  <c r="N184" i="12" s="1"/>
  <c r="BN183" i="12"/>
  <c r="BM183" i="12"/>
  <c r="BN182" i="12"/>
  <c r="BM182" i="12"/>
  <c r="CR180" i="12"/>
  <c r="O171" i="12"/>
  <c r="N171" i="12"/>
  <c r="CR165" i="12"/>
  <c r="CM165" i="12"/>
  <c r="CF165" i="12"/>
  <c r="AG165" i="12"/>
  <c r="CR164" i="12"/>
  <c r="CM164" i="12"/>
  <c r="CF164" i="12"/>
  <c r="AA163" i="12"/>
  <c r="AA162" i="12"/>
  <c r="S162" i="12"/>
  <c r="U162" i="12" s="1"/>
  <c r="W162" i="12" s="1"/>
  <c r="L162" i="12"/>
  <c r="N162" i="12" s="1"/>
  <c r="V162" i="12" s="1"/>
  <c r="AA161" i="12"/>
  <c r="S161" i="12"/>
  <c r="U161" i="12" s="1"/>
  <c r="L161" i="12"/>
  <c r="N161" i="12" s="1"/>
  <c r="AG160" i="12"/>
  <c r="CS159" i="12"/>
  <c r="CR159" i="12"/>
  <c r="CN159" i="12"/>
  <c r="CM159" i="12"/>
  <c r="AA159" i="12"/>
  <c r="S159" i="12"/>
  <c r="U159" i="12" s="1"/>
  <c r="W159" i="12" s="1"/>
  <c r="L159" i="12"/>
  <c r="N159" i="12" s="1"/>
  <c r="V159" i="12" s="1"/>
  <c r="CS158" i="12"/>
  <c r="CR158" i="12"/>
  <c r="CN158" i="12"/>
  <c r="CM158" i="12"/>
  <c r="AA158" i="12"/>
  <c r="S158" i="12"/>
  <c r="U158" i="12" s="1"/>
  <c r="L158" i="12"/>
  <c r="N158" i="12" s="1"/>
  <c r="V158" i="12" s="1"/>
  <c r="Z157" i="12"/>
  <c r="AA157" i="12" s="1"/>
  <c r="S156" i="12"/>
  <c r="U156" i="12" s="1"/>
  <c r="W156" i="12" s="1"/>
  <c r="L156" i="12"/>
  <c r="G156" i="12"/>
  <c r="S155" i="12"/>
  <c r="U155" i="12" s="1"/>
  <c r="W155" i="12" s="1"/>
  <c r="L155" i="12"/>
  <c r="G155" i="12"/>
  <c r="CS154" i="12"/>
  <c r="CR154" i="12"/>
  <c r="CN154" i="12"/>
  <c r="CO154" i="12" s="1"/>
  <c r="CQ154" i="12" s="1"/>
  <c r="S154" i="12"/>
  <c r="U154" i="12" s="1"/>
  <c r="W154" i="12" s="1"/>
  <c r="X154" i="12" s="1"/>
  <c r="Y154" i="12" s="1"/>
  <c r="L154" i="12"/>
  <c r="G154" i="12"/>
  <c r="CS153" i="12"/>
  <c r="CR153" i="12"/>
  <c r="CN153" i="12"/>
  <c r="CO153" i="12" s="1"/>
  <c r="CQ153" i="12" s="1"/>
  <c r="S153" i="12"/>
  <c r="U153" i="12" s="1"/>
  <c r="W153" i="12" s="1"/>
  <c r="L153" i="12"/>
  <c r="G153" i="12"/>
  <c r="CS152" i="12"/>
  <c r="CR152" i="12"/>
  <c r="CN152" i="12"/>
  <c r="CO152" i="12" s="1"/>
  <c r="CQ152" i="12" s="1"/>
  <c r="S152" i="12"/>
  <c r="U152" i="12" s="1"/>
  <c r="L152" i="12"/>
  <c r="G152" i="12"/>
  <c r="AI151" i="12"/>
  <c r="Y151" i="12"/>
  <c r="Z151" i="12" s="1"/>
  <c r="AA151" i="12" s="1"/>
  <c r="CS150" i="12"/>
  <c r="CR150" i="12"/>
  <c r="CN150" i="12"/>
  <c r="CO150" i="12" s="1"/>
  <c r="CQ150" i="12" s="1"/>
  <c r="AI150" i="12"/>
  <c r="S150" i="12"/>
  <c r="U150" i="12" s="1"/>
  <c r="W150" i="12" s="1"/>
  <c r="L150" i="12"/>
  <c r="CS149" i="12"/>
  <c r="CR149" i="12"/>
  <c r="CN149" i="12"/>
  <c r="CO149" i="12" s="1"/>
  <c r="CQ149" i="12" s="1"/>
  <c r="AI149" i="12"/>
  <c r="S149" i="12"/>
  <c r="U149" i="12" s="1"/>
  <c r="L149" i="12"/>
  <c r="BP148" i="12"/>
  <c r="BO148" i="12"/>
  <c r="AC148" i="12"/>
  <c r="Z148" i="12"/>
  <c r="AA148" i="12" s="1"/>
  <c r="CS147" i="12"/>
  <c r="CR147" i="12"/>
  <c r="CN147" i="12"/>
  <c r="CO147" i="12" s="1"/>
  <c r="CQ147" i="12" s="1"/>
  <c r="BM147" i="12"/>
  <c r="BQ147" i="12" s="1"/>
  <c r="BL147" i="12"/>
  <c r="AI147" i="12"/>
  <c r="AO147" i="12" s="1"/>
  <c r="S147" i="12"/>
  <c r="U147" i="12" s="1"/>
  <c r="L147" i="12"/>
  <c r="N147" i="12" s="1"/>
  <c r="BN147" i="12" s="1"/>
  <c r="W146" i="12"/>
  <c r="X146" i="12" s="1"/>
  <c r="Y146" i="12" s="1"/>
  <c r="V146" i="12"/>
  <c r="S145" i="12"/>
  <c r="U145" i="12" s="1"/>
  <c r="W145" i="12" s="1"/>
  <c r="L145" i="12"/>
  <c r="N145" i="12" s="1"/>
  <c r="V145" i="12" s="1"/>
  <c r="S144" i="12"/>
  <c r="U144" i="12" s="1"/>
  <c r="W144" i="12" s="1"/>
  <c r="L144" i="12"/>
  <c r="N144" i="12" s="1"/>
  <c r="V144" i="12" s="1"/>
  <c r="S143" i="12"/>
  <c r="U143" i="12" s="1"/>
  <c r="W143" i="12" s="1"/>
  <c r="L143" i="12"/>
  <c r="N143" i="12" s="1"/>
  <c r="V143" i="12" s="1"/>
  <c r="CS142" i="12"/>
  <c r="CR142" i="12"/>
  <c r="CN142" i="12"/>
  <c r="CO142" i="12" s="1"/>
  <c r="CQ142" i="12" s="1"/>
  <c r="BM142" i="12"/>
  <c r="BQ142" i="12" s="1"/>
  <c r="AI142" i="12"/>
  <c r="S142" i="12"/>
  <c r="U142" i="12" s="1"/>
  <c r="W142" i="12" s="1"/>
  <c r="L142" i="12"/>
  <c r="N142" i="12" s="1"/>
  <c r="V142" i="12" s="1"/>
  <c r="CS141" i="12"/>
  <c r="CR141" i="12"/>
  <c r="CN141" i="12"/>
  <c r="CO141" i="12" s="1"/>
  <c r="CQ141" i="12" s="1"/>
  <c r="BM141" i="12"/>
  <c r="BQ141" i="12" s="1"/>
  <c r="S141" i="12"/>
  <c r="L141" i="12"/>
  <c r="I1342" i="9" s="1"/>
  <c r="CS140" i="12"/>
  <c r="CR140" i="12"/>
  <c r="CN140" i="12"/>
  <c r="CO140" i="12" s="1"/>
  <c r="CQ140" i="12" s="1"/>
  <c r="BM140" i="12"/>
  <c r="BQ140" i="12" s="1"/>
  <c r="AI140" i="12"/>
  <c r="AJ140" i="12" s="1"/>
  <c r="AP140" i="12" s="1"/>
  <c r="AH140" i="12"/>
  <c r="S140" i="12"/>
  <c r="U140" i="12" s="1"/>
  <c r="L140" i="12"/>
  <c r="N140" i="12" s="1"/>
  <c r="BN140" i="12" s="1"/>
  <c r="S139" i="12"/>
  <c r="U139" i="12" s="1"/>
  <c r="W139" i="12" s="1"/>
  <c r="L139" i="12"/>
  <c r="N139" i="12" s="1"/>
  <c r="V139" i="12" s="1"/>
  <c r="CS138" i="12"/>
  <c r="CR138" i="12"/>
  <c r="CN138" i="12"/>
  <c r="CO138" i="12" s="1"/>
  <c r="CQ138" i="12" s="1"/>
  <c r="BN138" i="12"/>
  <c r="BM138" i="12"/>
  <c r="BQ138" i="12" s="1"/>
  <c r="S138" i="12"/>
  <c r="X138" i="12" s="1"/>
  <c r="Y138" i="12" s="1"/>
  <c r="L138" i="12"/>
  <c r="N138" i="12" s="1"/>
  <c r="Z137" i="12"/>
  <c r="AA137" i="12" s="1"/>
  <c r="AC136" i="12"/>
  <c r="Z136" i="12"/>
  <c r="AA136" i="12" s="1"/>
  <c r="CS135" i="12"/>
  <c r="CR135" i="12"/>
  <c r="CN135" i="12"/>
  <c r="CM135" i="12"/>
  <c r="BN135" i="12"/>
  <c r="BM135" i="12"/>
  <c r="BQ135" i="12" s="1"/>
  <c r="V135" i="12"/>
  <c r="S135" i="12"/>
  <c r="U135" i="12" s="1"/>
  <c r="L135" i="12"/>
  <c r="CS134" i="12"/>
  <c r="CR134" i="12"/>
  <c r="CN134" i="12"/>
  <c r="CM134" i="12"/>
  <c r="BM134" i="12"/>
  <c r="BQ134" i="12" s="1"/>
  <c r="S134" i="12"/>
  <c r="U134" i="12" s="1"/>
  <c r="N134" i="12"/>
  <c r="V134" i="12" s="1"/>
  <c r="L134" i="12"/>
  <c r="W133" i="12"/>
  <c r="X133" i="12" s="1"/>
  <c r="Y133" i="12" s="1"/>
  <c r="V133" i="12"/>
  <c r="CS132" i="12"/>
  <c r="CR132" i="12"/>
  <c r="CN132" i="12"/>
  <c r="CM132" i="12"/>
  <c r="BM132" i="12"/>
  <c r="BQ132" i="12" s="1"/>
  <c r="AI132" i="12"/>
  <c r="S132" i="12"/>
  <c r="U132" i="12" s="1"/>
  <c r="W132" i="12" s="1"/>
  <c r="X132" i="12" s="1"/>
  <c r="AG132" i="12" s="1"/>
  <c r="L132" i="12"/>
  <c r="N132" i="12" s="1"/>
  <c r="CS131" i="12"/>
  <c r="CR131" i="12"/>
  <c r="CN131" i="12"/>
  <c r="CM131" i="12"/>
  <c r="BM131" i="12"/>
  <c r="BQ131" i="12" s="1"/>
  <c r="AI131" i="12"/>
  <c r="S131" i="12"/>
  <c r="U131" i="12" s="1"/>
  <c r="W131" i="12" s="1"/>
  <c r="L131" i="12"/>
  <c r="N131" i="12" s="1"/>
  <c r="BN131" i="12" s="1"/>
  <c r="CS130" i="12"/>
  <c r="CR130" i="12"/>
  <c r="CN130" i="12"/>
  <c r="CM130" i="12"/>
  <c r="BM130" i="12"/>
  <c r="BQ130" i="12" s="1"/>
  <c r="AI130" i="12"/>
  <c r="X130" i="12"/>
  <c r="AG130" i="12" s="1"/>
  <c r="S130" i="12"/>
  <c r="U130" i="12" s="1"/>
  <c r="L130" i="12"/>
  <c r="N130" i="12" s="1"/>
  <c r="AA129" i="12"/>
  <c r="AA128" i="12"/>
  <c r="L128" i="12"/>
  <c r="O128" i="12" s="1"/>
  <c r="AA127" i="12"/>
  <c r="L127" i="12"/>
  <c r="O127" i="12" s="1"/>
  <c r="CN126" i="12"/>
  <c r="CO126" i="12" s="1"/>
  <c r="CM126" i="12"/>
  <c r="AA126" i="12"/>
  <c r="L126" i="12"/>
  <c r="O126" i="12" s="1"/>
  <c r="CN125" i="12"/>
  <c r="CM125" i="12"/>
  <c r="AA125" i="12"/>
  <c r="L125" i="12"/>
  <c r="O125" i="12" s="1"/>
  <c r="CW124" i="12"/>
  <c r="AC124" i="12"/>
  <c r="Z124" i="12"/>
  <c r="AA124" i="12" s="1"/>
  <c r="X124" i="12"/>
  <c r="CN123" i="12"/>
  <c r="CM123" i="12"/>
  <c r="AA123" i="12"/>
  <c r="L123" i="12"/>
  <c r="M123" i="12" s="1"/>
  <c r="CN122" i="12"/>
  <c r="CM122" i="12"/>
  <c r="AA122" i="12"/>
  <c r="L122" i="12"/>
  <c r="M122" i="12" s="1"/>
  <c r="CN121" i="12"/>
  <c r="CM121" i="12"/>
  <c r="AA121" i="12"/>
  <c r="L121" i="12"/>
  <c r="AA120" i="12"/>
  <c r="L120" i="12"/>
  <c r="M120" i="12" s="1"/>
  <c r="AA119" i="12"/>
  <c r="L119" i="12"/>
  <c r="M119" i="12" s="1"/>
  <c r="CS117" i="12"/>
  <c r="CR117" i="12"/>
  <c r="CN117" i="12"/>
  <c r="CM117" i="12"/>
  <c r="BM117" i="12"/>
  <c r="BQ117" i="12" s="1"/>
  <c r="AI117" i="12"/>
  <c r="AO117" i="12" s="1"/>
  <c r="S117" i="12"/>
  <c r="U117" i="12" s="1"/>
  <c r="L117" i="12"/>
  <c r="N117" i="12" s="1"/>
  <c r="CS116" i="12"/>
  <c r="CR116" i="12"/>
  <c r="CN116" i="12"/>
  <c r="CM116" i="12"/>
  <c r="BM116" i="12"/>
  <c r="BQ116" i="12" s="1"/>
  <c r="AI116" i="12"/>
  <c r="AO116" i="12" s="1"/>
  <c r="S116" i="12"/>
  <c r="U116" i="12" s="1"/>
  <c r="W116" i="12" s="1"/>
  <c r="X116" i="12" s="1"/>
  <c r="BE39" i="12" s="1"/>
  <c r="L116" i="12"/>
  <c r="N116" i="12" s="1"/>
  <c r="BN116" i="12" s="1"/>
  <c r="CS115" i="12"/>
  <c r="CR115" i="12"/>
  <c r="CN115" i="12"/>
  <c r="CM115" i="12"/>
  <c r="BM115" i="12"/>
  <c r="BQ115" i="12" s="1"/>
  <c r="AI115" i="12"/>
  <c r="AI165" i="12" s="1"/>
  <c r="AH160" i="12" s="1"/>
  <c r="AH165" i="12" s="1"/>
  <c r="AH168" i="12" s="1"/>
  <c r="S115" i="12"/>
  <c r="U115" i="12" s="1"/>
  <c r="U124" i="12" s="1"/>
  <c r="L115" i="12"/>
  <c r="N115" i="12" s="1"/>
  <c r="AA113" i="12"/>
  <c r="CS112" i="12"/>
  <c r="CR112" i="12"/>
  <c r="CN112" i="12"/>
  <c r="CM112" i="12"/>
  <c r="S112" i="12"/>
  <c r="X112" i="12" s="1"/>
  <c r="L112" i="12"/>
  <c r="M112" i="12" s="1"/>
  <c r="CS111" i="12"/>
  <c r="CR111" i="12"/>
  <c r="CN111" i="12"/>
  <c r="CM111" i="12"/>
  <c r="S111" i="12"/>
  <c r="U111" i="12" s="1"/>
  <c r="O111" i="12"/>
  <c r="L111" i="12"/>
  <c r="N111" i="12" s="1"/>
  <c r="CS110" i="12"/>
  <c r="CR110" i="12"/>
  <c r="CN110" i="12"/>
  <c r="CM110" i="12"/>
  <c r="BN110" i="12"/>
  <c r="BM110" i="12"/>
  <c r="S110" i="12"/>
  <c r="L110" i="12"/>
  <c r="M110" i="12" s="1"/>
  <c r="CS109" i="12"/>
  <c r="CR109" i="12"/>
  <c r="CN109" i="12"/>
  <c r="CM109" i="12"/>
  <c r="BM109" i="12"/>
  <c r="S109" i="12"/>
  <c r="L109" i="12"/>
  <c r="N109" i="12" s="1"/>
  <c r="BN109" i="12" s="1"/>
  <c r="CN106" i="12"/>
  <c r="CN181" i="12" s="1"/>
  <c r="CS181" i="12" s="1"/>
  <c r="CM106" i="12"/>
  <c r="CM181" i="12" s="1"/>
  <c r="CR181" i="12" s="1"/>
  <c r="AJ106" i="12"/>
  <c r="AH106" i="12"/>
  <c r="AG106" i="12"/>
  <c r="K106" i="12"/>
  <c r="K181" i="12" s="1"/>
  <c r="R181" i="12" s="1"/>
  <c r="J106" i="12"/>
  <c r="J181" i="12" s="1"/>
  <c r="Q181" i="12" s="1"/>
  <c r="P104" i="12"/>
  <c r="N178" i="12" s="1"/>
  <c r="O91" i="12"/>
  <c r="S82" i="12"/>
  <c r="U82" i="12" s="1"/>
  <c r="W82" i="12" s="1"/>
  <c r="X82" i="12" s="1"/>
  <c r="Y82" i="12" s="1"/>
  <c r="L82" i="12"/>
  <c r="N82" i="12" s="1"/>
  <c r="V82" i="12" s="1"/>
  <c r="S81" i="12"/>
  <c r="U81" i="12" s="1"/>
  <c r="W81" i="12" s="1"/>
  <c r="L81" i="12"/>
  <c r="N81" i="12" s="1"/>
  <c r="V81" i="12" s="1"/>
  <c r="AA79" i="12"/>
  <c r="W79" i="12"/>
  <c r="V79" i="12"/>
  <c r="S79" i="12"/>
  <c r="T79" i="12" s="1"/>
  <c r="L79" i="12"/>
  <c r="M79" i="12" s="1"/>
  <c r="S78" i="12"/>
  <c r="U78" i="12" s="1"/>
  <c r="L78" i="12"/>
  <c r="N78" i="12" s="1"/>
  <c r="BQ77" i="12"/>
  <c r="BN77" i="12"/>
  <c r="AH77" i="12"/>
  <c r="S77" i="12"/>
  <c r="T77" i="12" s="1"/>
  <c r="L77" i="12"/>
  <c r="M77" i="12" s="1"/>
  <c r="BO76" i="12"/>
  <c r="BM76" i="12"/>
  <c r="BL76" i="12"/>
  <c r="BL77" i="12" s="1"/>
  <c r="BK76" i="12"/>
  <c r="BK77" i="12" s="1"/>
  <c r="AZ76" i="12"/>
  <c r="S76" i="12"/>
  <c r="U76" i="12" s="1"/>
  <c r="L76" i="12"/>
  <c r="N76" i="12" s="1"/>
  <c r="Y74" i="12"/>
  <c r="S74" i="12"/>
  <c r="L74" i="12"/>
  <c r="I74" i="12"/>
  <c r="AA73" i="12"/>
  <c r="S73" i="12"/>
  <c r="T73" i="12" s="1"/>
  <c r="W72" i="12" s="1"/>
  <c r="L73" i="12"/>
  <c r="M73" i="12" s="1"/>
  <c r="V72" i="12" s="1"/>
  <c r="BQ72" i="12"/>
  <c r="BN72" i="12"/>
  <c r="AM72" i="12"/>
  <c r="AM77" i="12" s="1"/>
  <c r="AH72" i="12"/>
  <c r="Y72" i="12"/>
  <c r="S72" i="12"/>
  <c r="L72" i="12"/>
  <c r="I72" i="12"/>
  <c r="BM71" i="12"/>
  <c r="Y71" i="12"/>
  <c r="S71" i="12"/>
  <c r="L71" i="12"/>
  <c r="I71" i="12"/>
  <c r="CU70" i="12"/>
  <c r="BP70" i="12"/>
  <c r="BM70" i="12"/>
  <c r="BQ70" i="12" s="1"/>
  <c r="AZ70" i="12"/>
  <c r="AZ71" i="12" s="1"/>
  <c r="AS70" i="12"/>
  <c r="AA70" i="12"/>
  <c r="AY71" i="12" s="1"/>
  <c r="CT69" i="12"/>
  <c r="CN69" i="12"/>
  <c r="CM69" i="12"/>
  <c r="CL69" i="12"/>
  <c r="BM69" i="12"/>
  <c r="BQ69" i="12" s="1"/>
  <c r="AS69" i="12"/>
  <c r="AN69" i="12"/>
  <c r="AI69" i="12"/>
  <c r="AO69" i="12" s="1"/>
  <c r="S69" i="12"/>
  <c r="L69" i="12"/>
  <c r="I69" i="12"/>
  <c r="CT68" i="12"/>
  <c r="CN68" i="12"/>
  <c r="CM68" i="12"/>
  <c r="CL68" i="12"/>
  <c r="BM68" i="12"/>
  <c r="BQ68" i="12" s="1"/>
  <c r="AS68" i="12"/>
  <c r="AN68" i="12"/>
  <c r="AI68" i="12"/>
  <c r="AO68" i="12" s="1"/>
  <c r="S68" i="12"/>
  <c r="L68" i="12"/>
  <c r="I68" i="12"/>
  <c r="BP67" i="12"/>
  <c r="BO67" i="12"/>
  <c r="Z67" i="12"/>
  <c r="AA67" i="12" s="1"/>
  <c r="CM66" i="12"/>
  <c r="S66" i="12"/>
  <c r="T66" i="12" s="1"/>
  <c r="L66" i="12"/>
  <c r="M66" i="12" s="1"/>
  <c r="CM65" i="12"/>
  <c r="S65" i="12"/>
  <c r="U65" i="12" s="1"/>
  <c r="W65" i="12" s="1"/>
  <c r="X65" i="12" s="1"/>
  <c r="Y65" i="12" s="1"/>
  <c r="L65" i="12"/>
  <c r="N65" i="12" s="1"/>
  <c r="V65" i="12" s="1"/>
  <c r="CM64" i="12"/>
  <c r="S64" i="12"/>
  <c r="T64" i="12" s="1"/>
  <c r="L64" i="12"/>
  <c r="M64" i="12" s="1"/>
  <c r="CM63" i="12"/>
  <c r="S63" i="12"/>
  <c r="U63" i="12" s="1"/>
  <c r="W63" i="12" s="1"/>
  <c r="X63" i="12" s="1"/>
  <c r="Y63" i="12" s="1"/>
  <c r="L63" i="12"/>
  <c r="N63" i="12" s="1"/>
  <c r="V63" i="12" s="1"/>
  <c r="CT62" i="12"/>
  <c r="CN62" i="12"/>
  <c r="CM62" i="12"/>
  <c r="BM62" i="12"/>
  <c r="BQ62" i="12" s="1"/>
  <c r="AS62" i="12"/>
  <c r="S62" i="12"/>
  <c r="U62" i="12" s="1"/>
  <c r="W62" i="12" s="1"/>
  <c r="L62" i="12"/>
  <c r="N62" i="12" s="1"/>
  <c r="AA61" i="12"/>
  <c r="CT60" i="12"/>
  <c r="CV60" i="12" s="1"/>
  <c r="CN60" i="12"/>
  <c r="CM60" i="12"/>
  <c r="BM60" i="12"/>
  <c r="BQ60" i="12" s="1"/>
  <c r="AS60" i="12"/>
  <c r="S60" i="12"/>
  <c r="U60" i="12" s="1"/>
  <c r="W60" i="12" s="1"/>
  <c r="BD23" i="12" s="1"/>
  <c r="L60" i="12"/>
  <c r="N60" i="12" s="1"/>
  <c r="CT59" i="12"/>
  <c r="CW59" i="12" s="1"/>
  <c r="CN59" i="12"/>
  <c r="CM59" i="12"/>
  <c r="BN59" i="12"/>
  <c r="BR59" i="12" s="1"/>
  <c r="Z59" i="12"/>
  <c r="AA59" i="12" s="1"/>
  <c r="S59" i="12"/>
  <c r="T59" i="12" s="1"/>
  <c r="L59" i="12"/>
  <c r="M59" i="12" s="1"/>
  <c r="CT58" i="12"/>
  <c r="CV58" i="12" s="1"/>
  <c r="CN58" i="12"/>
  <c r="CM58" i="12"/>
  <c r="BM58" i="12"/>
  <c r="BQ58" i="12" s="1"/>
  <c r="AS58" i="12"/>
  <c r="S58" i="12"/>
  <c r="U58" i="12" s="1"/>
  <c r="L58" i="12"/>
  <c r="I240" i="1" s="1"/>
  <c r="CT57" i="12"/>
  <c r="CW57" i="12" s="1"/>
  <c r="CN57" i="12"/>
  <c r="CM57" i="12"/>
  <c r="BN57" i="12"/>
  <c r="BR57" i="12" s="1"/>
  <c r="Z57" i="12"/>
  <c r="AA57" i="12" s="1"/>
  <c r="S57" i="12"/>
  <c r="T57" i="12" s="1"/>
  <c r="L57" i="12"/>
  <c r="I239" i="1" s="1"/>
  <c r="CT56" i="12"/>
  <c r="CN56" i="12"/>
  <c r="CM56" i="12"/>
  <c r="BM56" i="12"/>
  <c r="BQ56" i="12" s="1"/>
  <c r="AS56" i="12"/>
  <c r="S56" i="12"/>
  <c r="U56" i="12" s="1"/>
  <c r="L56" i="12"/>
  <c r="N56" i="12" s="1"/>
  <c r="CT55" i="12"/>
  <c r="CN55" i="12"/>
  <c r="CM55" i="12"/>
  <c r="BN55" i="12"/>
  <c r="BR55" i="12" s="1"/>
  <c r="Z55" i="12"/>
  <c r="AA55" i="12" s="1"/>
  <c r="S55" i="12"/>
  <c r="T55" i="12" s="1"/>
  <c r="L55" i="12"/>
  <c r="M55" i="12" s="1"/>
  <c r="BM55" i="12" s="1"/>
  <c r="BQ55" i="12" s="1"/>
  <c r="CT54" i="12"/>
  <c r="CV54" i="12" s="1"/>
  <c r="CN54" i="12"/>
  <c r="CM54" i="12"/>
  <c r="BM54" i="12"/>
  <c r="BQ54" i="12" s="1"/>
  <c r="AS54" i="12"/>
  <c r="AN54" i="12"/>
  <c r="AI54" i="12"/>
  <c r="AO54" i="12" s="1"/>
  <c r="S54" i="12"/>
  <c r="U54" i="12" s="1"/>
  <c r="L54" i="12"/>
  <c r="N54" i="12" s="1"/>
  <c r="CT53" i="12"/>
  <c r="CW53" i="12" s="1"/>
  <c r="CN53" i="12"/>
  <c r="CM53" i="12"/>
  <c r="BN53" i="12"/>
  <c r="BR53" i="12" s="1"/>
  <c r="Z53" i="12"/>
  <c r="AA53" i="12" s="1"/>
  <c r="S53" i="12"/>
  <c r="T53" i="12" s="1"/>
  <c r="L53" i="12"/>
  <c r="M53" i="12" s="1"/>
  <c r="BM53" i="12" s="1"/>
  <c r="BQ53" i="12" s="1"/>
  <c r="CT52" i="12"/>
  <c r="CN52" i="12"/>
  <c r="CM52" i="12"/>
  <c r="BM52" i="12"/>
  <c r="BQ52" i="12" s="1"/>
  <c r="AS52" i="12"/>
  <c r="AN52" i="12"/>
  <c r="AI52" i="12"/>
  <c r="AO52" i="12" s="1"/>
  <c r="S52" i="12"/>
  <c r="U52" i="12" s="1"/>
  <c r="L52" i="12"/>
  <c r="N52" i="12" s="1"/>
  <c r="BP51" i="12"/>
  <c r="Z51" i="12"/>
  <c r="AA51" i="12" s="1"/>
  <c r="CN50" i="12"/>
  <c r="CM50" i="12"/>
  <c r="Z50" i="12"/>
  <c r="AA50" i="12" s="1"/>
  <c r="S50" i="12"/>
  <c r="T50" i="12" s="1"/>
  <c r="L50" i="12"/>
  <c r="M50" i="12" s="1"/>
  <c r="CN49" i="12"/>
  <c r="CM49" i="12"/>
  <c r="S49" i="12"/>
  <c r="U49" i="12" s="1"/>
  <c r="L49" i="12"/>
  <c r="N49" i="12" s="1"/>
  <c r="CT48" i="12"/>
  <c r="CN48" i="12"/>
  <c r="CM48" i="12"/>
  <c r="BN48" i="12"/>
  <c r="BR48" i="12" s="1"/>
  <c r="BG48" i="12"/>
  <c r="AG48" i="12"/>
  <c r="Z48" i="12"/>
  <c r="AA48" i="12" s="1"/>
  <c r="AX48" i="12" s="1"/>
  <c r="S48" i="12"/>
  <c r="T48" i="12" s="1"/>
  <c r="L48" i="12"/>
  <c r="M48" i="12" s="1"/>
  <c r="L229" i="1" s="1"/>
  <c r="CT47" i="12"/>
  <c r="CV47" i="12" s="1"/>
  <c r="CN47" i="12"/>
  <c r="CM47" i="12"/>
  <c r="BM47" i="12"/>
  <c r="BQ47" i="12" s="1"/>
  <c r="AS47" i="12"/>
  <c r="AI47" i="12"/>
  <c r="S47" i="12"/>
  <c r="U47" i="12" s="1"/>
  <c r="L47" i="12"/>
  <c r="N47" i="12" s="1"/>
  <c r="K228" i="1" s="1"/>
  <c r="CT46" i="12"/>
  <c r="CW46" i="12" s="1"/>
  <c r="CN46" i="12"/>
  <c r="CM46" i="12"/>
  <c r="BN46" i="12"/>
  <c r="BR46" i="12" s="1"/>
  <c r="Z46" i="12"/>
  <c r="AA46" i="12" s="1"/>
  <c r="S46" i="12"/>
  <c r="T46" i="12" s="1"/>
  <c r="L46" i="12"/>
  <c r="M46" i="12" s="1"/>
  <c r="L227" i="1" s="1"/>
  <c r="CT45" i="12"/>
  <c r="CV45" i="12" s="1"/>
  <c r="CN45" i="12"/>
  <c r="CM45" i="12"/>
  <c r="BM45" i="12"/>
  <c r="BQ45" i="12" s="1"/>
  <c r="BG45" i="12"/>
  <c r="BA45" i="12"/>
  <c r="AS45" i="12"/>
  <c r="AI45" i="12"/>
  <c r="S45" i="12"/>
  <c r="U45" i="12" s="1"/>
  <c r="L45" i="12"/>
  <c r="I226" i="1" s="1"/>
  <c r="CT44" i="12"/>
  <c r="CV44" i="12" s="1"/>
  <c r="CN44" i="12"/>
  <c r="CM44" i="12"/>
  <c r="BM44" i="12"/>
  <c r="BQ44" i="12" s="1"/>
  <c r="BG44" i="12"/>
  <c r="BD44" i="12"/>
  <c r="BA44" i="12"/>
  <c r="AS44" i="12"/>
  <c r="AN44" i="12"/>
  <c r="AI44" i="12"/>
  <c r="AO44" i="12" s="1"/>
  <c r="S44" i="12"/>
  <c r="U44" i="12" s="1"/>
  <c r="W44" i="12" s="1"/>
  <c r="BD25" i="12" s="1"/>
  <c r="L44" i="12"/>
  <c r="N44" i="12" s="1"/>
  <c r="BG43" i="12"/>
  <c r="BF43" i="12"/>
  <c r="BA43" i="12"/>
  <c r="Z43" i="12"/>
  <c r="AA43" i="12" s="1"/>
  <c r="AX43" i="12" s="1"/>
  <c r="S43" i="12"/>
  <c r="CT42" i="12"/>
  <c r="CN42" i="12"/>
  <c r="CM42" i="12"/>
  <c r="BM42" i="12"/>
  <c r="BQ42" i="12" s="1"/>
  <c r="BG42" i="12"/>
  <c r="BA42" i="12"/>
  <c r="AS42" i="12"/>
  <c r="AN42" i="12"/>
  <c r="AI42" i="12"/>
  <c r="AO42" i="12" s="1"/>
  <c r="S42" i="12"/>
  <c r="U42" i="12" s="1"/>
  <c r="W42" i="12" s="1"/>
  <c r="BD24" i="12" s="1"/>
  <c r="L42" i="12"/>
  <c r="N42" i="12" s="1"/>
  <c r="BM41" i="12"/>
  <c r="BQ41" i="12" s="1"/>
  <c r="BG41" i="12"/>
  <c r="BA41" i="12"/>
  <c r="Z41" i="12"/>
  <c r="AA41" i="12" s="1"/>
  <c r="W40" i="12"/>
  <c r="X40" i="12" s="1"/>
  <c r="Y40" i="12" s="1"/>
  <c r="V40" i="12"/>
  <c r="S40" i="12"/>
  <c r="U38" i="12" s="1"/>
  <c r="L40" i="12"/>
  <c r="BP39" i="12"/>
  <c r="BN39" i="12"/>
  <c r="BM39" i="12"/>
  <c r="BQ39" i="12" s="1"/>
  <c r="BG39" i="12"/>
  <c r="BG46" i="12" s="1"/>
  <c r="BA39" i="12"/>
  <c r="Z39" i="12"/>
  <c r="AA39" i="12" s="1"/>
  <c r="S39" i="12"/>
  <c r="L39" i="12"/>
  <c r="CT38" i="12"/>
  <c r="CV38" i="12" s="1"/>
  <c r="CN38" i="12"/>
  <c r="CM38" i="12"/>
  <c r="BM38" i="12"/>
  <c r="BQ38" i="12" s="1"/>
  <c r="AS38" i="12"/>
  <c r="AI38" i="12"/>
  <c r="S38" i="12"/>
  <c r="L38" i="12"/>
  <c r="CT37" i="12"/>
  <c r="CN37" i="12"/>
  <c r="CM37" i="12"/>
  <c r="BM37" i="12"/>
  <c r="BQ37" i="12" s="1"/>
  <c r="AS37" i="12"/>
  <c r="AN37" i="12"/>
  <c r="AI37" i="12"/>
  <c r="AO37" i="12" s="1"/>
  <c r="S37" i="12"/>
  <c r="U37" i="12" s="1"/>
  <c r="W37" i="12" s="1"/>
  <c r="L37" i="12"/>
  <c r="N37" i="12" s="1"/>
  <c r="BN37" i="12" s="1"/>
  <c r="BR37" i="12" s="1"/>
  <c r="CT36" i="12"/>
  <c r="CN36" i="12"/>
  <c r="CM36" i="12"/>
  <c r="BM36" i="12"/>
  <c r="BQ36" i="12" s="1"/>
  <c r="AS36" i="12"/>
  <c r="AN36" i="12"/>
  <c r="AI36" i="12"/>
  <c r="AO36" i="12" s="1"/>
  <c r="S36" i="12"/>
  <c r="U36" i="12" s="1"/>
  <c r="W36" i="12" s="1"/>
  <c r="BD29" i="12" s="1"/>
  <c r="L36" i="12"/>
  <c r="N36" i="12" s="1"/>
  <c r="CT35" i="12"/>
  <c r="CN35" i="12"/>
  <c r="CM35" i="12"/>
  <c r="AS35" i="12"/>
  <c r="AI35" i="12"/>
  <c r="S35" i="12"/>
  <c r="U35" i="12" s="1"/>
  <c r="W35" i="12" s="1"/>
  <c r="L35" i="12"/>
  <c r="N35" i="12" s="1"/>
  <c r="BN34" i="12"/>
  <c r="BR34" i="12" s="1"/>
  <c r="BM34" i="12"/>
  <c r="BQ34" i="12" s="1"/>
  <c r="Z34" i="12"/>
  <c r="AA34" i="12" s="1"/>
  <c r="CN33" i="12"/>
  <c r="CM33" i="12"/>
  <c r="BN33" i="12"/>
  <c r="BR33" i="12" s="1"/>
  <c r="BM33" i="12"/>
  <c r="BQ33" i="12" s="1"/>
  <c r="BG33" i="12"/>
  <c r="Z33" i="12"/>
  <c r="AA33" i="12" s="1"/>
  <c r="L33" i="12"/>
  <c r="O33" i="12" s="1"/>
  <c r="CN32" i="12"/>
  <c r="CM32" i="12"/>
  <c r="BN32" i="12"/>
  <c r="BR32" i="12" s="1"/>
  <c r="BM32" i="12"/>
  <c r="BQ32" i="12" s="1"/>
  <c r="Z32" i="12"/>
  <c r="AA32" i="12" s="1"/>
  <c r="L32" i="12"/>
  <c r="O32" i="12" s="1"/>
  <c r="BP31" i="12"/>
  <c r="CT30" i="12"/>
  <c r="CU30" i="12" s="1"/>
  <c r="CN30" i="12"/>
  <c r="CM30" i="12"/>
  <c r="BN30" i="12"/>
  <c r="BR30" i="12" s="1"/>
  <c r="BG30" i="12"/>
  <c r="Z30" i="12"/>
  <c r="AA30" i="12" s="1"/>
  <c r="S30" i="12"/>
  <c r="T30" i="12" s="1"/>
  <c r="L30" i="12"/>
  <c r="M30" i="12" s="1"/>
  <c r="CT29" i="12"/>
  <c r="CV29" i="12" s="1"/>
  <c r="CN29" i="12"/>
  <c r="CM29" i="12"/>
  <c r="BM29" i="12"/>
  <c r="BQ29" i="12" s="1"/>
  <c r="BG29" i="12"/>
  <c r="AS29" i="12"/>
  <c r="AI29" i="12"/>
  <c r="S29" i="12"/>
  <c r="U29" i="12" s="1"/>
  <c r="L29" i="12"/>
  <c r="N29" i="12" s="1"/>
  <c r="BN29" i="12" s="1"/>
  <c r="BR29" i="12" s="1"/>
  <c r="CT28" i="12"/>
  <c r="CU28" i="12" s="1"/>
  <c r="CN28" i="12"/>
  <c r="CM28" i="12"/>
  <c r="BN28" i="12"/>
  <c r="BR28" i="12" s="1"/>
  <c r="BG28" i="12"/>
  <c r="Z28" i="12"/>
  <c r="AA28" i="12" s="1"/>
  <c r="S28" i="12"/>
  <c r="T28" i="12" s="1"/>
  <c r="L28" i="12"/>
  <c r="M28" i="12" s="1"/>
  <c r="CT27" i="12"/>
  <c r="CV27" i="12" s="1"/>
  <c r="CN27" i="12"/>
  <c r="CM27" i="12"/>
  <c r="BM27" i="12"/>
  <c r="BQ27" i="12" s="1"/>
  <c r="AS27" i="12"/>
  <c r="AI27" i="12"/>
  <c r="S27" i="12"/>
  <c r="U27" i="12" s="1"/>
  <c r="L27" i="12"/>
  <c r="N27" i="12" s="1"/>
  <c r="BP26" i="12"/>
  <c r="BO26" i="12"/>
  <c r="BG26" i="12"/>
  <c r="CT25" i="12"/>
  <c r="CW25" i="12" s="1"/>
  <c r="CN25" i="12"/>
  <c r="CM25" i="12"/>
  <c r="BN25" i="12"/>
  <c r="BR25" i="12" s="1"/>
  <c r="BG25" i="12"/>
  <c r="Z25" i="12"/>
  <c r="AA25" i="12" s="1"/>
  <c r="S25" i="12"/>
  <c r="T25" i="12" s="1"/>
  <c r="L25" i="12"/>
  <c r="M25" i="12" s="1"/>
  <c r="BM25" i="12" s="1"/>
  <c r="BQ25" i="12" s="1"/>
  <c r="CT24" i="12"/>
  <c r="CV24" i="12" s="1"/>
  <c r="CN24" i="12"/>
  <c r="CM24" i="12"/>
  <c r="BM24" i="12"/>
  <c r="BQ24" i="12" s="1"/>
  <c r="BG24" i="12"/>
  <c r="AS24" i="12"/>
  <c r="AI24" i="12"/>
  <c r="S24" i="12"/>
  <c r="U24" i="12" s="1"/>
  <c r="BD7" i="12" s="1"/>
  <c r="L24" i="12"/>
  <c r="N24" i="12" s="1"/>
  <c r="CT23" i="12"/>
  <c r="CU23" i="12" s="1"/>
  <c r="CN23" i="12"/>
  <c r="CM23" i="12"/>
  <c r="BN23" i="12"/>
  <c r="BR23" i="12" s="1"/>
  <c r="BG23" i="12"/>
  <c r="Z23" i="12"/>
  <c r="AA23" i="12" s="1"/>
  <c r="S23" i="12"/>
  <c r="T23" i="12" s="1"/>
  <c r="L23" i="12"/>
  <c r="M23" i="12" s="1"/>
  <c r="L234" i="1" s="1"/>
  <c r="CT22" i="12"/>
  <c r="CN22" i="12"/>
  <c r="CM22" i="12"/>
  <c r="BM22" i="12"/>
  <c r="BQ22" i="12" s="1"/>
  <c r="BG22" i="12"/>
  <c r="AS22" i="12"/>
  <c r="AI22" i="12"/>
  <c r="S22" i="12"/>
  <c r="U22" i="12" s="1"/>
  <c r="L22" i="12"/>
  <c r="N22" i="12" s="1"/>
  <c r="BN22" i="12" s="1"/>
  <c r="BR22" i="12" s="1"/>
  <c r="CT21" i="12"/>
  <c r="CU21" i="12" s="1"/>
  <c r="CN21" i="12"/>
  <c r="CM21" i="12"/>
  <c r="BN21" i="12"/>
  <c r="BR21" i="12" s="1"/>
  <c r="BG21" i="12"/>
  <c r="Z21" i="12"/>
  <c r="AA21" i="12" s="1"/>
  <c r="S21" i="12"/>
  <c r="T21" i="12" s="1"/>
  <c r="L21" i="12"/>
  <c r="M21" i="12" s="1"/>
  <c r="CT20" i="12"/>
  <c r="CV20" i="12" s="1"/>
  <c r="CN20" i="12"/>
  <c r="CM20" i="12"/>
  <c r="BM20" i="12"/>
  <c r="BQ20" i="12" s="1"/>
  <c r="BG20" i="12"/>
  <c r="AS20" i="12"/>
  <c r="AN20" i="12"/>
  <c r="AI20" i="12"/>
  <c r="AO20" i="12" s="1"/>
  <c r="AG20" i="12"/>
  <c r="Y20" i="12"/>
  <c r="AH20" i="12" s="1"/>
  <c r="S20" i="12"/>
  <c r="U20" i="12" s="1"/>
  <c r="L20" i="12"/>
  <c r="N20" i="12" s="1"/>
  <c r="BP19" i="12"/>
  <c r="BO19" i="12"/>
  <c r="BG19" i="12"/>
  <c r="CT18" i="12"/>
  <c r="CU18" i="12" s="1"/>
  <c r="CN18" i="12"/>
  <c r="CM18" i="12"/>
  <c r="BN18" i="12"/>
  <c r="BR18" i="12" s="1"/>
  <c r="BG18" i="12"/>
  <c r="Z18" i="12"/>
  <c r="AA18" i="12" s="1"/>
  <c r="S18" i="12"/>
  <c r="T18" i="12" s="1"/>
  <c r="L18" i="12"/>
  <c r="M18" i="12" s="1"/>
  <c r="BM18" i="12" s="1"/>
  <c r="BQ18" i="12" s="1"/>
  <c r="CT17" i="12"/>
  <c r="CV17" i="12" s="1"/>
  <c r="CN17" i="12"/>
  <c r="CM17" i="12"/>
  <c r="BM17" i="12"/>
  <c r="BQ17" i="12" s="1"/>
  <c r="BG17" i="12"/>
  <c r="AS17" i="12"/>
  <c r="AI17" i="12"/>
  <c r="S17" i="12"/>
  <c r="U17" i="12" s="1"/>
  <c r="W17" i="12" s="1"/>
  <c r="L17" i="12"/>
  <c r="N17" i="12" s="1"/>
  <c r="BN17" i="12" s="1"/>
  <c r="BR17" i="12" s="1"/>
  <c r="CT16" i="12"/>
  <c r="CU16" i="12" s="1"/>
  <c r="CN16" i="12"/>
  <c r="CM16" i="12"/>
  <c r="BN16" i="12"/>
  <c r="BR16" i="12" s="1"/>
  <c r="BG16" i="12"/>
  <c r="Z16" i="12"/>
  <c r="AA16" i="12" s="1"/>
  <c r="S16" i="12"/>
  <c r="T16" i="12" s="1"/>
  <c r="L16" i="12"/>
  <c r="M16" i="12" s="1"/>
  <c r="BM16" i="12" s="1"/>
  <c r="BQ16" i="12" s="1"/>
  <c r="CT15" i="12"/>
  <c r="CV15" i="12" s="1"/>
  <c r="CN15" i="12"/>
  <c r="CM15" i="12"/>
  <c r="BM15" i="12"/>
  <c r="BQ15" i="12" s="1"/>
  <c r="BG15" i="12"/>
  <c r="AS15" i="12"/>
  <c r="AN15" i="12"/>
  <c r="AI15" i="12"/>
  <c r="AI77" i="12" s="1"/>
  <c r="S15" i="12"/>
  <c r="U15" i="12" s="1"/>
  <c r="L15" i="12"/>
  <c r="N15" i="12" s="1"/>
  <c r="CM14" i="12"/>
  <c r="BG14" i="12"/>
  <c r="BE14" i="12"/>
  <c r="Z14" i="12"/>
  <c r="AA14" i="12" s="1"/>
  <c r="S14" i="12"/>
  <c r="T14" i="12" s="1"/>
  <c r="L14" i="12"/>
  <c r="M14" i="12" s="1"/>
  <c r="CM13" i="12"/>
  <c r="BG13" i="12"/>
  <c r="S13" i="12"/>
  <c r="U13" i="12" s="1"/>
  <c r="W13" i="12" s="1"/>
  <c r="L13" i="12"/>
  <c r="N13" i="12" s="1"/>
  <c r="V13" i="12" s="1"/>
  <c r="Z13" i="12" s="1"/>
  <c r="AA13" i="12" s="1"/>
  <c r="CT12" i="12"/>
  <c r="CU12" i="12" s="1"/>
  <c r="CN12" i="12"/>
  <c r="CM12" i="12"/>
  <c r="BN12" i="12"/>
  <c r="BR12" i="12" s="1"/>
  <c r="BG12" i="12"/>
  <c r="Z12" i="12"/>
  <c r="AA12" i="12" s="1"/>
  <c r="S12" i="12"/>
  <c r="T12" i="12" s="1"/>
  <c r="L12" i="12"/>
  <c r="M12" i="12" s="1"/>
  <c r="BM12" i="12" s="1"/>
  <c r="BQ12" i="12" s="1"/>
  <c r="CT11" i="12"/>
  <c r="CN11" i="12"/>
  <c r="CM11" i="12"/>
  <c r="BM11" i="12"/>
  <c r="BQ11" i="12" s="1"/>
  <c r="BG11" i="12"/>
  <c r="AS11" i="12"/>
  <c r="AN11" i="12"/>
  <c r="AI11" i="12"/>
  <c r="AO11" i="12" s="1"/>
  <c r="AG11" i="12"/>
  <c r="AA11" i="12"/>
  <c r="AJ11" i="12" s="1"/>
  <c r="Y11" i="12"/>
  <c r="AH11" i="12" s="1"/>
  <c r="S11" i="12"/>
  <c r="U11" i="12" s="1"/>
  <c r="L11" i="12"/>
  <c r="N11" i="12" s="1"/>
  <c r="Z10" i="12"/>
  <c r="AA10" i="12" s="1"/>
  <c r="S10" i="12"/>
  <c r="T10" i="12" s="1"/>
  <c r="L10" i="12"/>
  <c r="M10" i="12" s="1"/>
  <c r="Z9" i="12"/>
  <c r="AA9" i="12" s="1"/>
  <c r="S9" i="12"/>
  <c r="U9" i="12" s="1"/>
  <c r="L9" i="12"/>
  <c r="N9" i="12" s="1"/>
  <c r="CT8" i="12"/>
  <c r="CW8" i="12" s="1"/>
  <c r="CN8" i="12"/>
  <c r="CM8" i="12"/>
  <c r="BN8" i="12"/>
  <c r="BR8" i="12" s="1"/>
  <c r="BG8" i="12"/>
  <c r="BG31" i="12" s="1"/>
  <c r="BE8" i="12"/>
  <c r="Z8" i="12"/>
  <c r="AA8" i="12" s="1"/>
  <c r="S8" i="12"/>
  <c r="T8" i="12" s="1"/>
  <c r="L8" i="12"/>
  <c r="M8" i="12" s="1"/>
  <c r="BM8" i="12" s="1"/>
  <c r="BQ8" i="12" s="1"/>
  <c r="CT7" i="12"/>
  <c r="CV7" i="12" s="1"/>
  <c r="CN7" i="12"/>
  <c r="CM7" i="12"/>
  <c r="BM7" i="12"/>
  <c r="BQ7" i="12" s="1"/>
  <c r="AS7" i="12"/>
  <c r="AN7" i="12"/>
  <c r="AI7" i="12"/>
  <c r="AI72" i="12" s="1"/>
  <c r="S7" i="12"/>
  <c r="U7" i="12" s="1"/>
  <c r="L7" i="12"/>
  <c r="N7" i="12" s="1"/>
  <c r="BL5" i="12"/>
  <c r="BL6" i="12" s="1"/>
  <c r="BK5" i="12"/>
  <c r="BK6" i="12" s="1"/>
  <c r="BG5" i="12"/>
  <c r="CS4" i="12"/>
  <c r="CS106" i="12" s="1"/>
  <c r="CR4" i="12"/>
  <c r="CR106" i="12" s="1"/>
  <c r="AJ4" i="12"/>
  <c r="AH4" i="12"/>
  <c r="AG4" i="12"/>
  <c r="R4" i="12"/>
  <c r="R106" i="12" s="1"/>
  <c r="Q4" i="12"/>
  <c r="Q106" i="12" s="1"/>
  <c r="CT138" i="12" l="1"/>
  <c r="CW138" i="12" s="1"/>
  <c r="CO193" i="12"/>
  <c r="CQ193" i="12" s="1"/>
  <c r="CT185" i="12"/>
  <c r="CT135" i="12"/>
  <c r="CW135" i="12" s="1"/>
  <c r="X192" i="12"/>
  <c r="Y192" i="12" s="1"/>
  <c r="CO125" i="12"/>
  <c r="CO42" i="12"/>
  <c r="CQ42" i="12" s="1"/>
  <c r="BQ76" i="12"/>
  <c r="X142" i="12"/>
  <c r="CO186" i="12"/>
  <c r="CQ186" i="12" s="1"/>
  <c r="N26" i="12"/>
  <c r="CO115" i="12"/>
  <c r="CQ115" i="12" s="1"/>
  <c r="K238" i="1"/>
  <c r="CO189" i="12"/>
  <c r="CQ189" i="12" s="1"/>
  <c r="W15" i="12"/>
  <c r="BD12" i="12" s="1"/>
  <c r="CO23" i="12"/>
  <c r="CP23" i="12" s="1"/>
  <c r="CO27" i="12"/>
  <c r="CQ27" i="12" s="1"/>
  <c r="CO30" i="12"/>
  <c r="CP30" i="12" s="1"/>
  <c r="CO54" i="12"/>
  <c r="CQ54" i="12" s="1"/>
  <c r="CT199" i="12"/>
  <c r="CV199" i="12" s="1"/>
  <c r="BR39" i="12"/>
  <c r="N38" i="12"/>
  <c r="V38" i="12" s="1"/>
  <c r="CT192" i="12"/>
  <c r="CW192" i="12" s="1"/>
  <c r="CW28" i="12"/>
  <c r="BD39" i="12"/>
  <c r="W11" i="12"/>
  <c r="BD14" i="12" s="1"/>
  <c r="X188" i="12"/>
  <c r="Y188" i="12" s="1"/>
  <c r="CO52" i="12"/>
  <c r="CQ52" i="12" s="1"/>
  <c r="N58" i="12"/>
  <c r="K240" i="1" s="1"/>
  <c r="K242" i="1" s="1"/>
  <c r="CT187" i="12"/>
  <c r="CV187" i="12" s="1"/>
  <c r="CT190" i="12"/>
  <c r="CV190" i="12" s="1"/>
  <c r="CO198" i="12"/>
  <c r="CT132" i="12"/>
  <c r="CW132" i="12" s="1"/>
  <c r="CQ151" i="12"/>
  <c r="CT184" i="12"/>
  <c r="CW184" i="12" s="1"/>
  <c r="Z133" i="12"/>
  <c r="AA133" i="12" s="1"/>
  <c r="AJ115" i="12"/>
  <c r="AJ165" i="12" s="1"/>
  <c r="CO131" i="12"/>
  <c r="CQ131" i="12" s="1"/>
  <c r="CV69" i="12"/>
  <c r="N74" i="12"/>
  <c r="V74" i="12" s="1"/>
  <c r="Z74" i="12" s="1"/>
  <c r="AA74" i="12" s="1"/>
  <c r="CT109" i="12"/>
  <c r="CV109" i="12" s="1"/>
  <c r="CT110" i="12"/>
  <c r="CU110" i="12" s="1"/>
  <c r="CO20" i="12"/>
  <c r="CQ20" i="12" s="1"/>
  <c r="CO21" i="12"/>
  <c r="CP21" i="12" s="1"/>
  <c r="CO117" i="12"/>
  <c r="CQ117" i="12" s="1"/>
  <c r="CO135" i="12"/>
  <c r="CQ135" i="12" s="1"/>
  <c r="CT142" i="12"/>
  <c r="CV142" i="12" s="1"/>
  <c r="Z146" i="12"/>
  <c r="AA146" i="12" s="1"/>
  <c r="CT147" i="12"/>
  <c r="CW147" i="12" s="1"/>
  <c r="N152" i="12"/>
  <c r="V152" i="12" s="1"/>
  <c r="CT152" i="12"/>
  <c r="CV152" i="12" s="1"/>
  <c r="CW152" i="12" s="1"/>
  <c r="N154" i="12"/>
  <c r="V154" i="12" s="1"/>
  <c r="Z154" i="12" s="1"/>
  <c r="AA154" i="12" s="1"/>
  <c r="CO200" i="12"/>
  <c r="CQ200" i="12" s="1"/>
  <c r="CT201" i="12"/>
  <c r="CV201" i="12" s="1"/>
  <c r="CO24" i="12"/>
  <c r="CQ24" i="12" s="1"/>
  <c r="CO38" i="12"/>
  <c r="CQ38" i="12" s="1"/>
  <c r="CO12" i="12"/>
  <c r="CP12" i="12" s="1"/>
  <c r="CO32" i="12"/>
  <c r="CO35" i="12"/>
  <c r="CQ35" i="12" s="1"/>
  <c r="CU59" i="12"/>
  <c r="Z65" i="12"/>
  <c r="N31" i="12"/>
  <c r="BN31" i="12" s="1"/>
  <c r="BR31" i="12" s="1"/>
  <c r="O34" i="12"/>
  <c r="CO36" i="12"/>
  <c r="CQ36" i="12" s="1"/>
  <c r="CO45" i="12"/>
  <c r="CQ45" i="12" s="1"/>
  <c r="CO46" i="12"/>
  <c r="CP46" i="12" s="1"/>
  <c r="CO50" i="12"/>
  <c r="CO55" i="12"/>
  <c r="CP55" i="12" s="1"/>
  <c r="CO69" i="12"/>
  <c r="CW69" i="12" s="1"/>
  <c r="CT116" i="12"/>
  <c r="CV116" i="12" s="1"/>
  <c r="CT117" i="12"/>
  <c r="CW117" i="12" s="1"/>
  <c r="CO121" i="12"/>
  <c r="CP121" i="12" s="1"/>
  <c r="CO123" i="12"/>
  <c r="CP123" i="12" s="1"/>
  <c r="CT131" i="12"/>
  <c r="CV131" i="12" s="1"/>
  <c r="X139" i="12"/>
  <c r="Y139" i="12" s="1"/>
  <c r="Z139" i="12" s="1"/>
  <c r="AA139" i="12" s="1"/>
  <c r="CO185" i="12"/>
  <c r="CQ185" i="12" s="1"/>
  <c r="CO195" i="12"/>
  <c r="CO201" i="12"/>
  <c r="CQ201" i="12" s="1"/>
  <c r="CO202" i="12"/>
  <c r="CQ202" i="12" s="1"/>
  <c r="T118" i="12"/>
  <c r="W117" i="12"/>
  <c r="X117" i="12" s="1"/>
  <c r="AG117" i="12" s="1"/>
  <c r="CU31" i="12"/>
  <c r="CU76" i="12" s="1"/>
  <c r="X81" i="12"/>
  <c r="Y81" i="12" s="1"/>
  <c r="Z81" i="12" s="1"/>
  <c r="CO7" i="12"/>
  <c r="CQ7" i="12" s="1"/>
  <c r="Z63" i="12"/>
  <c r="N68" i="12"/>
  <c r="V68" i="12" s="1"/>
  <c r="BC17" i="12" s="1"/>
  <c r="CO68" i="12"/>
  <c r="CW68" i="12" s="1"/>
  <c r="M72" i="12"/>
  <c r="AO72" i="12"/>
  <c r="BG34" i="12"/>
  <c r="W22" i="12"/>
  <c r="BM48" i="12"/>
  <c r="BQ48" i="12" s="1"/>
  <c r="W54" i="12"/>
  <c r="BD20" i="12" s="1"/>
  <c r="CO58" i="12"/>
  <c r="CQ58" i="12" s="1"/>
  <c r="U71" i="12"/>
  <c r="W71" i="12" s="1"/>
  <c r="V78" i="12"/>
  <c r="CO112" i="12"/>
  <c r="CP112" i="12" s="1"/>
  <c r="BP164" i="12"/>
  <c r="CO188" i="12"/>
  <c r="CQ188" i="12" s="1"/>
  <c r="U192" i="12"/>
  <c r="V192" i="12" s="1"/>
  <c r="CT195" i="12"/>
  <c r="CW195" i="12" s="1"/>
  <c r="CO197" i="12"/>
  <c r="X200" i="12"/>
  <c r="Y200" i="12" s="1"/>
  <c r="W58" i="12"/>
  <c r="BD22" i="12" s="1"/>
  <c r="AJ117" i="12"/>
  <c r="CO132" i="12"/>
  <c r="CQ132" i="12" s="1"/>
  <c r="U138" i="12"/>
  <c r="W138" i="12" s="1"/>
  <c r="AO140" i="12"/>
  <c r="CT141" i="12"/>
  <c r="CW141" i="12" s="1"/>
  <c r="CO159" i="12"/>
  <c r="CQ159" i="12" s="1"/>
  <c r="CW12" i="12"/>
  <c r="W24" i="12"/>
  <c r="X24" i="12" s="1"/>
  <c r="BE7" i="12" s="1"/>
  <c r="W49" i="12"/>
  <c r="BD28" i="12" s="1"/>
  <c r="CU57" i="12"/>
  <c r="CO59" i="12"/>
  <c r="CP59" i="12" s="1"/>
  <c r="CO60" i="12"/>
  <c r="CQ60" i="12" s="1"/>
  <c r="CO8" i="12"/>
  <c r="CP8" i="12" s="1"/>
  <c r="CO18" i="12"/>
  <c r="CP18" i="12" s="1"/>
  <c r="CO28" i="12"/>
  <c r="CP28" i="12" s="1"/>
  <c r="CO37" i="12"/>
  <c r="CQ37" i="12" s="1"/>
  <c r="CO47" i="12"/>
  <c r="CO48" i="12"/>
  <c r="CP48" i="12" s="1"/>
  <c r="W56" i="12"/>
  <c r="M57" i="12"/>
  <c r="BM57" i="12" s="1"/>
  <c r="BQ57" i="12" s="1"/>
  <c r="CO57" i="12"/>
  <c r="CP57" i="12" s="1"/>
  <c r="T72" i="12"/>
  <c r="T75" i="12" s="1"/>
  <c r="CO109" i="12"/>
  <c r="CQ109" i="12" s="1"/>
  <c r="CO111" i="12"/>
  <c r="CQ111" i="12" s="1"/>
  <c r="Y130" i="12"/>
  <c r="CO130" i="12"/>
  <c r="CQ130" i="12" s="1"/>
  <c r="X134" i="12"/>
  <c r="Y134" i="12" s="1"/>
  <c r="Z134" i="12" s="1"/>
  <c r="AA134" i="12" s="1"/>
  <c r="CO134" i="12"/>
  <c r="V140" i="12"/>
  <c r="X143" i="12"/>
  <c r="Y143" i="12" s="1"/>
  <c r="Z143" i="12" s="1"/>
  <c r="AA143" i="12" s="1"/>
  <c r="CT153" i="12"/>
  <c r="CV153" i="12" s="1"/>
  <c r="CW153" i="12" s="1"/>
  <c r="CT158" i="12"/>
  <c r="CV158" i="12" s="1"/>
  <c r="CT159" i="12"/>
  <c r="CO184" i="12"/>
  <c r="CQ184" i="12" s="1"/>
  <c r="CT188" i="12"/>
  <c r="CO190" i="12"/>
  <c r="CQ190" i="12" s="1"/>
  <c r="X193" i="12"/>
  <c r="Y193" i="12" s="1"/>
  <c r="CO194" i="12"/>
  <c r="CT196" i="12"/>
  <c r="CW196" i="12" s="1"/>
  <c r="W140" i="12"/>
  <c r="X140" i="12" s="1"/>
  <c r="BD43" i="12"/>
  <c r="BM59" i="12"/>
  <c r="BQ59" i="12" s="1"/>
  <c r="L241" i="1"/>
  <c r="W78" i="12"/>
  <c r="CO15" i="12"/>
  <c r="CW15" i="12" s="1"/>
  <c r="CO44" i="12"/>
  <c r="CQ44" i="12" s="1"/>
  <c r="CO16" i="12"/>
  <c r="CP16" i="12" s="1"/>
  <c r="T19" i="12"/>
  <c r="CO11" i="12"/>
  <c r="CQ11" i="12" s="1"/>
  <c r="BF14" i="12"/>
  <c r="AO15" i="12"/>
  <c r="BG49" i="12"/>
  <c r="Z72" i="12"/>
  <c r="AA72" i="12" s="1"/>
  <c r="M80" i="12"/>
  <c r="BM148" i="12"/>
  <c r="N156" i="12"/>
  <c r="V156" i="12" s="1"/>
  <c r="X156" i="12" s="1"/>
  <c r="Y156" i="12" s="1"/>
  <c r="Z156" i="12" s="1"/>
  <c r="AA156" i="12" s="1"/>
  <c r="X185" i="12"/>
  <c r="Y185" i="12" s="1"/>
  <c r="CW187" i="12"/>
  <c r="CT197" i="12"/>
  <c r="CW197" i="12" s="1"/>
  <c r="CT198" i="12"/>
  <c r="I241" i="1"/>
  <c r="CQ157" i="12"/>
  <c r="I238" i="1"/>
  <c r="W45" i="12"/>
  <c r="BD26" i="12" s="1"/>
  <c r="CO62" i="12"/>
  <c r="CQ62" i="12" s="1"/>
  <c r="CW110" i="12"/>
  <c r="CT112" i="12"/>
  <c r="CW112" i="12" s="1"/>
  <c r="CO122" i="12"/>
  <c r="CP122" i="12" s="1"/>
  <c r="CT130" i="12"/>
  <c r="CW130" i="12" s="1"/>
  <c r="CV138" i="12"/>
  <c r="N141" i="12"/>
  <c r="N148" i="12" s="1"/>
  <c r="BN142" i="12"/>
  <c r="CT154" i="12"/>
  <c r="CV154" i="12" s="1"/>
  <c r="CW154" i="12" s="1"/>
  <c r="CT186" i="12"/>
  <c r="CW186" i="12" s="1"/>
  <c r="CO187" i="12"/>
  <c r="CQ187" i="12" s="1"/>
  <c r="U189" i="12"/>
  <c r="CT189" i="12"/>
  <c r="X197" i="12"/>
  <c r="Y197" i="12" s="1"/>
  <c r="CT200" i="12"/>
  <c r="CW200" i="12" s="1"/>
  <c r="U202" i="12"/>
  <c r="V202" i="12" s="1"/>
  <c r="CT202" i="12"/>
  <c r="CU53" i="12"/>
  <c r="CV56" i="12"/>
  <c r="AY75" i="12"/>
  <c r="T80" i="12"/>
  <c r="CO17" i="12"/>
  <c r="CQ17" i="12" s="1"/>
  <c r="CO25" i="12"/>
  <c r="CP25" i="12" s="1"/>
  <c r="CV31" i="12"/>
  <c r="W29" i="12"/>
  <c r="BD15" i="12" s="1"/>
  <c r="CV52" i="12"/>
  <c r="CO53" i="12"/>
  <c r="CP53" i="12" s="1"/>
  <c r="CO56" i="12"/>
  <c r="CQ56" i="12" s="1"/>
  <c r="CT111" i="12"/>
  <c r="V116" i="12"/>
  <c r="BC39" i="12" s="1"/>
  <c r="AC164" i="12"/>
  <c r="X141" i="12"/>
  <c r="Y141" i="12" s="1"/>
  <c r="CT149" i="12"/>
  <c r="CV149" i="12" s="1"/>
  <c r="CW149" i="12" s="1"/>
  <c r="I229" i="1"/>
  <c r="N45" i="12"/>
  <c r="K226" i="1" s="1"/>
  <c r="K230" i="1" s="1"/>
  <c r="N71" i="12"/>
  <c r="BN71" i="12" s="1"/>
  <c r="AP11" i="12"/>
  <c r="W47" i="12"/>
  <c r="X47" i="12" s="1"/>
  <c r="X135" i="12"/>
  <c r="Y135" i="12" s="1"/>
  <c r="Z135" i="12" s="1"/>
  <c r="AA135" i="12" s="1"/>
  <c r="BF8" i="12"/>
  <c r="AX11" i="12"/>
  <c r="W27" i="12"/>
  <c r="BD16" i="12" s="1"/>
  <c r="CO33" i="12"/>
  <c r="U68" i="12"/>
  <c r="U74" i="12"/>
  <c r="W74" i="12" s="1"/>
  <c r="N150" i="12"/>
  <c r="I1341" i="9"/>
  <c r="K1341" i="9" s="1"/>
  <c r="N153" i="12"/>
  <c r="V153" i="12" s="1"/>
  <c r="X153" i="12" s="1"/>
  <c r="Y153" i="12" s="1"/>
  <c r="Z153" i="12" s="1"/>
  <c r="AA153" i="12" s="1"/>
  <c r="N155" i="12"/>
  <c r="V155" i="12" s="1"/>
  <c r="X155" i="12" s="1"/>
  <c r="Y155" i="12" s="1"/>
  <c r="Z155" i="12" s="1"/>
  <c r="AA155" i="12" s="1"/>
  <c r="CO158" i="12"/>
  <c r="CQ158" i="12" s="1"/>
  <c r="U186" i="12"/>
  <c r="CT193" i="12"/>
  <c r="CO196" i="12"/>
  <c r="I228" i="1"/>
  <c r="I234" i="1"/>
  <c r="CO110" i="12"/>
  <c r="CP110" i="12" s="1"/>
  <c r="O129" i="12"/>
  <c r="N149" i="12"/>
  <c r="I1340" i="9"/>
  <c r="I227" i="1"/>
  <c r="K233" i="1"/>
  <c r="CT194" i="12"/>
  <c r="CO199" i="12"/>
  <c r="CQ199" i="12" s="1"/>
  <c r="CW201" i="12"/>
  <c r="V47" i="12"/>
  <c r="BC27" i="12" s="1"/>
  <c r="V49" i="12"/>
  <c r="BC28" i="12" s="1"/>
  <c r="X111" i="12"/>
  <c r="W115" i="12"/>
  <c r="BD41" i="12" s="1"/>
  <c r="CT115" i="12"/>
  <c r="CV115" i="12" s="1"/>
  <c r="CO116" i="12"/>
  <c r="CQ116" i="12" s="1"/>
  <c r="N160" i="12"/>
  <c r="U187" i="12"/>
  <c r="I233" i="1"/>
  <c r="L230" i="1"/>
  <c r="BK7" i="12"/>
  <c r="BK8" i="12" s="1"/>
  <c r="BK11" i="12"/>
  <c r="BK12" i="12" s="1"/>
  <c r="BK15" i="12" s="1"/>
  <c r="BK16" i="12" s="1"/>
  <c r="BL11" i="12"/>
  <c r="BL12" i="12" s="1"/>
  <c r="BL15" i="12" s="1"/>
  <c r="BL16" i="12" s="1"/>
  <c r="BL17" i="12" s="1"/>
  <c r="BL18" i="12" s="1"/>
  <c r="BL19" i="12" s="1"/>
  <c r="BL20" i="12" s="1"/>
  <c r="BL21" i="12" s="1"/>
  <c r="BL22" i="12" s="1"/>
  <c r="BL23" i="12" s="1"/>
  <c r="BL24" i="12" s="1"/>
  <c r="BL25" i="12" s="1"/>
  <c r="BL26" i="12" s="1"/>
  <c r="BL27" i="12" s="1"/>
  <c r="BL28" i="12" s="1"/>
  <c r="BL29" i="12" s="1"/>
  <c r="BL30" i="12" s="1"/>
  <c r="BL31" i="12" s="1"/>
  <c r="BL32" i="12" s="1"/>
  <c r="BL33" i="12" s="1"/>
  <c r="BL34" i="12" s="1"/>
  <c r="BL36" i="12" s="1"/>
  <c r="BL37" i="12" s="1"/>
  <c r="BL38" i="12" s="1"/>
  <c r="BL39" i="12" s="1"/>
  <c r="BL41" i="12" s="1"/>
  <c r="BL42" i="12" s="1"/>
  <c r="BL44" i="12" s="1"/>
  <c r="BL45" i="12" s="1"/>
  <c r="BL46" i="12" s="1"/>
  <c r="BL47" i="12" s="1"/>
  <c r="BL48" i="12" s="1"/>
  <c r="BL51" i="12" s="1"/>
  <c r="BL52" i="12" s="1"/>
  <c r="BL53" i="12" s="1"/>
  <c r="BL54" i="12" s="1"/>
  <c r="BL55" i="12" s="1"/>
  <c r="BL56" i="12" s="1"/>
  <c r="BL57" i="12" s="1"/>
  <c r="BL58" i="12" s="1"/>
  <c r="BL59" i="12" s="1"/>
  <c r="BL60" i="12" s="1"/>
  <c r="BL62" i="12" s="1"/>
  <c r="BL67" i="12" s="1"/>
  <c r="BL68" i="12" s="1"/>
  <c r="BL69" i="12" s="1"/>
  <c r="BL70" i="12" s="1"/>
  <c r="BL71" i="12" s="1"/>
  <c r="BL72" i="12" s="1"/>
  <c r="BL7" i="12"/>
  <c r="BL8" i="12" s="1"/>
  <c r="V11" i="12"/>
  <c r="BC14" i="12" s="1"/>
  <c r="BN11" i="12"/>
  <c r="BR11" i="12" s="1"/>
  <c r="V15" i="12"/>
  <c r="BC12" i="12" s="1"/>
  <c r="BN15" i="12"/>
  <c r="BR15" i="12" s="1"/>
  <c r="V22" i="12"/>
  <c r="BC11" i="12" s="1"/>
  <c r="BM23" i="12"/>
  <c r="BQ23" i="12" s="1"/>
  <c r="W38" i="12"/>
  <c r="X38" i="12" s="1"/>
  <c r="U41" i="12"/>
  <c r="BD19" i="12"/>
  <c r="M31" i="12"/>
  <c r="BM31" i="12" s="1"/>
  <c r="BQ31" i="12" s="1"/>
  <c r="BM28" i="12"/>
  <c r="BQ28" i="12" s="1"/>
  <c r="BM30" i="12"/>
  <c r="BQ30" i="12" s="1"/>
  <c r="V29" i="12"/>
  <c r="BC15" i="12" s="1"/>
  <c r="BN36" i="12"/>
  <c r="BR36" i="12" s="1"/>
  <c r="V36" i="12"/>
  <c r="BC29" i="12" s="1"/>
  <c r="U19" i="12"/>
  <c r="W7" i="12"/>
  <c r="BN26" i="12"/>
  <c r="BR26" i="12" s="1"/>
  <c r="M26" i="12"/>
  <c r="BM26" i="12" s="1"/>
  <c r="BQ26" i="12" s="1"/>
  <c r="BM21" i="12"/>
  <c r="BQ21" i="12" s="1"/>
  <c r="BN24" i="12"/>
  <c r="BR24" i="12" s="1"/>
  <c r="V24" i="12"/>
  <c r="BC7" i="12" s="1"/>
  <c r="CQ15" i="12"/>
  <c r="W20" i="12"/>
  <c r="BD8" i="12" s="1"/>
  <c r="U26" i="12"/>
  <c r="BD11" i="12"/>
  <c r="V7" i="12"/>
  <c r="BC13" i="12" s="1"/>
  <c r="BN7" i="12"/>
  <c r="BR7" i="12" s="1"/>
  <c r="N19" i="12"/>
  <c r="AO7" i="12"/>
  <c r="BH14" i="12"/>
  <c r="BN20" i="12"/>
  <c r="BR20" i="12" s="1"/>
  <c r="CW24" i="12"/>
  <c r="V37" i="12"/>
  <c r="BC30" i="12" s="1"/>
  <c r="CV37" i="12"/>
  <c r="T51" i="12"/>
  <c r="CQ47" i="12"/>
  <c r="CW47" i="12"/>
  <c r="BP71" i="12"/>
  <c r="BR71" i="12" s="1"/>
  <c r="M19" i="12"/>
  <c r="BM19" i="12" s="1"/>
  <c r="BQ19" i="12" s="1"/>
  <c r="BD30" i="12"/>
  <c r="T31" i="12"/>
  <c r="BO71" i="12"/>
  <c r="BQ71" i="12" s="1"/>
  <c r="CW7" i="12"/>
  <c r="CU8" i="12"/>
  <c r="CU19" i="12" s="1"/>
  <c r="CV11" i="12"/>
  <c r="CV19" i="12" s="1"/>
  <c r="CO22" i="12"/>
  <c r="CQ22" i="12" s="1"/>
  <c r="CO29" i="12"/>
  <c r="CQ29" i="12" s="1"/>
  <c r="CQ31" i="12" s="1"/>
  <c r="U31" i="12"/>
  <c r="CV36" i="12"/>
  <c r="BG51" i="12"/>
  <c r="BN52" i="12"/>
  <c r="BR52" i="12" s="1"/>
  <c r="V52" i="12"/>
  <c r="BC21" i="12" s="1"/>
  <c r="V17" i="12"/>
  <c r="BC19" i="12" s="1"/>
  <c r="V20" i="12"/>
  <c r="BC8" i="12" s="1"/>
  <c r="CW23" i="12"/>
  <c r="CU25" i="12"/>
  <c r="CU26" i="12" s="1"/>
  <c r="V27" i="12"/>
  <c r="BC16" i="12" s="1"/>
  <c r="BN27" i="12"/>
  <c r="BR27" i="12" s="1"/>
  <c r="CV35" i="12"/>
  <c r="BN38" i="12"/>
  <c r="BR38" i="12" s="1"/>
  <c r="BN44" i="12"/>
  <c r="BR44" i="12" s="1"/>
  <c r="V44" i="12"/>
  <c r="CW44" i="12"/>
  <c r="BN47" i="12"/>
  <c r="BR47" i="12" s="1"/>
  <c r="CO49" i="12"/>
  <c r="U51" i="12"/>
  <c r="U67" i="12"/>
  <c r="W52" i="12"/>
  <c r="T26" i="12"/>
  <c r="BN42" i="12"/>
  <c r="BR42" i="12" s="1"/>
  <c r="N51" i="12"/>
  <c r="V42" i="12"/>
  <c r="BC24" i="12" s="1"/>
  <c r="V54" i="12"/>
  <c r="BC20" i="12" s="1"/>
  <c r="BN54" i="12"/>
  <c r="BR54" i="12" s="1"/>
  <c r="CV22" i="12"/>
  <c r="CV26" i="12" s="1"/>
  <c r="CW27" i="12"/>
  <c r="CU48" i="12"/>
  <c r="CV62" i="12"/>
  <c r="AN72" i="12"/>
  <c r="AN77" i="12" s="1"/>
  <c r="V35" i="12"/>
  <c r="X35" i="12" s="1"/>
  <c r="N41" i="12"/>
  <c r="BM46" i="12"/>
  <c r="BQ46" i="12" s="1"/>
  <c r="M51" i="12"/>
  <c r="BM51" i="12" s="1"/>
  <c r="BQ51" i="12" s="1"/>
  <c r="BN58" i="12"/>
  <c r="BR58" i="12" s="1"/>
  <c r="AO77" i="12"/>
  <c r="CW111" i="12"/>
  <c r="CV111" i="12"/>
  <c r="V117" i="12"/>
  <c r="BN117" i="12"/>
  <c r="N113" i="12"/>
  <c r="M113" i="12"/>
  <c r="N112" i="12"/>
  <c r="V115" i="12"/>
  <c r="BN115" i="12"/>
  <c r="N124" i="12"/>
  <c r="T67" i="12"/>
  <c r="CW55" i="12"/>
  <c r="CU55" i="12"/>
  <c r="X109" i="12"/>
  <c r="U109" i="12"/>
  <c r="U114" i="12" s="1"/>
  <c r="CV114" i="12"/>
  <c r="V132" i="12"/>
  <c r="BN132" i="12"/>
  <c r="BN56" i="12"/>
  <c r="BR56" i="12" s="1"/>
  <c r="BN60" i="12"/>
  <c r="BR60" i="12" s="1"/>
  <c r="V60" i="12"/>
  <c r="BC23" i="12" s="1"/>
  <c r="BN76" i="12"/>
  <c r="V76" i="12"/>
  <c r="N80" i="12"/>
  <c r="O80" i="12" s="1"/>
  <c r="Z82" i="12"/>
  <c r="CV132" i="12"/>
  <c r="CV42" i="12"/>
  <c r="CV51" i="12" s="1"/>
  <c r="CU46" i="12"/>
  <c r="BN62" i="12"/>
  <c r="BR62" i="12" s="1"/>
  <c r="O60" i="12"/>
  <c r="V62" i="12"/>
  <c r="X62" i="12" s="1"/>
  <c r="BN68" i="12"/>
  <c r="BR68" i="12" s="1"/>
  <c r="N69" i="12"/>
  <c r="N70" i="12" s="1"/>
  <c r="W76" i="12"/>
  <c r="U80" i="12"/>
  <c r="W80" i="12" s="1"/>
  <c r="N83" i="12"/>
  <c r="O83" i="12" s="1"/>
  <c r="U83" i="12"/>
  <c r="W83" i="12" s="1"/>
  <c r="M124" i="12"/>
  <c r="M164" i="12" s="1"/>
  <c r="U137" i="12"/>
  <c r="AG142" i="12"/>
  <c r="Y142" i="12"/>
  <c r="W147" i="12"/>
  <c r="BD42" i="12" s="1"/>
  <c r="W68" i="12"/>
  <c r="U69" i="12"/>
  <c r="W69" i="12" s="1"/>
  <c r="X110" i="12"/>
  <c r="T110" i="12"/>
  <c r="AG116" i="12"/>
  <c r="Y116" i="12"/>
  <c r="CW116" i="12"/>
  <c r="CW131" i="12"/>
  <c r="CQ148" i="12"/>
  <c r="AO149" i="12"/>
  <c r="AJ149" i="12"/>
  <c r="AP149" i="12" s="1"/>
  <c r="X194" i="12"/>
  <c r="Y194" i="12" s="1"/>
  <c r="T194" i="12"/>
  <c r="N136" i="12"/>
  <c r="BN192" i="12"/>
  <c r="O192" i="12"/>
  <c r="N204" i="12"/>
  <c r="X195" i="12"/>
  <c r="Y195" i="12" s="1"/>
  <c r="T195" i="12"/>
  <c r="V195" i="12" s="1"/>
  <c r="X201" i="12"/>
  <c r="Y201" i="12" s="1"/>
  <c r="U201" i="12"/>
  <c r="V201" i="12" s="1"/>
  <c r="T112" i="12"/>
  <c r="AJ116" i="12"/>
  <c r="AP116" i="12" s="1"/>
  <c r="AH130" i="12"/>
  <c r="CT134" i="12"/>
  <c r="X144" i="12"/>
  <c r="Y144" i="12" s="1"/>
  <c r="Z144" i="12" s="1"/>
  <c r="AA144" i="12" s="1"/>
  <c r="CV147" i="12"/>
  <c r="U160" i="12"/>
  <c r="W158" i="12"/>
  <c r="X158" i="12" s="1"/>
  <c r="Y158" i="12" s="1"/>
  <c r="CW189" i="12"/>
  <c r="CV189" i="12"/>
  <c r="X196" i="12"/>
  <c r="Y196" i="12" s="1"/>
  <c r="T196" i="12"/>
  <c r="V196" i="12" s="1"/>
  <c r="BN199" i="12"/>
  <c r="O199" i="12"/>
  <c r="V138" i="12"/>
  <c r="Z138" i="12" s="1"/>
  <c r="AA138" i="12" s="1"/>
  <c r="CT140" i="12"/>
  <c r="V147" i="12"/>
  <c r="BC42" i="12" s="1"/>
  <c r="AO150" i="12"/>
  <c r="AJ150" i="12"/>
  <c r="AP150" i="12" s="1"/>
  <c r="N163" i="12"/>
  <c r="V161" i="12"/>
  <c r="N191" i="12"/>
  <c r="O191" i="12" s="1"/>
  <c r="CV68" i="12"/>
  <c r="CV70" i="12" s="1"/>
  <c r="V130" i="12"/>
  <c r="Z130" i="12" s="1"/>
  <c r="AA130" i="12" s="1"/>
  <c r="V131" i="12"/>
  <c r="X131" i="12" s="1"/>
  <c r="U151" i="12"/>
  <c r="W149" i="12"/>
  <c r="U163" i="12"/>
  <c r="W161" i="12"/>
  <c r="CW193" i="12"/>
  <c r="CV193" i="12"/>
  <c r="BN130" i="12"/>
  <c r="V149" i="12"/>
  <c r="BC45" i="12" s="1"/>
  <c r="CV159" i="12"/>
  <c r="BL199" i="12"/>
  <c r="BL200" i="12" s="1"/>
  <c r="BL192" i="12"/>
  <c r="X190" i="12"/>
  <c r="Y190" i="12" s="1"/>
  <c r="U190" i="12"/>
  <c r="BN193" i="12"/>
  <c r="O193" i="12"/>
  <c r="BN200" i="12"/>
  <c r="O200" i="12"/>
  <c r="CW202" i="12"/>
  <c r="CW208" i="12" s="1"/>
  <c r="CV202" i="12"/>
  <c r="X145" i="12"/>
  <c r="Y145" i="12" s="1"/>
  <c r="Z145" i="12" s="1"/>
  <c r="AA145" i="12" s="1"/>
  <c r="CW188" i="12"/>
  <c r="CV188" i="12"/>
  <c r="AO115" i="12"/>
  <c r="AO165" i="12" s="1"/>
  <c r="Y132" i="12"/>
  <c r="U141" i="12"/>
  <c r="W141" i="12" s="1"/>
  <c r="CT150" i="12"/>
  <c r="CV150" i="12" s="1"/>
  <c r="CW150" i="12" s="1"/>
  <c r="U157" i="12"/>
  <c r="W152" i="12"/>
  <c r="X159" i="12"/>
  <c r="Y159" i="12" s="1"/>
  <c r="BN184" i="12"/>
  <c r="BN191" i="12" s="1"/>
  <c r="CW185" i="12"/>
  <c r="CV185" i="12"/>
  <c r="X198" i="12"/>
  <c r="Y198" i="12" s="1"/>
  <c r="X199" i="12"/>
  <c r="Y199" i="12" s="1"/>
  <c r="M205" i="12"/>
  <c r="AB193" i="12" s="1"/>
  <c r="BN134" i="12"/>
  <c r="AJ147" i="12"/>
  <c r="AP147" i="12" s="1"/>
  <c r="BN202" i="12"/>
  <c r="U184" i="12"/>
  <c r="U193" i="12"/>
  <c r="V193" i="12" s="1"/>
  <c r="BN201" i="12"/>
  <c r="CV200" i="12" l="1"/>
  <c r="CV135" i="12"/>
  <c r="W19" i="12"/>
  <c r="Z19" i="12" s="1"/>
  <c r="AA19" i="12" s="1"/>
  <c r="CQ68" i="12"/>
  <c r="CV117" i="12"/>
  <c r="BN45" i="12"/>
  <c r="BR45" i="12" s="1"/>
  <c r="CW198" i="12"/>
  <c r="CW199" i="12"/>
  <c r="V45" i="12"/>
  <c r="BC26" i="12" s="1"/>
  <c r="CW42" i="12"/>
  <c r="CU51" i="12"/>
  <c r="X42" i="12"/>
  <c r="N75" i="12"/>
  <c r="CP31" i="12"/>
  <c r="CP76" i="12" s="1"/>
  <c r="CQ67" i="12"/>
  <c r="AP115" i="12"/>
  <c r="AP165" i="12" s="1"/>
  <c r="CQ69" i="12"/>
  <c r="Z20" i="12"/>
  <c r="CQ124" i="12"/>
  <c r="V58" i="12"/>
  <c r="BC22" i="12" s="1"/>
  <c r="N67" i="12"/>
  <c r="BN67" i="12" s="1"/>
  <c r="BR67" i="12" s="1"/>
  <c r="CW54" i="12"/>
  <c r="CV192" i="12"/>
  <c r="V56" i="12"/>
  <c r="X56" i="12" s="1"/>
  <c r="AG56" i="12" s="1"/>
  <c r="Y24" i="12"/>
  <c r="V71" i="12"/>
  <c r="Z71" i="12" s="1"/>
  <c r="AA71" i="12" s="1"/>
  <c r="CW142" i="12"/>
  <c r="X45" i="12"/>
  <c r="BE26" i="12" s="1"/>
  <c r="O19" i="12"/>
  <c r="AG24" i="12"/>
  <c r="CQ204" i="12"/>
  <c r="CQ205" i="12" s="1"/>
  <c r="CQ206" i="12" s="1"/>
  <c r="CQ207" i="12" s="1"/>
  <c r="CP19" i="12"/>
  <c r="CW190" i="12"/>
  <c r="O56" i="12"/>
  <c r="M67" i="12"/>
  <c r="CP26" i="12"/>
  <c r="CV184" i="12"/>
  <c r="W41" i="12"/>
  <c r="CW21" i="12"/>
  <c r="CW109" i="12"/>
  <c r="CW20" i="12"/>
  <c r="CP124" i="12"/>
  <c r="CW159" i="12"/>
  <c r="CV186" i="12"/>
  <c r="CU112" i="12"/>
  <c r="CU114" i="12" s="1"/>
  <c r="CU164" i="12" s="1"/>
  <c r="CW58" i="12"/>
  <c r="CW62" i="12"/>
  <c r="CQ51" i="12"/>
  <c r="CW18" i="12"/>
  <c r="CP113" i="12"/>
  <c r="CQ113" i="12"/>
  <c r="CW158" i="12"/>
  <c r="CQ39" i="12"/>
  <c r="X76" i="12"/>
  <c r="Y76" i="12" s="1"/>
  <c r="Z76" i="12" s="1"/>
  <c r="AA76" i="12" s="1"/>
  <c r="CW60" i="12"/>
  <c r="CW36" i="12"/>
  <c r="CW11" i="12"/>
  <c r="CV141" i="12"/>
  <c r="CQ136" i="12"/>
  <c r="CP51" i="12"/>
  <c r="CW37" i="12"/>
  <c r="CW115" i="12"/>
  <c r="X115" i="12"/>
  <c r="AG115" i="12" s="1"/>
  <c r="U75" i="12"/>
  <c r="S75" i="12" s="1"/>
  <c r="W75" i="12" s="1"/>
  <c r="M75" i="12"/>
  <c r="CW35" i="12"/>
  <c r="X49" i="12"/>
  <c r="BE28" i="12" s="1"/>
  <c r="CW38" i="12"/>
  <c r="L239" i="1"/>
  <c r="CQ160" i="12"/>
  <c r="CW52" i="12"/>
  <c r="CP67" i="12"/>
  <c r="X37" i="12"/>
  <c r="Y37" i="12" s="1"/>
  <c r="CV67" i="12"/>
  <c r="X78" i="12"/>
  <c r="Y78" i="12" s="1"/>
  <c r="Z78" i="12" s="1"/>
  <c r="AA78" i="12" s="1"/>
  <c r="CU67" i="12"/>
  <c r="CU71" i="12" s="1"/>
  <c r="CV130" i="12"/>
  <c r="Y117" i="12"/>
  <c r="AH117" i="12" s="1"/>
  <c r="T84" i="12"/>
  <c r="CW48" i="12"/>
  <c r="CQ191" i="12"/>
  <c r="Z140" i="12"/>
  <c r="AA140" i="12" s="1"/>
  <c r="BH43" i="12" s="1"/>
  <c r="BC43" i="12"/>
  <c r="W165" i="12"/>
  <c r="N157" i="12"/>
  <c r="BD27" i="12"/>
  <c r="CQ26" i="12"/>
  <c r="CW194" i="12"/>
  <c r="CQ19" i="12"/>
  <c r="O124" i="12"/>
  <c r="W51" i="12"/>
  <c r="O31" i="12"/>
  <c r="V141" i="12"/>
  <c r="Z141" i="12" s="1"/>
  <c r="AA141" i="12" s="1"/>
  <c r="BN141" i="12"/>
  <c r="CW16" i="12"/>
  <c r="CW56" i="12"/>
  <c r="BN148" i="12"/>
  <c r="BN164" i="12" s="1"/>
  <c r="N151" i="12"/>
  <c r="X58" i="12"/>
  <c r="CW29" i="12"/>
  <c r="CW17" i="12"/>
  <c r="U191" i="12"/>
  <c r="X147" i="12"/>
  <c r="AG147" i="12" s="1"/>
  <c r="U148" i="12"/>
  <c r="U164" i="12" s="1"/>
  <c r="CW22" i="12"/>
  <c r="V150" i="12"/>
  <c r="X150" i="12" s="1"/>
  <c r="AG150" i="12" s="1"/>
  <c r="BC44" i="12"/>
  <c r="AG140" i="12"/>
  <c r="BE43" i="12"/>
  <c r="X60" i="12"/>
  <c r="AG60" i="12" s="1"/>
  <c r="CV39" i="12"/>
  <c r="CV71" i="12" s="1"/>
  <c r="X36" i="12"/>
  <c r="Y36" i="12" s="1"/>
  <c r="X15" i="12"/>
  <c r="AG15" i="12" s="1"/>
  <c r="O26" i="12"/>
  <c r="K231" i="1"/>
  <c r="D272" i="1" s="1"/>
  <c r="Y62" i="12"/>
  <c r="Z62" i="12" s="1"/>
  <c r="AG62" i="12"/>
  <c r="Y131" i="12"/>
  <c r="AG131" i="12"/>
  <c r="Y35" i="12"/>
  <c r="AG35" i="12"/>
  <c r="CW140" i="12"/>
  <c r="CV140" i="12"/>
  <c r="CV148" i="12" s="1"/>
  <c r="X152" i="12"/>
  <c r="Y152" i="12" s="1"/>
  <c r="Z152" i="12" s="1"/>
  <c r="AA152" i="12" s="1"/>
  <c r="CV151" i="12"/>
  <c r="X149" i="12"/>
  <c r="BD45" i="12"/>
  <c r="T114" i="12"/>
  <c r="T164" i="12" s="1"/>
  <c r="CV124" i="12"/>
  <c r="O114" i="12"/>
  <c r="L114" i="12"/>
  <c r="X54" i="12"/>
  <c r="W31" i="12"/>
  <c r="Z31" i="12" s="1"/>
  <c r="AA31" i="12" s="1"/>
  <c r="X27" i="12"/>
  <c r="X29" i="12"/>
  <c r="Z116" i="12"/>
  <c r="AA116" i="12" s="1"/>
  <c r="BH39" i="12" s="1"/>
  <c r="AH116" i="12"/>
  <c r="BF39" i="12"/>
  <c r="BN69" i="12"/>
  <c r="BR69" i="12" s="1"/>
  <c r="V69" i="12"/>
  <c r="BC18" i="12" s="1"/>
  <c r="M84" i="12"/>
  <c r="BM67" i="12"/>
  <c r="BQ67" i="12" s="1"/>
  <c r="X22" i="12"/>
  <c r="U204" i="12"/>
  <c r="O137" i="12"/>
  <c r="L136" i="12"/>
  <c r="BN70" i="12"/>
  <c r="BR70" i="12" s="1"/>
  <c r="O70" i="12"/>
  <c r="O75" i="12"/>
  <c r="BE12" i="12"/>
  <c r="Y15" i="12"/>
  <c r="BD18" i="12"/>
  <c r="Y47" i="12"/>
  <c r="AG47" i="12"/>
  <c r="BE27" i="12"/>
  <c r="X44" i="12"/>
  <c r="BC25" i="12"/>
  <c r="BE30" i="12"/>
  <c r="AG37" i="12"/>
  <c r="BD13" i="12"/>
  <c r="X7" i="12"/>
  <c r="X68" i="12"/>
  <c r="BD17" i="12"/>
  <c r="AH142" i="12"/>
  <c r="Z142" i="12"/>
  <c r="AA142" i="12" s="1"/>
  <c r="CV160" i="12"/>
  <c r="O41" i="12"/>
  <c r="BN41" i="12"/>
  <c r="BR41" i="12" s="1"/>
  <c r="Y42" i="12"/>
  <c r="BE24" i="12"/>
  <c r="AG42" i="12"/>
  <c r="N84" i="12"/>
  <c r="O67" i="12"/>
  <c r="AH24" i="12"/>
  <c r="AJ24" i="12" s="1"/>
  <c r="Z24" i="12"/>
  <c r="AA24" i="12" s="1"/>
  <c r="X17" i="12"/>
  <c r="BN205" i="12"/>
  <c r="CV204" i="12"/>
  <c r="CW134" i="12"/>
  <c r="CV134" i="12"/>
  <c r="CV137" i="12" s="1"/>
  <c r="T204" i="12"/>
  <c r="T205" i="12" s="1"/>
  <c r="V194" i="12"/>
  <c r="U70" i="12"/>
  <c r="W70" i="12" s="1"/>
  <c r="BC41" i="12"/>
  <c r="X52" i="12"/>
  <c r="BD21" i="12"/>
  <c r="BN19" i="12"/>
  <c r="BR19" i="12" s="1"/>
  <c r="BK19" i="12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2" i="12" s="1"/>
  <c r="BK33" i="12" s="1"/>
  <c r="BK34" i="12" s="1"/>
  <c r="BK36" i="12" s="1"/>
  <c r="BK37" i="12" s="1"/>
  <c r="BK38" i="12" s="1"/>
  <c r="BK39" i="12" s="1"/>
  <c r="BK41" i="12" s="1"/>
  <c r="BK42" i="12" s="1"/>
  <c r="BK44" i="12" s="1"/>
  <c r="BK45" i="12" s="1"/>
  <c r="BK46" i="12" s="1"/>
  <c r="BK47" i="12" s="1"/>
  <c r="BK48" i="12" s="1"/>
  <c r="BK51" i="12" s="1"/>
  <c r="BK52" i="12" s="1"/>
  <c r="BK53" i="12" s="1"/>
  <c r="BK54" i="12" s="1"/>
  <c r="BK55" i="12" s="1"/>
  <c r="BK56" i="12" s="1"/>
  <c r="BK57" i="12" s="1"/>
  <c r="BK58" i="12" s="1"/>
  <c r="BK59" i="12" s="1"/>
  <c r="BK60" i="12" s="1"/>
  <c r="BK62" i="12" s="1"/>
  <c r="BK67" i="12" s="1"/>
  <c r="BK68" i="12" s="1"/>
  <c r="BK69" i="12" s="1"/>
  <c r="BK70" i="12" s="1"/>
  <c r="BK71" i="12" s="1"/>
  <c r="BK72" i="12" s="1"/>
  <c r="BK17" i="12"/>
  <c r="BK18" i="12" s="1"/>
  <c r="W67" i="12"/>
  <c r="W26" i="12"/>
  <c r="Z26" i="12" s="1"/>
  <c r="AA26" i="12" s="1"/>
  <c r="AH132" i="12"/>
  <c r="Z132" i="12"/>
  <c r="AA132" i="12" s="1"/>
  <c r="O204" i="12"/>
  <c r="N205" i="12"/>
  <c r="N206" i="12" s="1"/>
  <c r="N207" i="12" s="1"/>
  <c r="AA20" i="12"/>
  <c r="AW26" i="12"/>
  <c r="O51" i="12"/>
  <c r="BN51" i="12"/>
  <c r="BR51" i="12" s="1"/>
  <c r="BP72" i="12"/>
  <c r="Y38" i="12"/>
  <c r="AG38" i="12"/>
  <c r="BE41" i="12" l="1"/>
  <c r="Y115" i="12"/>
  <c r="Y56" i="12"/>
  <c r="BE42" i="12"/>
  <c r="CQ70" i="12"/>
  <c r="AG45" i="12"/>
  <c r="N164" i="12"/>
  <c r="N165" i="12" s="1"/>
  <c r="N168" i="12" s="1"/>
  <c r="Y45" i="12"/>
  <c r="BF26" i="12" s="1"/>
  <c r="Y147" i="12"/>
  <c r="Z147" i="12" s="1"/>
  <c r="AA147" i="12" s="1"/>
  <c r="BH42" i="12" s="1"/>
  <c r="BE44" i="12"/>
  <c r="U165" i="12"/>
  <c r="O168" i="12" s="1"/>
  <c r="CQ71" i="12"/>
  <c r="CV191" i="12"/>
  <c r="CV205" i="12" s="1"/>
  <c r="CV206" i="12" s="1"/>
  <c r="CV207" i="12" s="1"/>
  <c r="U205" i="12"/>
  <c r="CQ164" i="12"/>
  <c r="CO114" i="12"/>
  <c r="CV72" i="12"/>
  <c r="CV76" i="12" s="1"/>
  <c r="CV77" i="12" s="1"/>
  <c r="Y150" i="12"/>
  <c r="BF44" i="12" s="1"/>
  <c r="Y60" i="12"/>
  <c r="AH60" i="12" s="1"/>
  <c r="Y49" i="12"/>
  <c r="BF28" i="12" s="1"/>
  <c r="CP164" i="12"/>
  <c r="CP71" i="12"/>
  <c r="BE23" i="12"/>
  <c r="V165" i="12"/>
  <c r="X165" i="12" s="1"/>
  <c r="I164" i="12"/>
  <c r="I165" i="12" s="1"/>
  <c r="Z117" i="12"/>
  <c r="AA117" i="12" s="1"/>
  <c r="W85" i="12"/>
  <c r="N85" i="12"/>
  <c r="N88" i="12" s="1"/>
  <c r="AG36" i="12"/>
  <c r="BE29" i="12"/>
  <c r="AG58" i="12"/>
  <c r="Y58" i="12"/>
  <c r="BE22" i="12"/>
  <c r="Y17" i="12"/>
  <c r="AG17" i="12"/>
  <c r="BE19" i="12"/>
  <c r="Y52" i="12"/>
  <c r="AG52" i="12"/>
  <c r="BE21" i="12"/>
  <c r="BE11" i="12"/>
  <c r="AG22" i="12"/>
  <c r="Y22" i="12"/>
  <c r="CW151" i="12"/>
  <c r="CV164" i="12"/>
  <c r="CV165" i="12" s="1"/>
  <c r="Z56" i="12"/>
  <c r="AA56" i="12" s="1"/>
  <c r="AH56" i="12"/>
  <c r="Z38" i="12"/>
  <c r="AA38" i="12" s="1"/>
  <c r="AH38" i="12"/>
  <c r="AH150" i="12"/>
  <c r="BF42" i="12"/>
  <c r="BF30" i="12"/>
  <c r="AH37" i="12"/>
  <c r="Z37" i="12"/>
  <c r="AA37" i="12" s="1"/>
  <c r="AG29" i="12"/>
  <c r="Y29" i="12"/>
  <c r="BE15" i="12"/>
  <c r="AH15" i="12"/>
  <c r="Z15" i="12"/>
  <c r="AA15" i="12" s="1"/>
  <c r="BF12" i="12"/>
  <c r="AG27" i="12"/>
  <c r="Y27" i="12"/>
  <c r="BE16" i="12"/>
  <c r="BR72" i="12"/>
  <c r="BP76" i="12"/>
  <c r="BE25" i="12"/>
  <c r="AG44" i="12"/>
  <c r="Y44" i="12"/>
  <c r="AH35" i="12"/>
  <c r="Z35" i="12"/>
  <c r="AA35" i="12" s="1"/>
  <c r="AG68" i="12"/>
  <c r="Y68" i="12"/>
  <c r="BE17" i="12"/>
  <c r="BF24" i="12"/>
  <c r="AH42" i="12"/>
  <c r="Z42" i="12"/>
  <c r="AH36" i="12"/>
  <c r="Z36" i="12"/>
  <c r="BF29" i="12"/>
  <c r="AH115" i="12"/>
  <c r="Z115" i="12"/>
  <c r="BF41" i="12"/>
  <c r="AG7" i="12"/>
  <c r="BE13" i="12"/>
  <c r="Y7" i="12"/>
  <c r="AC165" i="12"/>
  <c r="AH131" i="12"/>
  <c r="Z131" i="12"/>
  <c r="AA131" i="12" s="1"/>
  <c r="AX20" i="12"/>
  <c r="BH8" i="12"/>
  <c r="AJ20" i="12"/>
  <c r="AP20" i="12" s="1"/>
  <c r="AH47" i="12"/>
  <c r="AJ47" i="12" s="1"/>
  <c r="Z47" i="12"/>
  <c r="AA47" i="12" s="1"/>
  <c r="BF27" i="12"/>
  <c r="X69" i="12"/>
  <c r="U206" i="12"/>
  <c r="Y149" i="12"/>
  <c r="AG149" i="12"/>
  <c r="BE45" i="12"/>
  <c r="U84" i="12"/>
  <c r="U85" i="12" s="1"/>
  <c r="Y54" i="12"/>
  <c r="BE20" i="12"/>
  <c r="AG54" i="12"/>
  <c r="AA62" i="12"/>
  <c r="CQ165" i="12" l="1"/>
  <c r="CW165" i="12" s="1"/>
  <c r="CW166" i="12" s="1"/>
  <c r="AH45" i="12"/>
  <c r="Z45" i="12"/>
  <c r="AA45" i="12" s="1"/>
  <c r="Z49" i="12"/>
  <c r="AA49" i="12" s="1"/>
  <c r="AX49" i="12" s="1"/>
  <c r="Z60" i="12"/>
  <c r="AA60" i="12" s="1"/>
  <c r="BH23" i="12" s="1"/>
  <c r="Z150" i="12"/>
  <c r="AA150" i="12" s="1"/>
  <c r="BH44" i="12" s="1"/>
  <c r="AH147" i="12"/>
  <c r="CQ72" i="12"/>
  <c r="CW72" i="12" s="1"/>
  <c r="CW73" i="12" s="1"/>
  <c r="CQ76" i="12"/>
  <c r="CQ77" i="12" s="1"/>
  <c r="CW77" i="12" s="1"/>
  <c r="CW78" i="12" s="1"/>
  <c r="BF23" i="12"/>
  <c r="BF22" i="12"/>
  <c r="Z58" i="12"/>
  <c r="AA58" i="12" s="1"/>
  <c r="AH58" i="12"/>
  <c r="AG69" i="12"/>
  <c r="Y69" i="12"/>
  <c r="BE18" i="12"/>
  <c r="AX47" i="12"/>
  <c r="BH27" i="12"/>
  <c r="BG27" i="12" s="1"/>
  <c r="AA42" i="12"/>
  <c r="AH29" i="12"/>
  <c r="AJ29" i="12" s="1"/>
  <c r="Z29" i="12"/>
  <c r="AA29" i="12" s="1"/>
  <c r="BH15" i="12" s="1"/>
  <c r="BF15" i="12"/>
  <c r="Z27" i="12"/>
  <c r="AH27" i="12"/>
  <c r="BF16" i="12"/>
  <c r="Z149" i="12"/>
  <c r="AA149" i="12" s="1"/>
  <c r="BH45" i="12" s="1"/>
  <c r="AH149" i="12"/>
  <c r="BF45" i="12"/>
  <c r="AX37" i="12"/>
  <c r="BH30" i="12"/>
  <c r="AJ37" i="12"/>
  <c r="AP37" i="12" s="1"/>
  <c r="AH54" i="12"/>
  <c r="Z54" i="12"/>
  <c r="BF20" i="12"/>
  <c r="AC206" i="12"/>
  <c r="U207" i="12"/>
  <c r="AC207" i="12" s="1"/>
  <c r="AA115" i="12"/>
  <c r="BH41" i="12" s="1"/>
  <c r="AW117" i="12"/>
  <c r="AH44" i="12"/>
  <c r="BF25" i="12"/>
  <c r="Z44" i="12"/>
  <c r="AA44" i="12" s="1"/>
  <c r="BF11" i="12"/>
  <c r="AH22" i="12"/>
  <c r="Z22" i="12"/>
  <c r="AA22" i="12" s="1"/>
  <c r="AH52" i="12"/>
  <c r="Z52" i="12"/>
  <c r="AA52" i="12" s="1"/>
  <c r="BF21" i="12"/>
  <c r="Z68" i="12"/>
  <c r="AH68" i="12"/>
  <c r="BF17" i="12"/>
  <c r="AJ15" i="12"/>
  <c r="BH12" i="12"/>
  <c r="AW39" i="12"/>
  <c r="AA36" i="12"/>
  <c r="AC85" i="12"/>
  <c r="X85" i="12"/>
  <c r="O88" i="12"/>
  <c r="AH7" i="12"/>
  <c r="Z7" i="12"/>
  <c r="BF13" i="12"/>
  <c r="BP77" i="12"/>
  <c r="BR77" i="12" s="1"/>
  <c r="BR76" i="12"/>
  <c r="AX45" i="12"/>
  <c r="BH26" i="12"/>
  <c r="BF19" i="12"/>
  <c r="Z17" i="12"/>
  <c r="AA17" i="12" s="1"/>
  <c r="BH19" i="12" s="1"/>
  <c r="AX60" i="12" l="1"/>
  <c r="BH28" i="12"/>
  <c r="Z160" i="12"/>
  <c r="Z164" i="12" s="1"/>
  <c r="AA164" i="12" s="1"/>
  <c r="AX58" i="12"/>
  <c r="BH22" i="12"/>
  <c r="AW51" i="12"/>
  <c r="Z69" i="12"/>
  <c r="AA69" i="12" s="1"/>
  <c r="AH69" i="12"/>
  <c r="BF18" i="12"/>
  <c r="AX36" i="12"/>
  <c r="AJ36" i="12"/>
  <c r="AP36" i="12" s="1"/>
  <c r="BH29" i="12"/>
  <c r="AA68" i="12"/>
  <c r="BH25" i="12"/>
  <c r="AJ44" i="12"/>
  <c r="AP44" i="12" s="1"/>
  <c r="AA54" i="12"/>
  <c r="AW67" i="12"/>
  <c r="AX52" i="12"/>
  <c r="AJ52" i="12"/>
  <c r="AP52" i="12" s="1"/>
  <c r="BH21" i="12"/>
  <c r="AJ42" i="12"/>
  <c r="AP42" i="12" s="1"/>
  <c r="AX42" i="12"/>
  <c r="BH24" i="12"/>
  <c r="AA7" i="12"/>
  <c r="AW19" i="12"/>
  <c r="AW31" i="12"/>
  <c r="AA27" i="12"/>
  <c r="AX22" i="12"/>
  <c r="BH11" i="12"/>
  <c r="AP15" i="12"/>
  <c r="BH46" i="12"/>
  <c r="AA160" i="12" l="1"/>
  <c r="AA165" i="12" s="1"/>
  <c r="AB160" i="12"/>
  <c r="Z85" i="12"/>
  <c r="AW56" i="12"/>
  <c r="AW72" i="12" s="1"/>
  <c r="AW77" i="12" s="1"/>
  <c r="AX54" i="12"/>
  <c r="AJ54" i="12"/>
  <c r="BH20" i="12"/>
  <c r="AA75" i="12"/>
  <c r="AJ69" i="12"/>
  <c r="AP69" i="12" s="1"/>
  <c r="AX69" i="12"/>
  <c r="BH18" i="12"/>
  <c r="AX68" i="12"/>
  <c r="AJ68" i="12"/>
  <c r="AP68" i="12" s="1"/>
  <c r="BH17" i="12"/>
  <c r="AX27" i="12"/>
  <c r="BH16" i="12"/>
  <c r="BH49" i="12"/>
  <c r="AJ7" i="12"/>
  <c r="BH13" i="12"/>
  <c r="AX7" i="12"/>
  <c r="AW70" i="12" l="1"/>
  <c r="BH31" i="12"/>
  <c r="BH34" i="12" s="1"/>
  <c r="AA84" i="12"/>
  <c r="AA86" i="12" s="1"/>
  <c r="AY76" i="12"/>
  <c r="AJ72" i="12"/>
  <c r="AJ77" i="12" s="1"/>
  <c r="AP7" i="12"/>
  <c r="AP54" i="12"/>
  <c r="BH51" i="12" l="1"/>
  <c r="AP72" i="12"/>
  <c r="AP77" i="12" s="1"/>
  <c r="AQ77" i="12" s="1"/>
  <c r="AJ84" i="12"/>
  <c r="AQ72" i="12" l="1"/>
  <c r="I244" i="9" l="1"/>
  <c r="L244" i="9" s="1"/>
  <c r="M239" i="9"/>
  <c r="I243" i="9"/>
  <c r="L243" i="9" s="1"/>
  <c r="I242" i="9"/>
  <c r="L242" i="9" s="1"/>
  <c r="I238" i="9"/>
  <c r="I237" i="9"/>
  <c r="G155" i="9" l="1"/>
  <c r="H155" i="9"/>
  <c r="J155" i="9"/>
  <c r="K155" i="9"/>
  <c r="G151" i="9"/>
  <c r="H151" i="9"/>
  <c r="J151" i="9"/>
  <c r="G152" i="9"/>
  <c r="H152" i="9"/>
  <c r="J152" i="9"/>
  <c r="I31" i="9" l="1"/>
  <c r="I30" i="9"/>
  <c r="L30" i="9" s="1"/>
  <c r="K262" i="1" l="1"/>
  <c r="I262" i="1"/>
  <c r="L263" i="1"/>
  <c r="I263" i="1"/>
  <c r="B472" i="1"/>
  <c r="B473" i="1"/>
  <c r="B474" i="1"/>
  <c r="E472" i="1"/>
  <c r="E473" i="1"/>
  <c r="E474" i="1"/>
  <c r="L911" i="1"/>
  <c r="L866" i="1"/>
  <c r="M866" i="1"/>
  <c r="I882" i="1"/>
  <c r="I869" i="1"/>
  <c r="H1509" i="11" l="1"/>
  <c r="G1509" i="11"/>
  <c r="K1499" i="11"/>
  <c r="B1499" i="11"/>
  <c r="L1490" i="11"/>
  <c r="L1489" i="11"/>
  <c r="H1478" i="11"/>
  <c r="G1478" i="11"/>
  <c r="H1418" i="11"/>
  <c r="G1418" i="11"/>
  <c r="O1379" i="11"/>
  <c r="H1373" i="11"/>
  <c r="G1373" i="11"/>
  <c r="L1350" i="11"/>
  <c r="L1349" i="11"/>
  <c r="H1334" i="11"/>
  <c r="G1334" i="11"/>
  <c r="O1332" i="11"/>
  <c r="H1287" i="11"/>
  <c r="G1287" i="11"/>
  <c r="K1277" i="11"/>
  <c r="B1277" i="11"/>
  <c r="L1268" i="11"/>
  <c r="L1267" i="11"/>
  <c r="H1256" i="11"/>
  <c r="G1256" i="11"/>
  <c r="O1194" i="11"/>
  <c r="H1208" i="11"/>
  <c r="G1208" i="11"/>
  <c r="K1198" i="11"/>
  <c r="B1198" i="11"/>
  <c r="L1189" i="11"/>
  <c r="L1188" i="11"/>
  <c r="H1177" i="11"/>
  <c r="G1177" i="11"/>
  <c r="H1106" i="11"/>
  <c r="G1106" i="11"/>
  <c r="O1031" i="11"/>
  <c r="H1059" i="11"/>
  <c r="G1059" i="11"/>
  <c r="L1036" i="11"/>
  <c r="L1035" i="11"/>
  <c r="H1018" i="11"/>
  <c r="G1018" i="11"/>
  <c r="O1016" i="11"/>
  <c r="H957" i="11"/>
  <c r="G957" i="11"/>
  <c r="O888" i="11"/>
  <c r="O923" i="11"/>
  <c r="H906" i="11"/>
  <c r="G906" i="11"/>
  <c r="L883" i="11"/>
  <c r="L882" i="11"/>
  <c r="H867" i="11"/>
  <c r="G867" i="11"/>
  <c r="O865" i="11"/>
  <c r="H827" i="11"/>
  <c r="G827" i="11"/>
  <c r="K817" i="11"/>
  <c r="B817" i="11"/>
  <c r="L808" i="11"/>
  <c r="L807" i="11"/>
  <c r="O800" i="11"/>
  <c r="H796" i="11"/>
  <c r="G796" i="11"/>
  <c r="H749" i="11"/>
  <c r="G749" i="11"/>
  <c r="K739" i="11"/>
  <c r="B739" i="11"/>
  <c r="L730" i="11"/>
  <c r="L729" i="11"/>
  <c r="H714" i="11"/>
  <c r="G714" i="11"/>
  <c r="H664" i="11"/>
  <c r="G664" i="11"/>
  <c r="H630" i="11"/>
  <c r="G630" i="11"/>
  <c r="L613" i="11"/>
  <c r="L612" i="11"/>
  <c r="L609" i="11"/>
  <c r="L608" i="11"/>
  <c r="H593" i="11"/>
  <c r="G593" i="11"/>
  <c r="O591" i="11"/>
  <c r="H544" i="11"/>
  <c r="G544" i="11"/>
  <c r="L522" i="11"/>
  <c r="L521" i="11"/>
  <c r="L523" i="11" s="1"/>
  <c r="I531" i="11" s="1"/>
  <c r="I533" i="11" s="1"/>
  <c r="I534" i="11" s="1"/>
  <c r="I535" i="11" s="1"/>
  <c r="H510" i="11"/>
  <c r="G510" i="11"/>
  <c r="O447" i="11"/>
  <c r="H462" i="11"/>
  <c r="G462" i="11"/>
  <c r="K452" i="11"/>
  <c r="B452" i="11"/>
  <c r="H429" i="11"/>
  <c r="G429" i="11"/>
  <c r="H381" i="11"/>
  <c r="G381" i="11"/>
  <c r="K371" i="11"/>
  <c r="B371" i="11"/>
  <c r="L362" i="11"/>
  <c r="L361" i="11"/>
  <c r="H342" i="11"/>
  <c r="G342" i="11"/>
  <c r="H294" i="11"/>
  <c r="G294" i="11"/>
  <c r="O253" i="11"/>
  <c r="H247" i="11"/>
  <c r="G247" i="11"/>
  <c r="H206" i="11"/>
  <c r="G206" i="11"/>
  <c r="O204" i="11"/>
  <c r="O1112" i="11" l="1"/>
  <c r="O1111" i="11"/>
  <c r="O466" i="11"/>
  <c r="K754" i="11"/>
  <c r="K467" i="11"/>
  <c r="L440" i="11"/>
  <c r="M801" i="11"/>
  <c r="D821" i="11" s="1"/>
  <c r="L884" i="11"/>
  <c r="I893" i="11" s="1"/>
  <c r="I895" i="11" s="1"/>
  <c r="L1261" i="11"/>
  <c r="L605" i="11"/>
  <c r="L1037" i="11"/>
  <c r="I1046" i="11" s="1"/>
  <c r="K605" i="11"/>
  <c r="L515" i="11"/>
  <c r="K598" i="11"/>
  <c r="L610" i="11"/>
  <c r="I617" i="11" s="1"/>
  <c r="K1113" i="11"/>
  <c r="L444" i="11"/>
  <c r="I452" i="11" s="1"/>
  <c r="L879" i="11"/>
  <c r="L1339" i="11"/>
  <c r="L1351" i="11"/>
  <c r="I1360" i="11" s="1"/>
  <c r="I1362" i="11" s="1"/>
  <c r="M1261" i="11"/>
  <c r="L1491" i="11"/>
  <c r="I1499" i="11" s="1"/>
  <c r="L351" i="11"/>
  <c r="L648" i="11"/>
  <c r="L872" i="11"/>
  <c r="L435" i="11"/>
  <c r="K1292" i="11"/>
  <c r="K1312" i="11" s="1"/>
  <c r="L363" i="11"/>
  <c r="I371" i="11" s="1"/>
  <c r="L598" i="11"/>
  <c r="L809" i="11"/>
  <c r="I817" i="11" s="1"/>
  <c r="K832" i="11"/>
  <c r="K846" i="11" s="1"/>
  <c r="L1032" i="11"/>
  <c r="L1190" i="11"/>
  <c r="I1198" i="11" s="1"/>
  <c r="M435" i="11"/>
  <c r="M515" i="11"/>
  <c r="L731" i="11"/>
  <c r="I739" i="11" s="1"/>
  <c r="K872" i="11"/>
  <c r="O871" i="11" s="1"/>
  <c r="K1213" i="11"/>
  <c r="L1387" i="11"/>
  <c r="L1186" i="11"/>
  <c r="L1269" i="11"/>
  <c r="I1277" i="11" s="1"/>
  <c r="L1025" i="11"/>
  <c r="K1032" i="11"/>
  <c r="L1346" i="11"/>
  <c r="K1514" i="11"/>
  <c r="K1531" i="11" s="1"/>
  <c r="L1487" i="11"/>
  <c r="L1531" i="11"/>
  <c r="L1496" i="11"/>
  <c r="L1312" i="11"/>
  <c r="L1265" i="11"/>
  <c r="L1274" i="11"/>
  <c r="L1231" i="11"/>
  <c r="L1195" i="11"/>
  <c r="K1025" i="11"/>
  <c r="O1022" i="11" s="1"/>
  <c r="L1151" i="11"/>
  <c r="K1066" i="11"/>
  <c r="L996" i="11"/>
  <c r="K965" i="11"/>
  <c r="K996" i="11" s="1"/>
  <c r="L805" i="11"/>
  <c r="L846" i="11"/>
  <c r="L814" i="11"/>
  <c r="L772" i="11"/>
  <c r="L727" i="11"/>
  <c r="L736" i="11"/>
  <c r="M739" i="11" s="1"/>
  <c r="L689" i="11"/>
  <c r="K649" i="11"/>
  <c r="L640" i="11"/>
  <c r="K669" i="11"/>
  <c r="K689" i="11" s="1"/>
  <c r="L573" i="11"/>
  <c r="L487" i="11"/>
  <c r="L449" i="11"/>
  <c r="K386" i="11"/>
  <c r="L406" i="11"/>
  <c r="L368" i="11"/>
  <c r="L359" i="11"/>
  <c r="L218" i="11"/>
  <c r="L211" i="11"/>
  <c r="K211" i="11"/>
  <c r="K299" i="11"/>
  <c r="K318" i="11" s="1"/>
  <c r="H1453" i="10"/>
  <c r="G1453" i="10"/>
  <c r="K1443" i="10"/>
  <c r="B1443" i="10"/>
  <c r="L1434" i="10"/>
  <c r="L1433" i="10"/>
  <c r="H1421" i="10"/>
  <c r="G1421" i="10"/>
  <c r="H1370" i="10"/>
  <c r="G1370" i="10"/>
  <c r="H1323" i="10"/>
  <c r="G1323" i="10"/>
  <c r="L1300" i="10"/>
  <c r="L1299" i="10"/>
  <c r="H1270" i="10"/>
  <c r="G1270" i="10"/>
  <c r="O1268" i="10"/>
  <c r="H1224" i="10"/>
  <c r="G1224" i="10"/>
  <c r="K1214" i="10"/>
  <c r="B1214" i="10"/>
  <c r="L1202" i="10"/>
  <c r="L1201" i="10"/>
  <c r="H1187" i="10"/>
  <c r="G1187" i="10"/>
  <c r="H1138" i="10"/>
  <c r="G1138" i="10"/>
  <c r="K1128" i="10"/>
  <c r="B1128" i="10"/>
  <c r="L1119" i="10"/>
  <c r="L1118" i="10"/>
  <c r="H1107" i="10"/>
  <c r="G1107" i="10"/>
  <c r="M1086" i="10"/>
  <c r="B1085" i="10"/>
  <c r="L1081" i="10"/>
  <c r="L1080" i="10"/>
  <c r="L1079" i="10"/>
  <c r="L1076" i="10"/>
  <c r="L1075" i="10"/>
  <c r="H1060" i="10"/>
  <c r="G1060" i="10"/>
  <c r="O1058" i="10"/>
  <c r="H1014" i="10"/>
  <c r="G1014" i="10"/>
  <c r="H969" i="10"/>
  <c r="G969" i="10"/>
  <c r="L952" i="10"/>
  <c r="L951" i="10"/>
  <c r="L950" i="10"/>
  <c r="H925" i="10"/>
  <c r="G925" i="10"/>
  <c r="O923" i="10"/>
  <c r="H875" i="10"/>
  <c r="G875" i="10"/>
  <c r="K865" i="10"/>
  <c r="B865" i="10"/>
  <c r="L856" i="10"/>
  <c r="L855" i="10"/>
  <c r="H836" i="10"/>
  <c r="G836" i="10"/>
  <c r="H789" i="10"/>
  <c r="G789" i="10"/>
  <c r="H740" i="10"/>
  <c r="G740" i="10"/>
  <c r="L717" i="10"/>
  <c r="L716" i="10"/>
  <c r="H687" i="10"/>
  <c r="G687" i="10"/>
  <c r="O685" i="10"/>
  <c r="H631" i="10"/>
  <c r="G631" i="10"/>
  <c r="K621" i="10"/>
  <c r="B621" i="10"/>
  <c r="L612" i="10"/>
  <c r="L611" i="10"/>
  <c r="H598" i="10"/>
  <c r="G598" i="10"/>
  <c r="H551" i="10"/>
  <c r="G551" i="10"/>
  <c r="B542" i="10"/>
  <c r="K541" i="10"/>
  <c r="B541" i="10"/>
  <c r="H520" i="10"/>
  <c r="G520" i="10"/>
  <c r="K1091" i="11" l="1"/>
  <c r="D1051" i="11"/>
  <c r="M1047" i="11" s="1"/>
  <c r="I1048" i="11"/>
  <c r="K1151" i="11"/>
  <c r="K873" i="11"/>
  <c r="D893" i="11" s="1"/>
  <c r="D897" i="11" s="1"/>
  <c r="N801" i="11"/>
  <c r="L1483" i="11"/>
  <c r="L279" i="11"/>
  <c r="K599" i="11"/>
  <c r="I541" i="10"/>
  <c r="N1261" i="11"/>
  <c r="K880" i="11"/>
  <c r="L1072" i="10"/>
  <c r="K219" i="11"/>
  <c r="K1347" i="11"/>
  <c r="K1230" i="10"/>
  <c r="K1245" i="10" s="1"/>
  <c r="L1431" i="10"/>
  <c r="K212" i="11"/>
  <c r="D234" i="11" s="1"/>
  <c r="D238" i="11" s="1"/>
  <c r="L1112" i="10"/>
  <c r="K1458" i="10"/>
  <c r="K1471" i="10" s="1"/>
  <c r="L1301" i="10"/>
  <c r="I1310" i="10" s="1"/>
  <c r="I1312" i="10" s="1"/>
  <c r="L857" i="10"/>
  <c r="I865" i="10" s="1"/>
  <c r="L1077" i="10"/>
  <c r="I1085" i="10" s="1"/>
  <c r="L649" i="11"/>
  <c r="L1120" i="10"/>
  <c r="I1128" i="10" s="1"/>
  <c r="K1143" i="10"/>
  <c r="K1163" i="10" s="1"/>
  <c r="K1340" i="11"/>
  <c r="D1360" i="11" s="1"/>
  <c r="D1364" i="11" s="1"/>
  <c r="M605" i="10"/>
  <c r="L1203" i="10"/>
  <c r="I1214" i="10" s="1"/>
  <c r="L605" i="10"/>
  <c r="L1091" i="11"/>
  <c r="L1182" i="11"/>
  <c r="K1026" i="11"/>
  <c r="D1046" i="11" s="1"/>
  <c r="D1050" i="11" s="1"/>
  <c r="L613" i="10"/>
  <c r="I621" i="10" s="1"/>
  <c r="L713" i="10"/>
  <c r="L718" i="10"/>
  <c r="I727" i="10" s="1"/>
  <c r="I729" i="10" s="1"/>
  <c r="I730" i="10" s="1"/>
  <c r="I731" i="10" s="1"/>
  <c r="K880" i="10"/>
  <c r="K900" i="10" s="1"/>
  <c r="L1194" i="10"/>
  <c r="L942" i="11"/>
  <c r="K1033" i="11"/>
  <c r="L1043" i="11" s="1"/>
  <c r="I1047" i="11" s="1"/>
  <c r="M1046" i="11" s="1"/>
  <c r="L721" i="11"/>
  <c r="I818" i="11"/>
  <c r="K1019" i="10"/>
  <c r="K1033" i="10" s="1"/>
  <c r="L1296" i="10"/>
  <c r="K943" i="10"/>
  <c r="L943" i="10"/>
  <c r="L1116" i="10"/>
  <c r="L1199" i="10"/>
  <c r="L1435" i="10"/>
  <c r="I1443" i="10" s="1"/>
  <c r="L853" i="10"/>
  <c r="L1066" i="10"/>
  <c r="L609" i="10"/>
  <c r="L936" i="10"/>
  <c r="M1194" i="10"/>
  <c r="D1218" i="10" s="1"/>
  <c r="L1289" i="10"/>
  <c r="K1290" i="10" s="1"/>
  <c r="D1310" i="10" s="1"/>
  <c r="D1314" i="10" s="1"/>
  <c r="L1471" i="10"/>
  <c r="K1375" i="10"/>
  <c r="K1395" i="10" s="1"/>
  <c r="L1125" i="10"/>
  <c r="K1072" i="10"/>
  <c r="K977" i="10"/>
  <c r="L862" i="10"/>
  <c r="L618" i="10"/>
  <c r="L662" i="10"/>
  <c r="L529" i="10"/>
  <c r="D899" i="11" l="1"/>
  <c r="D900" i="11" s="1"/>
  <c r="I896" i="11"/>
  <c r="I897" i="11" s="1"/>
  <c r="K999" i="10"/>
  <c r="D961" i="10"/>
  <c r="M957" i="10" s="1"/>
  <c r="D1316" i="10"/>
  <c r="D1317" i="10" s="1"/>
  <c r="I1313" i="10"/>
  <c r="I1314" i="10" s="1"/>
  <c r="D1366" i="11"/>
  <c r="D1367" i="11" s="1"/>
  <c r="I1363" i="11"/>
  <c r="I1364" i="11" s="1"/>
  <c r="I237" i="11"/>
  <c r="I238" i="11" s="1"/>
  <c r="D240" i="11"/>
  <c r="D241" i="11" s="1"/>
  <c r="I1049" i="11"/>
  <c r="I1050" i="11" s="1"/>
  <c r="D1052" i="11"/>
  <c r="D1053" i="11" s="1"/>
  <c r="K606" i="11"/>
  <c r="L614" i="11" s="1"/>
  <c r="I618" i="11" s="1"/>
  <c r="D617" i="11"/>
  <c r="D621" i="11" s="1"/>
  <c r="D623" i="11" s="1"/>
  <c r="D624" i="11" s="1"/>
  <c r="M1048" i="11"/>
  <c r="M1049" i="11" s="1"/>
  <c r="M617" i="11"/>
  <c r="M619" i="11" s="1"/>
  <c r="M620" i="11" s="1"/>
  <c r="I619" i="11"/>
  <c r="I620" i="11" s="1"/>
  <c r="I621" i="11" s="1"/>
  <c r="L1403" i="11"/>
  <c r="K1073" i="10"/>
  <c r="L1082" i="10" s="1"/>
  <c r="D1085" i="10"/>
  <c r="D1089" i="10" s="1"/>
  <c r="I1086" i="10" s="1"/>
  <c r="M1085" i="10" s="1"/>
  <c r="M1087" i="10" s="1"/>
  <c r="M1088" i="10" s="1"/>
  <c r="L1426" i="10"/>
  <c r="K714" i="10"/>
  <c r="M817" i="11"/>
  <c r="I819" i="11"/>
  <c r="I820" i="11" s="1"/>
  <c r="K1297" i="10"/>
  <c r="L846" i="10"/>
  <c r="K937" i="10"/>
  <c r="K944" i="10"/>
  <c r="I1215" i="10"/>
  <c r="D956" i="10" l="1"/>
  <c r="D960" i="10" s="1"/>
  <c r="D962" i="10" s="1"/>
  <c r="D963" i="10" s="1"/>
  <c r="L953" i="10"/>
  <c r="I957" i="10" s="1"/>
  <c r="I1087" i="10"/>
  <c r="I1088" i="10" s="1"/>
  <c r="M1214" i="10"/>
  <c r="I1216" i="10"/>
  <c r="I1217" i="10" s="1"/>
  <c r="M956" i="10" l="1"/>
  <c r="M958" i="10" s="1"/>
  <c r="M959" i="10" s="1"/>
  <c r="I958" i="10"/>
  <c r="I959" i="10" s="1"/>
  <c r="I960" i="10" s="1"/>
  <c r="H468" i="10"/>
  <c r="G468" i="10"/>
  <c r="H427" i="10"/>
  <c r="G427" i="10"/>
  <c r="L404" i="10"/>
  <c r="L403" i="10"/>
  <c r="H382" i="10"/>
  <c r="G382" i="10"/>
  <c r="O380" i="10"/>
  <c r="H325" i="10"/>
  <c r="G325" i="10"/>
  <c r="K315" i="10"/>
  <c r="B315" i="10"/>
  <c r="L306" i="10"/>
  <c r="H287" i="10"/>
  <c r="G287" i="10"/>
  <c r="H243" i="10"/>
  <c r="G243" i="10"/>
  <c r="K233" i="10"/>
  <c r="B233" i="10"/>
  <c r="L223" i="10"/>
  <c r="L222" i="10"/>
  <c r="H209" i="10"/>
  <c r="G209" i="10"/>
  <c r="H1924" i="9"/>
  <c r="G1924" i="9"/>
  <c r="B1915" i="9"/>
  <c r="K1914" i="9"/>
  <c r="B1914" i="9"/>
  <c r="L1904" i="9"/>
  <c r="L1903" i="9"/>
  <c r="M1895" i="9"/>
  <c r="L1895" i="9"/>
  <c r="K1895" i="9"/>
  <c r="J1895" i="9"/>
  <c r="I1895" i="9"/>
  <c r="H1895" i="9"/>
  <c r="G1895" i="9"/>
  <c r="F1895" i="9"/>
  <c r="E1895" i="9"/>
  <c r="C1895" i="9"/>
  <c r="B1895" i="9"/>
  <c r="M1894" i="9"/>
  <c r="L1894" i="9"/>
  <c r="K1894" i="9"/>
  <c r="J1894" i="9"/>
  <c r="I1894" i="9"/>
  <c r="H1894" i="9"/>
  <c r="G1894" i="9"/>
  <c r="F1894" i="9"/>
  <c r="E1894" i="9"/>
  <c r="C1894" i="9"/>
  <c r="B1894" i="9"/>
  <c r="H1891" i="9"/>
  <c r="G1891" i="9"/>
  <c r="H1844" i="9"/>
  <c r="G1844" i="9"/>
  <c r="B1835" i="9"/>
  <c r="K1834" i="9"/>
  <c r="B1834" i="9"/>
  <c r="L1825" i="9"/>
  <c r="L1824" i="9"/>
  <c r="H1812" i="9"/>
  <c r="G1812" i="9"/>
  <c r="H1765" i="9"/>
  <c r="G1765" i="9"/>
  <c r="B1756" i="9"/>
  <c r="K1755" i="9"/>
  <c r="B1755" i="9"/>
  <c r="L1746" i="9"/>
  <c r="L1745" i="9"/>
  <c r="H1731" i="9"/>
  <c r="G1731" i="9"/>
  <c r="L405" i="10" l="1"/>
  <c r="I414" i="10" s="1"/>
  <c r="I416" i="10" s="1"/>
  <c r="K434" i="10"/>
  <c r="L1826" i="9"/>
  <c r="I1834" i="9" s="1"/>
  <c r="M216" i="10"/>
  <c r="L224" i="10"/>
  <c r="I233" i="10" s="1"/>
  <c r="L307" i="10"/>
  <c r="I315" i="10" s="1"/>
  <c r="K249" i="10"/>
  <c r="K400" i="10"/>
  <c r="M1896" i="9"/>
  <c r="D1914" i="9" s="1"/>
  <c r="K389" i="10"/>
  <c r="M297" i="10"/>
  <c r="L389" i="10"/>
  <c r="M1738" i="9"/>
  <c r="D1755" i="9" s="1"/>
  <c r="M1817" i="9"/>
  <c r="L1743" i="9"/>
  <c r="L1747" i="9"/>
  <c r="I1755" i="9" s="1"/>
  <c r="L1905" i="9"/>
  <c r="I1914" i="9" s="1"/>
  <c r="L1738" i="9"/>
  <c r="K1770" i="9"/>
  <c r="L1911" i="9"/>
  <c r="K1849" i="9"/>
  <c r="K1869" i="9" s="1"/>
  <c r="L1896" i="9"/>
  <c r="L1817" i="9"/>
  <c r="L1822" i="9"/>
  <c r="L400" i="10"/>
  <c r="K473" i="10"/>
  <c r="L497" i="10"/>
  <c r="L312" i="10"/>
  <c r="L1901" i="9"/>
  <c r="K1930" i="9"/>
  <c r="K1949" i="9" s="1"/>
  <c r="L1831" i="9"/>
  <c r="L1869" i="9"/>
  <c r="L1790" i="9"/>
  <c r="K453" i="10" l="1"/>
  <c r="M447" i="10" s="1"/>
  <c r="D419" i="10"/>
  <c r="M415" i="10" s="1"/>
  <c r="M416" i="10" s="1"/>
  <c r="M417" i="10" s="1"/>
  <c r="M442" i="10"/>
  <c r="K401" i="10"/>
  <c r="K390" i="10"/>
  <c r="D414" i="10" s="1"/>
  <c r="D418" i="10" s="1"/>
  <c r="D1834" i="9"/>
  <c r="N1896" i="9"/>
  <c r="L525" i="10"/>
  <c r="M443" i="10" l="1"/>
  <c r="M439" i="10"/>
  <c r="M440" i="10"/>
  <c r="D420" i="10"/>
  <c r="D421" i="10" s="1"/>
  <c r="I417" i="10"/>
  <c r="I418" i="10" s="1"/>
  <c r="M450" i="10"/>
  <c r="M445" i="10"/>
  <c r="M451" i="10"/>
  <c r="M452" i="10" s="1"/>
  <c r="M448" i="10"/>
  <c r="M438" i="10"/>
  <c r="M446" i="10"/>
  <c r="M449" i="10"/>
  <c r="M444" i="10"/>
  <c r="M437" i="10"/>
  <c r="M441" i="10"/>
  <c r="H1692" i="9" l="1"/>
  <c r="G1692" i="9"/>
  <c r="B1683" i="9"/>
  <c r="K1682" i="9"/>
  <c r="B1682" i="9"/>
  <c r="L1673" i="9"/>
  <c r="L1672" i="9"/>
  <c r="H1658" i="9"/>
  <c r="G1658" i="9"/>
  <c r="H1611" i="9"/>
  <c r="G1611" i="9"/>
  <c r="H1573" i="9"/>
  <c r="G1573" i="9"/>
  <c r="L1552" i="9"/>
  <c r="L1551" i="9"/>
  <c r="H1534" i="9"/>
  <c r="G1534" i="9"/>
  <c r="O1532" i="9"/>
  <c r="H1490" i="9"/>
  <c r="G1490" i="9"/>
  <c r="K1480" i="9"/>
  <c r="B1480" i="9"/>
  <c r="L1471" i="9"/>
  <c r="L1470" i="9"/>
  <c r="I1467" i="9"/>
  <c r="L1467" i="9" s="1"/>
  <c r="I1466" i="9"/>
  <c r="L1466" i="9" s="1"/>
  <c r="I1465" i="9"/>
  <c r="L1465" i="9" s="1"/>
  <c r="H1456" i="9"/>
  <c r="G1456" i="9"/>
  <c r="H1409" i="9"/>
  <c r="G1409" i="9"/>
  <c r="I1380" i="9"/>
  <c r="K1380" i="9" s="1"/>
  <c r="D1367" i="9" s="1"/>
  <c r="M1363" i="9" s="1"/>
  <c r="H1375" i="9"/>
  <c r="G1375" i="9"/>
  <c r="L1358" i="9"/>
  <c r="L1353" i="9"/>
  <c r="L1352" i="9"/>
  <c r="I1348" i="9"/>
  <c r="I1347" i="9"/>
  <c r="I1346" i="9"/>
  <c r="K1342" i="9"/>
  <c r="K1340" i="9"/>
  <c r="H1337" i="9"/>
  <c r="G1337" i="9"/>
  <c r="O1335" i="9"/>
  <c r="H1287" i="9"/>
  <c r="G1287" i="9"/>
  <c r="B1278" i="9"/>
  <c r="K1277" i="9"/>
  <c r="B1277" i="9"/>
  <c r="L1267" i="9"/>
  <c r="L1266" i="9"/>
  <c r="I1263" i="9"/>
  <c r="L1263" i="9" s="1"/>
  <c r="I1262" i="9"/>
  <c r="L1262" i="9" s="1"/>
  <c r="I1261" i="9"/>
  <c r="L1261" i="9" s="1"/>
  <c r="H1252" i="9"/>
  <c r="G1252" i="9"/>
  <c r="H1204" i="9"/>
  <c r="G1204" i="9"/>
  <c r="B1195" i="9"/>
  <c r="K1194" i="9"/>
  <c r="B1194" i="9"/>
  <c r="L1185" i="9"/>
  <c r="L1184" i="9"/>
  <c r="I1181" i="9"/>
  <c r="L1181" i="9" s="1"/>
  <c r="I1180" i="9"/>
  <c r="L1180" i="9" s="1"/>
  <c r="I1179" i="9"/>
  <c r="L1179" i="9" s="1"/>
  <c r="H1171" i="9"/>
  <c r="G1171" i="9"/>
  <c r="H1124" i="9"/>
  <c r="G1124" i="9"/>
  <c r="H1086" i="9"/>
  <c r="G1086" i="9"/>
  <c r="L1065" i="9"/>
  <c r="L1064" i="9"/>
  <c r="I1060" i="9"/>
  <c r="L1060" i="9" s="1"/>
  <c r="I1059" i="9"/>
  <c r="K1059" i="9" s="1"/>
  <c r="I1058" i="9"/>
  <c r="L1058" i="9" s="1"/>
  <c r="I1057" i="9"/>
  <c r="K1057" i="9" s="1"/>
  <c r="H1049" i="9"/>
  <c r="G1049" i="9"/>
  <c r="O1047" i="9"/>
  <c r="H998" i="9"/>
  <c r="G998" i="9"/>
  <c r="B989" i="9"/>
  <c r="K988" i="9"/>
  <c r="B988" i="9"/>
  <c r="L978" i="9"/>
  <c r="L977" i="9"/>
  <c r="H966" i="9"/>
  <c r="G966" i="9"/>
  <c r="H919" i="9"/>
  <c r="G919" i="9"/>
  <c r="H879" i="9"/>
  <c r="G879" i="9"/>
  <c r="I851" i="9"/>
  <c r="K851" i="9" s="1"/>
  <c r="H841" i="9"/>
  <c r="G841" i="9"/>
  <c r="O839" i="9"/>
  <c r="H794" i="9"/>
  <c r="G794" i="9"/>
  <c r="B785" i="9"/>
  <c r="K784" i="9"/>
  <c r="B784" i="9"/>
  <c r="L775" i="9"/>
  <c r="L774" i="9"/>
  <c r="I771" i="9"/>
  <c r="L771" i="9" s="1"/>
  <c r="I770" i="9"/>
  <c r="L770" i="9" s="1"/>
  <c r="I769" i="9"/>
  <c r="L769" i="9" s="1"/>
  <c r="H760" i="9"/>
  <c r="G760" i="9"/>
  <c r="H716" i="9"/>
  <c r="G716" i="9"/>
  <c r="B707" i="9"/>
  <c r="K706" i="9"/>
  <c r="B706" i="9"/>
  <c r="I693" i="9"/>
  <c r="L693" i="9" s="1"/>
  <c r="I692" i="9"/>
  <c r="L692" i="9" s="1"/>
  <c r="I691" i="9"/>
  <c r="L691" i="9" s="1"/>
  <c r="H684" i="9"/>
  <c r="G684" i="9"/>
  <c r="H636" i="9"/>
  <c r="G636" i="9"/>
  <c r="B627" i="9"/>
  <c r="K626" i="9"/>
  <c r="B626" i="9"/>
  <c r="L615" i="9"/>
  <c r="L614" i="9"/>
  <c r="I611" i="9"/>
  <c r="L611" i="9" s="1"/>
  <c r="I610" i="9"/>
  <c r="L610" i="9" s="1"/>
  <c r="I609" i="9"/>
  <c r="L609" i="9" s="1"/>
  <c r="I605" i="9"/>
  <c r="L605" i="9" s="1"/>
  <c r="L607" i="9" s="1"/>
  <c r="K602" i="9"/>
  <c r="F602" i="9"/>
  <c r="C602" i="9"/>
  <c r="H599" i="9"/>
  <c r="G599" i="9"/>
  <c r="H553" i="9"/>
  <c r="G553" i="9"/>
  <c r="H518" i="9"/>
  <c r="G518" i="9"/>
  <c r="I492" i="9"/>
  <c r="L492" i="9" s="1"/>
  <c r="I491" i="9"/>
  <c r="K491" i="9" s="1"/>
  <c r="I490" i="9"/>
  <c r="L490" i="9" s="1"/>
  <c r="I489" i="9"/>
  <c r="K489" i="9" s="1"/>
  <c r="H477" i="9"/>
  <c r="G477" i="9"/>
  <c r="O475" i="9"/>
  <c r="H427" i="9"/>
  <c r="G427" i="9"/>
  <c r="B418" i="9"/>
  <c r="K417" i="9"/>
  <c r="B417" i="9"/>
  <c r="L408" i="9"/>
  <c r="L407" i="9"/>
  <c r="I404" i="9"/>
  <c r="K404" i="9" s="1"/>
  <c r="K405" i="9" s="1"/>
  <c r="M399" i="9"/>
  <c r="L399" i="9"/>
  <c r="K399" i="9"/>
  <c r="J399" i="9"/>
  <c r="I399" i="9"/>
  <c r="H399" i="9"/>
  <c r="G399" i="9"/>
  <c r="F399" i="9"/>
  <c r="E399" i="9"/>
  <c r="C399" i="9"/>
  <c r="B399" i="9"/>
  <c r="M398" i="9"/>
  <c r="L398" i="9"/>
  <c r="K398" i="9"/>
  <c r="J398" i="9"/>
  <c r="I398" i="9"/>
  <c r="H398" i="9"/>
  <c r="G398" i="9"/>
  <c r="F398" i="9"/>
  <c r="E398" i="9"/>
  <c r="C398" i="9"/>
  <c r="B398" i="9"/>
  <c r="H395" i="9"/>
  <c r="G395" i="9"/>
  <c r="H350" i="9"/>
  <c r="G350" i="9"/>
  <c r="K340" i="9"/>
  <c r="B340" i="9"/>
  <c r="I336" i="9"/>
  <c r="L336" i="9" s="1"/>
  <c r="I335" i="9"/>
  <c r="L335" i="9" s="1"/>
  <c r="L331" i="9"/>
  <c r="L330" i="9"/>
  <c r="I318" i="9"/>
  <c r="L318" i="9" s="1"/>
  <c r="L319" i="9" s="1"/>
  <c r="N319" i="9" s="1"/>
  <c r="H311" i="9"/>
  <c r="G311" i="9"/>
  <c r="H258" i="9"/>
  <c r="G258" i="9"/>
  <c r="B249" i="9"/>
  <c r="K248" i="9"/>
  <c r="B248" i="9"/>
  <c r="L238" i="9"/>
  <c r="L237" i="9"/>
  <c r="I234" i="9"/>
  <c r="L234" i="9" s="1"/>
  <c r="I233" i="9"/>
  <c r="L233" i="9" s="1"/>
  <c r="I232" i="9"/>
  <c r="L232" i="9" s="1"/>
  <c r="L230" i="9"/>
  <c r="H222" i="9"/>
  <c r="G222" i="9"/>
  <c r="L662" i="9" l="1"/>
  <c r="L863" i="9"/>
  <c r="I867" i="9" s="1"/>
  <c r="M866" i="9" s="1"/>
  <c r="L891" i="9"/>
  <c r="L903" i="9"/>
  <c r="K885" i="9"/>
  <c r="M867" i="9" s="1"/>
  <c r="K1414" i="9"/>
  <c r="K1433" i="9" s="1"/>
  <c r="K1343" i="9"/>
  <c r="L1433" i="9"/>
  <c r="L332" i="9"/>
  <c r="I340" i="9" s="1"/>
  <c r="L373" i="9"/>
  <c r="L289" i="9"/>
  <c r="K264" i="9"/>
  <c r="K289" i="9" s="1"/>
  <c r="L1541" i="9"/>
  <c r="K1697" i="9"/>
  <c r="K1709" i="9" s="1"/>
  <c r="K1210" i="9"/>
  <c r="K1230" i="9" s="1"/>
  <c r="L1553" i="9"/>
  <c r="I1560" i="9" s="1"/>
  <c r="I1562" i="9" s="1"/>
  <c r="L776" i="9"/>
  <c r="I784" i="9" s="1"/>
  <c r="L1354" i="9"/>
  <c r="I1362" i="9" s="1"/>
  <c r="L1472" i="9"/>
  <c r="I1480" i="9" s="1"/>
  <c r="L616" i="9"/>
  <c r="I626" i="9" s="1"/>
  <c r="L689" i="9"/>
  <c r="L853" i="9"/>
  <c r="L979" i="9"/>
  <c r="I988" i="9" s="1"/>
  <c r="L1259" i="9"/>
  <c r="L239" i="9"/>
  <c r="I248" i="9" s="1"/>
  <c r="M1259" i="9"/>
  <c r="D1277" i="9" s="1"/>
  <c r="L1268" i="9"/>
  <c r="I1277" i="9" s="1"/>
  <c r="L337" i="9"/>
  <c r="L1186" i="9"/>
  <c r="I1194" i="9" s="1"/>
  <c r="K1061" i="9"/>
  <c r="K1541" i="9"/>
  <c r="K1548" i="9"/>
  <c r="L498" i="9"/>
  <c r="I505" i="9" s="1"/>
  <c r="I507" i="9" s="1"/>
  <c r="M767" i="9"/>
  <c r="D784" i="9" s="1"/>
  <c r="K1054" i="9"/>
  <c r="M689" i="9"/>
  <c r="D706" i="9" s="1"/>
  <c r="K1495" i="9"/>
  <c r="L1674" i="9"/>
  <c r="I1682" i="9" s="1"/>
  <c r="L1061" i="9"/>
  <c r="L1066" i="9"/>
  <c r="I1073" i="9" s="1"/>
  <c r="I1075" i="9" s="1"/>
  <c r="K1292" i="9"/>
  <c r="K1312" i="9" s="1"/>
  <c r="L316" i="9"/>
  <c r="K1617" i="9"/>
  <c r="K1635" i="9" s="1"/>
  <c r="M316" i="9"/>
  <c r="D340" i="9" s="1"/>
  <c r="M400" i="9"/>
  <c r="D417" i="9" s="1"/>
  <c r="L409" i="9"/>
  <c r="I417" i="9" s="1"/>
  <c r="L767" i="9"/>
  <c r="L1584" i="9"/>
  <c r="K432" i="9"/>
  <c r="K452" i="9" s="1"/>
  <c r="K486" i="9"/>
  <c r="K523" i="9"/>
  <c r="L694" i="9"/>
  <c r="L698" i="9"/>
  <c r="I706" i="9" s="1"/>
  <c r="L1343" i="9"/>
  <c r="L1548" i="9"/>
  <c r="L1182" i="9"/>
  <c r="L1264" i="9"/>
  <c r="L1468" i="9"/>
  <c r="K1381" i="9"/>
  <c r="L1386" i="9"/>
  <c r="L1679" i="9"/>
  <c r="L1709" i="9"/>
  <c r="K1578" i="9"/>
  <c r="L1670" i="9"/>
  <c r="L1635" i="9"/>
  <c r="L1509" i="9"/>
  <c r="L1477" i="9"/>
  <c r="L1230" i="9"/>
  <c r="L1054" i="9"/>
  <c r="L1097" i="9"/>
  <c r="K1130" i="9" s="1"/>
  <c r="K1148" i="9" s="1"/>
  <c r="K1091" i="9"/>
  <c r="L1148" i="9"/>
  <c r="L1191" i="9"/>
  <c r="L1108" i="9"/>
  <c r="K853" i="9"/>
  <c r="L943" i="9"/>
  <c r="L1024" i="9"/>
  <c r="L975" i="9"/>
  <c r="K1004" i="9"/>
  <c r="K925" i="9"/>
  <c r="K943" i="9" s="1"/>
  <c r="L781" i="9"/>
  <c r="K799" i="9"/>
  <c r="K816" i="9" s="1"/>
  <c r="L772" i="9"/>
  <c r="L816" i="9"/>
  <c r="K721" i="9"/>
  <c r="K738" i="9" s="1"/>
  <c r="L703" i="9"/>
  <c r="I707" i="9" s="1"/>
  <c r="L738" i="9"/>
  <c r="K493" i="9"/>
  <c r="L400" i="9"/>
  <c r="L405" i="9"/>
  <c r="L235" i="9"/>
  <c r="K355" i="9"/>
  <c r="K373" i="9" s="1"/>
  <c r="L574" i="9"/>
  <c r="L623" i="9"/>
  <c r="K642" i="9"/>
  <c r="K662" i="9" s="1"/>
  <c r="L486" i="9"/>
  <c r="L493" i="9"/>
  <c r="K558" i="9"/>
  <c r="K574" i="9" s="1"/>
  <c r="L612" i="9"/>
  <c r="L414" i="9"/>
  <c r="L452" i="9"/>
  <c r="L328" i="9"/>
  <c r="L245" i="9"/>
  <c r="M868" i="9" l="1"/>
  <c r="M869" i="9" s="1"/>
  <c r="K1109" i="9"/>
  <c r="D1078" i="9"/>
  <c r="M1074" i="9" s="1"/>
  <c r="M1075" i="9" s="1"/>
  <c r="M1076" i="9" s="1"/>
  <c r="K538" i="9"/>
  <c r="D510" i="9"/>
  <c r="M506" i="9" s="1"/>
  <c r="M507" i="9" s="1"/>
  <c r="M508" i="9" s="1"/>
  <c r="K1596" i="9"/>
  <c r="D1565" i="9"/>
  <c r="M1561" i="9" s="1"/>
  <c r="M1562" i="9" s="1"/>
  <c r="M1563" i="9" s="1"/>
  <c r="K904" i="9"/>
  <c r="D871" i="9"/>
  <c r="I868" i="9"/>
  <c r="L904" i="9"/>
  <c r="K1344" i="9"/>
  <c r="D1362" i="9" s="1"/>
  <c r="D1366" i="9" s="1"/>
  <c r="K1542" i="9"/>
  <c r="D1560" i="9" s="1"/>
  <c r="D1564" i="9" s="1"/>
  <c r="N767" i="9"/>
  <c r="L971" i="9"/>
  <c r="K1062" i="9"/>
  <c r="K1549" i="9"/>
  <c r="K849" i="9"/>
  <c r="L1177" i="9"/>
  <c r="L603" i="9"/>
  <c r="K1055" i="9"/>
  <c r="D1073" i="9" s="1"/>
  <c r="D1077" i="9" s="1"/>
  <c r="N316" i="9"/>
  <c r="K487" i="9"/>
  <c r="L538" i="9"/>
  <c r="L1359" i="9"/>
  <c r="I1363" i="9" s="1"/>
  <c r="M1362" i="9" s="1"/>
  <c r="M1364" i="9" s="1"/>
  <c r="M1365" i="9" s="1"/>
  <c r="N400" i="9"/>
  <c r="L1595" i="9"/>
  <c r="L1596" i="9" s="1"/>
  <c r="L1109" i="9"/>
  <c r="K494" i="9" l="1"/>
  <c r="D505" i="9"/>
  <c r="D509" i="9" s="1"/>
  <c r="I1076" i="9"/>
  <c r="I1077" i="9" s="1"/>
  <c r="D1079" i="9"/>
  <c r="D1080" i="9" s="1"/>
  <c r="I1563" i="9"/>
  <c r="I1564" i="9" s="1"/>
  <c r="D1566" i="9"/>
  <c r="D1567" i="9" s="1"/>
  <c r="D1368" i="9"/>
  <c r="D1369" i="9" s="1"/>
  <c r="I1364" i="9"/>
  <c r="I1365" i="9" s="1"/>
  <c r="I1366" i="9" s="1"/>
  <c r="K854" i="9"/>
  <c r="D866" i="9"/>
  <c r="D870" i="9" s="1"/>
  <c r="M1344" i="9"/>
  <c r="M1433" i="9"/>
  <c r="I869" i="9" l="1"/>
  <c r="I870" i="9"/>
  <c r="D872" i="9"/>
  <c r="D873" i="9" s="1"/>
  <c r="I508" i="9"/>
  <c r="D511" i="9"/>
  <c r="D512" i="9" s="1"/>
  <c r="I509" i="9"/>
  <c r="K1394" i="9"/>
  <c r="H164" i="11"/>
  <c r="G164" i="11"/>
  <c r="K154" i="11"/>
  <c r="B154" i="11"/>
  <c r="H133" i="11"/>
  <c r="G133" i="11"/>
  <c r="H87" i="11"/>
  <c r="G87" i="11"/>
  <c r="H49" i="11"/>
  <c r="G49" i="11"/>
  <c r="I13" i="11"/>
  <c r="I12" i="11"/>
  <c r="L12" i="11" s="1"/>
  <c r="I11" i="11"/>
  <c r="H8" i="11"/>
  <c r="G8" i="11"/>
  <c r="O6" i="11"/>
  <c r="H163" i="10"/>
  <c r="G163" i="10"/>
  <c r="K149" i="10"/>
  <c r="L139" i="10"/>
  <c r="L140" i="10" s="1"/>
  <c r="I149" i="10" s="1"/>
  <c r="H125" i="10"/>
  <c r="G125" i="10"/>
  <c r="O1282" i="1"/>
  <c r="H183" i="9"/>
  <c r="G183" i="9"/>
  <c r="H148" i="9"/>
  <c r="G148" i="9"/>
  <c r="H99" i="9"/>
  <c r="G99" i="9"/>
  <c r="H54" i="9"/>
  <c r="G54" i="9"/>
  <c r="O6" i="9"/>
  <c r="B174" i="9"/>
  <c r="K173" i="9"/>
  <c r="B173" i="9"/>
  <c r="L164" i="9"/>
  <c r="L163" i="9"/>
  <c r="F152" i="9"/>
  <c r="C152" i="9"/>
  <c r="F151" i="9"/>
  <c r="C151" i="9"/>
  <c r="L31" i="9"/>
  <c r="L14" i="9"/>
  <c r="K13" i="9"/>
  <c r="L12" i="9"/>
  <c r="K11" i="9"/>
  <c r="K258" i="1" l="1"/>
  <c r="I258" i="1"/>
  <c r="L259" i="1"/>
  <c r="I259" i="1"/>
  <c r="L261" i="1"/>
  <c r="I261" i="1"/>
  <c r="K260" i="1"/>
  <c r="I260" i="1"/>
  <c r="L201" i="9"/>
  <c r="I151" i="9"/>
  <c r="K151" i="9" s="1"/>
  <c r="I152" i="9"/>
  <c r="K152" i="9" s="1"/>
  <c r="L125" i="9"/>
  <c r="K104" i="9"/>
  <c r="L66" i="9"/>
  <c r="L38" i="9"/>
  <c r="I42" i="9" s="1"/>
  <c r="M41" i="9" s="1"/>
  <c r="K61" i="9"/>
  <c r="K83" i="9" s="1"/>
  <c r="L146" i="11"/>
  <c r="O283" i="1"/>
  <c r="O710" i="1"/>
  <c r="O1092" i="1"/>
  <c r="O319" i="1"/>
  <c r="O742" i="1"/>
  <c r="O1169" i="1"/>
  <c r="O46" i="1"/>
  <c r="O467" i="1"/>
  <c r="O890" i="1"/>
  <c r="O1323" i="1"/>
  <c r="O88" i="1"/>
  <c r="O555" i="1"/>
  <c r="O933" i="1"/>
  <c r="O1354" i="1"/>
  <c r="O148" i="1"/>
  <c r="O393" i="1"/>
  <c r="O586" i="1"/>
  <c r="O783" i="1"/>
  <c r="O1013" i="1"/>
  <c r="O1200" i="1"/>
  <c r="O1507" i="11"/>
  <c r="O1206" i="11"/>
  <c r="O904" i="11"/>
  <c r="O1285" i="11"/>
  <c r="O1175" i="11"/>
  <c r="O1104" i="11"/>
  <c r="O1371" i="11"/>
  <c r="O794" i="11"/>
  <c r="O825" i="11"/>
  <c r="O747" i="11"/>
  <c r="O628" i="11"/>
  <c r="O542" i="11"/>
  <c r="O340" i="11"/>
  <c r="O1416" i="11"/>
  <c r="O1057" i="11"/>
  <c r="O427" i="11"/>
  <c r="O379" i="11"/>
  <c r="O712" i="11"/>
  <c r="O662" i="11"/>
  <c r="O508" i="11"/>
  <c r="O460" i="11"/>
  <c r="O1476" i="11"/>
  <c r="O1254" i="11"/>
  <c r="O955" i="11"/>
  <c r="O221" i="1"/>
  <c r="O421" i="1"/>
  <c r="O634" i="1"/>
  <c r="O859" i="1"/>
  <c r="O1045" i="1"/>
  <c r="O1247" i="1"/>
  <c r="K14" i="11"/>
  <c r="O47" i="11"/>
  <c r="O292" i="11"/>
  <c r="O245" i="11"/>
  <c r="L21" i="11"/>
  <c r="K168" i="10"/>
  <c r="L14" i="11"/>
  <c r="O1419" i="10"/>
  <c r="O1185" i="10"/>
  <c r="O1105" i="10"/>
  <c r="O967" i="10"/>
  <c r="O787" i="10"/>
  <c r="O738" i="10"/>
  <c r="O629" i="10"/>
  <c r="O873" i="10"/>
  <c r="O834" i="10"/>
  <c r="O1368" i="10"/>
  <c r="O1012" i="10"/>
  <c r="O1451" i="10"/>
  <c r="O1136" i="10"/>
  <c r="O549" i="10"/>
  <c r="O596" i="10"/>
  <c r="O518" i="10"/>
  <c r="O1321" i="10"/>
  <c r="O1222" i="10"/>
  <c r="O425" i="10"/>
  <c r="O285" i="10"/>
  <c r="O323" i="10"/>
  <c r="O466" i="10"/>
  <c r="O241" i="10"/>
  <c r="O207" i="10"/>
  <c r="L136" i="10"/>
  <c r="O181" i="1"/>
  <c r="O354" i="1"/>
  <c r="O501" i="1"/>
  <c r="O667" i="1"/>
  <c r="O816" i="1"/>
  <c r="O966" i="1"/>
  <c r="O1123" i="1"/>
  <c r="L29" i="11"/>
  <c r="I36" i="11" s="1"/>
  <c r="I38" i="11" s="1"/>
  <c r="L165" i="9"/>
  <c r="I173" i="9" s="1"/>
  <c r="L32" i="9"/>
  <c r="I41" i="9" s="1"/>
  <c r="L161" i="9"/>
  <c r="O1889" i="9"/>
  <c r="O1842" i="9"/>
  <c r="O1810" i="9"/>
  <c r="O1729" i="9"/>
  <c r="O1922" i="9"/>
  <c r="O1763" i="9"/>
  <c r="O1690" i="9"/>
  <c r="O1373" i="9"/>
  <c r="O1609" i="9"/>
  <c r="O1407" i="9"/>
  <c r="O1285" i="9"/>
  <c r="O1169" i="9"/>
  <c r="O1084" i="9"/>
  <c r="O1656" i="9"/>
  <c r="O1488" i="9"/>
  <c r="O1454" i="9"/>
  <c r="O1250" i="9"/>
  <c r="O1202" i="9"/>
  <c r="O1122" i="9"/>
  <c r="O1571" i="9"/>
  <c r="O964" i="9"/>
  <c r="O877" i="9"/>
  <c r="O996" i="9"/>
  <c r="O792" i="9"/>
  <c r="O917" i="9"/>
  <c r="O758" i="9"/>
  <c r="O714" i="9"/>
  <c r="O682" i="9"/>
  <c r="K17" i="9"/>
  <c r="L17" i="9"/>
  <c r="O348" i="9"/>
  <c r="O634" i="9"/>
  <c r="O597" i="9"/>
  <c r="O516" i="9"/>
  <c r="O425" i="9"/>
  <c r="O393" i="9"/>
  <c r="O309" i="9"/>
  <c r="O551" i="9"/>
  <c r="O256" i="9"/>
  <c r="O220" i="9"/>
  <c r="O52" i="9"/>
  <c r="O97" i="9"/>
  <c r="O181" i="9"/>
  <c r="O146" i="9"/>
  <c r="L151" i="11"/>
  <c r="K169" i="11"/>
  <c r="K187" i="11" s="1"/>
  <c r="L142" i="11"/>
  <c r="K21" i="11"/>
  <c r="K54" i="11"/>
  <c r="L110" i="11"/>
  <c r="O162" i="11"/>
  <c r="K92" i="11"/>
  <c r="O131" i="11"/>
  <c r="O85" i="11"/>
  <c r="O161" i="10"/>
  <c r="O123" i="10"/>
  <c r="K188" i="9"/>
  <c r="K201" i="9" s="1"/>
  <c r="M198" i="9" l="1"/>
  <c r="M191" i="9"/>
  <c r="I205" i="9" s="1"/>
  <c r="M192" i="9"/>
  <c r="M193" i="9"/>
  <c r="M190" i="9"/>
  <c r="I204" i="9" s="1"/>
  <c r="M194" i="9"/>
  <c r="M199" i="9"/>
  <c r="M195" i="9"/>
  <c r="M196" i="9"/>
  <c r="M197" i="9"/>
  <c r="M200" i="9"/>
  <c r="K72" i="11"/>
  <c r="D41" i="11"/>
  <c r="M37" i="11" s="1"/>
  <c r="M38" i="11" s="1"/>
  <c r="M39" i="11" s="1"/>
  <c r="D46" i="9"/>
  <c r="M42" i="9"/>
  <c r="M43" i="9" s="1"/>
  <c r="M44" i="9" s="1"/>
  <c r="I43" i="9"/>
  <c r="K153" i="9"/>
  <c r="M926" i="11"/>
  <c r="I154" i="11"/>
  <c r="I155" i="11" s="1"/>
  <c r="O150" i="11"/>
  <c r="K110" i="11"/>
  <c r="L138" i="11"/>
  <c r="L27" i="9"/>
  <c r="K28" i="9" s="1"/>
  <c r="K18" i="9" s="1"/>
  <c r="L227" i="9"/>
  <c r="L82" i="9"/>
  <c r="L83" i="9" s="1"/>
  <c r="M70" i="9" s="1"/>
  <c r="K15" i="11"/>
  <c r="M75" i="9" l="1"/>
  <c r="M80" i="9"/>
  <c r="M68" i="9"/>
  <c r="M76" i="9"/>
  <c r="M64" i="9"/>
  <c r="M71" i="9"/>
  <c r="M69" i="9"/>
  <c r="M65" i="9"/>
  <c r="M73" i="9"/>
  <c r="M78" i="9"/>
  <c r="M67" i="9"/>
  <c r="M74" i="9"/>
  <c r="M79" i="9"/>
  <c r="M72" i="9"/>
  <c r="M81" i="9"/>
  <c r="M77" i="9"/>
  <c r="D36" i="11"/>
  <c r="D40" i="11" s="1"/>
  <c r="K22" i="11"/>
  <c r="D41" i="9"/>
  <c r="D45" i="9" s="1"/>
  <c r="L264" i="1"/>
  <c r="M1949" i="9"/>
  <c r="N1949" i="9" s="1"/>
  <c r="M54" i="11"/>
  <c r="I39" i="11" l="1"/>
  <c r="I40" i="11" s="1"/>
  <c r="D42" i="11"/>
  <c r="D43" i="11" s="1"/>
  <c r="I272" i="1"/>
  <c r="I44" i="9"/>
  <c r="I45" i="9"/>
  <c r="D47" i="9"/>
  <c r="D48" i="9" s="1"/>
  <c r="M1380" i="9"/>
  <c r="M913" i="11"/>
  <c r="M1066" i="11"/>
  <c r="J1409" i="11"/>
  <c r="J1097" i="11"/>
  <c r="J655" i="11"/>
  <c r="J948" i="11"/>
  <c r="J656" i="11"/>
  <c r="J1100" i="11"/>
  <c r="J1410" i="11"/>
  <c r="J951" i="11"/>
  <c r="J952" i="11"/>
  <c r="J1098" i="11"/>
  <c r="J1412" i="11"/>
  <c r="J949" i="11"/>
  <c r="M1380" i="11"/>
  <c r="O1384" i="11" s="1"/>
  <c r="M254" i="11"/>
  <c r="M635" i="11"/>
  <c r="J285" i="11"/>
  <c r="J286" i="11"/>
  <c r="J289" i="11"/>
  <c r="J82" i="11"/>
  <c r="J78" i="11"/>
  <c r="J81" i="11"/>
  <c r="J79" i="11"/>
  <c r="M523" i="9" l="1"/>
  <c r="M1578" i="9"/>
  <c r="J1099" i="11"/>
  <c r="J654" i="11"/>
  <c r="M1091" i="9"/>
  <c r="M61" i="9"/>
  <c r="M885" i="9"/>
  <c r="J1411" i="11"/>
  <c r="M1387" i="11"/>
  <c r="J1406" i="11" s="1"/>
  <c r="J1408" i="11"/>
  <c r="M747" i="10"/>
  <c r="K774" i="10" s="1"/>
  <c r="M640" i="11"/>
  <c r="J652" i="11" s="1"/>
  <c r="J1096" i="11"/>
  <c r="M977" i="10"/>
  <c r="M648" i="11"/>
  <c r="J653" i="11"/>
  <c r="J945" i="11"/>
  <c r="J1407" i="11"/>
  <c r="M1402" i="11"/>
  <c r="J657" i="11"/>
  <c r="J1101" i="11"/>
  <c r="J1413" i="11"/>
  <c r="J946" i="11"/>
  <c r="M941" i="11"/>
  <c r="J659" i="11"/>
  <c r="M434" i="10"/>
  <c r="J288" i="11"/>
  <c r="M351" i="11"/>
  <c r="J658" i="11"/>
  <c r="J1095" i="11"/>
  <c r="M1090" i="11"/>
  <c r="J947" i="11"/>
  <c r="J950" i="11"/>
  <c r="M1073" i="11"/>
  <c r="J1094" i="11" s="1"/>
  <c r="J283" i="11"/>
  <c r="M278" i="11"/>
  <c r="J76" i="11"/>
  <c r="M71" i="11"/>
  <c r="J287" i="11"/>
  <c r="M261" i="11"/>
  <c r="J282" i="11" s="1"/>
  <c r="M60" i="11"/>
  <c r="J77" i="11"/>
  <c r="M138" i="11"/>
  <c r="J80" i="11"/>
  <c r="J284" i="11"/>
  <c r="M1330" i="10"/>
  <c r="M721" i="11" l="1"/>
  <c r="J1400" i="9"/>
  <c r="J1403" i="9"/>
  <c r="M1091" i="11"/>
  <c r="M1182" i="11"/>
  <c r="M1483" i="11"/>
  <c r="M1403" i="11"/>
  <c r="M649" i="11"/>
  <c r="J953" i="11"/>
  <c r="J660" i="11"/>
  <c r="M72" i="11"/>
  <c r="J1102" i="11"/>
  <c r="M942" i="11"/>
  <c r="J1414" i="11"/>
  <c r="J75" i="11"/>
  <c r="J83" i="11" s="1"/>
  <c r="M279" i="11"/>
  <c r="J290" i="11"/>
  <c r="J1005" i="10"/>
  <c r="J1361" i="10"/>
  <c r="J780" i="10"/>
  <c r="J1364" i="10"/>
  <c r="J781" i="10"/>
  <c r="J1009" i="10"/>
  <c r="J1008" i="10"/>
  <c r="J784" i="10"/>
  <c r="J1006" i="10"/>
  <c r="J1362" i="10"/>
  <c r="J459" i="10"/>
  <c r="J462" i="10"/>
  <c r="J463" i="10"/>
  <c r="J460" i="10"/>
  <c r="K660" i="11" l="1"/>
  <c r="J544" i="9"/>
  <c r="J911" i="9"/>
  <c r="J92" i="9"/>
  <c r="J545" i="9"/>
  <c r="J547" i="9"/>
  <c r="J1605" i="9"/>
  <c r="J548" i="9"/>
  <c r="J913" i="9"/>
  <c r="J1602" i="9"/>
  <c r="J1116" i="9"/>
  <c r="M66" i="9"/>
  <c r="M104" i="9" s="1"/>
  <c r="K125" i="9" s="1"/>
  <c r="M106" i="9" s="1"/>
  <c r="J1118" i="9"/>
  <c r="J914" i="9"/>
  <c r="J910" i="9"/>
  <c r="J1115" i="9"/>
  <c r="J1404" i="9"/>
  <c r="J1119" i="9"/>
  <c r="J1606" i="9"/>
  <c r="M603" i="9"/>
  <c r="D626" i="9" s="1"/>
  <c r="M1463" i="9"/>
  <c r="D1480" i="9" s="1"/>
  <c r="J1401" i="9"/>
  <c r="J1603" i="9"/>
  <c r="J88" i="9"/>
  <c r="J779" i="10"/>
  <c r="M1337" i="10"/>
  <c r="J1358" i="10" s="1"/>
  <c r="K1102" i="11"/>
  <c r="J458" i="10"/>
  <c r="J1360" i="10"/>
  <c r="N72" i="11"/>
  <c r="E59" i="6" s="1"/>
  <c r="N1483" i="11"/>
  <c r="N1091" i="11"/>
  <c r="E65" i="6" s="1"/>
  <c r="J1363" i="10"/>
  <c r="M669" i="11"/>
  <c r="N1182" i="11"/>
  <c r="M965" i="11"/>
  <c r="N1403" i="11"/>
  <c r="E68" i="6" s="1"/>
  <c r="K1414" i="11"/>
  <c r="J777" i="10"/>
  <c r="K83" i="11"/>
  <c r="N942" i="11"/>
  <c r="E63" i="6" s="1"/>
  <c r="K953" i="11"/>
  <c r="M1113" i="11"/>
  <c r="N649" i="11"/>
  <c r="E56" i="6" s="1"/>
  <c r="K290" i="11"/>
  <c r="M92" i="11"/>
  <c r="M299" i="11"/>
  <c r="N279" i="11"/>
  <c r="E94" i="6" s="1"/>
  <c r="M525" i="10"/>
  <c r="J461" i="10"/>
  <c r="J1365" i="10"/>
  <c r="J1003" i="10"/>
  <c r="M998" i="10"/>
  <c r="J1004" i="10"/>
  <c r="J782" i="10"/>
  <c r="M984" i="10"/>
  <c r="J1002" i="10" s="1"/>
  <c r="J456" i="10"/>
  <c r="J457" i="10"/>
  <c r="J783" i="10"/>
  <c r="M846" i="10"/>
  <c r="J1007" i="10"/>
  <c r="M1354" i="10"/>
  <c r="J1359" i="10"/>
  <c r="J778" i="10"/>
  <c r="M132" i="10"/>
  <c r="M112" i="9" l="1"/>
  <c r="M108" i="9"/>
  <c r="M109" i="9"/>
  <c r="M111" i="9"/>
  <c r="M107" i="9"/>
  <c r="J128" i="9" s="1"/>
  <c r="M113" i="9"/>
  <c r="J129" i="9" s="1"/>
  <c r="M116" i="9"/>
  <c r="M123" i="9"/>
  <c r="M114" i="9"/>
  <c r="M118" i="9"/>
  <c r="M122" i="9"/>
  <c r="M121" i="9"/>
  <c r="M120" i="9"/>
  <c r="M124" i="9"/>
  <c r="M115" i="9"/>
  <c r="M117" i="9"/>
  <c r="M110" i="9"/>
  <c r="M119" i="9"/>
  <c r="J543" i="9"/>
  <c r="M774" i="10"/>
  <c r="N774" i="10" s="1"/>
  <c r="E91" i="6" s="1"/>
  <c r="J90" i="9"/>
  <c r="J546" i="9"/>
  <c r="J909" i="9"/>
  <c r="J1114" i="9"/>
  <c r="J1600" i="9"/>
  <c r="J89" i="9"/>
  <c r="M227" i="9"/>
  <c r="J1601" i="9"/>
  <c r="J94" i="9"/>
  <c r="J1604" i="9"/>
  <c r="M971" i="9"/>
  <c r="J1113" i="9"/>
  <c r="J87" i="9"/>
  <c r="M1584" i="9"/>
  <c r="J1599" i="9" s="1"/>
  <c r="J86" i="9"/>
  <c r="M537" i="9"/>
  <c r="M1177" i="9"/>
  <c r="M1665" i="9"/>
  <c r="M1108" i="9"/>
  <c r="J93" i="9"/>
  <c r="M891" i="9"/>
  <c r="J907" i="9" s="1"/>
  <c r="M903" i="9"/>
  <c r="J1402" i="9"/>
  <c r="N603" i="9"/>
  <c r="J1117" i="9"/>
  <c r="M1097" i="9"/>
  <c r="J1112" i="9" s="1"/>
  <c r="D173" i="9"/>
  <c r="J91" i="9"/>
  <c r="M528" i="9"/>
  <c r="J541" i="9" s="1"/>
  <c r="M82" i="9"/>
  <c r="M83" i="9" s="1"/>
  <c r="N83" i="9" s="1"/>
  <c r="M1595" i="9"/>
  <c r="J908" i="9"/>
  <c r="J912" i="9"/>
  <c r="J542" i="9"/>
  <c r="J694" i="11"/>
  <c r="J1457" i="11"/>
  <c r="J1001" i="11"/>
  <c r="J1156" i="11"/>
  <c r="J785" i="10"/>
  <c r="K785" i="10" s="1"/>
  <c r="M453" i="10"/>
  <c r="N453" i="10" s="1"/>
  <c r="E80" i="6" s="1"/>
  <c r="M999" i="10"/>
  <c r="N999" i="10" s="1"/>
  <c r="E71" i="6" s="1"/>
  <c r="J323" i="11"/>
  <c r="J115" i="11"/>
  <c r="M1355" i="10"/>
  <c r="M1426" i="10"/>
  <c r="J464" i="10"/>
  <c r="J1010" i="10"/>
  <c r="J1366" i="10"/>
  <c r="D541" i="10"/>
  <c r="J131" i="9" l="1"/>
  <c r="J130" i="9"/>
  <c r="D988" i="9"/>
  <c r="K1010" i="10"/>
  <c r="K464" i="10"/>
  <c r="D248" i="9"/>
  <c r="M1414" i="9"/>
  <c r="D1194" i="9"/>
  <c r="J549" i="9"/>
  <c r="J1607" i="9"/>
  <c r="J1120" i="9"/>
  <c r="M1596" i="9"/>
  <c r="N1596" i="9" s="1"/>
  <c r="E43" i="6" s="1"/>
  <c r="J95" i="9"/>
  <c r="K95" i="9" s="1"/>
  <c r="J915" i="9"/>
  <c r="M904" i="9"/>
  <c r="N904" i="9" s="1"/>
  <c r="E26" i="6" s="1"/>
  <c r="N1665" i="9"/>
  <c r="D1682" i="9"/>
  <c r="M538" i="9"/>
  <c r="M1109" i="9"/>
  <c r="M1617" i="9"/>
  <c r="M1130" i="9"/>
  <c r="E13" i="6"/>
  <c r="M925" i="9"/>
  <c r="M558" i="9"/>
  <c r="D1503" i="11"/>
  <c r="I1500" i="11" s="1"/>
  <c r="J1155" i="11"/>
  <c r="J1456" i="11"/>
  <c r="K1366" i="10"/>
  <c r="M689" i="11"/>
  <c r="N689" i="11" s="1"/>
  <c r="E57" i="6" s="1"/>
  <c r="J695" i="11"/>
  <c r="J1154" i="11"/>
  <c r="J999" i="11"/>
  <c r="J693" i="11"/>
  <c r="D375" i="11"/>
  <c r="I372" i="11" s="1"/>
  <c r="J1002" i="11"/>
  <c r="N996" i="11"/>
  <c r="E64" i="6" s="1"/>
  <c r="D1202" i="11"/>
  <c r="I1199" i="11" s="1"/>
  <c r="M1452" i="11"/>
  <c r="N1452" i="11" s="1"/>
  <c r="E69" i="6" s="1"/>
  <c r="J1458" i="11"/>
  <c r="M1151" i="11"/>
  <c r="N1151" i="11" s="1"/>
  <c r="E66" i="6" s="1"/>
  <c r="J1157" i="11"/>
  <c r="J692" i="11"/>
  <c r="D743" i="11"/>
  <c r="I740" i="11" s="1"/>
  <c r="J1000" i="11"/>
  <c r="J1455" i="11"/>
  <c r="J116" i="11"/>
  <c r="M110" i="11"/>
  <c r="N110" i="11" s="1"/>
  <c r="E60" i="6" s="1"/>
  <c r="J113" i="11"/>
  <c r="J322" i="11"/>
  <c r="J321" i="11"/>
  <c r="J114" i="11"/>
  <c r="D158" i="11"/>
  <c r="J324" i="11"/>
  <c r="M318" i="11"/>
  <c r="N318" i="11" s="1"/>
  <c r="E95" i="6" s="1"/>
  <c r="N1355" i="10"/>
  <c r="E97" i="6" s="1"/>
  <c r="M473" i="10"/>
  <c r="K497" i="10" s="1"/>
  <c r="J1038" i="10"/>
  <c r="J817" i="10"/>
  <c r="J1400" i="10"/>
  <c r="J502" i="10"/>
  <c r="M794" i="10"/>
  <c r="K812" i="10" s="1"/>
  <c r="M1375" i="10"/>
  <c r="M1019" i="10"/>
  <c r="K915" i="9" l="1"/>
  <c r="K1607" i="9"/>
  <c r="N1109" i="9"/>
  <c r="E48" i="6" s="1"/>
  <c r="K1120" i="9"/>
  <c r="N538" i="9"/>
  <c r="E33" i="6" s="1"/>
  <c r="K549" i="9"/>
  <c r="D1484" i="9"/>
  <c r="I1481" i="9" s="1"/>
  <c r="J1438" i="9"/>
  <c r="D1447" i="10"/>
  <c r="I1444" i="10" s="1"/>
  <c r="M1443" i="10" s="1"/>
  <c r="J696" i="11"/>
  <c r="K696" i="11" s="1"/>
  <c r="J117" i="11"/>
  <c r="K117" i="11" s="1"/>
  <c r="J1459" i="11"/>
  <c r="K1459" i="11" s="1"/>
  <c r="I373" i="11"/>
  <c r="I374" i="11" s="1"/>
  <c r="M371" i="11"/>
  <c r="I741" i="11"/>
  <c r="I742" i="11" s="1"/>
  <c r="J1158" i="11"/>
  <c r="K1158" i="11" s="1"/>
  <c r="M1198" i="11"/>
  <c r="I1200" i="11"/>
  <c r="I1201" i="11" s="1"/>
  <c r="J1003" i="11"/>
  <c r="K1003" i="11" s="1"/>
  <c r="M1499" i="11"/>
  <c r="I1501" i="11"/>
  <c r="I1502" i="11" s="1"/>
  <c r="M154" i="11"/>
  <c r="I156" i="11"/>
  <c r="I157" i="11" s="1"/>
  <c r="J325" i="11"/>
  <c r="K325" i="11" s="1"/>
  <c r="J503" i="10"/>
  <c r="M497" i="10"/>
  <c r="N497" i="10" s="1"/>
  <c r="E81" i="6" s="1"/>
  <c r="M1033" i="10"/>
  <c r="N1033" i="10" s="1"/>
  <c r="E72" i="6" s="1"/>
  <c r="J1039" i="10"/>
  <c r="D869" i="10"/>
  <c r="I866" i="10" s="1"/>
  <c r="J1036" i="10"/>
  <c r="M1395" i="10"/>
  <c r="N1395" i="10" s="1"/>
  <c r="E98" i="6" s="1"/>
  <c r="J1401" i="10"/>
  <c r="J815" i="10"/>
  <c r="J500" i="10"/>
  <c r="J501" i="10"/>
  <c r="J816" i="10"/>
  <c r="M812" i="10"/>
  <c r="N812" i="10" s="1"/>
  <c r="E92" i="6" s="1"/>
  <c r="J818" i="10"/>
  <c r="M1112" i="10"/>
  <c r="D542" i="10"/>
  <c r="D545" i="10" s="1"/>
  <c r="I542" i="10" s="1"/>
  <c r="J1037" i="10"/>
  <c r="J1398" i="10"/>
  <c r="J1399" i="10"/>
  <c r="D153" i="10"/>
  <c r="I150" i="10" s="1"/>
  <c r="M368" i="11" l="1"/>
  <c r="N368" i="11" s="1"/>
  <c r="I1445" i="10"/>
  <c r="I1446" i="10" s="1"/>
  <c r="M149" i="10"/>
  <c r="I151" i="10"/>
  <c r="J1640" i="9"/>
  <c r="J1153" i="9"/>
  <c r="D1195" i="9"/>
  <c r="D1198" i="9" s="1"/>
  <c r="I1195" i="9" s="1"/>
  <c r="M1194" i="9" s="1"/>
  <c r="J579" i="9"/>
  <c r="J948" i="9"/>
  <c r="J1436" i="9"/>
  <c r="M605" i="9"/>
  <c r="M607" i="9" s="1"/>
  <c r="M1468" i="9"/>
  <c r="M449" i="11"/>
  <c r="N449" i="11" s="1"/>
  <c r="J1437" i="9"/>
  <c r="M528" i="11"/>
  <c r="M736" i="11"/>
  <c r="N736" i="11" s="1"/>
  <c r="M1496" i="11"/>
  <c r="N1496" i="11" s="1"/>
  <c r="M1274" i="11"/>
  <c r="N1274" i="11" s="1"/>
  <c r="M1195" i="11"/>
  <c r="N1195" i="11" s="1"/>
  <c r="M814" i="11"/>
  <c r="N814" i="11" s="1"/>
  <c r="M151" i="11"/>
  <c r="D1132" i="10"/>
  <c r="I1129" i="10" s="1"/>
  <c r="J1040" i="10"/>
  <c r="K1040" i="10" s="1"/>
  <c r="J819" i="10"/>
  <c r="K819" i="10" s="1"/>
  <c r="M230" i="10"/>
  <c r="I543" i="10"/>
  <c r="I544" i="10" s="1"/>
  <c r="M541" i="10"/>
  <c r="J1402" i="10"/>
  <c r="K1402" i="10" s="1"/>
  <c r="M865" i="10"/>
  <c r="I867" i="10"/>
  <c r="I868" i="10" s="1"/>
  <c r="J504" i="10"/>
  <c r="K504" i="10" s="1"/>
  <c r="M1480" i="9"/>
  <c r="I1482" i="9"/>
  <c r="I1483" i="9" s="1"/>
  <c r="M1440" i="10" l="1"/>
  <c r="M167" i="10"/>
  <c r="M166" i="10"/>
  <c r="I1196" i="9"/>
  <c r="I1197" i="9" s="1"/>
  <c r="J578" i="9"/>
  <c r="D989" i="9"/>
  <c r="D992" i="9" s="1"/>
  <c r="I989" i="9" s="1"/>
  <c r="M988" i="9" s="1"/>
  <c r="J132" i="9"/>
  <c r="J1639" i="9"/>
  <c r="J1151" i="9"/>
  <c r="J1638" i="9"/>
  <c r="J946" i="9"/>
  <c r="J1641" i="9"/>
  <c r="J577" i="9"/>
  <c r="J1154" i="9"/>
  <c r="J947" i="9"/>
  <c r="D1683" i="9"/>
  <c r="D1686" i="9" s="1"/>
  <c r="I1683" i="9" s="1"/>
  <c r="M1670" i="9"/>
  <c r="M1148" i="9"/>
  <c r="N1148" i="9" s="1"/>
  <c r="E49" i="6" s="1"/>
  <c r="J1152" i="9"/>
  <c r="M125" i="9"/>
  <c r="N125" i="9" s="1"/>
  <c r="E14" i="6" s="1"/>
  <c r="M943" i="9"/>
  <c r="N943" i="9" s="1"/>
  <c r="E27" i="6" s="1"/>
  <c r="J949" i="9"/>
  <c r="M574" i="9"/>
  <c r="N574" i="9" s="1"/>
  <c r="E34" i="6" s="1"/>
  <c r="M1635" i="9"/>
  <c r="N1635" i="9" s="1"/>
  <c r="E44" i="6" s="1"/>
  <c r="J580" i="9"/>
  <c r="J1439" i="9"/>
  <c r="J1440" i="9" s="1"/>
  <c r="N1433" i="9"/>
  <c r="E23" i="6" s="1"/>
  <c r="D627" i="9"/>
  <c r="D630" i="9" s="1"/>
  <c r="I627" i="9" s="1"/>
  <c r="M612" i="9"/>
  <c r="M312" i="10"/>
  <c r="M618" i="10"/>
  <c r="M170" i="9"/>
  <c r="M386" i="11"/>
  <c r="M1125" i="10"/>
  <c r="N1125" i="10" s="1"/>
  <c r="N151" i="11"/>
  <c r="M1211" i="10"/>
  <c r="N1211" i="10" s="1"/>
  <c r="I1130" i="10"/>
  <c r="I1131" i="10" s="1"/>
  <c r="M1128" i="10"/>
  <c r="M146" i="10"/>
  <c r="M862" i="10"/>
  <c r="M538" i="10"/>
  <c r="N538" i="10" s="1"/>
  <c r="I152" i="10"/>
  <c r="M832" i="11" l="1"/>
  <c r="M1292" i="11"/>
  <c r="I990" i="9"/>
  <c r="I991" i="9" s="1"/>
  <c r="J950" i="9"/>
  <c r="K950" i="9" s="1"/>
  <c r="J1642" i="9"/>
  <c r="K1642" i="9" s="1"/>
  <c r="J581" i="9"/>
  <c r="K581" i="9" s="1"/>
  <c r="J1155" i="9"/>
  <c r="K1155" i="9" s="1"/>
  <c r="M1682" i="9"/>
  <c r="I1684" i="9"/>
  <c r="I1685" i="9" s="1"/>
  <c r="K86" i="9"/>
  <c r="K132" i="9"/>
  <c r="K1440" i="9"/>
  <c r="M626" i="9"/>
  <c r="I628" i="9"/>
  <c r="I629" i="9" s="1"/>
  <c r="M230" i="9"/>
  <c r="M772" i="9"/>
  <c r="M694" i="9"/>
  <c r="M169" i="11"/>
  <c r="N170" i="9"/>
  <c r="M1901" i="9"/>
  <c r="D1835" i="9"/>
  <c r="D1838" i="9" s="1"/>
  <c r="I1835" i="9" s="1"/>
  <c r="M1930" i="9"/>
  <c r="M754" i="11"/>
  <c r="K772" i="11" s="1"/>
  <c r="M1514" i="11"/>
  <c r="M549" i="11"/>
  <c r="M1213" i="11"/>
  <c r="K1231" i="11" s="1"/>
  <c r="M467" i="11"/>
  <c r="K406" i="11"/>
  <c r="I191" i="11" l="1"/>
  <c r="M1143" i="10"/>
  <c r="M556" i="10"/>
  <c r="K576" i="10" s="1"/>
  <c r="M168" i="10"/>
  <c r="K187" i="10" s="1"/>
  <c r="M721" i="9"/>
  <c r="M432" i="9"/>
  <c r="D249" i="9"/>
  <c r="D252" i="9" s="1"/>
  <c r="I249" i="9" s="1"/>
  <c r="I250" i="9" s="1"/>
  <c r="I251" i="9" s="1"/>
  <c r="M235" i="9"/>
  <c r="M245" i="9" s="1"/>
  <c r="N245" i="9" s="1"/>
  <c r="D707" i="9"/>
  <c r="D710" i="9" s="1"/>
  <c r="I708" i="9" s="1"/>
  <c r="I709" i="9" s="1"/>
  <c r="D785" i="9"/>
  <c r="D788" i="9" s="1"/>
  <c r="I785" i="9" s="1"/>
  <c r="I786" i="9" s="1"/>
  <c r="I787" i="9" s="1"/>
  <c r="M1292" i="9"/>
  <c r="D1756" i="9"/>
  <c r="D1759" i="9" s="1"/>
  <c r="I1756" i="9" s="1"/>
  <c r="I1757" i="9" s="1"/>
  <c r="I1758" i="9" s="1"/>
  <c r="M1770" i="9"/>
  <c r="K1790" i="9" s="1"/>
  <c r="D1278" i="9"/>
  <c r="D1281" i="9" s="1"/>
  <c r="I1278" i="9" s="1"/>
  <c r="M1277" i="9" s="1"/>
  <c r="D1915" i="9"/>
  <c r="D1918" i="9" s="1"/>
  <c r="I1915" i="9" s="1"/>
  <c r="M1914" i="9" s="1"/>
  <c r="M1210" i="9"/>
  <c r="M1849" i="9"/>
  <c r="M799" i="9"/>
  <c r="D237" i="10"/>
  <c r="I234" i="10" s="1"/>
  <c r="I235" i="10" s="1"/>
  <c r="I236" i="10" s="1"/>
  <c r="M1458" i="10"/>
  <c r="M1697" i="9"/>
  <c r="M1004" i="9"/>
  <c r="K1024" i="9" s="1"/>
  <c r="M1495" i="9"/>
  <c r="K1509" i="9" s="1"/>
  <c r="M638" i="10"/>
  <c r="K662" i="10" s="1"/>
  <c r="D456" i="11"/>
  <c r="I453" i="11" s="1"/>
  <c r="K487" i="11"/>
  <c r="I411" i="11"/>
  <c r="D625" i="10"/>
  <c r="I622" i="10" s="1"/>
  <c r="M1230" i="10"/>
  <c r="M880" i="10"/>
  <c r="I1836" i="9"/>
  <c r="I1837" i="9" s="1"/>
  <c r="M1834" i="9"/>
  <c r="I1536" i="11" l="1"/>
  <c r="I1317" i="11"/>
  <c r="I1235" i="11"/>
  <c r="I578" i="11"/>
  <c r="I851" i="11"/>
  <c r="I491" i="11"/>
  <c r="I192" i="11"/>
  <c r="I1236" i="11"/>
  <c r="M187" i="11"/>
  <c r="M155" i="11" s="1"/>
  <c r="M156" i="11" s="1"/>
  <c r="M157" i="11" s="1"/>
  <c r="I490" i="11"/>
  <c r="I576" i="11"/>
  <c r="I1534" i="11"/>
  <c r="I577" i="11"/>
  <c r="I410" i="11"/>
  <c r="I190" i="11"/>
  <c r="I193" i="11" s="1"/>
  <c r="I775" i="11"/>
  <c r="I777" i="11"/>
  <c r="I776" i="11"/>
  <c r="I492" i="11"/>
  <c r="I849" i="11"/>
  <c r="M772" i="11"/>
  <c r="M740" i="11" s="1"/>
  <c r="M741" i="11" s="1"/>
  <c r="M742" i="11" s="1"/>
  <c r="I1315" i="11"/>
  <c r="I1535" i="11"/>
  <c r="M487" i="11"/>
  <c r="N487" i="11" s="1"/>
  <c r="E96" i="6" s="1"/>
  <c r="M406" i="11"/>
  <c r="N406" i="11" s="1"/>
  <c r="E93" i="6" s="1"/>
  <c r="I1316" i="11"/>
  <c r="M172" i="10"/>
  <c r="M180" i="10"/>
  <c r="M175" i="10"/>
  <c r="M177" i="10"/>
  <c r="M183" i="10"/>
  <c r="M173" i="10"/>
  <c r="M181" i="10"/>
  <c r="M171" i="10"/>
  <c r="M170" i="10"/>
  <c r="M176" i="10"/>
  <c r="M184" i="10"/>
  <c r="M185" i="10"/>
  <c r="M179" i="10"/>
  <c r="M174" i="10"/>
  <c r="M186" i="10"/>
  <c r="M182" i="10"/>
  <c r="M178" i="10"/>
  <c r="M233" i="10"/>
  <c r="M573" i="11"/>
  <c r="I1234" i="11"/>
  <c r="M248" i="9"/>
  <c r="I409" i="11"/>
  <c r="M1231" i="11"/>
  <c r="N1231" i="11" s="1"/>
  <c r="E67" i="6" s="1"/>
  <c r="D1281" i="11"/>
  <c r="I1278" i="11" s="1"/>
  <c r="M1312" i="11"/>
  <c r="M1278" i="11" s="1"/>
  <c r="M1531" i="11"/>
  <c r="M1500" i="11" s="1"/>
  <c r="M1501" i="11" s="1"/>
  <c r="M1502" i="11" s="1"/>
  <c r="I850" i="11"/>
  <c r="M706" i="9"/>
  <c r="M784" i="9"/>
  <c r="I1916" i="9"/>
  <c r="I1917" i="9" s="1"/>
  <c r="M1755" i="9"/>
  <c r="I1279" i="9"/>
  <c r="I1280" i="9" s="1"/>
  <c r="M846" i="11"/>
  <c r="N846" i="11" s="1"/>
  <c r="E29" i="6" s="1"/>
  <c r="M452" i="11"/>
  <c r="I454" i="11"/>
  <c r="I455" i="11" s="1"/>
  <c r="N187" i="11"/>
  <c r="E84" i="6" s="1"/>
  <c r="M621" i="10"/>
  <c r="I623" i="10"/>
  <c r="I624" i="10" s="1"/>
  <c r="I192" i="10" l="1"/>
  <c r="K573" i="11"/>
  <c r="I493" i="11"/>
  <c r="J493" i="11" s="1"/>
  <c r="I579" i="11"/>
  <c r="J579" i="11" s="1"/>
  <c r="I1237" i="11"/>
  <c r="J1237" i="11" s="1"/>
  <c r="I1537" i="11"/>
  <c r="J1537" i="11" s="1"/>
  <c r="J193" i="11"/>
  <c r="N1312" i="11"/>
  <c r="E87" i="6" s="1"/>
  <c r="M818" i="11"/>
  <c r="M819" i="11" s="1"/>
  <c r="M820" i="11" s="1"/>
  <c r="I412" i="11"/>
  <c r="J412" i="11" s="1"/>
  <c r="I778" i="11"/>
  <c r="J778" i="11" s="1"/>
  <c r="M453" i="11"/>
  <c r="M454" i="11" s="1"/>
  <c r="M455" i="11" s="1"/>
  <c r="N772" i="11"/>
  <c r="E58" i="6" s="1"/>
  <c r="M372" i="11"/>
  <c r="M373" i="11" s="1"/>
  <c r="M374" i="11" s="1"/>
  <c r="I1318" i="11"/>
  <c r="J1318" i="11" s="1"/>
  <c r="I852" i="11"/>
  <c r="J852" i="11" s="1"/>
  <c r="I1168" i="10"/>
  <c r="N573" i="11"/>
  <c r="E55" i="6" s="1"/>
  <c r="M246" i="10"/>
  <c r="M248" i="10"/>
  <c r="M247" i="10"/>
  <c r="I1166" i="10"/>
  <c r="M187" i="10"/>
  <c r="N187" i="10" s="1"/>
  <c r="E77" i="6" s="1"/>
  <c r="I667" i="10"/>
  <c r="I1249" i="10"/>
  <c r="I1474" i="10"/>
  <c r="I904" i="10"/>
  <c r="I1250" i="10"/>
  <c r="M1471" i="10"/>
  <c r="M1444" i="10" s="1"/>
  <c r="M1445" i="10" s="1"/>
  <c r="M1446" i="10" s="1"/>
  <c r="I581" i="10"/>
  <c r="I190" i="10"/>
  <c r="I666" i="10"/>
  <c r="I1248" i="10"/>
  <c r="I1475" i="10"/>
  <c r="I1167" i="10"/>
  <c r="I905" i="10"/>
  <c r="I191" i="10"/>
  <c r="M662" i="10"/>
  <c r="N662" i="10" s="1"/>
  <c r="E70" i="6" s="1"/>
  <c r="I580" i="10"/>
  <c r="I665" i="10"/>
  <c r="M1163" i="10"/>
  <c r="M1129" i="10" s="1"/>
  <c r="M1130" i="10" s="1"/>
  <c r="M1131" i="10" s="1"/>
  <c r="N1531" i="11"/>
  <c r="E83" i="6" s="1"/>
  <c r="M1199" i="11"/>
  <c r="M1200" i="11" s="1"/>
  <c r="M1201" i="11" s="1"/>
  <c r="D344" i="9"/>
  <c r="I341" i="9" s="1"/>
  <c r="M1277" i="11"/>
  <c r="M1279" i="11" s="1"/>
  <c r="M1280" i="11" s="1"/>
  <c r="I1279" i="11"/>
  <c r="I1280" i="11" s="1"/>
  <c r="I579" i="10" l="1"/>
  <c r="I582" i="10" s="1"/>
  <c r="I1169" i="10"/>
  <c r="J1169" i="10" s="1"/>
  <c r="D319" i="10"/>
  <c r="I316" i="10" s="1"/>
  <c r="I668" i="10"/>
  <c r="J668" i="10" s="1"/>
  <c r="M249" i="10"/>
  <c r="K265" i="10" s="1"/>
  <c r="M900" i="10"/>
  <c r="N900" i="10" s="1"/>
  <c r="E88" i="6" s="1"/>
  <c r="I903" i="10"/>
  <c r="I906" i="10" s="1"/>
  <c r="M576" i="10"/>
  <c r="N576" i="10" s="1"/>
  <c r="E89" i="6" s="1"/>
  <c r="M1245" i="10"/>
  <c r="N1245" i="10" s="1"/>
  <c r="E73" i="6" s="1"/>
  <c r="I1476" i="10"/>
  <c r="I1477" i="10" s="1"/>
  <c r="J1477" i="10" s="1"/>
  <c r="N1471" i="10"/>
  <c r="E90" i="6" s="1"/>
  <c r="I1251" i="10"/>
  <c r="M150" i="10"/>
  <c r="M151" i="10" s="1"/>
  <c r="M152" i="10" s="1"/>
  <c r="I193" i="10"/>
  <c r="J193" i="10" s="1"/>
  <c r="M622" i="10"/>
  <c r="M623" i="10" s="1"/>
  <c r="M624" i="10" s="1"/>
  <c r="E78" i="6"/>
  <c r="M264" i="9"/>
  <c r="I342" i="9"/>
  <c r="I343" i="9" s="1"/>
  <c r="M340" i="9"/>
  <c r="B1347" i="1"/>
  <c r="K1346" i="1"/>
  <c r="B1346" i="1"/>
  <c r="L1337" i="1"/>
  <c r="L1336" i="1"/>
  <c r="D1347" i="1"/>
  <c r="B1275" i="1"/>
  <c r="K1274" i="1"/>
  <c r="B1274" i="1"/>
  <c r="L1265" i="1"/>
  <c r="L1264" i="1"/>
  <c r="I1260" i="1"/>
  <c r="L1260" i="1" s="1"/>
  <c r="I1259" i="1"/>
  <c r="L1259" i="1" s="1"/>
  <c r="I1258" i="1"/>
  <c r="L1258" i="1" s="1"/>
  <c r="D1275" i="1"/>
  <c r="K1192" i="1"/>
  <c r="B1192" i="1"/>
  <c r="L1183" i="1"/>
  <c r="L1182" i="1"/>
  <c r="M1175" i="1"/>
  <c r="J1175" i="1"/>
  <c r="I1175" i="1"/>
  <c r="H1175" i="1"/>
  <c r="G1175" i="1"/>
  <c r="F1175" i="1"/>
  <c r="E1175" i="1"/>
  <c r="C1175" i="1"/>
  <c r="B1175" i="1"/>
  <c r="M1174" i="1"/>
  <c r="J1174" i="1"/>
  <c r="I1174" i="1"/>
  <c r="H1174" i="1"/>
  <c r="G1174" i="1"/>
  <c r="F1174" i="1"/>
  <c r="E1174" i="1"/>
  <c r="C1174" i="1"/>
  <c r="B1174" i="1"/>
  <c r="K1115" i="1"/>
  <c r="B1115" i="1"/>
  <c r="L1106" i="1"/>
  <c r="L1105" i="1"/>
  <c r="K1037" i="1"/>
  <c r="B1037" i="1"/>
  <c r="I1031" i="1"/>
  <c r="L1031" i="1" s="1"/>
  <c r="L1027" i="1"/>
  <c r="L1026" i="1"/>
  <c r="I1023" i="1"/>
  <c r="I1022" i="1"/>
  <c r="B959" i="1"/>
  <c r="K958" i="1"/>
  <c r="B958" i="1"/>
  <c r="L949" i="1"/>
  <c r="L948" i="1"/>
  <c r="D959" i="1"/>
  <c r="M940" i="1"/>
  <c r="L940" i="1"/>
  <c r="K940" i="1"/>
  <c r="J940" i="1"/>
  <c r="I940" i="1"/>
  <c r="H940" i="1"/>
  <c r="G940" i="1"/>
  <c r="F940" i="1"/>
  <c r="E940" i="1"/>
  <c r="C940" i="1"/>
  <c r="B940" i="1"/>
  <c r="M939" i="1"/>
  <c r="L939" i="1"/>
  <c r="K939" i="1"/>
  <c r="J939" i="1"/>
  <c r="I939" i="1"/>
  <c r="H939" i="1"/>
  <c r="G939" i="1"/>
  <c r="F939" i="1"/>
  <c r="E939" i="1"/>
  <c r="C939" i="1"/>
  <c r="B939" i="1"/>
  <c r="M938" i="1"/>
  <c r="L938" i="1"/>
  <c r="K938" i="1"/>
  <c r="J938" i="1"/>
  <c r="I938" i="1"/>
  <c r="H938" i="1"/>
  <c r="G938" i="1"/>
  <c r="F938" i="1"/>
  <c r="E938" i="1"/>
  <c r="C938" i="1"/>
  <c r="B938" i="1"/>
  <c r="K882" i="1"/>
  <c r="I878" i="1"/>
  <c r="L878" i="1" s="1"/>
  <c r="I877" i="1"/>
  <c r="L877" i="1" s="1"/>
  <c r="L873" i="1"/>
  <c r="L872" i="1"/>
  <c r="I868" i="1"/>
  <c r="L868" i="1" s="1"/>
  <c r="I864" i="1"/>
  <c r="K864" i="1" s="1"/>
  <c r="K866" i="1" s="1"/>
  <c r="B809" i="1"/>
  <c r="K808" i="1"/>
  <c r="B808" i="1"/>
  <c r="L799" i="1"/>
  <c r="L798" i="1"/>
  <c r="D809" i="1"/>
  <c r="I748" i="1"/>
  <c r="K748" i="1" s="1"/>
  <c r="I747" i="1"/>
  <c r="K747" i="1" s="1"/>
  <c r="K734" i="1"/>
  <c r="B734" i="1"/>
  <c r="L724" i="1"/>
  <c r="L723" i="1"/>
  <c r="K659" i="1"/>
  <c r="B659" i="1"/>
  <c r="L650" i="1"/>
  <c r="L649" i="1"/>
  <c r="M641" i="1"/>
  <c r="L641" i="1"/>
  <c r="K641" i="1"/>
  <c r="J641" i="1"/>
  <c r="I641" i="1"/>
  <c r="H641" i="1"/>
  <c r="G641" i="1"/>
  <c r="F641" i="1"/>
  <c r="E641" i="1"/>
  <c r="C641" i="1"/>
  <c r="B641" i="1"/>
  <c r="M640" i="1"/>
  <c r="L640" i="1"/>
  <c r="K640" i="1"/>
  <c r="J640" i="1"/>
  <c r="I640" i="1"/>
  <c r="H640" i="1"/>
  <c r="G640" i="1"/>
  <c r="F640" i="1"/>
  <c r="E640" i="1"/>
  <c r="C640" i="1"/>
  <c r="B640" i="1"/>
  <c r="M639" i="1"/>
  <c r="L639" i="1"/>
  <c r="K639" i="1"/>
  <c r="J639" i="1"/>
  <c r="I639" i="1"/>
  <c r="H639" i="1"/>
  <c r="G639" i="1"/>
  <c r="F639" i="1"/>
  <c r="E639" i="1"/>
  <c r="C639" i="1"/>
  <c r="B639" i="1"/>
  <c r="K578" i="1"/>
  <c r="B578" i="1"/>
  <c r="L569" i="1"/>
  <c r="L568" i="1"/>
  <c r="M561" i="1"/>
  <c r="L561" i="1"/>
  <c r="K561" i="1"/>
  <c r="J561" i="1"/>
  <c r="I561" i="1"/>
  <c r="H561" i="1"/>
  <c r="G561" i="1"/>
  <c r="F561" i="1"/>
  <c r="E561" i="1"/>
  <c r="C561" i="1"/>
  <c r="M560" i="1"/>
  <c r="L560" i="1"/>
  <c r="K560" i="1"/>
  <c r="J560" i="1"/>
  <c r="I560" i="1"/>
  <c r="H560" i="1"/>
  <c r="G560" i="1"/>
  <c r="F560" i="1"/>
  <c r="E560" i="1"/>
  <c r="C560" i="1"/>
  <c r="F472" i="1"/>
  <c r="G472" i="1"/>
  <c r="H472" i="1"/>
  <c r="J472" i="1"/>
  <c r="F473" i="1"/>
  <c r="G473" i="1"/>
  <c r="H473" i="1"/>
  <c r="J473" i="1"/>
  <c r="F474" i="1"/>
  <c r="J474" i="1"/>
  <c r="C472" i="1"/>
  <c r="C473" i="1"/>
  <c r="C474" i="1"/>
  <c r="K493" i="1"/>
  <c r="B493" i="1"/>
  <c r="L483" i="1"/>
  <c r="L482" i="1"/>
  <c r="K1174" i="1" l="1"/>
  <c r="K1175" i="1"/>
  <c r="L1022" i="1"/>
  <c r="K1022" i="1"/>
  <c r="L1023" i="1"/>
  <c r="K1023" i="1"/>
  <c r="K941" i="1"/>
  <c r="L879" i="1"/>
  <c r="D882" i="1"/>
  <c r="K870" i="1"/>
  <c r="K474" i="1"/>
  <c r="I473" i="1"/>
  <c r="K473" i="1" s="1"/>
  <c r="I472" i="1"/>
  <c r="K472" i="1" s="1"/>
  <c r="M1215" i="10"/>
  <c r="M1216" i="10" s="1"/>
  <c r="M1217" i="10" s="1"/>
  <c r="M542" i="10"/>
  <c r="M543" i="10" s="1"/>
  <c r="M544" i="10" s="1"/>
  <c r="J906" i="10"/>
  <c r="M251" i="10"/>
  <c r="M261" i="10"/>
  <c r="M256" i="10"/>
  <c r="M258" i="10"/>
  <c r="M254" i="10"/>
  <c r="M262" i="10"/>
  <c r="M257" i="10"/>
  <c r="M260" i="10"/>
  <c r="M264" i="10"/>
  <c r="M252" i="10"/>
  <c r="M263" i="10"/>
  <c r="M255" i="10"/>
  <c r="M253" i="10"/>
  <c r="M259" i="10"/>
  <c r="J1251" i="10"/>
  <c r="M866" i="10"/>
  <c r="M867" i="10" s="1"/>
  <c r="M868" i="10" s="1"/>
  <c r="I317" i="10"/>
  <c r="I318" i="10" s="1"/>
  <c r="M315" i="10"/>
  <c r="J582" i="10"/>
  <c r="L731" i="1"/>
  <c r="L612" i="1"/>
  <c r="K1053" i="1"/>
  <c r="K1070" i="1" s="1"/>
  <c r="L1070" i="1"/>
  <c r="L1262" i="1"/>
  <c r="K750" i="1"/>
  <c r="K761" i="1" s="1"/>
  <c r="L761" i="1"/>
  <c r="L1271" i="1"/>
  <c r="K1289" i="1"/>
  <c r="K973" i="1"/>
  <c r="K990" i="1" s="1"/>
  <c r="K509" i="1"/>
  <c r="K533" i="1" s="1"/>
  <c r="K1361" i="1"/>
  <c r="K1381" i="1" s="1"/>
  <c r="L490" i="1"/>
  <c r="M1176" i="1"/>
  <c r="L1107" i="1"/>
  <c r="I1115" i="1" s="1"/>
  <c r="L837" i="1"/>
  <c r="L656" i="1"/>
  <c r="L1028" i="1"/>
  <c r="I1037" i="1" s="1"/>
  <c r="D886" i="1"/>
  <c r="I883" i="1" s="1"/>
  <c r="I884" i="1" s="1"/>
  <c r="L562" i="1"/>
  <c r="L725" i="1"/>
  <c r="I734" i="1" s="1"/>
  <c r="L800" i="1"/>
  <c r="I808" i="1" s="1"/>
  <c r="L651" i="1"/>
  <c r="I659" i="1" s="1"/>
  <c r="L484" i="1"/>
  <c r="I493" i="1" s="1"/>
  <c r="K593" i="1"/>
  <c r="K612" i="1" s="1"/>
  <c r="M791" i="1"/>
  <c r="M1099" i="1"/>
  <c r="M1255" i="1"/>
  <c r="K1130" i="1"/>
  <c r="K1147" i="1" s="1"/>
  <c r="L1184" i="1"/>
  <c r="I1192" i="1" s="1"/>
  <c r="K674" i="1"/>
  <c r="K688" i="1" s="1"/>
  <c r="L805" i="1"/>
  <c r="L950" i="1"/>
  <c r="I958" i="1" s="1"/>
  <c r="L570" i="1"/>
  <c r="I578" i="1" s="1"/>
  <c r="L647" i="1"/>
  <c r="L955" i="1"/>
  <c r="L1099" i="1"/>
  <c r="L1176" i="1"/>
  <c r="L1034" i="1"/>
  <c r="L721" i="1"/>
  <c r="L941" i="1"/>
  <c r="L1020" i="1"/>
  <c r="L642" i="1"/>
  <c r="M941" i="1"/>
  <c r="L946" i="1"/>
  <c r="M1020" i="1"/>
  <c r="L1180" i="1"/>
  <c r="M1330" i="1"/>
  <c r="D1346" i="1" s="1"/>
  <c r="D1350" i="1" s="1"/>
  <c r="L870" i="1"/>
  <c r="M642" i="1"/>
  <c r="L1266" i="1"/>
  <c r="I1274" i="1" s="1"/>
  <c r="L1338" i="1"/>
  <c r="I1346" i="1" s="1"/>
  <c r="L1381" i="1"/>
  <c r="L1343" i="1"/>
  <c r="L1334" i="1"/>
  <c r="K1207" i="1"/>
  <c r="L1225" i="1"/>
  <c r="L1189" i="1"/>
  <c r="L1147" i="1"/>
  <c r="L1103" i="1"/>
  <c r="L990" i="1"/>
  <c r="K897" i="1"/>
  <c r="K911" i="1" s="1"/>
  <c r="L796" i="1"/>
  <c r="L480" i="1"/>
  <c r="I294" i="9" l="1"/>
  <c r="I293" i="9"/>
  <c r="K1225" i="1"/>
  <c r="K1176" i="1"/>
  <c r="K1024" i="1"/>
  <c r="L1024" i="1"/>
  <c r="N730" i="1"/>
  <c r="M750" i="1"/>
  <c r="K475" i="1"/>
  <c r="D493" i="1" s="1"/>
  <c r="M289" i="9"/>
  <c r="M249" i="9" s="1"/>
  <c r="M250" i="9" s="1"/>
  <c r="M251" i="9" s="1"/>
  <c r="I292" i="9"/>
  <c r="M330" i="10"/>
  <c r="M331" i="10"/>
  <c r="M328" i="10"/>
  <c r="M329" i="10"/>
  <c r="I270" i="10"/>
  <c r="I268" i="10"/>
  <c r="M265" i="10"/>
  <c r="I269" i="10"/>
  <c r="L1393" i="9"/>
  <c r="L1394" i="9" s="1"/>
  <c r="D1037" i="1"/>
  <c r="M1024" i="1"/>
  <c r="M1034" i="1" s="1"/>
  <c r="D1274" i="1"/>
  <c r="D1278" i="1" s="1"/>
  <c r="I1275" i="1" s="1"/>
  <c r="D418" i="9"/>
  <c r="D421" i="9" s="1"/>
  <c r="I418" i="9" s="1"/>
  <c r="M355" i="9"/>
  <c r="D1196" i="1"/>
  <c r="I1193" i="1" s="1"/>
  <c r="D1119" i="1"/>
  <c r="I1116" i="1" s="1"/>
  <c r="D663" i="1"/>
  <c r="I660" i="1" s="1"/>
  <c r="N642" i="1"/>
  <c r="D958" i="1"/>
  <c r="D962" i="1" s="1"/>
  <c r="I959" i="1" s="1"/>
  <c r="D582" i="1"/>
  <c r="I579" i="1" s="1"/>
  <c r="I1347" i="1"/>
  <c r="J304" i="1"/>
  <c r="K173" i="1"/>
  <c r="B173" i="1"/>
  <c r="L164" i="1"/>
  <c r="L163" i="1"/>
  <c r="I295" i="9" l="1"/>
  <c r="J295" i="9" s="1"/>
  <c r="N289" i="9"/>
  <c r="E16" i="6" s="1"/>
  <c r="M332" i="10"/>
  <c r="K357" i="10" s="1"/>
  <c r="N265" i="10"/>
  <c r="E82" i="6" s="1"/>
  <c r="M234" i="10"/>
  <c r="M235" i="10" s="1"/>
  <c r="M236" i="10" s="1"/>
  <c r="I271" i="10"/>
  <c r="J271" i="10" s="1"/>
  <c r="M1271" i="1"/>
  <c r="M417" i="9"/>
  <c r="I419" i="9"/>
  <c r="I420" i="9" s="1"/>
  <c r="M1346" i="1"/>
  <c r="I1348" i="1"/>
  <c r="I1349" i="1" s="1"/>
  <c r="M1274" i="1"/>
  <c r="I1276" i="1"/>
  <c r="I1277" i="1" s="1"/>
  <c r="M1192" i="1"/>
  <c r="I1194" i="1"/>
  <c r="I1195" i="1" s="1"/>
  <c r="M1115" i="1"/>
  <c r="I1117" i="1"/>
  <c r="I1118" i="1" s="1"/>
  <c r="M958" i="1"/>
  <c r="I960" i="1"/>
  <c r="I961" i="1" s="1"/>
  <c r="M882" i="1"/>
  <c r="I885" i="1"/>
  <c r="M659" i="1"/>
  <c r="I661" i="1"/>
  <c r="I662" i="1" s="1"/>
  <c r="M578" i="1"/>
  <c r="I580" i="1"/>
  <c r="I581" i="1" s="1"/>
  <c r="L165" i="1"/>
  <c r="I173" i="1" s="1"/>
  <c r="B35" i="1"/>
  <c r="M335" i="10" l="1"/>
  <c r="M343" i="10"/>
  <c r="M351" i="10"/>
  <c r="M336" i="10"/>
  <c r="M344" i="10"/>
  <c r="M352" i="10"/>
  <c r="M337" i="10"/>
  <c r="M345" i="10"/>
  <c r="M353" i="10"/>
  <c r="M347" i="10"/>
  <c r="M355" i="10"/>
  <c r="M342" i="10"/>
  <c r="M338" i="10"/>
  <c r="M346" i="10"/>
  <c r="M354" i="10"/>
  <c r="M339" i="10"/>
  <c r="M350" i="10"/>
  <c r="M340" i="10"/>
  <c r="M348" i="10"/>
  <c r="M356" i="10"/>
  <c r="M341" i="10"/>
  <c r="M349" i="10"/>
  <c r="M334" i="10"/>
  <c r="J1398" i="9"/>
  <c r="J1399" i="9"/>
  <c r="M373" i="9"/>
  <c r="M1386" i="9"/>
  <c r="M1393" i="9"/>
  <c r="I362" i="10" l="1"/>
  <c r="M357" i="10"/>
  <c r="I360" i="10"/>
  <c r="I361" i="10"/>
  <c r="J1397" i="9"/>
  <c r="J1405" i="9" s="1"/>
  <c r="M1394" i="9"/>
  <c r="L268" i="1"/>
  <c r="L267" i="1"/>
  <c r="L266" i="1"/>
  <c r="L374" i="1"/>
  <c r="L373" i="1"/>
  <c r="L31" i="1"/>
  <c r="L30" i="1"/>
  <c r="L29" i="1"/>
  <c r="L26" i="1"/>
  <c r="L25" i="1"/>
  <c r="I363" i="10" l="1"/>
  <c r="J363" i="10" s="1"/>
  <c r="M316" i="10"/>
  <c r="M317" i="10" s="1"/>
  <c r="M318" i="10" s="1"/>
  <c r="N357" i="10"/>
  <c r="E79" i="6" s="1"/>
  <c r="N1394" i="9"/>
  <c r="E36" i="6" s="1"/>
  <c r="K1405" i="9"/>
  <c r="L375" i="1"/>
  <c r="I382" i="1" s="1"/>
  <c r="L27" i="1"/>
  <c r="I35" i="1" s="1"/>
  <c r="L791" i="1" l="1"/>
  <c r="D808" i="1"/>
  <c r="D812" i="1" s="1"/>
  <c r="I809" i="1" s="1"/>
  <c r="M808" i="1" l="1"/>
  <c r="I810" i="1"/>
  <c r="I811" i="1" s="1"/>
  <c r="L447" i="1"/>
  <c r="L448" i="1" l="1"/>
  <c r="K429" i="1"/>
  <c r="K447" i="1" s="1"/>
  <c r="K370" i="1"/>
  <c r="L379" i="1"/>
  <c r="I383" i="1" s="1"/>
  <c r="K400" i="1"/>
  <c r="L370" i="1"/>
  <c r="L411" i="1"/>
  <c r="M382" i="1" l="1"/>
  <c r="I384" i="1"/>
  <c r="K412" i="1"/>
  <c r="D387" i="1"/>
  <c r="M383" i="1" s="1"/>
  <c r="L363" i="1"/>
  <c r="L406" i="1"/>
  <c r="K363" i="1"/>
  <c r="K371" i="1"/>
  <c r="M384" i="1" l="1"/>
  <c r="M385" i="1" s="1"/>
  <c r="K364" i="1"/>
  <c r="D382" i="1" s="1"/>
  <c r="D386" i="1" s="1"/>
  <c r="L412" i="1"/>
  <c r="O412" i="1" s="1"/>
  <c r="D361" i="8"/>
  <c r="C361" i="8"/>
  <c r="D360" i="8"/>
  <c r="C360" i="8"/>
  <c r="D359" i="8"/>
  <c r="C359" i="8"/>
  <c r="D170" i="8"/>
  <c r="C122" i="8"/>
  <c r="C175" i="8" s="1"/>
  <c r="E175" i="8" s="1"/>
  <c r="C121" i="8"/>
  <c r="E121" i="8" s="1"/>
  <c r="U121" i="8" s="1"/>
  <c r="C120" i="8"/>
  <c r="M120" i="8" s="1"/>
  <c r="N115" i="8"/>
  <c r="E80" i="8"/>
  <c r="F75" i="8"/>
  <c r="D56" i="8"/>
  <c r="C56" i="8"/>
  <c r="D55" i="8"/>
  <c r="C55" i="8"/>
  <c r="D54" i="8"/>
  <c r="C54" i="8"/>
  <c r="E33" i="8"/>
  <c r="F33" i="8" s="1"/>
  <c r="G33" i="8" s="1"/>
  <c r="E32" i="8"/>
  <c r="F32" i="8" s="1"/>
  <c r="F25" i="8"/>
  <c r="D14" i="8"/>
  <c r="C14" i="8"/>
  <c r="K14" i="8" s="1"/>
  <c r="D13" i="8"/>
  <c r="C13" i="8"/>
  <c r="L13" i="8" s="1"/>
  <c r="C10" i="8"/>
  <c r="C123" i="8" s="1"/>
  <c r="C9" i="8"/>
  <c r="L9" i="8" s="1"/>
  <c r="C8" i="8"/>
  <c r="L8" i="8" s="1"/>
  <c r="C7" i="8"/>
  <c r="L7" i="8" s="1"/>
  <c r="E4" i="8"/>
  <c r="E116" i="8" s="1"/>
  <c r="E74" i="6"/>
  <c r="FN54" i="6"/>
  <c r="FM54" i="6"/>
  <c r="FL54" i="6"/>
  <c r="FK54" i="6"/>
  <c r="FJ54" i="6"/>
  <c r="FA54" i="6"/>
  <c r="EX54" i="6"/>
  <c r="ES54" i="6"/>
  <c r="EK54" i="6"/>
  <c r="EJ54" i="6"/>
  <c r="DF54" i="6"/>
  <c r="DB54" i="6"/>
  <c r="DA54" i="6"/>
  <c r="CY54" i="6"/>
  <c r="CW54" i="6"/>
  <c r="CV54" i="6"/>
  <c r="E54" i="6"/>
  <c r="I385" i="1" l="1"/>
  <c r="I386" i="1" s="1"/>
  <c r="D388" i="1"/>
  <c r="D389" i="1" s="1"/>
  <c r="E8" i="8"/>
  <c r="S8" i="8" s="1"/>
  <c r="E361" i="8"/>
  <c r="E360" i="8"/>
  <c r="I415" i="1"/>
  <c r="I416" i="1"/>
  <c r="E55" i="8"/>
  <c r="E120" i="8"/>
  <c r="U120" i="8" s="1"/>
  <c r="E10" i="8"/>
  <c r="S10" i="8" s="1"/>
  <c r="S123" i="8" s="1"/>
  <c r="E7" i="8"/>
  <c r="T7" i="8" s="1"/>
  <c r="E56" i="8"/>
  <c r="M122" i="8"/>
  <c r="E51" i="8"/>
  <c r="C57" i="8"/>
  <c r="D64" i="8" s="1"/>
  <c r="D83" i="8" s="1"/>
  <c r="D87" i="8" s="1"/>
  <c r="E359" i="8"/>
  <c r="D57" i="8"/>
  <c r="E64" i="8" s="1"/>
  <c r="D362" i="8"/>
  <c r="E9" i="8"/>
  <c r="S9" i="8" s="1"/>
  <c r="S122" i="8" s="1"/>
  <c r="E34" i="8"/>
  <c r="E54" i="8"/>
  <c r="F34" i="8"/>
  <c r="S121" i="8"/>
  <c r="M123" i="8"/>
  <c r="C124" i="8"/>
  <c r="C125" i="8" s="1"/>
  <c r="D129" i="8" s="1"/>
  <c r="L123" i="8"/>
  <c r="E123" i="8"/>
  <c r="L14" i="8"/>
  <c r="M14" i="8" s="1"/>
  <c r="K7" i="8"/>
  <c r="K8" i="8"/>
  <c r="T8" i="8"/>
  <c r="U8" i="8" s="1"/>
  <c r="K9" i="8"/>
  <c r="K10" i="8"/>
  <c r="T10" i="8"/>
  <c r="U10" i="8" s="1"/>
  <c r="E13" i="8"/>
  <c r="C15" i="8"/>
  <c r="G32" i="8"/>
  <c r="G34" i="8" s="1"/>
  <c r="M121" i="8"/>
  <c r="E122" i="8"/>
  <c r="U122" i="8" s="1"/>
  <c r="C174" i="8"/>
  <c r="E174" i="8" s="1"/>
  <c r="C362" i="8"/>
  <c r="L10" i="8"/>
  <c r="K13" i="8"/>
  <c r="E14" i="8"/>
  <c r="C173" i="8"/>
  <c r="C11" i="8"/>
  <c r="E362" i="8" l="1"/>
  <c r="M124" i="8"/>
  <c r="M125" i="8" s="1"/>
  <c r="S7" i="8"/>
  <c r="U7" i="8" s="1"/>
  <c r="E11" i="8"/>
  <c r="E12" i="8" s="1"/>
  <c r="T9" i="8"/>
  <c r="U9" i="8" s="1"/>
  <c r="D76" i="8"/>
  <c r="I417" i="1"/>
  <c r="E57" i="8"/>
  <c r="C12" i="8"/>
  <c r="C16" i="8" s="1"/>
  <c r="L11" i="8"/>
  <c r="L12" i="8" s="1"/>
  <c r="K11" i="8"/>
  <c r="C176" i="8"/>
  <c r="C180" i="8" s="1"/>
  <c r="E173" i="8"/>
  <c r="E176" i="8" s="1"/>
  <c r="C181" i="8" s="1"/>
  <c r="F64" i="8"/>
  <c r="E83" i="8"/>
  <c r="E76" i="8"/>
  <c r="N123" i="8"/>
  <c r="T123" i="8"/>
  <c r="M9" i="8"/>
  <c r="K122" i="8"/>
  <c r="E124" i="8"/>
  <c r="U123" i="8"/>
  <c r="U124" i="8" s="1"/>
  <c r="U125" i="8" s="1"/>
  <c r="T14" i="8"/>
  <c r="E15" i="8"/>
  <c r="S14" i="8"/>
  <c r="M10" i="8"/>
  <c r="K123" i="8"/>
  <c r="K121" i="8"/>
  <c r="M8" i="8"/>
  <c r="L121" i="8"/>
  <c r="T13" i="8"/>
  <c r="S13" i="8"/>
  <c r="K15" i="8"/>
  <c r="M13" i="8"/>
  <c r="M7" i="8"/>
  <c r="K120" i="8"/>
  <c r="M127" i="8"/>
  <c r="L15" i="8"/>
  <c r="S120" i="8" l="1"/>
  <c r="S127" i="8" s="1"/>
  <c r="F76" i="8"/>
  <c r="T11" i="8"/>
  <c r="S11" i="8"/>
  <c r="L16" i="8"/>
  <c r="M400" i="1"/>
  <c r="U14" i="8"/>
  <c r="K127" i="8"/>
  <c r="F173" i="8"/>
  <c r="L120" i="8"/>
  <c r="M15" i="8"/>
  <c r="U127" i="8"/>
  <c r="E125" i="8"/>
  <c r="E127" i="8" s="1"/>
  <c r="D130" i="8" s="1"/>
  <c r="M11" i="8"/>
  <c r="M12" i="8" s="1"/>
  <c r="K12" i="8"/>
  <c r="K16" i="8" s="1"/>
  <c r="U13" i="8"/>
  <c r="S15" i="8"/>
  <c r="F174" i="8"/>
  <c r="K124" i="8"/>
  <c r="K125" i="8" s="1"/>
  <c r="P115" i="8"/>
  <c r="Q115" i="8" s="1"/>
  <c r="T15" i="8"/>
  <c r="E16" i="8"/>
  <c r="L122" i="8"/>
  <c r="L124" i="8" s="1"/>
  <c r="N124" i="8" s="1"/>
  <c r="F175" i="8"/>
  <c r="S12" i="8"/>
  <c r="T12" i="8"/>
  <c r="F83" i="8"/>
  <c r="E87" i="8"/>
  <c r="F87" i="8" s="1"/>
  <c r="T121" i="8"/>
  <c r="N121" i="8"/>
  <c r="Y123" i="8" s="1"/>
  <c r="V123" i="8"/>
  <c r="U11" i="8" l="1"/>
  <c r="S124" i="8"/>
  <c r="M16" i="8"/>
  <c r="U15" i="8"/>
  <c r="S16" i="8"/>
  <c r="L125" i="8"/>
  <c r="N125" i="8" s="1"/>
  <c r="L127" i="8"/>
  <c r="N127" i="8" s="1"/>
  <c r="N120" i="8"/>
  <c r="Y122" i="8" s="1"/>
  <c r="T120" i="8"/>
  <c r="T122" i="8"/>
  <c r="V122" i="8" s="1"/>
  <c r="N122" i="8"/>
  <c r="T16" i="8"/>
  <c r="E18" i="8"/>
  <c r="F176" i="8"/>
  <c r="V121" i="8"/>
  <c r="S125" i="8"/>
  <c r="U12" i="8"/>
  <c r="U16" i="8" l="1"/>
  <c r="Y121" i="8"/>
  <c r="T124" i="8"/>
  <c r="V124" i="8" s="1"/>
  <c r="T127" i="8"/>
  <c r="V127" i="8" s="1"/>
  <c r="V120" i="8"/>
  <c r="T125" i="8" l="1"/>
  <c r="V125" i="8" s="1"/>
  <c r="P264" i="1" l="1"/>
  <c r="I249" i="1"/>
  <c r="K249" i="1" s="1"/>
  <c r="I250" i="1"/>
  <c r="L250" i="1" s="1"/>
  <c r="I251" i="1"/>
  <c r="K251" i="1" s="1"/>
  <c r="I252" i="1"/>
  <c r="L252" i="1" s="1"/>
  <c r="I253" i="1"/>
  <c r="K253" i="1" s="1"/>
  <c r="I254" i="1"/>
  <c r="L254" i="1" s="1"/>
  <c r="I303" i="1"/>
  <c r="I302" i="1"/>
  <c r="I248" i="1"/>
  <c r="L248" i="1" s="1"/>
  <c r="I247" i="1"/>
  <c r="K247" i="1" s="1"/>
  <c r="I246" i="1"/>
  <c r="L246" i="1" s="1"/>
  <c r="I245" i="1"/>
  <c r="K245" i="1" s="1"/>
  <c r="K291" i="1" l="1"/>
  <c r="K188" i="1"/>
  <c r="K201" i="1" s="1"/>
  <c r="L303" i="1"/>
  <c r="K255" i="1"/>
  <c r="L255" i="1"/>
  <c r="L242" i="1"/>
  <c r="L235" i="1"/>
  <c r="K235" i="1"/>
  <c r="K326" i="1"/>
  <c r="L302" i="1"/>
  <c r="D277" i="1" l="1"/>
  <c r="M273" i="1"/>
  <c r="L304" i="1"/>
  <c r="K243" i="1"/>
  <c r="D274" i="1" s="1"/>
  <c r="K236" i="1"/>
  <c r="D273" i="1" s="1"/>
  <c r="D276" i="1" s="1"/>
  <c r="D278" i="1" l="1"/>
  <c r="D279" i="1" s="1"/>
  <c r="L269" i="1"/>
  <c r="I273" i="1" s="1"/>
  <c r="M272" i="1" s="1"/>
  <c r="M274" i="1" s="1"/>
  <c r="M275" i="1" s="1"/>
  <c r="L305" i="1"/>
  <c r="K256" i="1"/>
  <c r="M406" i="1" l="1"/>
  <c r="M411" i="1"/>
  <c r="I274" i="1" l="1"/>
  <c r="I275" i="1" s="1"/>
  <c r="I414" i="1"/>
  <c r="I418" i="1" s="1"/>
  <c r="M412" i="1"/>
  <c r="L161" i="1"/>
  <c r="I276" i="1" l="1"/>
  <c r="M291" i="1"/>
  <c r="K305" i="1" s="1"/>
  <c r="O305" i="1" s="1"/>
  <c r="M429" i="1"/>
  <c r="K448" i="1" s="1"/>
  <c r="J418" i="1"/>
  <c r="N412" i="1"/>
  <c r="E61" i="6" s="1"/>
  <c r="S48" i="1"/>
  <c r="T48" i="1"/>
  <c r="U48" i="1"/>
  <c r="V48" i="1"/>
  <c r="R7" i="1"/>
  <c r="R48" i="1" s="1"/>
  <c r="Q7" i="1"/>
  <c r="Q48" i="1" s="1"/>
  <c r="I309" i="1" l="1"/>
  <c r="M303" i="1"/>
  <c r="M717" i="1"/>
  <c r="M302" i="1"/>
  <c r="I313" i="1"/>
  <c r="I312" i="1"/>
  <c r="I311" i="1"/>
  <c r="I310" i="1"/>
  <c r="I315" i="1"/>
  <c r="L201" i="1"/>
  <c r="I451" i="1"/>
  <c r="I453" i="1"/>
  <c r="I308" i="1" l="1"/>
  <c r="M326" i="1"/>
  <c r="M304" i="1"/>
  <c r="I314" i="1"/>
  <c r="M301" i="1"/>
  <c r="D738" i="1"/>
  <c r="I735" i="1" s="1"/>
  <c r="M734" i="1" s="1"/>
  <c r="I452" i="1"/>
  <c r="I450" i="1"/>
  <c r="L170" i="1"/>
  <c r="M688" i="1" l="1"/>
  <c r="N688" i="1" s="1"/>
  <c r="I736" i="1"/>
  <c r="I737" i="1" s="1"/>
  <c r="I454" i="1"/>
  <c r="I125" i="1"/>
  <c r="I126" i="1"/>
  <c r="L126" i="1" s="1"/>
  <c r="K97" i="1" l="1"/>
  <c r="R127" i="1"/>
  <c r="T127" i="1" s="1"/>
  <c r="U127" i="1" s="1"/>
  <c r="V127" i="1" s="1"/>
  <c r="Q127" i="1"/>
  <c r="R125" i="1"/>
  <c r="T125" i="1" s="1"/>
  <c r="U125" i="1" s="1"/>
  <c r="V125" i="1" s="1"/>
  <c r="Q125" i="1"/>
  <c r="L127" i="1" l="1"/>
  <c r="I58" i="1"/>
  <c r="L58" i="1" s="1"/>
  <c r="I59" i="1"/>
  <c r="L59" i="1" s="1"/>
  <c r="I60" i="1"/>
  <c r="L60" i="1" s="1"/>
  <c r="I57" i="1"/>
  <c r="I53" i="1"/>
  <c r="K53" i="1" s="1"/>
  <c r="I52" i="1"/>
  <c r="K52" i="1" s="1"/>
  <c r="I51" i="1"/>
  <c r="K51" i="1" s="1"/>
  <c r="I12" i="1"/>
  <c r="L12" i="1" s="1"/>
  <c r="I13" i="1"/>
  <c r="K13" i="1" s="1"/>
  <c r="I14" i="1"/>
  <c r="L14" i="1" s="1"/>
  <c r="K18" i="1"/>
  <c r="I19" i="1"/>
  <c r="L19" i="1" s="1"/>
  <c r="I20" i="1"/>
  <c r="K20" i="1" s="1"/>
  <c r="I21" i="1"/>
  <c r="L21" i="1" s="1"/>
  <c r="I11" i="1"/>
  <c r="K11" i="1" s="1"/>
  <c r="I155" i="9" l="1"/>
  <c r="L57" i="1"/>
  <c r="L61" i="1" s="1"/>
  <c r="L74" i="1" s="1"/>
  <c r="K54" i="1"/>
  <c r="M36" i="1" s="1"/>
  <c r="D40" i="1" s="1"/>
  <c r="K22" i="1"/>
  <c r="K15" i="1"/>
  <c r="L22" i="1"/>
  <c r="L23" i="1" s="1"/>
  <c r="L15" i="1"/>
  <c r="R74" i="1"/>
  <c r="T74" i="1" s="1"/>
  <c r="U74" i="1" s="1"/>
  <c r="V74" i="1" s="1"/>
  <c r="Q74" i="1"/>
  <c r="R73" i="1"/>
  <c r="T73" i="1" s="1"/>
  <c r="U73" i="1" s="1"/>
  <c r="V73" i="1" s="1"/>
  <c r="Q73" i="1"/>
  <c r="K23" i="1" l="1"/>
  <c r="L475" i="1"/>
  <c r="K74" i="1"/>
  <c r="M761" i="1"/>
  <c r="L156" i="1"/>
  <c r="K16" i="1"/>
  <c r="D35" i="1" s="1"/>
  <c r="D39" i="1" s="1"/>
  <c r="D41" i="1" s="1"/>
  <c r="D42" i="1" l="1"/>
  <c r="L32" i="1"/>
  <c r="I36" i="1" s="1"/>
  <c r="I307" i="1"/>
  <c r="I316" i="1" s="1"/>
  <c r="M305" i="1"/>
  <c r="M35" i="1" l="1"/>
  <c r="M37" i="1" s="1"/>
  <c r="I37" i="1"/>
  <c r="J316" i="1"/>
  <c r="N305" i="1"/>
  <c r="E17" i="6" s="1"/>
  <c r="I39" i="1" l="1"/>
  <c r="I38" i="1"/>
  <c r="M447" i="1"/>
  <c r="M448" i="1" l="1"/>
  <c r="N448" i="1" l="1"/>
  <c r="E62" i="6" s="1"/>
  <c r="J454" i="1"/>
  <c r="M58" i="1" l="1"/>
  <c r="M60" i="1"/>
  <c r="J80" i="1"/>
  <c r="M473" i="1"/>
  <c r="M57" i="1"/>
  <c r="M474" i="1"/>
  <c r="M59" i="1"/>
  <c r="J83" i="1"/>
  <c r="K337" i="1"/>
  <c r="J84" i="1" l="1"/>
  <c r="M155" i="9"/>
  <c r="M156" i="9" s="1"/>
  <c r="J79" i="1"/>
  <c r="J82" i="1"/>
  <c r="M156" i="1"/>
  <c r="M472" i="1"/>
  <c r="M475" i="1" s="1"/>
  <c r="J78" i="1"/>
  <c r="M61" i="1"/>
  <c r="M337" i="1" l="1"/>
  <c r="N337" i="1" s="1"/>
  <c r="E18" i="6" s="1"/>
  <c r="M161" i="9"/>
  <c r="D174" i="9"/>
  <c r="D177" i="9" s="1"/>
  <c r="I174" i="9" s="1"/>
  <c r="J77" i="1"/>
  <c r="D497" i="1"/>
  <c r="I494" i="1" s="1"/>
  <c r="I495" i="1" s="1"/>
  <c r="I339" i="1"/>
  <c r="I340" i="1" s="1"/>
  <c r="I175" i="9" l="1"/>
  <c r="M173" i="9"/>
  <c r="M337" i="9"/>
  <c r="N337" i="9" s="1"/>
  <c r="M38" i="1"/>
  <c r="M97" i="1"/>
  <c r="K127" i="1" s="1"/>
  <c r="M493" i="1"/>
  <c r="I496" i="1"/>
  <c r="J340" i="1"/>
  <c r="M781" i="9" l="1"/>
  <c r="N781" i="9" s="1"/>
  <c r="M985" i="9"/>
  <c r="N985" i="9" s="1"/>
  <c r="M623" i="9"/>
  <c r="N623" i="9" s="1"/>
  <c r="M1831" i="9"/>
  <c r="N1831" i="9" s="1"/>
  <c r="M1911" i="9"/>
  <c r="N1911" i="9" s="1"/>
  <c r="M1274" i="9"/>
  <c r="N1274" i="9" s="1"/>
  <c r="M1752" i="9"/>
  <c r="N1752" i="9" s="1"/>
  <c r="M1679" i="9"/>
  <c r="N1679" i="9" s="1"/>
  <c r="M1191" i="9"/>
  <c r="N1191" i="9" s="1"/>
  <c r="M703" i="9"/>
  <c r="N703" i="9" s="1"/>
  <c r="M414" i="9"/>
  <c r="N414" i="9" s="1"/>
  <c r="M1477" i="9"/>
  <c r="N1477" i="9" s="1"/>
  <c r="M125" i="1"/>
  <c r="J132" i="1"/>
  <c r="M126" i="1"/>
  <c r="M188" i="9" l="1"/>
  <c r="M509" i="1"/>
  <c r="M490" i="1"/>
  <c r="J133" i="1"/>
  <c r="M127" i="1"/>
  <c r="N127" i="1" s="1"/>
  <c r="J130" i="1"/>
  <c r="J131" i="1"/>
  <c r="D177" i="1"/>
  <c r="I174" i="1" s="1"/>
  <c r="M1032" i="1" l="1"/>
  <c r="M1033" i="1"/>
  <c r="I378" i="9"/>
  <c r="I377" i="9"/>
  <c r="I376" i="9"/>
  <c r="M1031" i="1"/>
  <c r="M878" i="1"/>
  <c r="M877" i="1"/>
  <c r="K77" i="1"/>
  <c r="N68" i="1" s="1"/>
  <c r="E8" i="6"/>
  <c r="J134" i="1"/>
  <c r="K134" i="1" s="1"/>
  <c r="M173" i="1"/>
  <c r="I175" i="1"/>
  <c r="I176" i="1" s="1"/>
  <c r="I1714" i="9" l="1"/>
  <c r="M533" i="1"/>
  <c r="N533" i="1" s="1"/>
  <c r="I457" i="9"/>
  <c r="J81" i="1"/>
  <c r="J85" i="1" s="1"/>
  <c r="M73" i="1"/>
  <c r="M74" i="1" s="1"/>
  <c r="I1712" i="9"/>
  <c r="I1512" i="9"/>
  <c r="I819" i="9"/>
  <c r="I1954" i="9"/>
  <c r="I667" i="9"/>
  <c r="I1317" i="9"/>
  <c r="I1027" i="9"/>
  <c r="I206" i="9"/>
  <c r="I821" i="9"/>
  <c r="I1316" i="9"/>
  <c r="M201" i="9"/>
  <c r="M174" i="9" s="1"/>
  <c r="M175" i="9" s="1"/>
  <c r="M176" i="9" s="1"/>
  <c r="I743" i="9"/>
  <c r="I1713" i="9"/>
  <c r="I1873" i="9"/>
  <c r="I1028" i="9"/>
  <c r="I455" i="9"/>
  <c r="M1709" i="9"/>
  <c r="N1709" i="9" s="1"/>
  <c r="E86" i="6" s="1"/>
  <c r="M1869" i="9"/>
  <c r="M1835" i="9" s="1"/>
  <c r="M1836" i="9" s="1"/>
  <c r="M1837" i="9" s="1"/>
  <c r="I456" i="9"/>
  <c r="I820" i="9"/>
  <c r="M1230" i="9"/>
  <c r="M1195" i="9" s="1"/>
  <c r="M1196" i="9" s="1"/>
  <c r="M1197" i="9" s="1"/>
  <c r="I742" i="9"/>
  <c r="I1234" i="9"/>
  <c r="M816" i="9"/>
  <c r="M785" i="9" s="1"/>
  <c r="M786" i="9" s="1"/>
  <c r="M787" i="9" s="1"/>
  <c r="I741" i="9"/>
  <c r="I1315" i="9"/>
  <c r="I1514" i="9"/>
  <c r="I1233" i="9"/>
  <c r="I1872" i="9"/>
  <c r="I666" i="9"/>
  <c r="M452" i="9"/>
  <c r="N452" i="9" s="1"/>
  <c r="E41" i="6" s="1"/>
  <c r="I1795" i="9"/>
  <c r="I1874" i="9"/>
  <c r="M662" i="9"/>
  <c r="M627" i="9" s="1"/>
  <c r="M628" i="9" s="1"/>
  <c r="M629" i="9" s="1"/>
  <c r="M1024" i="9"/>
  <c r="I1952" i="9"/>
  <c r="I1029" i="9"/>
  <c r="M1790" i="9"/>
  <c r="N1790" i="9" s="1"/>
  <c r="E39" i="6" s="1"/>
  <c r="I1794" i="9"/>
  <c r="E25" i="6"/>
  <c r="I1513" i="9"/>
  <c r="I1235" i="9"/>
  <c r="M1509" i="9"/>
  <c r="N1509" i="9" s="1"/>
  <c r="E30" i="6" s="1"/>
  <c r="I665" i="9"/>
  <c r="I1953" i="9"/>
  <c r="I1793" i="9"/>
  <c r="M738" i="9"/>
  <c r="N738" i="9" s="1"/>
  <c r="E85" i="6" s="1"/>
  <c r="M1312" i="9"/>
  <c r="N1312" i="9" s="1"/>
  <c r="E42" i="6" s="1"/>
  <c r="I379" i="9"/>
  <c r="J379" i="9" s="1"/>
  <c r="N373" i="9"/>
  <c r="E19" i="6" s="1"/>
  <c r="K87" i="9" s="1"/>
  <c r="M341" i="9"/>
  <c r="M342" i="9" s="1"/>
  <c r="M343" i="9" s="1"/>
  <c r="N1034" i="1"/>
  <c r="M575" i="1"/>
  <c r="M955" i="1"/>
  <c r="M731" i="1"/>
  <c r="N731" i="1" s="1"/>
  <c r="M879" i="1"/>
  <c r="M1112" i="1"/>
  <c r="M1189" i="1"/>
  <c r="M656" i="1"/>
  <c r="N656" i="1" s="1"/>
  <c r="M170" i="1"/>
  <c r="M805" i="1"/>
  <c r="M1343" i="1"/>
  <c r="M989" i="9" l="1"/>
  <c r="M990" i="9" s="1"/>
  <c r="M991" i="9" s="1"/>
  <c r="N1024" i="9"/>
  <c r="I1715" i="9"/>
  <c r="J1715" i="9" s="1"/>
  <c r="N74" i="1"/>
  <c r="E7" i="6" s="1"/>
  <c r="K85" i="1"/>
  <c r="I1875" i="9"/>
  <c r="J1875" i="9" s="1"/>
  <c r="I744" i="9"/>
  <c r="J744" i="9" s="1"/>
  <c r="N1230" i="9"/>
  <c r="E24" i="6" s="1"/>
  <c r="I1318" i="9"/>
  <c r="J1318" i="9" s="1"/>
  <c r="I458" i="9"/>
  <c r="J458" i="9" s="1"/>
  <c r="I1030" i="9"/>
  <c r="J1030" i="9" s="1"/>
  <c r="N1869" i="9"/>
  <c r="E47" i="6" s="1"/>
  <c r="M418" i="9"/>
  <c r="M419" i="9" s="1"/>
  <c r="M420" i="9" s="1"/>
  <c r="J206" i="9"/>
  <c r="M1683" i="9"/>
  <c r="M1684" i="9" s="1"/>
  <c r="M1685" i="9" s="1"/>
  <c r="N201" i="9"/>
  <c r="E15" i="6" s="1"/>
  <c r="K84" i="1" s="1"/>
  <c r="I822" i="9"/>
  <c r="J822" i="9" s="1"/>
  <c r="N816" i="9"/>
  <c r="E31" i="6" s="1"/>
  <c r="I1515" i="9"/>
  <c r="J1515" i="9" s="1"/>
  <c r="N662" i="9"/>
  <c r="E28" i="6" s="1"/>
  <c r="I1236" i="9"/>
  <c r="J1236" i="9" s="1"/>
  <c r="M1915" i="9"/>
  <c r="M1916" i="9" s="1"/>
  <c r="M1917" i="9" s="1"/>
  <c r="E46" i="6"/>
  <c r="I1955" i="9"/>
  <c r="J1955" i="9" s="1"/>
  <c r="I668" i="9"/>
  <c r="J668" i="9" s="1"/>
  <c r="M1756" i="9"/>
  <c r="M1757" i="9" s="1"/>
  <c r="M1758" i="9" s="1"/>
  <c r="I1796" i="9"/>
  <c r="J1796" i="9" s="1"/>
  <c r="M1481" i="9"/>
  <c r="M1482" i="9" s="1"/>
  <c r="M1483" i="9" s="1"/>
  <c r="M1278" i="9"/>
  <c r="M1279" i="9" s="1"/>
  <c r="M1280" i="9" s="1"/>
  <c r="M707" i="9"/>
  <c r="M708" i="9" s="1"/>
  <c r="M709" i="9" s="1"/>
  <c r="G8" i="1"/>
  <c r="G48" i="1"/>
  <c r="G150" i="1"/>
  <c r="G223" i="1"/>
  <c r="G321" i="1"/>
  <c r="G395" i="1"/>
  <c r="G469" i="1"/>
  <c r="G557" i="1"/>
  <c r="G636" i="1"/>
  <c r="G712" i="1"/>
  <c r="G785" i="1"/>
  <c r="G861" i="1"/>
  <c r="G935" i="1"/>
  <c r="G1015" i="1"/>
  <c r="G1094" i="1"/>
  <c r="G1171" i="1"/>
  <c r="G1249" i="1"/>
  <c r="G1325" i="1"/>
  <c r="G90" i="1"/>
  <c r="G183" i="1"/>
  <c r="G285" i="1"/>
  <c r="G356" i="1"/>
  <c r="G423" i="1"/>
  <c r="G503" i="1"/>
  <c r="G588" i="1"/>
  <c r="G669" i="1"/>
  <c r="G744" i="1"/>
  <c r="G818" i="1"/>
  <c r="G892" i="1"/>
  <c r="G968" i="1"/>
  <c r="G1047" i="1"/>
  <c r="G1125" i="1"/>
  <c r="G1202" i="1"/>
  <c r="G1284" i="1"/>
  <c r="G1356" i="1"/>
  <c r="H8" i="1"/>
  <c r="H90" i="1"/>
  <c r="H183" i="1"/>
  <c r="H285" i="1"/>
  <c r="H356" i="1"/>
  <c r="H423" i="1"/>
  <c r="H503" i="1"/>
  <c r="H588" i="1"/>
  <c r="H669" i="1"/>
  <c r="H744" i="1"/>
  <c r="H818" i="1"/>
  <c r="H892" i="1"/>
  <c r="H968" i="1"/>
  <c r="H1047" i="1"/>
  <c r="H1125" i="1"/>
  <c r="H1202" i="1"/>
  <c r="H1284" i="1"/>
  <c r="H1356" i="1"/>
  <c r="H48" i="1"/>
  <c r="H150" i="1"/>
  <c r="H223" i="1"/>
  <c r="H321" i="1"/>
  <c r="H395" i="1"/>
  <c r="H469" i="1"/>
  <c r="H557" i="1"/>
  <c r="H636" i="1"/>
  <c r="H712" i="1"/>
  <c r="H785" i="1"/>
  <c r="H861" i="1"/>
  <c r="H935" i="1"/>
  <c r="H1015" i="1"/>
  <c r="H1094" i="1"/>
  <c r="H1171" i="1"/>
  <c r="H1249" i="1"/>
  <c r="H1325" i="1"/>
  <c r="M973" i="1" l="1"/>
  <c r="M188" i="1"/>
  <c r="N188" i="1" s="1"/>
  <c r="M674" i="1"/>
  <c r="M1289" i="1"/>
  <c r="K1301" i="1" s="1"/>
  <c r="M1130" i="1"/>
  <c r="M897" i="1"/>
  <c r="M823" i="1"/>
  <c r="M1207" i="1"/>
  <c r="I1304" i="1" l="1"/>
  <c r="I205" i="1"/>
  <c r="I206" i="1"/>
  <c r="I204" i="1"/>
  <c r="I1386" i="1"/>
  <c r="I1152" i="1"/>
  <c r="M910" i="1"/>
  <c r="I1229" i="1"/>
  <c r="I764" i="1"/>
  <c r="I1385" i="1"/>
  <c r="M1225" i="1"/>
  <c r="I1228" i="1"/>
  <c r="I692" i="1"/>
  <c r="M1147" i="1"/>
  <c r="I1150" i="1"/>
  <c r="I691" i="1"/>
  <c r="I1151" i="1"/>
  <c r="I766" i="1"/>
  <c r="M990" i="1"/>
  <c r="I993" i="1"/>
  <c r="I693" i="1"/>
  <c r="I1384" i="1"/>
  <c r="M1381" i="1"/>
  <c r="I995" i="1"/>
  <c r="I1230" i="1"/>
  <c r="I994" i="1"/>
  <c r="I765" i="1"/>
  <c r="M201" i="1"/>
  <c r="I207" i="1" l="1"/>
  <c r="J207" i="1" s="1"/>
  <c r="I616" i="1"/>
  <c r="I617" i="1"/>
  <c r="I1306" i="1"/>
  <c r="I615" i="1"/>
  <c r="M612" i="1"/>
  <c r="M579" i="1" s="1"/>
  <c r="M580" i="1" s="1"/>
  <c r="M581" i="1" s="1"/>
  <c r="I1305" i="1"/>
  <c r="M1301" i="1"/>
  <c r="M1275" i="1" s="1"/>
  <c r="M1276" i="1" s="1"/>
  <c r="M1277" i="1" s="1"/>
  <c r="I537" i="1"/>
  <c r="I536" i="1"/>
  <c r="I538" i="1"/>
  <c r="E11" i="6"/>
  <c r="K78" i="1" s="1"/>
  <c r="I915" i="1"/>
  <c r="I840" i="1"/>
  <c r="I843" i="1" s="1"/>
  <c r="M837" i="1"/>
  <c r="M911" i="1"/>
  <c r="N911" i="1" s="1"/>
  <c r="E9" i="6" s="1"/>
  <c r="K81" i="1" s="1"/>
  <c r="I914" i="1"/>
  <c r="I1387" i="1"/>
  <c r="J1387" i="1" s="1"/>
  <c r="I1153" i="1"/>
  <c r="J1153" i="1" s="1"/>
  <c r="I996" i="1"/>
  <c r="J996" i="1" s="1"/>
  <c r="E37" i="6"/>
  <c r="M660" i="1"/>
  <c r="M661" i="1" s="1"/>
  <c r="M662" i="1" s="1"/>
  <c r="I1231" i="1"/>
  <c r="J1231" i="1" s="1"/>
  <c r="N1225" i="1"/>
  <c r="E38" i="6" s="1"/>
  <c r="M1193" i="1"/>
  <c r="M1194" i="1" s="1"/>
  <c r="M1195" i="1" s="1"/>
  <c r="N990" i="1"/>
  <c r="E40" i="6" s="1"/>
  <c r="K80" i="1" s="1"/>
  <c r="M959" i="1"/>
  <c r="M960" i="1" s="1"/>
  <c r="M961" i="1" s="1"/>
  <c r="M1116" i="1"/>
  <c r="M1117" i="1" s="1"/>
  <c r="M1118" i="1" s="1"/>
  <c r="N1147" i="1"/>
  <c r="E32" i="6" s="1"/>
  <c r="N1381" i="1"/>
  <c r="E45" i="6" s="1"/>
  <c r="M1347" i="1"/>
  <c r="M1348" i="1" s="1"/>
  <c r="M1349" i="1" s="1"/>
  <c r="N761" i="1"/>
  <c r="E21" i="6" s="1"/>
  <c r="M735" i="1"/>
  <c r="M736" i="1" s="1"/>
  <c r="M737" i="1" s="1"/>
  <c r="I694" i="1"/>
  <c r="J694" i="1" s="1"/>
  <c r="D1041" i="1"/>
  <c r="I1038" i="1" s="1"/>
  <c r="N201" i="1"/>
  <c r="E12" i="6" s="1"/>
  <c r="K82" i="1" s="1"/>
  <c r="M174" i="1"/>
  <c r="M175" i="1" s="1"/>
  <c r="M176" i="1" s="1"/>
  <c r="I767" i="1"/>
  <c r="J767" i="1" s="1"/>
  <c r="N837" i="1" l="1"/>
  <c r="E10" i="6" s="1"/>
  <c r="K79" i="1" s="1"/>
  <c r="E35" i="6"/>
  <c r="I1307" i="1"/>
  <c r="J1307" i="1" s="1"/>
  <c r="N1301" i="1"/>
  <c r="E20" i="6" s="1"/>
  <c r="I618" i="1"/>
  <c r="J618" i="1" s="1"/>
  <c r="I539" i="1"/>
  <c r="J539" i="1" s="1"/>
  <c r="J843" i="1"/>
  <c r="M494" i="1"/>
  <c r="M495" i="1" s="1"/>
  <c r="M496" i="1" s="1"/>
  <c r="M883" i="1"/>
  <c r="M884" i="1" s="1"/>
  <c r="M885" i="1" s="1"/>
  <c r="M809" i="1"/>
  <c r="M810" i="1" s="1"/>
  <c r="M811" i="1" s="1"/>
  <c r="I917" i="1"/>
  <c r="J917" i="1" s="1"/>
  <c r="M1037" i="1"/>
  <c r="I1039" i="1"/>
  <c r="I1040" i="1" s="1"/>
  <c r="M1053" i="1" l="1"/>
  <c r="I1075" i="1" l="1"/>
  <c r="I1073" i="1"/>
  <c r="I1074" i="1"/>
  <c r="M1070" i="1"/>
  <c r="N1070" i="1" s="1"/>
  <c r="E22" i="6" s="1"/>
  <c r="M1038" i="1" l="1"/>
  <c r="M1039" i="1" s="1"/>
  <c r="M1040" i="1" s="1"/>
  <c r="I1076" i="1"/>
  <c r="J107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4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4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2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2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7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<sst xmlns="http://schemas.openxmlformats.org/spreadsheetml/2006/main" count="14567" uniqueCount="4700">
  <si>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</si>
  <si>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</si>
  <si>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</si>
  <si>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</si>
  <si>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</si>
  <si>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</si>
  <si>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</si>
  <si>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</si>
  <si>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</si>
  <si>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</si>
  <si>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</si>
  <si>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</si>
  <si>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</si>
  <si>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</si>
  <si>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</si>
  <si>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Month July-2022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</si>
  <si>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</si>
  <si>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</si>
  <si>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</si>
  <si>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</si>
  <si>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</si>
  <si>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</si>
  <si>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</si>
  <si>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</si>
  <si>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</si>
  <si>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</si>
  <si>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</si>
  <si>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</si>
  <si>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8993659**</t>
  </si>
  <si>
    <t>8993631**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</si>
  <si>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</si>
  <si>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</si>
  <si>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</si>
  <si>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</si>
  <si>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</si>
  <si>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</si>
  <si>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</si>
  <si>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</si>
  <si>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</si>
  <si>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</si>
  <si>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 xml:space="preserve">33 KV T&amp;T- Feeder-1 </t>
  </si>
  <si>
    <t>33 KV Karwanbazar</t>
  </si>
  <si>
    <t>33 KV Bashundhara City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</si>
  <si>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</si>
  <si>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</si>
  <si>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</si>
  <si>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</si>
  <si>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</si>
  <si>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</si>
  <si>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</si>
  <si>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</si>
  <si>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</si>
  <si>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</si>
  <si>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</si>
  <si>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</si>
  <si>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</si>
  <si>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</si>
  <si>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</si>
  <si>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</si>
  <si>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</si>
  <si>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</si>
  <si>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</si>
  <si>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</si>
  <si>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</si>
  <si>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</si>
  <si>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</si>
  <si>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</si>
  <si>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</si>
  <si>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</si>
  <si>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</si>
  <si>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</si>
  <si>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</si>
  <si>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</si>
  <si>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</si>
  <si>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</si>
  <si>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</si>
  <si>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</si>
  <si>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</si>
  <si>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</si>
  <si>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</si>
  <si>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</si>
  <si>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</si>
  <si>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</si>
  <si>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</si>
  <si>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</si>
  <si>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</si>
  <si>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</si>
  <si>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</si>
  <si>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</si>
  <si>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</si>
  <si>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</si>
  <si>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</si>
  <si>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</si>
  <si>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</si>
  <si>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</si>
  <si>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</si>
  <si>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</si>
  <si>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</si>
  <si>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</si>
  <si>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</si>
  <si>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</si>
  <si>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</si>
  <si>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</si>
  <si>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</si>
  <si>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</si>
  <si>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</si>
  <si>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</si>
  <si>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</si>
  <si>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</si>
  <si>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</si>
  <si>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</si>
  <si>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</si>
  <si>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</si>
  <si>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</si>
  <si>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</si>
  <si>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</si>
  <si>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</si>
  <si>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</si>
  <si>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</si>
  <si>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</si>
  <si>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</si>
  <si>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</si>
  <si>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</si>
  <si>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</si>
  <si>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</si>
  <si>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</si>
  <si>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</si>
  <si>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</si>
  <si>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</si>
  <si>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</si>
  <si>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</si>
  <si>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</si>
  <si>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</si>
  <si>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</si>
  <si>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</si>
  <si>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</si>
  <si>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</si>
  <si>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</si>
  <si>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</si>
  <si>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</si>
  <si>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</si>
  <si>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</si>
  <si>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</si>
  <si>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</si>
  <si>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</si>
  <si>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</si>
  <si>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</si>
  <si>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</si>
  <si>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</si>
  <si>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</si>
  <si>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</si>
  <si>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</si>
  <si>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</si>
  <si>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</si>
  <si>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</si>
  <si>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</si>
  <si>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</si>
  <si>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</si>
  <si>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</si>
  <si>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</si>
  <si>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</si>
  <si>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</si>
  <si>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</si>
  <si>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</si>
  <si>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</si>
  <si>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</si>
  <si>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</si>
  <si>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</si>
  <si>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</si>
  <si>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</si>
  <si>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</si>
  <si>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</si>
  <si>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Fatullah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</si>
  <si>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</si>
  <si>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</si>
  <si>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</si>
  <si>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</si>
  <si>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</si>
  <si>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</si>
  <si>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</si>
  <si>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</si>
  <si>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</si>
  <si>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</si>
  <si>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</si>
  <si>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</si>
  <si>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</si>
  <si>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</si>
  <si>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</si>
  <si>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</si>
  <si>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</si>
  <si>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</si>
  <si>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</si>
  <si>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</si>
  <si>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</si>
  <si>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</si>
  <si>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</si>
  <si>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</si>
  <si>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</si>
  <si>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</si>
  <si>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</si>
  <si>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</si>
  <si>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</si>
  <si>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</si>
  <si>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</si>
  <si>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</si>
  <si>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</si>
  <si>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33 KV Tejgaon Feeder</t>
  </si>
  <si>
    <t>33 KV Lalmatia Feeder</t>
  </si>
  <si>
    <t>33 KV Green Road Dormitory Feeder</t>
  </si>
  <si>
    <t>33 KV Green Road Feeder</t>
  </si>
  <si>
    <t>Total =</t>
  </si>
  <si>
    <t>Summary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</si>
  <si>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</si>
  <si>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</si>
  <si>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</si>
  <si>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</si>
  <si>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</si>
  <si>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</si>
  <si>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</si>
  <si>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</si>
  <si>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</si>
  <si>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</si>
  <si>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</si>
  <si>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</si>
  <si>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</si>
  <si>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</si>
  <si>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</si>
  <si>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</si>
  <si>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</si>
  <si>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</si>
  <si>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</si>
  <si>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</si>
  <si>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</si>
  <si>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Tejgaon at 33 KV level</t>
  </si>
  <si>
    <t>Sherebanglanagar at 33 KV level</t>
  </si>
  <si>
    <t>Maghbazar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</si>
  <si>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</si>
  <si>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</si>
  <si>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</si>
  <si>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</si>
  <si>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</si>
  <si>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</si>
  <si>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</si>
  <si>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</si>
  <si>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</si>
  <si>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</si>
  <si>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</si>
  <si>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</si>
  <si>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</si>
  <si>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</si>
  <si>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</si>
  <si>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</si>
  <si>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</si>
  <si>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</si>
  <si>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</si>
  <si>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</si>
  <si>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</si>
  <si>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</si>
  <si>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</si>
  <si>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</si>
  <si>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</si>
  <si>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</si>
  <si>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</si>
  <si>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</si>
  <si>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</si>
  <si>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</si>
  <si>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</si>
  <si>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</si>
  <si>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Mogbazar at 33 KV level</t>
  </si>
  <si>
    <t>Khilgaon 33 kv level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</si>
  <si>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</si>
  <si>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</si>
  <si>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</si>
  <si>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</si>
  <si>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</si>
  <si>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</si>
  <si>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</si>
  <si>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</si>
  <si>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</si>
  <si>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</si>
  <si>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</si>
  <si>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</si>
  <si>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</si>
  <si>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</si>
  <si>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</si>
  <si>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</si>
  <si>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</si>
  <si>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</si>
  <si>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33 KV Taltala Feeder No.1.</t>
  </si>
  <si>
    <t>33 KV Taltala Feeder No.2.</t>
  </si>
  <si>
    <t>33 KV Basundhara Feeder.</t>
  </si>
  <si>
    <t>33 KV Kakrail Feeder.</t>
  </si>
  <si>
    <t>Ispahani-01</t>
  </si>
  <si>
    <t xml:space="preserve">Total Energy </t>
  </si>
  <si>
    <t>% of Loss</t>
  </si>
  <si>
    <t>Taltala  33/11 Kv S/S</t>
  </si>
  <si>
    <t>Khilgaon  33/11 Kv S/S</t>
  </si>
  <si>
    <t>Goran 33/11 KV S/S</t>
  </si>
  <si>
    <t>Kakrail 33/11</t>
  </si>
  <si>
    <t xml:space="preserve">Moghbazar T&amp;T </t>
  </si>
  <si>
    <t>Tejgaon 33/11 KV SS</t>
  </si>
  <si>
    <t>Ispahani 33/11 KV SS</t>
  </si>
  <si>
    <t>Ullon Local 33/11 KV SS</t>
  </si>
  <si>
    <t>Total Import/Export</t>
  </si>
  <si>
    <t>2007-755109</t>
  </si>
  <si>
    <t>AT-1</t>
  </si>
  <si>
    <t>AT-2</t>
  </si>
  <si>
    <t>new</t>
  </si>
  <si>
    <t>Average Power Factor at 33 KV level==&gt;</t>
  </si>
  <si>
    <t xml:space="preserve">11 kV import converted into 33 kV import (Adding 2.5%) ==&gt;  </t>
  </si>
  <si>
    <t>Net 132KV Import &gt;</t>
  </si>
  <si>
    <t>11 kV import converted into 33 kV import (Adding 2.5%) =&gt;  ( BPDB &amp; PGCB)</t>
  </si>
  <si>
    <t>NET TOTAL  IMPORT (Energy export - Energy import)  ==&gt;</t>
  </si>
  <si>
    <t>Sum &gt;</t>
  </si>
  <si>
    <t>NET TOTAL  IMPORT (Energy export - Energy import)  =&gt;</t>
  </si>
  <si>
    <t>TOTAL ==&gt;</t>
  </si>
  <si>
    <t xml:space="preserve">Tejgaon </t>
  </si>
  <si>
    <t>Nanruti S/S (Yousuf-01818284943)</t>
  </si>
  <si>
    <t>SHYAMPUR 11KV</t>
  </si>
  <si>
    <t>TOTAL =&gt;</t>
  </si>
  <si>
    <t>Total==&gt;</t>
  </si>
  <si>
    <t>Import from Baridhara 33/11 KV S/S
 (Tel: 02-9888965, Mob: 01730-335248)</t>
  </si>
  <si>
    <t>Manikmia Avenue</t>
  </si>
  <si>
    <t>Total=&gt;</t>
  </si>
  <si>
    <t>Digital</t>
  </si>
  <si>
    <t>DHK27341</t>
  </si>
  <si>
    <t>Export</t>
  </si>
  <si>
    <t>L &amp; G</t>
  </si>
  <si>
    <t>NEC</t>
  </si>
  <si>
    <t>Secure</t>
  </si>
  <si>
    <t>BCFCC - U/G</t>
  </si>
  <si>
    <t>BICC - U/G</t>
  </si>
  <si>
    <t xml:space="preserve">Sher-e-banglanagar </t>
  </si>
  <si>
    <t>Monsurabad</t>
  </si>
  <si>
    <t xml:space="preserve">11 KV Sher-e-banglanagar </t>
  </si>
  <si>
    <t>11 KV R.M.U Feeder</t>
  </si>
  <si>
    <t>RMU 11 KV</t>
  </si>
  <si>
    <t>Swerage 11KV O/H</t>
  </si>
  <si>
    <t>Dhk-59122</t>
  </si>
  <si>
    <t>Import</t>
  </si>
  <si>
    <t>NINS &amp; H</t>
  </si>
  <si>
    <t>Estimated</t>
  </si>
  <si>
    <t>SE,NB,Betar</t>
  </si>
  <si>
    <t>3c</t>
  </si>
  <si>
    <t>Ring Road 11 KV O/H</t>
  </si>
  <si>
    <t>3b</t>
  </si>
  <si>
    <t>(Beri Bandh) 11KV O/H</t>
  </si>
  <si>
    <t>PD Betar</t>
  </si>
  <si>
    <t>3a</t>
  </si>
  <si>
    <t>Agargaon 33/11KV</t>
  </si>
  <si>
    <t>Shyamoli 11KV O/H</t>
  </si>
  <si>
    <t>Adabor 11KV O/H</t>
  </si>
  <si>
    <t>RMU Feeder KVARH Back Calculation as per KWH Percentage</t>
  </si>
  <si>
    <t>AGARGAON 33/11 KV S/S (Tel: 8122865)</t>
  </si>
  <si>
    <t>Same Meter</t>
  </si>
  <si>
    <t>P.C Culture Housing 11 KV</t>
  </si>
  <si>
    <t>NINS&amp;H</t>
  </si>
  <si>
    <t>Dhk-15019</t>
  </si>
  <si>
    <t xml:space="preserve">RMU Feeder </t>
  </si>
  <si>
    <t>SE, NB, Betar</t>
  </si>
  <si>
    <t>`</t>
  </si>
  <si>
    <t>Ring Road 11KV O/H</t>
  </si>
  <si>
    <t xml:space="preserve">Swerage 11KV O/H </t>
  </si>
  <si>
    <t>Beri Bandh 11KV O/H</t>
  </si>
  <si>
    <t>11KV RMU U/G</t>
  </si>
  <si>
    <t>Monsurabab 11KV O/H</t>
  </si>
  <si>
    <t>Kallyanpur 33/11KV</t>
  </si>
  <si>
    <t xml:space="preserve">Adabor 11KV O/H </t>
  </si>
  <si>
    <t>Manik Mia 11KV O/H</t>
  </si>
  <si>
    <t>KALLYANPUR 33/11 KV S/S (Tel: 01719-634120)</t>
  </si>
  <si>
    <t>Sher-E-Bangla Nagar</t>
  </si>
  <si>
    <t>Shamoly 11KV O/H</t>
  </si>
  <si>
    <t>Energy Import (KWh)</t>
  </si>
  <si>
    <t>Voltage Level (KV)</t>
  </si>
  <si>
    <t>Meter Location</t>
  </si>
  <si>
    <t>NAME OF THE CIRCUIT</t>
  </si>
  <si>
    <t>Sl No.</t>
  </si>
  <si>
    <t xml:space="preserve">KVAR
Export </t>
  </si>
  <si>
    <t xml:space="preserve">KVAR Import </t>
  </si>
  <si>
    <t>Diff.</t>
  </si>
  <si>
    <t>Energy Export (KWh)</t>
  </si>
  <si>
    <t>Differance</t>
  </si>
  <si>
    <t>Digital/Analog</t>
  </si>
  <si>
    <t>Make</t>
  </si>
  <si>
    <t>Meter No.</t>
  </si>
  <si>
    <t>Meter  ID</t>
  </si>
  <si>
    <t>Energy Import/Export at 132 kV  voltage levels</t>
  </si>
  <si>
    <t>11 KV and .4 KV import converted into 132 KV
 for maching the calculation with PDB</t>
  </si>
  <si>
    <t>Diff</t>
  </si>
  <si>
    <t>BICC</t>
  </si>
  <si>
    <t>P.F.C Corr. Factor</t>
  </si>
  <si>
    <t>P.F</t>
  </si>
  <si>
    <t>KVAR METER NO</t>
  </si>
  <si>
    <t>Remark</t>
  </si>
  <si>
    <t>Reactive Energy Import / Export at 11 kV level</t>
  </si>
  <si>
    <t>Energy Import/Export at 11 kV  voltage levels</t>
  </si>
  <si>
    <t>KWH CALCULATION</t>
  </si>
  <si>
    <t>SUBSTATION-FEEDER-METERS INFORMATION</t>
  </si>
  <si>
    <t>Acording to DPDC</t>
  </si>
  <si>
    <t>Acording to PDB</t>
  </si>
  <si>
    <t>KVAR</t>
  </si>
  <si>
    <t>Input</t>
  </si>
  <si>
    <t>Remarks for KVAR</t>
  </si>
  <si>
    <t>KVAR CALCULATION</t>
  </si>
  <si>
    <t>Remarks for KWH</t>
  </si>
  <si>
    <t xml:space="preserve">11&amp;0.4 KV LEVEL </t>
  </si>
  <si>
    <t>Accoding to PDB</t>
  </si>
  <si>
    <t>11 kv</t>
  </si>
  <si>
    <t>PDB 33</t>
  </si>
  <si>
    <t>KVARH</t>
  </si>
  <si>
    <t>33 KV level</t>
  </si>
  <si>
    <t>Average Power Factor at 33 KV level</t>
  </si>
  <si>
    <t>NET KVAR/ PFC UNIT  AT 33 KV LEVEL =&gt;</t>
  </si>
  <si>
    <t>BPDB</t>
  </si>
  <si>
    <t>PGCB</t>
  </si>
  <si>
    <t>Bus Loss Unit</t>
  </si>
  <si>
    <t>NET=&gt;</t>
  </si>
  <si>
    <t>SHYAMPUR 33KV</t>
  </si>
  <si>
    <t>Total KVAR/P.F.C UNIT =&gt;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</si>
  <si>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</si>
  <si>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</si>
  <si>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</si>
  <si>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</si>
  <si>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</si>
  <si>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</si>
  <si>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</si>
  <si>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</si>
  <si>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</si>
  <si>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</si>
  <si>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</si>
  <si>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</si>
  <si>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</si>
  <si>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</si>
  <si>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</si>
  <si>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</si>
  <si>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</si>
  <si>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</si>
  <si>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Sher-e Bangla S/S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</si>
  <si>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</si>
  <si>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</si>
  <si>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</si>
  <si>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</si>
  <si>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</si>
  <si>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</si>
  <si>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</si>
  <si>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</si>
  <si>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AMR-10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</si>
  <si>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</si>
  <si>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</si>
  <si>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</si>
  <si>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</si>
  <si>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</si>
  <si>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</si>
  <si>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AMR-9</t>
  </si>
  <si>
    <t>8993669E</t>
  </si>
  <si>
    <t>Satmosjid -2</t>
  </si>
  <si>
    <t>AMR-8</t>
  </si>
  <si>
    <t>8993638E</t>
  </si>
  <si>
    <t>Satmosjid-1</t>
  </si>
  <si>
    <t>PDB Wrong</t>
  </si>
  <si>
    <t>AMR-7</t>
  </si>
  <si>
    <t xml:space="preserve">Shere Bangla </t>
  </si>
  <si>
    <t>38992490 
(new)</t>
  </si>
  <si>
    <t>AMR-6</t>
  </si>
  <si>
    <t xml:space="preserve">Kallyanpur </t>
  </si>
  <si>
    <t>Jigatala
(JP garden)</t>
  </si>
  <si>
    <t>8993834 
(old)</t>
  </si>
  <si>
    <t>KALLYANPUR 132/33 KV S/S (Tel: 9007406)</t>
  </si>
  <si>
    <t>HARIPUR 130/132 KV S/S (Tel: 01730-335255)</t>
  </si>
  <si>
    <t>Units without wheeling Charge=&gt;</t>
  </si>
  <si>
    <t>Analog</t>
  </si>
  <si>
    <t>G.E.C</t>
  </si>
  <si>
    <t>Aux T2</t>
  </si>
  <si>
    <t>Disputed</t>
  </si>
  <si>
    <t>Aux T1</t>
  </si>
  <si>
    <t>AMR-5</t>
  </si>
  <si>
    <t>Mandal para</t>
  </si>
  <si>
    <t>AMR-4</t>
  </si>
  <si>
    <t>Shah Cement</t>
  </si>
  <si>
    <t>Madangonj Grid</t>
  </si>
  <si>
    <t>Units without wheeling Charge( UNITS FROM QRPP)=&gt;</t>
  </si>
  <si>
    <t>WP000559</t>
  </si>
  <si>
    <t>import</t>
  </si>
  <si>
    <t>QRPP</t>
  </si>
  <si>
    <t>Sending End</t>
  </si>
  <si>
    <t xml:space="preserve">132 kv 55 MW </t>
  </si>
  <si>
    <t>PP</t>
  </si>
  <si>
    <t xml:space="preserve">132 kv102 MW </t>
  </si>
  <si>
    <t>QRPP***</t>
  </si>
  <si>
    <t>Receiving End</t>
  </si>
  <si>
    <t>33 KV Buss Loss</t>
  </si>
  <si>
    <t xml:space="preserve">MADANGONJ 132/33 KV S/S (Tel: 01711-202009) </t>
  </si>
  <si>
    <t>REB</t>
  </si>
  <si>
    <t xml:space="preserve">Aganagor-3
</t>
  </si>
  <si>
    <t xml:space="preserve">Aganagor-2
</t>
  </si>
  <si>
    <t xml:space="preserve">Aganagor-1
</t>
  </si>
  <si>
    <t>Zin-RMHU5500</t>
  </si>
  <si>
    <t>Zinzira Unit-2</t>
  </si>
  <si>
    <t>Zinzira Unit-3</t>
  </si>
  <si>
    <t>Export to REB (Lalbagh-2)</t>
  </si>
  <si>
    <t>AMR-3</t>
  </si>
  <si>
    <t>Lalbag-2</t>
  </si>
  <si>
    <t>AMR-2</t>
  </si>
  <si>
    <t>8993861E</t>
  </si>
  <si>
    <t>Lalbag-1</t>
  </si>
  <si>
    <t>AMR-1</t>
  </si>
  <si>
    <t>8993640E</t>
  </si>
  <si>
    <t>Hasnabad 132/33 kV</t>
  </si>
  <si>
    <t>Postagola
(IG GATE)</t>
  </si>
  <si>
    <t>PF 0.90 Considered</t>
  </si>
  <si>
    <t>HASNABAD 132/33 KV S/S (Tel: 01936-016025, PBS)</t>
  </si>
  <si>
    <t>Pagla Rental</t>
  </si>
  <si>
    <t>Shyampur 33//11kv S/S</t>
  </si>
  <si>
    <t>NO NEED</t>
  </si>
  <si>
    <t>-</t>
  </si>
  <si>
    <t>Pagla Power Generation</t>
  </si>
  <si>
    <t>PDB</t>
  </si>
  <si>
    <t>PFC Surcharge</t>
  </si>
  <si>
    <t>Pfc unit</t>
  </si>
  <si>
    <t>PF</t>
  </si>
  <si>
    <t>P.F.C Taka</t>
  </si>
  <si>
    <t xml:space="preserve">PFC Unit </t>
  </si>
  <si>
    <t>Net Energy (KVARH)</t>
  </si>
  <si>
    <t>Net Energy (KWH)</t>
  </si>
  <si>
    <t>Reactive Energy Import / Export at 33 kV level</t>
  </si>
  <si>
    <t>Energy Import/Export at 33kV  voltage levels</t>
  </si>
  <si>
    <t>DPDC-PDB</t>
  </si>
  <si>
    <t>DPDC</t>
  </si>
  <si>
    <t>Remarks for KVAR
(Bus Loss)</t>
  </si>
  <si>
    <t>PFC Calculation</t>
  </si>
  <si>
    <t>33 KV LEVEL</t>
  </si>
  <si>
    <t xml:space="preserve">33 KV LEVEL </t>
  </si>
  <si>
    <t>Average PF==&gt;</t>
  </si>
  <si>
    <t>132 KV level</t>
  </si>
  <si>
    <t>Wheeling  Charge Less(Non-Grid Units at 132 kv )</t>
  </si>
  <si>
    <t>TOTAL  import =&gt;</t>
  </si>
  <si>
    <t>Char Syedpur Ckt-2</t>
  </si>
  <si>
    <t xml:space="preserve">Madonganj 132/33 KV </t>
  </si>
  <si>
    <t>Char Syedpur Ckt-1</t>
  </si>
  <si>
    <t>Missing Unit</t>
  </si>
  <si>
    <t>Average Power Factor at 132 KV level</t>
  </si>
  <si>
    <t>Keranijanj to Lalbagh-3</t>
  </si>
  <si>
    <t>Reactive Energy ==&gt;</t>
  </si>
  <si>
    <t>Active Energy ==&gt;</t>
  </si>
  <si>
    <t xml:space="preserve">NET TOTAL  IMPORT (Energy export - Energy import)  </t>
  </si>
  <si>
    <t>Unit</t>
  </si>
  <si>
    <t>TOTAL Import</t>
  </si>
  <si>
    <t>Keraniganj
230/132</t>
  </si>
  <si>
    <t>Keranijanj to Kamrangirchar</t>
  </si>
  <si>
    <t>PDB 132</t>
  </si>
  <si>
    <t>Loop PFC is Considered</t>
  </si>
  <si>
    <t>Tranformer - 2</t>
  </si>
  <si>
    <t>wp002497</t>
  </si>
  <si>
    <t>Shyampur
230/132</t>
  </si>
  <si>
    <t>Tranformer - 1</t>
  </si>
  <si>
    <t>T-1 Missing Unit</t>
  </si>
  <si>
    <t>Maniknagar-2</t>
  </si>
  <si>
    <t>Maniknagar-1</t>
  </si>
  <si>
    <t>July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</si>
  <si>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</si>
  <si>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</si>
  <si>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</si>
  <si>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</si>
  <si>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</si>
  <si>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</si>
  <si>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T-Off Removed</t>
  </si>
  <si>
    <t>Aftabnagar Toff to Desco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</si>
  <si>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</si>
  <si>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</si>
  <si>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</si>
  <si>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</si>
  <si>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</si>
  <si>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</si>
  <si>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</si>
  <si>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G.Total==&gt;&gt;</t>
  </si>
  <si>
    <t>RAMPURA 230/132 KV S/S 8853954,01711644817(anis SDE)</t>
  </si>
  <si>
    <t>Difference=</t>
  </si>
  <si>
    <t>PDB Bill=</t>
  </si>
  <si>
    <t>D</t>
  </si>
  <si>
    <t>Maniknagar -1</t>
  </si>
  <si>
    <t>ULLON -2
(FEB-15)</t>
  </si>
  <si>
    <t>Sub Total==&gt;&gt;</t>
  </si>
  <si>
    <t>Satmosjid 132/33 Transformer 1</t>
  </si>
  <si>
    <t xml:space="preserve">XFR- T2 </t>
  </si>
  <si>
    <t>Satmosjid 132/33 Transformer 2</t>
  </si>
  <si>
    <t>SATMG</t>
  </si>
  <si>
    <t>Kallyanpur-Sherebanglanagar 33Kv U/G CKT</t>
  </si>
  <si>
    <t>Siddhirgonj 
Grid</t>
  </si>
  <si>
    <t xml:space="preserve">XFR- T1 </t>
  </si>
  <si>
    <t>Kallyanpur-Lalmatia 33Kv U/G CKT</t>
  </si>
  <si>
    <t>KALLG</t>
  </si>
  <si>
    <t>Hasnabad-Postogola 33kv CKT</t>
  </si>
  <si>
    <t>wheeling Charge from Shytalakha=&gt;</t>
  </si>
  <si>
    <t>SIDDHIRGANJ 132 kV S/S (Tel: 7694743)</t>
  </si>
  <si>
    <t>38992489 (New)</t>
  </si>
  <si>
    <t>MI CEMENT</t>
  </si>
  <si>
    <t>Hasnabad-Lalbag 33kv CKT-1</t>
  </si>
  <si>
    <t>HASNG</t>
  </si>
  <si>
    <t>Cheek</t>
  </si>
  <si>
    <t>Main+ Backup</t>
  </si>
  <si>
    <t>Tranformer 2</t>
  </si>
  <si>
    <t>PFCharge(Tk.)</t>
  </si>
  <si>
    <t>PF Unit</t>
  </si>
  <si>
    <t>Percent</t>
  </si>
  <si>
    <t xml:space="preserve">Net Mvarh </t>
  </si>
  <si>
    <t>Net Mwh</t>
  </si>
  <si>
    <t>Feeder Name</t>
  </si>
  <si>
    <t>Meter No</t>
  </si>
  <si>
    <t>SS</t>
  </si>
  <si>
    <t>Tranformer 1</t>
  </si>
  <si>
    <t xml:space="preserve">(B) 33 KV Level   </t>
  </si>
  <si>
    <t>Shitalakhya 
Grid</t>
  </si>
  <si>
    <t>Tranformer 3</t>
  </si>
  <si>
    <t>132 kv DPAL</t>
  </si>
  <si>
    <t>132/33 KV SHITALAKHYA S/S (Tel: 7647373 / 01778500119) Plant Mn-01755525013</t>
  </si>
  <si>
    <t>Sitalakhya 132/33 kv Transformer-2</t>
  </si>
  <si>
    <t>080505637NE</t>
  </si>
  <si>
    <t>SITAG</t>
  </si>
  <si>
    <t xml:space="preserve">Kallyanpur to Lalbagh 2 </t>
  </si>
  <si>
    <t>Sitalakhya 132/33 kv Transformer-1</t>
  </si>
  <si>
    <t>080505634NE</t>
  </si>
  <si>
    <t>Siddhirgong-Matuail 132 kv CKT IMP</t>
  </si>
  <si>
    <t>EXP- 8993555E</t>
  </si>
  <si>
    <t>SIDDG</t>
  </si>
  <si>
    <t>Kallyanpur 
Grid</t>
  </si>
  <si>
    <t xml:space="preserve">Kallyanpur to Lalbagh 1 </t>
  </si>
  <si>
    <t>Siddhirgong-Maniknagar 132 kv CKT-2 IMP</t>
  </si>
  <si>
    <t>EXP-08993680E</t>
  </si>
  <si>
    <t>Siddhirgong-Ullon  132 kv CKT-1 IMP</t>
  </si>
  <si>
    <t>EXP-08993681E</t>
  </si>
  <si>
    <t>Siddhirgonj 132/33 kv Transformer-2</t>
  </si>
  <si>
    <t>08993682E</t>
  </si>
  <si>
    <t>Siddhirgonj 132/33 kv Transformer-1</t>
  </si>
  <si>
    <t>08993683E</t>
  </si>
  <si>
    <t>0</t>
  </si>
  <si>
    <t>Rampura-Madartheck 132 kv CKT-1</t>
  </si>
  <si>
    <t>EXP-08993661E</t>
  </si>
  <si>
    <t>RAMPG</t>
  </si>
  <si>
    <t>Maniknager-2 (new line)</t>
  </si>
  <si>
    <t xml:space="preserve">Rampura-Ullon U/G 132 kv CKT-2 </t>
  </si>
  <si>
    <t>Rampura-Mogbazar 132 kv CKT-2</t>
  </si>
  <si>
    <t xml:space="preserve">HARIPUR 230/132 KV </t>
  </si>
  <si>
    <t>Rampura-Mogbazar 132 kv CKT-1</t>
  </si>
  <si>
    <t>EXP-08993631E</t>
  </si>
  <si>
    <t>P.Plant</t>
  </si>
  <si>
    <t>Powerpack-Hasnabad-Kamrangirchar 132 kv</t>
  </si>
  <si>
    <t>EXP-12393383E</t>
  </si>
  <si>
    <t>PPACK</t>
  </si>
  <si>
    <t>HARIPUR 230/132 KV S/S (Tel: 01711644856)</t>
  </si>
  <si>
    <t>230/132 kv Transformer-2</t>
  </si>
  <si>
    <t>50147582E</t>
  </si>
  <si>
    <t>MANIG</t>
  </si>
  <si>
    <t>PowerPac Keraniganj</t>
  </si>
  <si>
    <t>230/132 kv Transformer-1</t>
  </si>
  <si>
    <t>50147584E</t>
  </si>
  <si>
    <t>Hasnabad to Postogola-2</t>
  </si>
  <si>
    <t>Kallyanpur-Lalbag 132 kv Ckt-1 Exp</t>
  </si>
  <si>
    <t>EXP-08993518E</t>
  </si>
  <si>
    <t>Hasnabad to Kamrangirchar</t>
  </si>
  <si>
    <t>Kallyanpur-Lalbag 132 kv Ckt-2 Exp</t>
  </si>
  <si>
    <t>EXP-5014660E</t>
  </si>
  <si>
    <t>Hasnabad to Postogola-1</t>
  </si>
  <si>
    <t>Hasnabad-Shyampur  132 KV CKT IMP</t>
  </si>
  <si>
    <t>EXP-08993532E</t>
  </si>
  <si>
    <t>Hasnabad-Lalbag 132 KV CKT IMP</t>
  </si>
  <si>
    <t>EXP-08993531E</t>
  </si>
  <si>
    <t xml:space="preserve">PN-1711A04601 </t>
  </si>
  <si>
    <t>Aggrekko 
100 MW (Brammhongao)</t>
  </si>
  <si>
    <t>disputed</t>
  </si>
  <si>
    <t>Hasnabad-kamrangirchar 132 kv CKT-1 IMP</t>
  </si>
  <si>
    <t>EXP-50146912E</t>
  </si>
  <si>
    <t>Hasnabad to Shyampur</t>
  </si>
  <si>
    <t>HARIG</t>
  </si>
  <si>
    <t xml:space="preserve">PN-1801A019-01 </t>
  </si>
  <si>
    <t>Aggrekko 
100 MW (Aorahati)</t>
  </si>
  <si>
    <t>Haripur-Shyampur 132 KV CKT IMP</t>
  </si>
  <si>
    <t>EXP-08993647E</t>
  </si>
  <si>
    <t>Hasnabad Grid</t>
  </si>
  <si>
    <t>Hasnabad to Lalbagh</t>
  </si>
  <si>
    <t>Haripur-Matuail 132 KV CKT</t>
  </si>
  <si>
    <t>EXP-08993646E</t>
  </si>
  <si>
    <t>HASNABAD 132/33 KV S/S (Tel: 03894180291 Ex-101,01936016025 /01755582416)</t>
  </si>
  <si>
    <t xml:space="preserve">(A) 132 KV Level   </t>
  </si>
  <si>
    <t>Taka</t>
  </si>
  <si>
    <t>Rate</t>
  </si>
  <si>
    <t>Reading at 00.00hr 
01.02.18</t>
  </si>
  <si>
    <t>Reading at 00.00hr 
01.01.18</t>
  </si>
  <si>
    <t>132 kv PFC CALCULATION===&gt;</t>
  </si>
  <si>
    <t>PFC Unit</t>
  </si>
  <si>
    <t>Reading at 00.00hr 
01.11.2021</t>
  </si>
  <si>
    <t>Reactive Energy Import / Export at 132 kV level</t>
  </si>
  <si>
    <t>Energy Import / Export at 132 kV level</t>
  </si>
  <si>
    <t>Month :January--2018</t>
  </si>
  <si>
    <t>132KV LEVEL</t>
  </si>
  <si>
    <t>Considering P.F</t>
  </si>
  <si>
    <t>BPDB BILL FOR DPDC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</si>
  <si>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</si>
  <si>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</si>
  <si>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</si>
  <si>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</si>
  <si>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</si>
  <si>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</si>
  <si>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</si>
  <si>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</si>
  <si>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</si>
  <si>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</si>
  <si>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</si>
  <si>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</si>
  <si>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</si>
  <si>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</si>
  <si>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</si>
  <si>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</si>
  <si>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</si>
  <si>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</si>
  <si>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</si>
  <si>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</si>
  <si>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</si>
  <si>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</si>
  <si>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</si>
  <si>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</si>
  <si>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</si>
  <si>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</si>
  <si>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</si>
  <si>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</si>
  <si>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</si>
  <si>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</si>
  <si>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</si>
  <si>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</si>
  <si>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</si>
  <si>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</si>
  <si>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</si>
  <si>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</si>
  <si>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</si>
  <si>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</si>
  <si>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</si>
  <si>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</si>
  <si>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</si>
  <si>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</si>
  <si>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</si>
  <si>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</si>
  <si>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</si>
  <si>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</si>
  <si>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</si>
  <si>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</si>
  <si>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</si>
  <si>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</si>
  <si>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</si>
  <si>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</si>
  <si>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</si>
  <si>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</si>
  <si>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</si>
  <si>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</si>
  <si>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</si>
  <si>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</si>
  <si>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</si>
  <si>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</si>
  <si>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</si>
  <si>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</si>
  <si>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</si>
  <si>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</si>
  <si>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</si>
  <si>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</si>
  <si>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</si>
  <si>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</si>
  <si>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</si>
  <si>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</si>
  <si>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</si>
  <si>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</si>
  <si>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</si>
  <si>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</si>
  <si>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</si>
  <si>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</si>
  <si>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</si>
  <si>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</si>
  <si>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</si>
  <si>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</si>
  <si>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</si>
  <si>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</si>
  <si>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</si>
  <si>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</si>
  <si>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</si>
  <si>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</si>
  <si>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</si>
  <si>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</si>
  <si>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</si>
  <si>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</si>
  <si>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</si>
  <si>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</si>
  <si>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</si>
  <si>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</si>
  <si>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</si>
  <si>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</si>
  <si>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</si>
  <si>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</si>
  <si>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</si>
  <si>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</si>
  <si>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</si>
  <si>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</si>
  <si>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</si>
  <si>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</si>
  <si>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</si>
  <si>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</si>
  <si>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</si>
  <si>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</si>
  <si>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</si>
  <si>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</si>
  <si>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</si>
  <si>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</si>
  <si>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</si>
  <si>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</si>
  <si>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</si>
  <si>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</si>
  <si>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</si>
  <si>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</si>
  <si>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</si>
  <si>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</si>
  <si>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</si>
  <si>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</si>
  <si>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</si>
  <si>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</si>
  <si>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</si>
  <si>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</si>
  <si>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</si>
  <si>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</si>
  <si>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</si>
  <si>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</si>
  <si>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</si>
  <si>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</si>
  <si>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</si>
  <si>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</si>
  <si>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</si>
  <si>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</si>
  <si>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</si>
  <si>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</si>
  <si>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</si>
  <si>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</si>
  <si>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</si>
  <si>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</si>
  <si>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</si>
  <si>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</si>
  <si>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</si>
  <si>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</si>
  <si>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</si>
  <si>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</si>
  <si>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</si>
  <si>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</si>
  <si>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</si>
  <si>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</si>
  <si>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</si>
  <si>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</si>
  <si>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</si>
  <si>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</si>
  <si>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</si>
  <si>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</si>
  <si>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</si>
  <si>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</si>
  <si>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</si>
  <si>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</si>
  <si>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</si>
  <si>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</si>
  <si>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</si>
  <si>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</si>
  <si>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</si>
  <si>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</si>
  <si>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</si>
  <si>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</si>
  <si>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</si>
  <si>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</si>
  <si>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</si>
  <si>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</si>
  <si>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</si>
  <si>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</si>
  <si>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</si>
  <si>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</si>
  <si>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</si>
  <si>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</si>
  <si>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</si>
  <si>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</si>
  <si>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</si>
  <si>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</si>
  <si>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</si>
  <si>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</si>
  <si>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Tariff Rate at Respective Voltage Level
(Effective from 
March-2020)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</si>
  <si>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</si>
  <si>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</si>
  <si>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</si>
  <si>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</si>
  <si>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</si>
  <si>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</si>
  <si>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</si>
  <si>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</si>
  <si>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</si>
  <si>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</si>
  <si>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</si>
  <si>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</si>
  <si>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</si>
  <si>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</si>
  <si>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</si>
  <si>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</si>
  <si>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</si>
  <si>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</si>
  <si>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</si>
  <si>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</si>
  <si>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</si>
  <si>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</si>
  <si>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</si>
  <si>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</si>
  <si>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</si>
  <si>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</si>
  <si>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</si>
  <si>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</si>
  <si>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</si>
  <si>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</si>
  <si>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</si>
  <si>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</si>
  <si>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</si>
  <si>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</si>
  <si>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</si>
  <si>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</si>
  <si>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</si>
  <si>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</si>
  <si>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</si>
  <si>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</si>
  <si>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</si>
  <si>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</si>
  <si>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</si>
  <si>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</si>
  <si>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</si>
  <si>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</si>
  <si>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TOTAL=&gt; (4+7)</t>
  </si>
  <si>
    <t>সর্বমোট (৬+৯)</t>
  </si>
  <si>
    <t>সর্বমোট (৬+৯)</t>
  </si>
  <si>
    <t>11th Installment for PDB's PFC Surcharge Due (Oct-2009 to Nov-2017)***</t>
  </si>
  <si>
    <t>As per DPDC Board's Decision</t>
  </si>
  <si>
    <t>Grand TOTAL (Taka)=&gt; (8+9)</t>
  </si>
  <si>
    <t>"In word:  Taka Six Hundred Twelve Crore Thirty Three Lac Twenty Six Thousand Six Hundred Sixty Seven and Poisa Sixty Three"</t>
  </si>
  <si>
    <t>N.B:- ***</t>
  </si>
  <si>
    <t>Detailed Calculation of Installment for PDB's PFC Surcharge Due</t>
  </si>
  <si>
    <t>Running Installment No.</t>
  </si>
  <si>
    <t xml:space="preserve">Number of Total Installment </t>
  </si>
  <si>
    <t>Amount Per Installment (TK)</t>
  </si>
  <si>
    <t>Total Amount to be Paid (TK)</t>
  </si>
  <si>
    <t>Amount Remaining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</si>
  <si>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</si>
  <si>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</si>
  <si>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</si>
  <si>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</si>
  <si>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</si>
  <si>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</si>
  <si>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</si>
  <si>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</si>
  <si>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</si>
  <si>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</si>
  <si>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</si>
  <si>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</si>
  <si>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</si>
  <si>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</si>
  <si>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</si>
  <si>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</si>
  <si>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</si>
  <si>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</si>
  <si>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</si>
  <si>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</si>
  <si>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</si>
  <si>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</si>
  <si>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</si>
  <si>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</si>
  <si>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</si>
  <si>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</si>
  <si>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</si>
  <si>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</si>
  <si>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</si>
  <si>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</si>
  <si>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</si>
  <si>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</si>
  <si>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</si>
  <si>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</si>
  <si>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</si>
  <si>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</si>
  <si>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</si>
  <si>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</si>
  <si>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</si>
  <si>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</si>
  <si>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</si>
  <si>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</si>
  <si>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</si>
  <si>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SUMMARY OF PGCB   WHEELING CHARGE  BILL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</si>
  <si>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</si>
  <si>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</si>
  <si>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</si>
  <si>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</si>
  <si>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</si>
  <si>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</si>
  <si>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</si>
  <si>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</si>
  <si>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</si>
  <si>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</si>
  <si>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</si>
  <si>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</si>
  <si>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</si>
  <si>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</si>
  <si>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</si>
  <si>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</si>
  <si>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</si>
  <si>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</si>
  <si>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</si>
  <si>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</si>
  <si>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</si>
  <si>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</si>
  <si>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</si>
  <si>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</si>
  <si>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</si>
  <si>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</si>
  <si>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</si>
  <si>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</si>
  <si>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</si>
  <si>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</si>
  <si>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</si>
  <si>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</si>
  <si>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</si>
  <si>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</si>
  <si>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</si>
  <si>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</si>
  <si>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</si>
  <si>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</si>
  <si>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</si>
  <si>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</si>
  <si>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</si>
  <si>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</si>
  <si>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</si>
  <si>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</si>
  <si>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Grand TOTAL=&gt; (4-5)</t>
  </si>
  <si>
    <t>‡gvU (GbvwR©)</t>
  </si>
  <si>
    <t>CERTIFED UNITS</t>
  </si>
  <si>
    <t>CERTIFED TAKA (After Service Charge Deduction)</t>
  </si>
  <si>
    <t>In word: Taka Twenty Six Crore Ninety One Lac Sixty Three Thousand Eight Hundred and Fifty One</t>
  </si>
  <si>
    <t>evsjv</t>
  </si>
  <si>
    <t xml:space="preserve">CERTIFIED FOR PGCB </t>
  </si>
  <si>
    <t>SUMMARY OF PGCB's  ENERGY BILL</t>
  </si>
  <si>
    <t>WHEELING CHARGE  BILL FOR THE MONTH OF</t>
  </si>
  <si>
    <t>132 kv import (KWH)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</si>
  <si>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</si>
  <si>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</si>
  <si>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</si>
  <si>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</si>
  <si>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</si>
  <si>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</si>
  <si>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</si>
  <si>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</si>
  <si>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</si>
  <si>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</si>
  <si>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</si>
  <si>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</si>
  <si>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132 kV GT-1</t>
  </si>
  <si>
    <t>SIEM0516</t>
  </si>
  <si>
    <t>SIEM0515</t>
  </si>
  <si>
    <t xml:space="preserve">33 kV T-1 </t>
  </si>
  <si>
    <t>SIEM0512</t>
  </si>
  <si>
    <t>SIEM0505</t>
  </si>
  <si>
    <t>33 kV Goran</t>
  </si>
  <si>
    <t>33 KV Amulia</t>
  </si>
  <si>
    <t>SIEM0510</t>
  </si>
  <si>
    <t>Madertek 33/11 KV SS</t>
  </si>
  <si>
    <t>33 KV Banashree</t>
  </si>
  <si>
    <t>X1390308</t>
  </si>
  <si>
    <t>X1390296</t>
  </si>
  <si>
    <t>X0854272</t>
  </si>
  <si>
    <t>Banosree 33kv level</t>
  </si>
  <si>
    <t>Bashabo at 33 KV level</t>
  </si>
  <si>
    <t>Mugdapara at 33 KV level</t>
  </si>
  <si>
    <t>Maniknagor at 33 KV level</t>
  </si>
  <si>
    <t>33/11 KV Transformers 
( Source of Mogbazar 33/11 KV S/S )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</si>
  <si>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</si>
  <si>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</si>
  <si>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</si>
  <si>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</si>
  <si>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</si>
  <si>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</si>
  <si>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</si>
  <si>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</si>
  <si>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</si>
  <si>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</si>
  <si>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</si>
  <si>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</si>
  <si>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</si>
  <si>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</si>
  <si>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</si>
  <si>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</si>
  <si>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</si>
  <si>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</si>
  <si>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</si>
  <si>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</si>
  <si>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</si>
  <si>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</si>
  <si>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132 KV NET IMPORT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</si>
  <si>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</si>
  <si>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</si>
  <si>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</si>
  <si>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</si>
  <si>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</si>
  <si>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</si>
  <si>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</si>
  <si>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</si>
  <si>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</si>
  <si>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</si>
  <si>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</si>
  <si>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</si>
  <si>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</si>
  <si>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</si>
  <si>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</si>
  <si>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</si>
  <si>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</si>
  <si>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</si>
  <si>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</si>
  <si>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</si>
  <si>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</si>
  <si>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</si>
  <si>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</si>
  <si>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</si>
  <si>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33 KV NET IMPORT</t>
  </si>
  <si>
    <t>MOGBAZAR T&amp;T11 KV NET IMPORT</t>
  </si>
  <si>
    <t>MOGBAZAR T&amp;T 11 KV SIDE</t>
  </si>
  <si>
    <t>SIDDIRGONJ 132 KV SIDE (TARIFF POINT)</t>
  </si>
  <si>
    <t>HORIPUR 132 SIDE (TARIFF POINT)</t>
  </si>
  <si>
    <t>PAMPURA 132 KV SIDE (TARIFF POINT)</t>
  </si>
  <si>
    <t>ULLON 132 KV SIDE (RECEIVING)</t>
  </si>
  <si>
    <t>ULLON 132 KV SIDE (EXPORT TO DHANMONDI 132/33/11 KV S/S)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</si>
  <si>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</si>
  <si>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</si>
  <si>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</si>
  <si>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</si>
  <si>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</si>
  <si>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</si>
  <si>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</si>
  <si>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</si>
  <si>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</si>
  <si>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</si>
  <si>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</si>
  <si>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</si>
  <si>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</si>
  <si>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</si>
  <si>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</si>
  <si>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</si>
  <si>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</si>
  <si>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</si>
  <si>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</si>
  <si>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</si>
  <si>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</si>
  <si>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</si>
  <si>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</si>
  <si>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</si>
  <si>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</si>
  <si>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</si>
  <si>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</si>
  <si>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</si>
  <si>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</si>
  <si>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</si>
  <si>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</si>
  <si>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</si>
  <si>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</si>
  <si>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</si>
  <si>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</si>
  <si>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</si>
  <si>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</si>
  <si>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</si>
  <si>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</si>
  <si>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</si>
  <si>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</si>
  <si>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</si>
  <si>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</si>
  <si>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</si>
  <si>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</si>
  <si>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</si>
  <si>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</si>
  <si>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</si>
  <si>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</si>
  <si>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</si>
  <si>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</si>
  <si>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</si>
  <si>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</si>
  <si>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</si>
  <si>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</si>
  <si>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</si>
  <si>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</si>
  <si>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</si>
  <si>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</si>
  <si>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</si>
  <si>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</si>
  <si>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</si>
  <si>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</si>
  <si>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</si>
  <si>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</si>
  <si>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</si>
  <si>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</si>
  <si>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</si>
  <si>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</si>
  <si>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</si>
  <si>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</si>
  <si>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</si>
  <si>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</si>
  <si>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</si>
  <si>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</si>
  <si>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</si>
  <si>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</si>
  <si>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</si>
  <si>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</si>
  <si>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</si>
  <si>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</si>
  <si>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</si>
  <si>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</si>
  <si>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</si>
  <si>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</si>
  <si>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</si>
  <si>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</si>
  <si>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</si>
  <si>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</si>
  <si>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</si>
  <si>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</si>
  <si>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</si>
  <si>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</si>
  <si>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</si>
  <si>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</si>
  <si>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</si>
  <si>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</si>
  <si>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</si>
  <si>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</si>
  <si>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</si>
  <si>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</si>
  <si>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</si>
  <si>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</si>
  <si>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</si>
  <si>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</si>
  <si>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</si>
  <si>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</si>
  <si>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</si>
  <si>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</si>
  <si>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</si>
  <si>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</si>
  <si>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</si>
  <si>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</si>
  <si>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</si>
  <si>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</si>
  <si>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</si>
  <si>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</si>
  <si>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</si>
  <si>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</si>
  <si>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</si>
  <si>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</si>
  <si>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</si>
  <si>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</si>
  <si>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</si>
  <si>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</si>
  <si>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</si>
  <si>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</si>
  <si>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</si>
  <si>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</si>
  <si>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</si>
  <si>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</si>
  <si>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</si>
  <si>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</si>
  <si>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</si>
  <si>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</si>
  <si>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</si>
  <si>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</si>
  <si>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</si>
  <si>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</si>
  <si>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</si>
  <si>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</si>
  <si>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</si>
  <si>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</si>
  <si>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</si>
  <si>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</si>
  <si>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</si>
  <si>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</si>
  <si>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</si>
  <si>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</si>
  <si>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</si>
  <si>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</si>
  <si>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</si>
  <si>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</si>
  <si>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</si>
  <si>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</si>
  <si>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</si>
  <si>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</si>
  <si>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</si>
  <si>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</si>
  <si>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</si>
  <si>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</si>
  <si>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</si>
  <si>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</si>
  <si>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</si>
  <si>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</si>
  <si>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</si>
  <si>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</si>
  <si>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</si>
  <si>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</si>
  <si>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</si>
  <si>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</si>
  <si>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</si>
  <si>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</si>
  <si>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</si>
  <si>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</si>
  <si>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</si>
  <si>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</si>
  <si>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</si>
  <si>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</si>
  <si>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</si>
  <si>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</si>
  <si>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</si>
  <si>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</si>
  <si>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</si>
  <si>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</si>
  <si>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</si>
  <si>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</si>
  <si>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</si>
  <si>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</si>
  <si>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</si>
  <si>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</si>
  <si>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</si>
  <si>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</si>
  <si>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</si>
  <si>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</si>
  <si>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</si>
  <si>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</si>
  <si>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</si>
  <si>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</si>
  <si>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</si>
  <si>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</si>
  <si>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</si>
  <si>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Transmission Loss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</si>
  <si>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</si>
  <si>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</si>
  <si>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</si>
  <si>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</si>
  <si>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</si>
  <si>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 xml:space="preserve">33 KV Green Road 1 </t>
  </si>
  <si>
    <t xml:space="preserve">34 KV Green Road 1 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</si>
  <si>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</si>
  <si>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</si>
  <si>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</si>
  <si>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</si>
  <si>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</si>
  <si>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</si>
  <si>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</si>
  <si>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</si>
  <si>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</si>
  <si>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</si>
  <si>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Jigatola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</si>
  <si>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</si>
  <si>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</si>
  <si>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</si>
  <si>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</si>
  <si>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</si>
  <si>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</si>
  <si>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Dhanmondi at 33 KV level</t>
  </si>
  <si>
    <t>TEJGOAN 33 KV SIDE (RECEIVING)</t>
  </si>
  <si>
    <t>TEJGOAN 33 KV SIDE (EXPORT TO OTHER S/S)</t>
  </si>
  <si>
    <t>TEJGOAN 33 KV SIDE</t>
  </si>
  <si>
    <t>TEJGOAN 33 KV NET IMPORT</t>
  </si>
  <si>
    <t>TEJGOAN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</si>
  <si>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</si>
  <si>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</si>
  <si>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</si>
  <si>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</si>
  <si>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</si>
  <si>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</si>
  <si>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</si>
  <si>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</si>
  <si>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</si>
  <si>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</si>
  <si>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</si>
  <si>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</si>
  <si>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</si>
  <si>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</si>
  <si>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</si>
  <si>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</si>
  <si>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33 KV Kakrail Feeder-1 (Exp)</t>
  </si>
  <si>
    <t>33 KV Kawranbazar Feeder No.1.</t>
  </si>
  <si>
    <t>33 KV Kawranbazar Feeder No.2.</t>
  </si>
  <si>
    <t>Dhanmondi  33/11 Kv s/s</t>
  </si>
  <si>
    <t>Kakrail 33/11 Kv s/s</t>
  </si>
  <si>
    <t>Green Road 33/11 KV</t>
  </si>
  <si>
    <t>New Ramna 33/11 Kv s/s</t>
  </si>
  <si>
    <t>Kawranbazar 33/11 Kv s/s</t>
  </si>
  <si>
    <t>AZIMPUR  33/11 Kv s/s</t>
  </si>
  <si>
    <t>DMC 33/11 KV S/S</t>
  </si>
  <si>
    <t>BSMMU Hospital 33/11KV SS</t>
  </si>
  <si>
    <t>NOCS Paribagh  at 33 KV level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</si>
  <si>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</si>
  <si>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</si>
  <si>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</si>
  <si>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</si>
  <si>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</si>
  <si>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</si>
  <si>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</si>
  <si>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</si>
  <si>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</si>
  <si>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</si>
  <si>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KAWRANBAZAR 33 KV NET IMPORT</t>
  </si>
  <si>
    <t>KAWRANBAZAR  11 KV NET IMPORT</t>
  </si>
  <si>
    <t>NARINDA 33 KV SIDE</t>
  </si>
  <si>
    <t>NEW RAMNA 33 KV SIDE (RECEIVING)</t>
  </si>
  <si>
    <t>NEW RAMNA 33 KV SIDE (EXPORT TO OTHER S/S)</t>
  </si>
  <si>
    <t>NEW RAMNA 33 KV SIDE</t>
  </si>
  <si>
    <t>NEW RAMNA 33 KV NET IMPORT</t>
  </si>
  <si>
    <t>NEW RAMNA  11 KV NET IMPORT</t>
  </si>
  <si>
    <t>Month December-2022</t>
  </si>
  <si>
    <t>Meter Replaced</t>
  </si>
  <si>
    <t>on 27/7/2022</t>
  </si>
  <si>
    <t>Old meter Replaced &amp; Consumption added</t>
  </si>
  <si>
    <t>132 KV HORIPUR Feeder. (IMP)</t>
  </si>
  <si>
    <t>33 KV Kakrail Feeder- 2 (Exp)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</si>
  <si>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</si>
  <si>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</si>
  <si>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</si>
  <si>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</si>
  <si>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</si>
  <si>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</si>
  <si>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</si>
  <si>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</si>
  <si>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</si>
  <si>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</si>
  <si>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</si>
  <si>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</si>
  <si>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</si>
  <si>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</si>
  <si>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</si>
  <si>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</si>
  <si>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</si>
  <si>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KHILGOAN 33 KV NET IMPORT</t>
  </si>
  <si>
    <t>GORAN 33 KV SIDE (RECEIVING)</t>
  </si>
  <si>
    <t>GORAN 33 KV SIDE (EXPORT TO OTHER S/S)</t>
  </si>
  <si>
    <t>GORAN 33 KV SIDE</t>
  </si>
  <si>
    <t>GORAN 33 KV NET IMPORT</t>
  </si>
  <si>
    <t>GORAN  11 KV NET IMPORT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</si>
  <si>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</si>
  <si>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</si>
  <si>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</si>
  <si>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</si>
  <si>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</si>
  <si>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</si>
  <si>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</si>
  <si>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</si>
  <si>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</si>
  <si>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</si>
  <si>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</si>
  <si>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</si>
  <si>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</si>
  <si>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</si>
  <si>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</si>
  <si>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</si>
  <si>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</si>
  <si>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>33 KV Satmosjid-1</t>
  </si>
  <si>
    <t xml:space="preserve">33 KV GT-1 Incomming </t>
  </si>
  <si>
    <t xml:space="preserve">33 KV GT-2 Incomming </t>
  </si>
  <si>
    <t>33 KV Satmosjid-1 Incomming</t>
  </si>
  <si>
    <t>33 KV Asadgate-1</t>
  </si>
  <si>
    <t>33 KV Asadgate-2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</si>
  <si>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</si>
  <si>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</si>
  <si>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</si>
  <si>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</si>
  <si>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</si>
  <si>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</si>
  <si>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</si>
  <si>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</si>
  <si>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</si>
  <si>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</si>
  <si>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</si>
  <si>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</si>
  <si>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</si>
  <si>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</si>
  <si>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</si>
  <si>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</si>
  <si>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</si>
  <si>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</si>
  <si>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33 KV NET IMPORT</t>
  </si>
  <si>
    <t>BSMMU HOSPITAL  11 KV NET IMPORT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</si>
  <si>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</si>
  <si>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</si>
  <si>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</si>
  <si>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</si>
  <si>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</si>
  <si>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</si>
  <si>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</si>
  <si>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</si>
  <si>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</si>
  <si>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</si>
  <si>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 11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</si>
  <si>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</si>
  <si>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</si>
  <si>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</si>
  <si>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</si>
  <si>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33 KV NET IMPORT</t>
  </si>
  <si>
    <t>MIDFORT  11 KV NET IMPORT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</si>
  <si>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</si>
  <si>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</si>
  <si>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</si>
  <si>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</si>
  <si>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</si>
  <si>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</si>
  <si>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 xml:space="preserve"> AZIMPUR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</si>
  <si>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</si>
  <si>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</si>
  <si>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</si>
  <si>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</si>
  <si>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</si>
  <si>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</si>
  <si>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</si>
  <si>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</si>
  <si>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</si>
  <si>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</si>
  <si>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</si>
  <si>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</si>
  <si>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</si>
  <si>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 11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</si>
  <si>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</si>
  <si>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</si>
  <si>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</si>
  <si>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</si>
  <si>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</si>
  <si>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</si>
  <si>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</si>
  <si>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</si>
  <si>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</si>
  <si>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</si>
  <si>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</si>
  <si>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</si>
  <si>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</si>
  <si>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 xml:space="preserve"> ZIGATOLA OLD 33 KV NET IMPORT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</si>
  <si>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</si>
  <si>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</si>
  <si>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</si>
  <si>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</si>
  <si>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</si>
  <si>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</si>
  <si>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</si>
  <si>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33 KV NET IMPORT</t>
  </si>
  <si>
    <t>DHAKA UDDYAN  11 KV NET IMPORT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</si>
  <si>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</si>
  <si>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</si>
  <si>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</si>
  <si>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</si>
  <si>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</si>
  <si>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</si>
  <si>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JAPAN GERDEN CITY  11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</si>
  <si>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</si>
  <si>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</si>
  <si>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</si>
  <si>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</si>
  <si>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</si>
  <si>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</si>
  <si>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</si>
  <si>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</si>
  <si>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</si>
  <si>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</si>
  <si>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</si>
  <si>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</si>
  <si>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</si>
  <si>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</si>
  <si>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33 KV NET IMPORT</t>
  </si>
  <si>
    <t>BIDDYUT BHABAN  11 KV NET IMPORT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</si>
  <si>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</si>
  <si>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</si>
  <si>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</si>
  <si>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</si>
  <si>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</si>
  <si>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33 KV NET IMPORT</t>
  </si>
  <si>
    <t>DMCH  11 KV NET IMPORT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</si>
  <si>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</si>
  <si>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</si>
  <si>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</si>
  <si>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</si>
  <si>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</si>
  <si>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</si>
  <si>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 11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</si>
  <si>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</si>
  <si>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</si>
  <si>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</si>
  <si>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</si>
  <si>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</si>
  <si>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</si>
  <si>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</si>
  <si>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</si>
  <si>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</si>
  <si>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</si>
  <si>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</si>
  <si>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edit 33 KV SIDE (RECEIVING)</t>
  </si>
  <si>
    <t>edit 33 KV SIDE (EXPORT TO OTHER S/S)</t>
  </si>
  <si>
    <t>edit 33 KV SIDE</t>
  </si>
  <si>
    <t>edit 33 KV NET IMPORT</t>
  </si>
  <si>
    <t>edit  11 KV NET IMPORT</t>
  </si>
  <si>
    <t>edit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</si>
  <si>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</si>
  <si>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</si>
  <si>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</si>
  <si>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</si>
  <si>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</si>
  <si>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</si>
  <si>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33 KV NET IMPORT</t>
  </si>
  <si>
    <t>BANASREE 11 KV NET IMPORT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</si>
  <si>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</si>
  <si>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</si>
  <si>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</si>
  <si>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</si>
  <si>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</si>
  <si>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</si>
  <si>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</si>
  <si>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</si>
  <si>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</si>
  <si>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</si>
  <si>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</si>
  <si>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</si>
  <si>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</si>
  <si>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</si>
  <si>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</si>
  <si>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</si>
  <si>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</si>
  <si>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</si>
  <si>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</si>
  <si>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</si>
  <si>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</si>
  <si>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</si>
  <si>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</si>
  <si>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33 KV NET IMPORT</t>
  </si>
  <si>
    <t>MUGDAPARA HOSPITAL 11 KV NET IMPORT</t>
  </si>
  <si>
    <t>MUGDAPARA HOSPITAL 11 KV SIDE</t>
  </si>
  <si>
    <t>KHILGOAN 11 KV NET IMPORT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</si>
  <si>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</si>
  <si>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</si>
  <si>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</si>
  <si>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</si>
  <si>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</si>
  <si>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33 KV NET IMPORT</t>
  </si>
  <si>
    <t>MONIPURIPARA 11 KV NET IMPORT</t>
  </si>
  <si>
    <t>MONIPURIPARA 11 KV SIDE</t>
  </si>
  <si>
    <t>Keranigonj 132 KV SIDE (TARIFF POINT)</t>
  </si>
  <si>
    <t>132 KV Keranijanj to Kamrangirchar</t>
  </si>
  <si>
    <t>LALBAGH OLD 33 KV SIDE (RECEIVING)</t>
  </si>
  <si>
    <t>LALBAG Grid 33 KV SIDE</t>
  </si>
  <si>
    <t>33 KV Lalbagh Old</t>
  </si>
  <si>
    <t>33 KV Lalbagh   Feeder-1</t>
  </si>
  <si>
    <t xml:space="preserve">33 KV Lalbagh   Feeder-2 </t>
  </si>
  <si>
    <t>33 KV Lalbagh Incomming</t>
  </si>
  <si>
    <t>33 KV KAMRANGIRCHAR-1</t>
  </si>
  <si>
    <t>34 KV KAMRANGIRCHAR-2</t>
  </si>
  <si>
    <t>future Scope</t>
  </si>
  <si>
    <t>No meter</t>
  </si>
  <si>
    <t>NOCS IMPORT</t>
  </si>
  <si>
    <t>Imp./Exp.</t>
  </si>
  <si>
    <t>Main</t>
  </si>
  <si>
    <t>Backup</t>
  </si>
  <si>
    <t>P. Cell</t>
  </si>
  <si>
    <t>P.Cell</t>
  </si>
  <si>
    <t>132/33 kV Transformer-1(HV) **</t>
  </si>
  <si>
    <t>08993683</t>
  </si>
  <si>
    <t>132/33 kV Transformer-2(HV) **</t>
  </si>
  <si>
    <t>08993682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</si>
  <si>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</si>
  <si>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</si>
  <si>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</si>
  <si>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</si>
  <si>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</si>
  <si>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</si>
  <si>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</si>
  <si>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</si>
  <si>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</si>
  <si>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</si>
  <si>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</si>
  <si>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</si>
  <si>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</si>
  <si>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</si>
  <si>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</si>
  <si>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</si>
  <si>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</si>
  <si>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</si>
  <si>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</si>
  <si>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</si>
  <si>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</si>
  <si>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</si>
  <si>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</si>
  <si>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</si>
  <si>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</si>
  <si>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</si>
  <si>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</si>
  <si>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</si>
  <si>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</si>
  <si>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</si>
  <si>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</si>
  <si>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</si>
  <si>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</si>
  <si>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</si>
  <si>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</si>
  <si>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</si>
  <si>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</si>
  <si>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</si>
  <si>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</si>
  <si>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</si>
  <si>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</si>
  <si>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</si>
  <si>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</si>
  <si>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</si>
  <si>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</si>
  <si>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</si>
  <si>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</si>
  <si>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</si>
  <si>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</si>
  <si>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</si>
  <si>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</si>
  <si>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</si>
  <si>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</si>
  <si>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</si>
  <si>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</si>
  <si>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</si>
  <si>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</si>
  <si>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</si>
  <si>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</si>
  <si>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</si>
  <si>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</si>
  <si>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</si>
  <si>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</si>
  <si>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</si>
  <si>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</si>
  <si>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</si>
  <si>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</si>
  <si>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</si>
  <si>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</si>
  <si>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</si>
  <si>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</si>
  <si>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</si>
  <si>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</si>
  <si>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</si>
  <si>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</si>
  <si>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</si>
  <si>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</si>
  <si>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</si>
  <si>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</si>
  <si>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</si>
  <si>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</si>
  <si>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</si>
  <si>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</si>
  <si>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</si>
  <si>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</si>
  <si>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</si>
  <si>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</si>
  <si>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</si>
  <si>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</si>
  <si>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</si>
  <si>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</si>
  <si>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</si>
  <si>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</si>
  <si>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</si>
  <si>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</si>
  <si>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</si>
  <si>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</si>
  <si>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</si>
  <si>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</si>
  <si>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</si>
  <si>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</si>
  <si>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</si>
  <si>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</si>
  <si>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</si>
  <si>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</si>
  <si>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</si>
  <si>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</si>
  <si>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</si>
  <si>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</si>
  <si>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</si>
  <si>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</si>
  <si>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</si>
  <si>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</si>
  <si>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</si>
  <si>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</si>
  <si>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</si>
  <si>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Siddhirgonj-Sarulia-1 at Siddhirgonj</t>
  </si>
  <si>
    <t>07389488</t>
  </si>
  <si>
    <t>33 kV Siddhirgonj-Sarulia-2 at Siddhirgonj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</si>
  <si>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</si>
  <si>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</si>
  <si>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</si>
  <si>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</si>
  <si>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</si>
  <si>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</si>
  <si>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</si>
  <si>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</si>
  <si>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</si>
  <si>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</si>
  <si>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</si>
  <si>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</si>
  <si>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</si>
  <si>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</si>
  <si>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</si>
  <si>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</si>
  <si>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</si>
  <si>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</si>
  <si>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</si>
  <si>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</si>
  <si>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</si>
  <si>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</si>
  <si>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</si>
  <si>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</si>
  <si>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</si>
  <si>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</si>
  <si>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</si>
  <si>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</si>
  <si>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</si>
  <si>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</si>
  <si>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 xml:space="preserve">33 kV Khanpur-Shitalakhya Feeder at Shitalakhya-1 (U/G) (New). </t>
  </si>
  <si>
    <t>BD001864</t>
  </si>
  <si>
    <t xml:space="preserve">33 kV Khanpur-Shitalakhya Feeder at Shitalakhya-2 (U/G) (Old). </t>
  </si>
  <si>
    <t>H/A030800181</t>
  </si>
  <si>
    <t>08993600</t>
  </si>
  <si>
    <t>33 kV Khanpur-Siddhirgonj Circuit-1 at Siddhirgonj (O/H).</t>
  </si>
  <si>
    <t>07389554</t>
  </si>
  <si>
    <t>33 kV Khanpur-Siddhirgonj Circuit-2 at Siddhirgonj (O/H).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</si>
  <si>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</si>
  <si>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</si>
  <si>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</si>
  <si>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</si>
  <si>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</si>
  <si>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</si>
  <si>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</si>
  <si>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</si>
  <si>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</si>
  <si>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</si>
  <si>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</si>
  <si>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</si>
  <si>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</si>
  <si>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</si>
  <si>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</si>
  <si>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</si>
  <si>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</si>
  <si>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</si>
  <si>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</si>
  <si>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</si>
  <si>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</si>
  <si>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</si>
  <si>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</si>
  <si>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</si>
  <si>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</si>
  <si>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</si>
  <si>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</si>
  <si>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</si>
  <si>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</si>
  <si>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</si>
  <si>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</si>
  <si>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</si>
  <si>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</si>
  <si>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</si>
  <si>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</si>
  <si>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</si>
  <si>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</si>
  <si>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</si>
  <si>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</si>
  <si>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</si>
  <si>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</si>
  <si>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</si>
  <si>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</si>
  <si>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</si>
  <si>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</si>
  <si>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</si>
  <si>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</si>
  <si>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</si>
  <si>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</si>
  <si>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</si>
  <si>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</si>
  <si>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</si>
  <si>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</si>
  <si>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</si>
  <si>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</si>
  <si>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132 kV Matuail Feeder at Siddhirgonj **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</si>
  <si>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</si>
  <si>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</si>
  <si>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</si>
  <si>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</si>
  <si>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</si>
  <si>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</si>
  <si>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</si>
  <si>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</si>
  <si>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</si>
  <si>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</si>
  <si>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</si>
  <si>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</si>
  <si>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</si>
  <si>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</si>
  <si>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</si>
  <si>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</si>
  <si>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</si>
  <si>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</si>
  <si>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</si>
  <si>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</si>
  <si>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</si>
  <si>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</si>
  <si>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</si>
  <si>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</si>
  <si>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</si>
  <si>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</si>
  <si>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</si>
  <si>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</si>
  <si>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</si>
  <si>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</si>
  <si>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</si>
  <si>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</si>
  <si>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</si>
  <si>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</si>
  <si>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</si>
  <si>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</si>
  <si>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</si>
  <si>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</si>
  <si>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</si>
  <si>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</si>
  <si>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</si>
  <si>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</si>
  <si>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</si>
  <si>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</si>
  <si>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</si>
  <si>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</si>
  <si>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</si>
  <si>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</si>
  <si>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</si>
  <si>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</si>
  <si>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</si>
  <si>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</si>
  <si>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</si>
  <si>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</si>
  <si>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</si>
  <si>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</si>
  <si>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</si>
  <si>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</si>
  <si>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</si>
  <si>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</si>
  <si>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</si>
  <si>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</si>
  <si>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</si>
  <si>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</si>
  <si>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</si>
  <si>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</si>
  <si>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</si>
  <si>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</si>
  <si>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</si>
  <si>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</si>
  <si>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</si>
  <si>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</si>
  <si>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</si>
  <si>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</si>
  <si>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</si>
  <si>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</si>
  <si>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Matuail-1 Feeder at Matuail</t>
  </si>
  <si>
    <t>33 kV Matuail-2 Feeder at Matuail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</si>
  <si>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</si>
  <si>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</si>
  <si>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</si>
  <si>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</si>
  <si>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</si>
  <si>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</si>
  <si>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</si>
  <si>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</si>
  <si>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</si>
  <si>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</si>
  <si>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</si>
  <si>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</si>
  <si>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</si>
  <si>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</si>
  <si>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</si>
  <si>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</si>
  <si>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</si>
  <si>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</si>
  <si>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</si>
  <si>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</si>
  <si>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</si>
  <si>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</si>
  <si>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</si>
  <si>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</si>
  <si>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</si>
  <si>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</si>
  <si>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</si>
  <si>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</si>
  <si>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</si>
  <si>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</si>
  <si>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</si>
  <si>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</si>
  <si>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</si>
  <si>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</si>
  <si>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</si>
  <si>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33 kV New Fatulla Circuit-1 at New Fatulla</t>
  </si>
  <si>
    <t>041808902828</t>
  </si>
  <si>
    <t>041808904262</t>
  </si>
  <si>
    <t>33 kV New Fatulla Circuit-2 at New Fatulla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</si>
  <si>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</si>
  <si>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</si>
  <si>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</si>
  <si>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</si>
  <si>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</si>
  <si>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</si>
  <si>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</si>
  <si>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</si>
  <si>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</si>
  <si>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</si>
  <si>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</si>
  <si>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</si>
  <si>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</si>
  <si>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</si>
  <si>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</si>
  <si>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</si>
  <si>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</si>
  <si>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</si>
  <si>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</si>
  <si>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</si>
  <si>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</si>
  <si>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</si>
  <si>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</si>
  <si>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</si>
  <si>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</si>
  <si>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</si>
  <si>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</si>
  <si>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</si>
  <si>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</si>
  <si>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</si>
  <si>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</si>
  <si>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</si>
  <si>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</si>
  <si>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</si>
  <si>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</si>
  <si>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</si>
  <si>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</si>
  <si>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</si>
  <si>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</si>
  <si>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</si>
  <si>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</si>
  <si>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</si>
  <si>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</si>
  <si>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</si>
  <si>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</si>
  <si>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</si>
  <si>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</si>
  <si>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</si>
  <si>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</si>
  <si>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</si>
  <si>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</si>
  <si>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</si>
  <si>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</si>
  <si>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</si>
  <si>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</si>
  <si>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</si>
  <si>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</si>
  <si>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</si>
  <si>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</si>
  <si>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</si>
  <si>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</si>
  <si>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</si>
  <si>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</si>
  <si>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</si>
  <si>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</si>
  <si>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</si>
  <si>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</si>
  <si>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</si>
  <si>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</si>
  <si>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</si>
  <si>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</si>
  <si>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</si>
  <si>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</si>
  <si>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</si>
  <si>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</si>
  <si>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</si>
  <si>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</si>
  <si>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</si>
  <si>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</si>
  <si>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</si>
  <si>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</si>
  <si>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</si>
  <si>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</si>
  <si>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</si>
  <si>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</si>
  <si>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</si>
  <si>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</si>
  <si>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</si>
  <si>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</si>
  <si>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</si>
  <si>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</si>
  <si>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</si>
  <si>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</si>
  <si>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</si>
  <si>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</si>
  <si>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</si>
  <si>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</si>
  <si>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</si>
  <si>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</si>
  <si>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</si>
  <si>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</si>
  <si>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</si>
  <si>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</si>
  <si>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</si>
  <si>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</si>
  <si>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</si>
  <si>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</si>
  <si>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</si>
  <si>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</si>
  <si>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</si>
  <si>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</si>
  <si>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</si>
  <si>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</si>
  <si>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.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</si>
  <si>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</si>
  <si>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</si>
  <si>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</si>
  <si>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</si>
  <si>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</si>
  <si>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</si>
  <si>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</si>
  <si>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</si>
  <si>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</si>
  <si>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</si>
  <si>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</si>
  <si>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</si>
  <si>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</si>
  <si>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</si>
  <si>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</si>
  <si>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</si>
  <si>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</si>
  <si>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</si>
  <si>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</si>
  <si>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</si>
  <si>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</si>
  <si>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</si>
  <si>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</si>
  <si>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</si>
  <si>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</si>
  <si>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</si>
  <si>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</si>
  <si>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</si>
  <si>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</si>
  <si>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</si>
  <si>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</si>
  <si>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</si>
  <si>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</si>
  <si>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</si>
  <si>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</si>
  <si>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</si>
  <si>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</si>
  <si>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33 kV Dapa Feeder at Shyampur</t>
  </si>
  <si>
    <t>BD001828</t>
  </si>
  <si>
    <t>33 kV New Fatullah Circuit-1 at Fatullah Grid</t>
  </si>
  <si>
    <t>33 kV New Fatullah Circuit-2 at Fatullah Grid</t>
  </si>
  <si>
    <t>33 kV Dapa Feeder at Old Fatullah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</si>
  <si>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</si>
  <si>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</si>
  <si>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</si>
  <si>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</si>
  <si>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</si>
  <si>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</si>
  <si>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</si>
  <si>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</si>
  <si>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</si>
  <si>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</si>
  <si>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</si>
  <si>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</si>
  <si>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</si>
  <si>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</si>
  <si>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</si>
  <si>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</si>
  <si>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</si>
  <si>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</si>
  <si>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</si>
  <si>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</si>
  <si>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</si>
  <si>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</si>
  <si>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</si>
  <si>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</si>
  <si>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</si>
  <si>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</si>
  <si>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</si>
  <si>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</si>
  <si>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</si>
  <si>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</si>
  <si>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</si>
  <si>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</si>
  <si>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</si>
  <si>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</si>
  <si>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</si>
  <si>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132/33 KV Transformer, GT-1  **</t>
  </si>
  <si>
    <t>H/A030800189-03</t>
  </si>
  <si>
    <t>132/33 KV Transformer, GT-2  **</t>
  </si>
  <si>
    <t>H/A030800170-03</t>
  </si>
  <si>
    <t>132/33 KV Transformer, GT-3  **</t>
  </si>
  <si>
    <t>BD001909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</si>
  <si>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</si>
  <si>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</si>
  <si>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</si>
  <si>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</si>
  <si>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</si>
  <si>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</si>
  <si>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</si>
  <si>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</si>
  <si>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</si>
  <si>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</si>
  <si>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</si>
  <si>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</si>
  <si>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</si>
  <si>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</si>
  <si>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</si>
  <si>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</si>
  <si>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34 KV Shah Cement Feeder (F2)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</si>
  <si>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</si>
  <si>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</si>
  <si>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</si>
  <si>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</si>
  <si>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</si>
  <si>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</si>
  <si>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</si>
  <si>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</si>
  <si>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</si>
  <si>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</si>
  <si>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</si>
  <si>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</si>
  <si>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</si>
  <si>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</si>
  <si>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</si>
  <si>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</si>
  <si>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</si>
  <si>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</si>
  <si>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</si>
  <si>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</si>
  <si>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</si>
  <si>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</si>
  <si>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</si>
  <si>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</si>
  <si>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</si>
  <si>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</si>
  <si>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</si>
  <si>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</si>
  <si>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</si>
  <si>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</si>
  <si>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</si>
  <si>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</si>
  <si>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</si>
  <si>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</si>
  <si>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</si>
  <si>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</si>
  <si>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</si>
  <si>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</si>
  <si>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</si>
  <si>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</si>
  <si>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</si>
  <si>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</si>
  <si>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</si>
  <si>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</si>
  <si>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</si>
  <si>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Shitalakhya-1 Feeder at Shitalakhya</t>
  </si>
  <si>
    <t>33 kV Shitalakhya-2 Feeder at Shitalakhya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</si>
  <si>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</si>
  <si>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</si>
  <si>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</si>
  <si>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</si>
  <si>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</si>
  <si>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</si>
  <si>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</si>
  <si>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</si>
  <si>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</si>
  <si>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</si>
  <si>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</si>
  <si>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</si>
  <si>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</si>
  <si>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</si>
  <si>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</si>
  <si>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</si>
  <si>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</si>
  <si>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</si>
  <si>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</si>
  <si>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</si>
  <si>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</si>
  <si>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</si>
  <si>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</si>
  <si>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</si>
  <si>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</si>
  <si>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</si>
  <si>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</si>
  <si>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</si>
  <si>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</si>
  <si>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</si>
  <si>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</si>
  <si>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</si>
  <si>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</si>
  <si>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</si>
  <si>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Shitalakhya Feeder at Shitalakhya</t>
  </si>
  <si>
    <t>HA030701082-03</t>
  </si>
  <si>
    <t>33 kV Matuail Feeder at Matuail</t>
  </si>
  <si>
    <t>HA060300263-03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</si>
  <si>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</si>
  <si>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</si>
  <si>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</si>
  <si>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</si>
  <si>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</si>
  <si>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</si>
  <si>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</si>
  <si>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</si>
  <si>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</si>
  <si>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</si>
  <si>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</si>
  <si>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</si>
  <si>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</si>
  <si>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</si>
  <si>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</si>
  <si>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</si>
  <si>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</si>
  <si>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</si>
  <si>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</si>
  <si>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</si>
  <si>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</si>
  <si>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</si>
  <si>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</si>
  <si>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</si>
  <si>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</si>
  <si>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</si>
  <si>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</si>
  <si>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</si>
  <si>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</si>
  <si>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</si>
  <si>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</si>
  <si>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</si>
  <si>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</si>
  <si>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</si>
  <si>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</si>
  <si>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</si>
  <si>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</si>
  <si>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</si>
  <si>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 xml:space="preserve">132 kV New Line Bay-1  </t>
  </si>
  <si>
    <t>042010964732</t>
  </si>
  <si>
    <t>041812909572</t>
  </si>
  <si>
    <t>132 kV New Line Bay-2</t>
  </si>
  <si>
    <t>042003953360</t>
  </si>
  <si>
    <t>042003953377</t>
  </si>
  <si>
    <t>132 kV Madanganj Circuit-1</t>
  </si>
  <si>
    <t>041808902821</t>
  </si>
  <si>
    <t>041808904222</t>
  </si>
  <si>
    <t>041808902864</t>
  </si>
  <si>
    <t>041808904224</t>
  </si>
  <si>
    <t xml:space="preserve">132 kV Future Bay -1  </t>
  </si>
  <si>
    <t>041808902829</t>
  </si>
  <si>
    <t>041808904266</t>
  </si>
  <si>
    <t>132 kV Madanganj Circuit-2</t>
  </si>
  <si>
    <t>041808902865</t>
  </si>
  <si>
    <t>041808904240</t>
  </si>
  <si>
    <t>041808902848</t>
  </si>
  <si>
    <t>041808904244</t>
  </si>
  <si>
    <t>132 kV Future Bay- 2</t>
  </si>
  <si>
    <t>041808902791</t>
  </si>
  <si>
    <t>041808904250</t>
  </si>
  <si>
    <t>132 kV New Line Bay-3</t>
  </si>
  <si>
    <t>042003953365</t>
  </si>
  <si>
    <t>042003953380</t>
  </si>
  <si>
    <t>132 kV New Line Bay-4</t>
  </si>
  <si>
    <t>042003953369</t>
  </si>
  <si>
    <t>042003953379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</si>
  <si>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</si>
  <si>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</si>
  <si>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</si>
  <si>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</si>
  <si>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</si>
  <si>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</si>
  <si>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</si>
  <si>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</si>
  <si>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</si>
  <si>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</si>
  <si>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</si>
  <si>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</si>
  <si>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</si>
  <si>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</si>
  <si>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</si>
  <si>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</si>
  <si>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</si>
  <si>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</si>
  <si>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</si>
  <si>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</si>
  <si>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</si>
  <si>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</si>
  <si>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</si>
  <si>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</si>
  <si>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</si>
  <si>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</si>
  <si>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</si>
  <si>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</si>
  <si>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</si>
  <si>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</si>
  <si>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</si>
  <si>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</si>
  <si>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</si>
  <si>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</si>
  <si>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</si>
  <si>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</si>
  <si>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</si>
  <si>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</si>
  <si>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</si>
  <si>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</si>
  <si>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</si>
  <si>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</si>
  <si>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</si>
  <si>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</si>
  <si>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</si>
  <si>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</si>
  <si>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</si>
  <si>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</si>
  <si>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</si>
  <si>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</si>
  <si>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</si>
  <si>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</si>
  <si>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</si>
  <si>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</si>
  <si>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</si>
  <si>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</si>
  <si>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</si>
  <si>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</si>
  <si>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</si>
  <si>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</si>
  <si>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</si>
  <si>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</si>
  <si>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</si>
  <si>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33 kV Amulia Feeder at Madartek</t>
  </si>
  <si>
    <t>FIEM 0508</t>
  </si>
  <si>
    <t>33 kV Madartek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</si>
  <si>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</si>
  <si>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</si>
  <si>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</si>
  <si>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</si>
  <si>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</si>
  <si>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</si>
  <si>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</si>
  <si>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</si>
  <si>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</si>
  <si>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</si>
  <si>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</si>
  <si>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</si>
  <si>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</si>
  <si>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</si>
  <si>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</si>
  <si>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</si>
  <si>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</si>
  <si>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</si>
  <si>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</si>
  <si>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</si>
  <si>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</si>
  <si>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>12=6*9*11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</si>
  <si>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</si>
  <si>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</si>
  <si>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</si>
  <si>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</si>
  <si>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</si>
  <si>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</si>
  <si>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</si>
  <si>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</si>
  <si>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</si>
  <si>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33 kV DEMRA-1 at Siddhirgonj</t>
  </si>
  <si>
    <t>33 kV DEMRA-2 at Siddhirgonj</t>
  </si>
  <si>
    <t>Siddhirgonj 33 KV SIDE</t>
  </si>
  <si>
    <t>DEMRA 33 KV SIDE (RECEIVING)</t>
  </si>
  <si>
    <t>132 KV NET LOSS =&gt;</t>
  </si>
  <si>
    <t xml:space="preserve"> 33 KV NET IMPORT</t>
  </si>
  <si>
    <t>11 KV NET IMPORT</t>
  </si>
  <si>
    <t>33 KV SIDE of___ SARULIA 33/11 KV S/S</t>
  </si>
  <si>
    <t>SARULIA 33 KV SIDE (RECEIVING)</t>
  </si>
  <si>
    <t>SARULIA 33 KV SIDE (EXPORT TO OTHER S/S)</t>
  </si>
  <si>
    <t>SARULIA 33 KV SIDE</t>
  </si>
  <si>
    <t>SENDING END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</si>
  <si>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</si>
  <si>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</si>
  <si>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</si>
  <si>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</si>
  <si>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</si>
  <si>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</si>
  <si>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</si>
  <si>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</si>
  <si>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</si>
  <si>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</si>
  <si>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</si>
  <si>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</si>
  <si>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</si>
  <si>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 xml:space="preserve"> 33 KV SENDING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</si>
  <si>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</si>
  <si>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</si>
  <si>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</si>
  <si>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</si>
  <si>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</si>
  <si>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</si>
  <si>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</si>
  <si>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</si>
  <si>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</si>
  <si>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</si>
  <si>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</si>
  <si>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</si>
  <si>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</si>
  <si>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</si>
  <si>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SENDING SIDE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</si>
  <si>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</si>
  <si>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</si>
  <si>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</si>
  <si>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</si>
  <si>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</si>
  <si>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</si>
  <si>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</si>
  <si>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</si>
  <si>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HORIPUR to  MANIKNAGAR</t>
  </si>
  <si>
    <t>EXPT NARINDA132 KV</t>
  </si>
  <si>
    <t>EXPT BHANGABHABON132 KV</t>
  </si>
  <si>
    <t>EXPT MATUAIL 132 KV</t>
  </si>
  <si>
    <t>EXPT Kazla 132 KV</t>
  </si>
  <si>
    <t>EXPT Motijheel 132 KV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</si>
  <si>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</si>
  <si>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</si>
  <si>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</si>
  <si>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</si>
  <si>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</si>
  <si>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</si>
  <si>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</si>
  <si>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% diff. betn 132 kV Impt. &amp; 33 kV Expt=</t>
  </si>
  <si>
    <t>33kV 50/75 MVA GT-2 Incoming (LV)</t>
  </si>
  <si>
    <t>ABB03906</t>
  </si>
  <si>
    <t>33kV Motijheel-1 Feeder</t>
  </si>
  <si>
    <t>ABB03916</t>
  </si>
  <si>
    <t>DHK86054</t>
  </si>
  <si>
    <t>Remote End Reading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</si>
  <si>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</si>
  <si>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</si>
  <si>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</si>
  <si>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</si>
  <si>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</si>
  <si>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</si>
  <si>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% diff. betn 33 kV Impt. &amp; 33 kV Expt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</si>
  <si>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</si>
  <si>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</si>
  <si>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</si>
  <si>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</si>
  <si>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</si>
  <si>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</si>
  <si>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</si>
  <si>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</si>
  <si>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</si>
  <si>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</si>
  <si>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</si>
  <si>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</si>
  <si>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</si>
  <si>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</si>
  <si>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Sum of Feeders under T1=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</si>
  <si>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</si>
  <si>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</si>
  <si>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</si>
  <si>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</si>
  <si>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</si>
  <si>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</si>
  <si>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</si>
  <si>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</si>
  <si>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</si>
  <si>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</si>
  <si>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</si>
  <si>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</si>
  <si>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</si>
  <si>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</si>
  <si>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>Sum of Feeders under T2=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</si>
  <si>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</si>
  <si>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</si>
  <si>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</si>
  <si>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</si>
  <si>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</si>
  <si>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</si>
  <si>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</si>
  <si>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</si>
  <si>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</si>
  <si>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 at Maniknagar</t>
  </si>
  <si>
    <t>34 kV Maniknagar Circuit-2 at Maniknagar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</si>
  <si>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</si>
  <si>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</si>
  <si>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</si>
  <si>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</si>
  <si>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</si>
  <si>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</si>
  <si>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</si>
  <si>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</si>
  <si>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</si>
  <si>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</si>
  <si>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</si>
  <si>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</si>
  <si>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</si>
  <si>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</si>
  <si>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</si>
  <si>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</si>
  <si>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</si>
  <si>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% diffn betn 11 kV Impt &amp; 11 kV Expt=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</si>
  <si>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</si>
  <si>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</si>
  <si>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</si>
  <si>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</si>
  <si>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</si>
  <si>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</si>
  <si>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</si>
  <si>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</si>
  <si>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</si>
  <si>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</si>
  <si>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</si>
  <si>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</si>
  <si>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</si>
  <si>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</si>
  <si>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</si>
  <si>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</si>
  <si>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</si>
  <si>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</si>
  <si>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</si>
  <si>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</si>
  <si>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</si>
  <si>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</si>
  <si>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</si>
  <si>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</si>
  <si>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</si>
  <si>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</si>
  <si>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</si>
  <si>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</si>
  <si>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</si>
  <si>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132 kV Motijheel Circuit-1 (at Maniknagar)</t>
  </si>
  <si>
    <t>06604332</t>
  </si>
  <si>
    <t>132 kV Bangabhaban Circuit-2 (at Maniknagar)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</si>
  <si>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</si>
  <si>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</si>
  <si>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</si>
  <si>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</si>
  <si>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</si>
  <si>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</si>
  <si>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</si>
  <si>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</si>
  <si>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</si>
  <si>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</si>
  <si>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</si>
  <si>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>% diffn betn 33 kV Impt &amp; 33 kV Expt=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</si>
  <si>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</si>
  <si>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</si>
  <si>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</si>
  <si>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</si>
  <si>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</si>
  <si>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</si>
  <si>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</si>
  <si>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</si>
  <si>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</si>
  <si>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</si>
  <si>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</si>
  <si>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</si>
  <si>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</si>
  <si>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</si>
  <si>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</si>
  <si>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</si>
  <si>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</si>
  <si>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</si>
  <si>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</si>
  <si>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</si>
  <si>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</si>
  <si>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</si>
  <si>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</si>
  <si>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</si>
  <si>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</si>
  <si>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</si>
  <si>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</si>
  <si>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</si>
  <si>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</si>
  <si>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</si>
  <si>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</si>
  <si>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Biddyut Bhaban Circuit at B.Bhaban</t>
  </si>
  <si>
    <t>DHKC9340</t>
  </si>
  <si>
    <t>33 kV Line Loss=</t>
  </si>
  <si>
    <t>33 kV Motijheel Circuit-1 at Motijheel</t>
  </si>
  <si>
    <t>33 kV Motijheel Circuit-2 at Motijheel</t>
  </si>
  <si>
    <t>33 kV Kamlapur Circuit at Kamlapur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</si>
  <si>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</si>
  <si>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</si>
  <si>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</si>
  <si>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</si>
  <si>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</si>
  <si>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</si>
  <si>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</si>
  <si>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</si>
  <si>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</si>
  <si>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</si>
  <si>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% diffn betn 33 kV Impt &amp; 11 kV Impt=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</si>
  <si>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</si>
  <si>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</si>
  <si>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</si>
  <si>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</si>
  <si>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</si>
  <si>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</si>
  <si>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</si>
  <si>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</si>
  <si>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</si>
  <si>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</si>
  <si>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</si>
  <si>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</si>
  <si>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</si>
  <si>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</si>
  <si>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</si>
  <si>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</si>
  <si>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</si>
  <si>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</si>
  <si>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</si>
  <si>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</si>
  <si>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</si>
  <si>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</si>
  <si>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</si>
  <si>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</si>
  <si>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</si>
  <si>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</si>
  <si>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</si>
  <si>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</si>
  <si>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</si>
  <si>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</si>
  <si>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</si>
  <si>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</si>
  <si>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</si>
  <si>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</si>
  <si>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</si>
  <si>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</si>
  <si>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</si>
  <si>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</si>
  <si>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</si>
  <si>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</si>
  <si>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</si>
  <si>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</si>
  <si>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 at P&amp;T</t>
  </si>
  <si>
    <t>33 kV Kamlapur Circuit-1 at Motijheel</t>
  </si>
  <si>
    <t>33 kV Kamlapur Circuit-2 at Motijheel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</si>
  <si>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</si>
  <si>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</si>
  <si>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</si>
  <si>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</si>
  <si>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</si>
  <si>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</si>
  <si>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</si>
  <si>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</si>
  <si>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Feeder-5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</si>
  <si>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</si>
  <si>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</si>
  <si>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</si>
  <si>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</si>
  <si>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</si>
  <si>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</si>
  <si>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</si>
  <si>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Feeder-13</t>
  </si>
  <si>
    <t>11 kV Feeder-14</t>
  </si>
  <si>
    <t>11 kV Feeder-15</t>
  </si>
  <si>
    <t>11 kV Feeder-16</t>
  </si>
  <si>
    <t>Auxiliary -1 (AT-1 )</t>
  </si>
  <si>
    <t>DHKF 7632</t>
  </si>
  <si>
    <t>Auxiliary -1 (AT-2 )</t>
  </si>
  <si>
    <t>DHKF 7733</t>
  </si>
  <si>
    <t>132 KV Bangabhaban Circuit-1</t>
  </si>
  <si>
    <t>132 KV Bangabhaban Circuit-2</t>
  </si>
  <si>
    <t>Import from P&amp;T SS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</si>
  <si>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</si>
  <si>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</si>
  <si>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</si>
  <si>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</si>
  <si>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</si>
  <si>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</si>
  <si>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</si>
  <si>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</si>
  <si>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</si>
  <si>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</si>
  <si>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</si>
  <si>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</si>
  <si>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</si>
  <si>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</si>
  <si>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</si>
  <si>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</si>
  <si>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</si>
  <si>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</si>
  <si>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</si>
  <si>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</si>
  <si>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</si>
  <si>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</si>
  <si>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</si>
  <si>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</si>
  <si>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</si>
  <si>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</si>
  <si>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</si>
  <si>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</si>
  <si>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</si>
  <si>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</si>
  <si>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</si>
  <si>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PT Out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</si>
  <si>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</si>
  <si>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</si>
  <si>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</si>
  <si>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</si>
  <si>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</si>
  <si>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</si>
  <si>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</si>
  <si>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</si>
  <si>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</si>
  <si>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</si>
  <si>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</si>
  <si>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</si>
  <si>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</si>
  <si>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</si>
  <si>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</si>
  <si>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</si>
  <si>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</si>
  <si>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</si>
  <si>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>PT Open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</si>
  <si>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</si>
  <si>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</si>
  <si>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</si>
  <si>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</si>
  <si>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</si>
  <si>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</si>
  <si>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</si>
  <si>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</si>
  <si>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</si>
  <si>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</si>
  <si>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</si>
  <si>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</si>
  <si>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</si>
  <si>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</si>
  <si>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</si>
  <si>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</si>
  <si>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11 kV Maniknagar Feeder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</si>
  <si>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</si>
  <si>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</si>
  <si>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</si>
  <si>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</si>
  <si>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</si>
  <si>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</si>
  <si>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</si>
  <si>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</si>
  <si>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</si>
  <si>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</si>
  <si>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</si>
  <si>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</si>
  <si>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</si>
  <si>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</si>
  <si>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</si>
  <si>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</si>
  <si>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</si>
  <si>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</si>
  <si>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</si>
  <si>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</si>
  <si>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</si>
  <si>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</si>
  <si>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</si>
  <si>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 xml:space="preserve">33 kV Narinda Circuit-1 at Narinda </t>
  </si>
  <si>
    <t xml:space="preserve">33 kV Narinda Circuit-2 at Narinda </t>
  </si>
  <si>
    <t>33 kV Mitford Circuit-1 at Mitford</t>
  </si>
  <si>
    <t>DHK-66493</t>
  </si>
  <si>
    <t>33 kV Mitford Circuit-2 at Mitford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</si>
  <si>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</si>
  <si>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</si>
  <si>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</si>
  <si>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</si>
  <si>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</si>
  <si>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</si>
  <si>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</si>
  <si>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</si>
  <si>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</si>
  <si>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</si>
  <si>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</si>
  <si>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</si>
  <si>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</si>
  <si>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</si>
  <si>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</si>
  <si>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</si>
  <si>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</si>
  <si>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PT Damage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</si>
  <si>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</si>
  <si>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</si>
  <si>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</si>
  <si>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</si>
  <si>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</si>
  <si>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</si>
  <si>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</si>
  <si>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</si>
  <si>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</si>
  <si>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</si>
  <si>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</si>
  <si>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</si>
  <si>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</si>
  <si>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</si>
  <si>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</si>
  <si>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</si>
  <si>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</si>
  <si>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</si>
  <si>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</si>
  <si>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</si>
  <si>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</si>
  <si>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</si>
  <si>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</si>
  <si>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</si>
  <si>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</si>
  <si>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</si>
  <si>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</si>
  <si>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</si>
  <si>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</si>
  <si>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</si>
  <si>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33 kV Narinda Circuit-1 at Narinda</t>
  </si>
  <si>
    <t>34 kV Narinda Circuit-2 at Narinda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</si>
  <si>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</si>
  <si>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</si>
  <si>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</si>
  <si>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</si>
  <si>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</si>
  <si>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</si>
  <si>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</si>
  <si>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</si>
  <si>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</si>
  <si>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</si>
  <si>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</si>
  <si>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</si>
  <si>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</si>
  <si>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</si>
  <si>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</si>
  <si>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</si>
  <si>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</si>
  <si>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</si>
  <si>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</si>
  <si>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</si>
  <si>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</si>
  <si>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</si>
  <si>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</si>
  <si>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</si>
  <si>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</si>
  <si>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</si>
  <si>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</si>
  <si>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</si>
  <si>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</si>
  <si>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</si>
  <si>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</si>
  <si>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</si>
  <si>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</si>
  <si>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132/33 kV Transformer Loss=</t>
  </si>
  <si>
    <t>33/11 kV 28/35 MVA T-5</t>
  </si>
  <si>
    <t>33/11 kV 20/28 MVA T-2</t>
  </si>
  <si>
    <t>Sum of feeder under GT-1=</t>
  </si>
  <si>
    <t>33/11 kV 20/28 MVA T-3</t>
  </si>
  <si>
    <t>Sum of feeder under GT-2=</t>
  </si>
  <si>
    <t>33/11 kV 10/14 MVA T-4</t>
  </si>
  <si>
    <t xml:space="preserve">33 kV Shahriar Steel Feeder    </t>
  </si>
  <si>
    <t>% diffn betn 33 kV Imp &amp; 33 kV exp</t>
  </si>
  <si>
    <t xml:space="preserve">33 kV Spare Feeder 3 </t>
  </si>
  <si>
    <t>% diffn betn GT-1 &amp; feeders under GT-1</t>
  </si>
  <si>
    <t xml:space="preserve">33 kV Spare Feeder 5 </t>
  </si>
  <si>
    <t>% diffn betn GT-2 &amp; feeders under GT-2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</si>
  <si>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</si>
  <si>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</si>
  <si>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</si>
  <si>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</si>
  <si>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</si>
  <si>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</si>
  <si>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</si>
  <si>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</si>
  <si>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</si>
  <si>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</si>
  <si>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</si>
  <si>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</si>
  <si>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</si>
  <si>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</si>
  <si>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</si>
  <si>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</si>
  <si>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</si>
  <si>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</si>
  <si>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</si>
  <si>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</si>
  <si>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</si>
  <si>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</si>
  <si>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</si>
  <si>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</si>
  <si>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</si>
  <si>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</si>
  <si>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</si>
  <si>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</si>
  <si>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</si>
  <si>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</si>
  <si>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</si>
  <si>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</si>
  <si>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</si>
  <si>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</si>
  <si>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</si>
  <si>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</si>
  <si>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</si>
  <si>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</si>
  <si>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</si>
  <si>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</si>
  <si>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</si>
  <si>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</si>
  <si>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</si>
  <si>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</si>
  <si>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</si>
  <si>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</si>
  <si>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</si>
  <si>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</si>
  <si>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</si>
  <si>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</si>
  <si>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</si>
  <si>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</si>
  <si>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</si>
  <si>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</si>
  <si>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</si>
  <si>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</si>
  <si>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</si>
  <si>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</si>
  <si>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</si>
  <si>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</si>
  <si>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</si>
  <si>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</si>
  <si>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Shyampur-1 at New Shyampur</t>
  </si>
  <si>
    <t>WP002518</t>
  </si>
  <si>
    <t>132 kV Transmission Line Loss=</t>
  </si>
  <si>
    <t>WP002519</t>
  </si>
  <si>
    <t>132 kV Shyampur-2 at New Shyampur</t>
  </si>
  <si>
    <t>WP002504</t>
  </si>
  <si>
    <t>WP002501</t>
  </si>
  <si>
    <t>132 kV New Shyampur-1 (Old Haripur)</t>
  </si>
  <si>
    <t>08993727</t>
  </si>
  <si>
    <t>132 kV New Shyampur-2 (Old Hasnabad)</t>
  </si>
  <si>
    <t>08993726</t>
  </si>
  <si>
    <t>% Diffn betn. 132kV Imp &amp; 33 kV Exp=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</si>
  <si>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</si>
  <si>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</si>
  <si>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</si>
  <si>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</si>
  <si>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</si>
  <si>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</si>
  <si>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</si>
  <si>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</si>
  <si>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</si>
  <si>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</si>
  <si>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</si>
  <si>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</si>
  <si>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</si>
  <si>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</si>
  <si>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</si>
  <si>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Sum of Feeders under GT1 &amp; GT2=</t>
  </si>
  <si>
    <t>33 kV 20/28 MVA Transformer-2 (T-2)</t>
  </si>
  <si>
    <t>BD001834</t>
  </si>
  <si>
    <t>33 kV 20/28 MVA Transformer-3 (T-3)</t>
  </si>
  <si>
    <t>BD001846</t>
  </si>
  <si>
    <t>Sum of Feeders under GT3 &amp; GT4=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</si>
  <si>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</si>
  <si>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</si>
  <si>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</si>
  <si>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</si>
  <si>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</si>
  <si>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</si>
  <si>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</si>
  <si>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</si>
  <si>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</si>
  <si>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</si>
  <si>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</si>
  <si>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</si>
  <si>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</si>
  <si>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</si>
  <si>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</si>
  <si>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</si>
  <si>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Sum of GT3+GT4 33 kV Incoming=</t>
  </si>
  <si>
    <t>33 kV Shyampur BSCIC-1.</t>
  </si>
  <si>
    <t>BD001805</t>
  </si>
  <si>
    <t>33 kV Fatullah Feeder-1.(Dapa)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</si>
  <si>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</si>
  <si>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</si>
  <si>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</si>
  <si>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</si>
  <si>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</si>
  <si>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</si>
  <si>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</si>
  <si>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</si>
  <si>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</si>
  <si>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</si>
  <si>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</si>
  <si>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</si>
  <si>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Sum of GT1+GT2 33 kV Incoming=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</si>
  <si>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</si>
  <si>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</si>
  <si>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</si>
  <si>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</si>
  <si>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</si>
  <si>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</si>
  <si>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</si>
  <si>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</si>
  <si>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</si>
  <si>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</si>
  <si>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</si>
  <si>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</si>
  <si>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</si>
  <si>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</si>
  <si>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</si>
  <si>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</si>
  <si>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</si>
  <si>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</si>
  <si>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</si>
  <si>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</si>
  <si>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</si>
  <si>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</si>
  <si>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</si>
  <si>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</si>
  <si>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</si>
  <si>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</si>
  <si>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</si>
  <si>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</si>
  <si>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</si>
  <si>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</si>
  <si>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</si>
  <si>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</si>
  <si>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</si>
  <si>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</si>
  <si>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</si>
  <si>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</si>
  <si>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</si>
  <si>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</si>
  <si>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</si>
  <si>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</si>
  <si>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</si>
  <si>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</si>
  <si>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</si>
  <si>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</si>
  <si>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</si>
  <si>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</si>
  <si>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</si>
  <si>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</si>
  <si>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</si>
  <si>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</si>
  <si>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</si>
  <si>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</si>
  <si>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</si>
  <si>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</si>
  <si>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</si>
  <si>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</si>
  <si>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</si>
  <si>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</si>
  <si>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</si>
  <si>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 at Shyampur</t>
  </si>
  <si>
    <t>33 kV Shyampur Circuit-2 at Shyampur</t>
  </si>
  <si>
    <t>% diffn betn 33kV Imp &amp; 33 kV Export=</t>
  </si>
  <si>
    <t>33 kV Shyampur Circuit-1</t>
  </si>
  <si>
    <t>DHK61071</t>
  </si>
  <si>
    <t>33 kV Shyampur Circuit-2</t>
  </si>
  <si>
    <t>DHK61067</t>
  </si>
  <si>
    <t>% diffn betn 33kV Imp &amp; 11 kVImport=</t>
  </si>
  <si>
    <t>33 kV 20/28 MVA Transformer-1</t>
  </si>
  <si>
    <t>DHK61068</t>
  </si>
  <si>
    <t>% diffn betn 33kV Imp &amp; 11 kV Export=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</si>
  <si>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</si>
  <si>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</si>
  <si>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</si>
  <si>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</si>
  <si>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</si>
  <si>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</si>
  <si>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</si>
  <si>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</si>
  <si>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</si>
  <si>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</si>
  <si>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</si>
  <si>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</si>
  <si>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</si>
  <si>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</si>
  <si>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</si>
  <si>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</si>
  <si>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</si>
  <si>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</si>
  <si>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</si>
  <si>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</si>
  <si>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</si>
  <si>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</si>
  <si>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</si>
  <si>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</si>
  <si>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</si>
  <si>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</si>
  <si>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</si>
  <si>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</si>
  <si>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</si>
  <si>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</si>
  <si>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</si>
  <si>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</si>
  <si>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</si>
  <si>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</si>
  <si>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Shyampur  Ckt-1 (At Shyampur)</t>
  </si>
  <si>
    <t>33 kV Shyampur  Ckt-2 (At Shyampur)</t>
  </si>
  <si>
    <t>33 kV  Incoming  Ckt-1 (At Nandalalpur)</t>
  </si>
  <si>
    <t>00000084</t>
  </si>
  <si>
    <t>% diffn betwn 33 kV Impt &amp; 33 kV Expt=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</si>
  <si>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</si>
  <si>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</si>
  <si>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</si>
  <si>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</si>
  <si>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</si>
  <si>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</si>
  <si>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</si>
  <si>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</si>
  <si>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</si>
  <si>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</si>
  <si>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</si>
  <si>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</si>
  <si>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</si>
  <si>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</si>
  <si>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</si>
  <si>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</si>
  <si>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</si>
  <si>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</si>
  <si>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</si>
  <si>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</si>
  <si>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</si>
  <si>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</si>
  <si>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</si>
  <si>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</si>
  <si>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</si>
  <si>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</si>
  <si>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</si>
  <si>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</si>
  <si>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</si>
  <si>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</si>
  <si>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</si>
  <si>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</si>
  <si>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</si>
  <si>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</si>
  <si>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</si>
  <si>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</si>
  <si>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</si>
  <si>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</si>
  <si>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</si>
  <si>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</si>
  <si>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</si>
  <si>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</si>
  <si>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</si>
  <si>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</si>
  <si>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</si>
  <si>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</si>
  <si>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</si>
  <si>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</si>
  <si>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132 KV Postogola Ckt-1 Feeder</t>
  </si>
  <si>
    <t>133 KV Postogola Ckt-2 Feeder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</si>
  <si>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</si>
  <si>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</si>
  <si>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</si>
  <si>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</si>
  <si>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</si>
  <si>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</si>
  <si>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</si>
  <si>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</si>
  <si>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</si>
  <si>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</si>
  <si>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</si>
  <si>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</si>
  <si>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</si>
  <si>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</si>
  <si>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</si>
  <si>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</si>
  <si>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</si>
  <si>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</si>
  <si>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</si>
  <si>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</si>
  <si>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</si>
  <si>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</si>
  <si>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</si>
  <si>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</si>
  <si>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</si>
  <si>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</si>
  <si>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</si>
  <si>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</si>
  <si>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</si>
  <si>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</si>
  <si>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</si>
  <si>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</si>
  <si>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</si>
  <si>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</si>
  <si>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</si>
  <si>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</si>
  <si>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</si>
  <si>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</si>
  <si>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</si>
  <si>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</si>
  <si>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</si>
  <si>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</si>
  <si>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</si>
  <si>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</si>
  <si>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</si>
  <si>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</si>
  <si>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</si>
  <si>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</si>
  <si>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</si>
  <si>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Circuit-1 at Postogola</t>
  </si>
  <si>
    <t>34 kV Circuit-2 at Postogola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</si>
  <si>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</si>
  <si>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</si>
  <si>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</si>
  <si>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</si>
  <si>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</si>
  <si>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</si>
  <si>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</si>
  <si>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</si>
  <si>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</si>
  <si>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</si>
  <si>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</si>
  <si>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</si>
  <si>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</si>
  <si>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</si>
  <si>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</si>
  <si>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</si>
  <si>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</si>
  <si>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</si>
  <si>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</si>
  <si>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</si>
  <si>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</si>
  <si>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</si>
  <si>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</si>
  <si>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</si>
  <si>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</si>
  <si>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</si>
  <si>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</si>
  <si>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</si>
  <si>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</si>
  <si>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</si>
  <si>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</si>
  <si>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</si>
  <si>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</si>
  <si>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</si>
  <si>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</si>
  <si>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</si>
  <si>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</si>
  <si>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</si>
  <si>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</si>
  <si>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</si>
  <si>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</si>
  <si>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</si>
  <si>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</si>
  <si>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>% difference between 33 kV Imp &amp; 33 kV Exp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</si>
  <si>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</si>
  <si>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</si>
  <si>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</si>
  <si>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</si>
  <si>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</si>
  <si>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</si>
  <si>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</si>
  <si>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</si>
  <si>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</si>
  <si>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</si>
  <si>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</si>
  <si>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</si>
  <si>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</si>
  <si>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</si>
  <si>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</si>
  <si>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</si>
  <si>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</si>
  <si>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</si>
  <si>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</si>
  <si>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</si>
  <si>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</si>
  <si>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</si>
  <si>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</si>
  <si>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</si>
  <si>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</si>
  <si>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</si>
  <si>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</si>
  <si>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</si>
  <si>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</si>
  <si>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</si>
  <si>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 xml:space="preserve">33 kV T&amp;T-1 Feeder  </t>
  </si>
  <si>
    <t xml:space="preserve">33 kV T&amp;T-2 Feeder  </t>
  </si>
  <si>
    <t xml:space="preserve">Ullon Feeder 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</si>
  <si>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</si>
  <si>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</si>
  <si>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</si>
  <si>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</si>
  <si>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</si>
  <si>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</si>
  <si>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</si>
  <si>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</si>
  <si>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</si>
  <si>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</si>
  <si>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</si>
  <si>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</si>
  <si>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</si>
  <si>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</si>
  <si>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</si>
  <si>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</si>
  <si>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</si>
  <si>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</si>
  <si>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</si>
  <si>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</si>
  <si>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</si>
  <si>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Rading from taltola Side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</si>
  <si>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</si>
  <si>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</si>
  <si>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</si>
  <si>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</si>
  <si>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</si>
  <si>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</si>
  <si>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</si>
  <si>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</si>
  <si>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</si>
  <si>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</si>
  <si>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</si>
  <si>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</si>
  <si>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</si>
  <si>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</si>
  <si>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</si>
  <si>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</si>
  <si>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</si>
  <si>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</si>
  <si>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</si>
  <si>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</si>
  <si>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 xml:space="preserve">132 kV Madartek U/G Line-1 at Rampura </t>
  </si>
  <si>
    <t>BPDB 50146667</t>
  </si>
  <si>
    <t xml:space="preserve">132 kV Madretek U/G Line-2 at Rampura </t>
  </si>
  <si>
    <t>BPDB 50146668</t>
  </si>
  <si>
    <t>132 kV  Rampura-1</t>
  </si>
  <si>
    <t>132 kV  Rampura-2</t>
  </si>
  <si>
    <t>133 kV GT-1</t>
  </si>
  <si>
    <t>33 kV T-3</t>
  </si>
  <si>
    <t>33 kV T-2</t>
  </si>
  <si>
    <t>% difference between 33 kV Imp &amp; 33 kV Exp=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</si>
  <si>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</si>
  <si>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</si>
  <si>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</si>
  <si>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</si>
  <si>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</si>
  <si>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</si>
  <si>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</si>
  <si>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</si>
  <si>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</si>
  <si>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</si>
  <si>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</si>
  <si>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</si>
  <si>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</si>
  <si>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</si>
  <si>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</si>
  <si>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</si>
  <si>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</si>
  <si>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</si>
  <si>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</si>
  <si>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</si>
  <si>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</si>
  <si>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</si>
  <si>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</si>
  <si>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</si>
  <si>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</si>
  <si>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AT-1 &amp; AT-2 </t>
  </si>
  <si>
    <t xml:space="preserve">33 kV Moghbazar-1 </t>
  </si>
  <si>
    <t xml:space="preserve">33 kV Moghbazar-2 </t>
  </si>
  <si>
    <t>33 kv Ullon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</si>
  <si>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</si>
  <si>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</si>
  <si>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</si>
  <si>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</si>
  <si>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</si>
  <si>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</si>
  <si>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</si>
  <si>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</si>
  <si>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</si>
  <si>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</si>
  <si>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</si>
  <si>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</si>
  <si>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</si>
  <si>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>OMF Unknown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</si>
  <si>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</si>
  <si>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</si>
  <si>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</si>
  <si>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</si>
  <si>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</si>
  <si>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</si>
  <si>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</si>
  <si>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</si>
  <si>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</si>
  <si>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</si>
  <si>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</si>
  <si>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</si>
  <si>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</si>
  <si>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</si>
  <si>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</si>
  <si>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</si>
  <si>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</si>
  <si>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</si>
  <si>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</si>
  <si>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</si>
  <si>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</si>
  <si>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</si>
  <si>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</si>
  <si>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</si>
  <si>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</si>
  <si>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</si>
  <si>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</si>
  <si>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</si>
  <si>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</si>
  <si>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</si>
  <si>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</si>
  <si>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</si>
  <si>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</si>
  <si>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</si>
  <si>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</si>
  <si>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</si>
  <si>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</si>
  <si>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</si>
  <si>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</si>
  <si>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</si>
  <si>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</si>
  <si>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</si>
  <si>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</si>
  <si>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</si>
  <si>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</si>
  <si>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</si>
  <si>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</si>
  <si>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</si>
  <si>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</si>
  <si>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</si>
  <si>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</si>
  <si>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</si>
  <si>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</si>
  <si>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</si>
  <si>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</si>
  <si>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</si>
  <si>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</si>
  <si>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</si>
  <si>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</si>
  <si>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</si>
  <si>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</si>
  <si>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</si>
  <si>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</si>
  <si>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</si>
  <si>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</si>
  <si>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</si>
  <si>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</si>
  <si>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</si>
  <si>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</si>
  <si>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</si>
  <si>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</si>
  <si>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</si>
  <si>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</si>
  <si>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</si>
  <si>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</si>
  <si>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</si>
  <si>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</si>
  <si>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</si>
  <si>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</si>
  <si>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Siem0510</t>
  </si>
  <si>
    <t>BD001838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</si>
  <si>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</si>
  <si>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</si>
  <si>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</si>
  <si>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</si>
  <si>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</si>
  <si>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</si>
  <si>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</si>
  <si>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</si>
  <si>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</si>
  <si>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</si>
  <si>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</si>
  <si>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</si>
  <si>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</si>
  <si>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</si>
  <si>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</si>
  <si>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</si>
  <si>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</si>
  <si>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</si>
  <si>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</si>
  <si>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</si>
  <si>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 xml:space="preserve">Shatmasjid-2 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</si>
  <si>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</si>
  <si>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</si>
  <si>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</si>
  <si>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</si>
  <si>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</si>
  <si>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</si>
  <si>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</si>
  <si>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</si>
  <si>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</si>
  <si>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</si>
  <si>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</si>
  <si>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</si>
  <si>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</si>
  <si>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</si>
  <si>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</si>
  <si>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</si>
  <si>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</si>
  <si>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</si>
  <si>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</si>
  <si>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</si>
  <si>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</si>
  <si>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</si>
  <si>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</si>
  <si>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</si>
  <si>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</si>
  <si>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</si>
  <si>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</si>
  <si>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</si>
  <si>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</si>
  <si>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Meter Faulty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</si>
  <si>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</si>
  <si>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</si>
  <si>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</si>
  <si>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</si>
  <si>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</si>
  <si>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</si>
  <si>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</si>
  <si>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</si>
  <si>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</si>
  <si>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</si>
  <si>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</si>
  <si>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</si>
  <si>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</si>
  <si>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</si>
  <si>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</si>
  <si>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</si>
  <si>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</si>
  <si>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</si>
  <si>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</si>
  <si>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</si>
  <si>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</si>
  <si>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</si>
  <si>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>Estemated. Meter Faulty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</si>
  <si>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</si>
  <si>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</si>
  <si>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</si>
  <si>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</si>
  <si>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</si>
  <si>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</si>
  <si>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</si>
  <si>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</si>
  <si>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</si>
  <si>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</si>
  <si>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</si>
  <si>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</si>
  <si>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</si>
  <si>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</si>
  <si>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</si>
  <si>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</si>
  <si>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</si>
  <si>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</si>
  <si>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</si>
  <si>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</si>
  <si>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</si>
  <si>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</si>
  <si>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</si>
  <si>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</si>
  <si>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</si>
  <si>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</si>
  <si>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</si>
  <si>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</si>
  <si>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</si>
  <si>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</si>
  <si>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</si>
  <si>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</si>
  <si>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</si>
  <si>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</si>
  <si>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</si>
  <si>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</si>
  <si>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</si>
  <si>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</si>
  <si>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</si>
  <si>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</si>
  <si>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</si>
  <si>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</si>
  <si>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</si>
  <si>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</si>
  <si>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</si>
  <si>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</si>
  <si>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</si>
  <si>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</si>
  <si>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</si>
  <si>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</si>
  <si>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</si>
  <si>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</si>
  <si>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</si>
  <si>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</si>
  <si>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</si>
  <si>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</si>
  <si>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</si>
  <si>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</si>
  <si>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</si>
  <si>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</si>
  <si>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</si>
  <si>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</si>
  <si>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</si>
  <si>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</si>
  <si>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</si>
  <si>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</si>
  <si>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</si>
  <si>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</si>
  <si>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</si>
  <si>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</si>
  <si>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</si>
  <si>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</si>
  <si>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</si>
  <si>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</si>
  <si>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</si>
  <si>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</si>
  <si>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</si>
  <si>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</si>
  <si>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</si>
  <si>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</si>
  <si>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</si>
  <si>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</si>
  <si>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</si>
  <si>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</si>
  <si>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</si>
  <si>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</si>
  <si>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</si>
  <si>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</si>
  <si>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</si>
  <si>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</si>
  <si>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</si>
  <si>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</si>
  <si>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</si>
  <si>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</si>
  <si>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</si>
  <si>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</si>
  <si>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</si>
  <si>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</si>
  <si>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</si>
  <si>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</si>
  <si>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</si>
  <si>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</si>
  <si>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</si>
  <si>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</si>
  <si>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</si>
  <si>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</si>
  <si>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</si>
  <si>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</si>
  <si>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</si>
  <si>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</si>
  <si>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</si>
  <si>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</si>
  <si>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</si>
  <si>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</si>
  <si>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</si>
  <si>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</si>
  <si>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</si>
  <si>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</si>
  <si>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</si>
  <si>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</si>
  <si>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</si>
  <si>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Ullon Ckt</t>
  </si>
  <si>
    <t>DHK60984</t>
  </si>
  <si>
    <t xml:space="preserve">Taltola Ckt </t>
  </si>
  <si>
    <t>Maniknagar Ckt</t>
  </si>
  <si>
    <t>DHK 61123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</si>
  <si>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</si>
  <si>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</si>
  <si>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</si>
  <si>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</si>
  <si>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</si>
  <si>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</si>
  <si>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</si>
  <si>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</si>
  <si>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</si>
  <si>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</si>
  <si>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</si>
  <si>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</si>
  <si>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</si>
  <si>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</si>
  <si>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</si>
  <si>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</si>
  <si>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</si>
  <si>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</si>
  <si>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</si>
  <si>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</si>
  <si>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</si>
  <si>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</si>
  <si>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</si>
  <si>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</si>
  <si>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</si>
  <si>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</si>
  <si>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Monipuripara Ckt-01</t>
  </si>
  <si>
    <t>Monipuripara Ckt-02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</si>
  <si>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</si>
  <si>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</si>
  <si>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</si>
  <si>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</si>
  <si>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</si>
  <si>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</si>
  <si>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</si>
  <si>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</si>
  <si>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</si>
  <si>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</si>
  <si>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</si>
  <si>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</si>
  <si>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</si>
  <si>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</si>
  <si>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</si>
  <si>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</si>
  <si>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</si>
  <si>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</si>
  <si>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</si>
  <si>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Spare-02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</si>
  <si>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</si>
  <si>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</si>
  <si>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</si>
  <si>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</si>
  <si>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</si>
  <si>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</si>
  <si>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</si>
  <si>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</si>
  <si>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</si>
  <si>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</si>
  <si>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</si>
  <si>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</si>
  <si>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</si>
  <si>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</si>
  <si>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</si>
  <si>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</si>
  <si>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</si>
  <si>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</si>
  <si>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</si>
  <si>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</si>
  <si>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</si>
  <si>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</si>
  <si>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</si>
  <si>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</si>
  <si>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</si>
  <si>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</si>
  <si>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</si>
  <si>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</si>
  <si>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</si>
  <si>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</si>
  <si>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 xml:space="preserve">132 kV Spare Line Bay-1 </t>
  </si>
  <si>
    <t>132 kV</t>
  </si>
  <si>
    <t>SIEM0486</t>
  </si>
  <si>
    <t>132 kV Ullon Circuit-1</t>
  </si>
  <si>
    <t>SIEM0480</t>
  </si>
  <si>
    <t xml:space="preserve">132 kV Dhaka University </t>
  </si>
  <si>
    <t>132kV</t>
  </si>
  <si>
    <t>SIEM0488</t>
  </si>
  <si>
    <t>132 kV Ullon Circuit-2</t>
  </si>
  <si>
    <t>SIEM0481</t>
  </si>
  <si>
    <t>132 kV Spare Line Bay-2</t>
  </si>
  <si>
    <t>SIEM0483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</si>
  <si>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</si>
  <si>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</si>
  <si>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</si>
  <si>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</si>
  <si>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</si>
  <si>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</si>
  <si>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</si>
  <si>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</si>
  <si>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</si>
  <si>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</si>
  <si>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</si>
  <si>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33 kV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</si>
  <si>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</si>
  <si>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</si>
  <si>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</si>
  <si>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</si>
  <si>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</si>
  <si>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</si>
  <si>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</si>
  <si>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</si>
  <si>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</si>
  <si>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</si>
  <si>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</si>
  <si>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</si>
  <si>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</si>
  <si>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</si>
  <si>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</si>
  <si>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</si>
  <si>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</si>
  <si>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</si>
  <si>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</si>
  <si>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</si>
  <si>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</si>
  <si>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</si>
  <si>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</si>
  <si>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</si>
  <si>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</si>
  <si>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</si>
  <si>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</si>
  <si>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</si>
  <si>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</si>
  <si>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</si>
  <si>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</si>
  <si>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</si>
  <si>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</si>
  <si>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0.4 kV</t>
  </si>
  <si>
    <t>33/0.4 kV, 1000 kVA AT-2</t>
  </si>
  <si>
    <t>New Ramna Circuit-1</t>
  </si>
  <si>
    <t>BD001919</t>
  </si>
  <si>
    <t>11 kV Balaka Feeder</t>
  </si>
  <si>
    <t>11 kV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</si>
  <si>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</si>
  <si>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</si>
  <si>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</si>
  <si>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</si>
  <si>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</si>
  <si>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</si>
  <si>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</si>
  <si>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</si>
  <si>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</si>
  <si>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</si>
  <si>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</si>
  <si>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</si>
  <si>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</si>
  <si>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</si>
  <si>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</si>
  <si>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</si>
  <si>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</si>
  <si>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</si>
  <si>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</si>
  <si>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</si>
  <si>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</si>
  <si>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</si>
  <si>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</si>
  <si>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</si>
  <si>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</si>
  <si>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</si>
  <si>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</si>
  <si>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</si>
  <si>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</si>
  <si>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</si>
  <si>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</si>
  <si>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</si>
  <si>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</si>
  <si>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</si>
  <si>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</si>
  <si>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</si>
  <si>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</si>
  <si>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</si>
  <si>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</si>
  <si>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</si>
  <si>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</si>
  <si>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</si>
  <si>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</si>
  <si>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</si>
  <si>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</si>
  <si>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</si>
  <si>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</si>
  <si>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</si>
  <si>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</si>
  <si>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</si>
  <si>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</si>
  <si>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</si>
  <si>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</si>
  <si>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</si>
  <si>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</si>
  <si>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</si>
  <si>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</si>
  <si>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</si>
  <si>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</si>
  <si>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</si>
  <si>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</si>
  <si>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 kV Dhanmondi Circuit-1 at Dhanmondi</t>
  </si>
  <si>
    <t>33 kV Dhanmondi Circuit-2 at Dhanmondi</t>
  </si>
  <si>
    <t>33 kV Narinda Circuit at Narinda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</si>
  <si>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</si>
  <si>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</si>
  <si>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</si>
  <si>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</si>
  <si>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</si>
  <si>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</si>
  <si>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</si>
  <si>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</si>
  <si>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</si>
  <si>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</si>
  <si>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</si>
  <si>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</si>
  <si>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</si>
  <si>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</si>
  <si>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</si>
  <si>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</si>
  <si>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</si>
  <si>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</si>
  <si>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</si>
  <si>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</si>
  <si>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</si>
  <si>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</si>
  <si>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</si>
  <si>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</si>
  <si>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</si>
  <si>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</si>
  <si>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</si>
  <si>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</si>
  <si>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</si>
  <si>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</si>
  <si>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</si>
  <si>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</si>
  <si>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</si>
  <si>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</si>
  <si>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</si>
  <si>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</si>
  <si>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</si>
  <si>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</si>
  <si>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</si>
  <si>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</si>
  <si>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</si>
  <si>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</si>
  <si>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</si>
  <si>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</si>
  <si>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</si>
  <si>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</si>
  <si>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</si>
  <si>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</si>
  <si>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</si>
  <si>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</si>
  <si>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</si>
  <si>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</si>
  <si>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</si>
  <si>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</si>
  <si>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</si>
  <si>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</si>
  <si>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</si>
  <si>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</si>
  <si>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</si>
  <si>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</si>
  <si>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</si>
  <si>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</si>
  <si>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</si>
  <si>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</si>
  <si>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</si>
  <si>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</si>
  <si>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</si>
  <si>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</si>
  <si>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</si>
  <si>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</si>
  <si>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</si>
  <si>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</si>
  <si>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</si>
  <si>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</si>
  <si>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</si>
  <si>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</si>
  <si>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</si>
  <si>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</si>
  <si>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</si>
  <si>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</si>
  <si>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</si>
  <si>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</si>
  <si>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</si>
  <si>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</si>
  <si>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</si>
  <si>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</si>
  <si>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</si>
  <si>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</si>
  <si>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</si>
  <si>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</si>
  <si>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</si>
  <si>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</si>
  <si>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</si>
  <si>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</si>
  <si>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</si>
  <si>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</si>
  <si>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</si>
  <si>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</si>
  <si>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</si>
  <si>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</si>
  <si>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</si>
  <si>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</si>
  <si>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</si>
  <si>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</si>
  <si>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</si>
  <si>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</si>
  <si>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</si>
  <si>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</si>
  <si>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</si>
  <si>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</si>
  <si>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</si>
  <si>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</si>
  <si>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</si>
  <si>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</si>
  <si>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</si>
  <si>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</si>
  <si>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</si>
  <si>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</si>
  <si>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</si>
  <si>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</si>
  <si>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</si>
  <si>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</si>
  <si>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</si>
  <si>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</si>
  <si>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</si>
  <si>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</si>
  <si>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</si>
  <si>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</si>
  <si>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Kallyanpur-1</t>
  </si>
  <si>
    <t>SIEM485</t>
  </si>
  <si>
    <t>Hasnabad (Keranigonj)</t>
  </si>
  <si>
    <t>SIEM482</t>
  </si>
  <si>
    <t>Kallyanpur-2</t>
  </si>
  <si>
    <t>SIEM490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</si>
  <si>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</si>
  <si>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</si>
  <si>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</si>
  <si>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</si>
  <si>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</si>
  <si>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</si>
  <si>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</si>
  <si>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</si>
  <si>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</si>
  <si>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</si>
  <si>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</si>
  <si>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</si>
  <si>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</si>
  <si>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</si>
  <si>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</si>
  <si>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</si>
  <si>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</si>
  <si>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</si>
  <si>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</si>
  <si>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11kV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</si>
  <si>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</si>
  <si>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</si>
  <si>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</si>
  <si>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</si>
  <si>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</si>
  <si>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</si>
  <si>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</si>
  <si>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</si>
  <si>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</si>
  <si>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</si>
  <si>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</si>
  <si>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</si>
  <si>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</si>
  <si>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</si>
  <si>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</si>
  <si>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</si>
  <si>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</si>
  <si>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</si>
  <si>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</si>
  <si>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</si>
  <si>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</si>
  <si>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</si>
  <si>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</si>
  <si>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</si>
  <si>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</si>
  <si>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</si>
  <si>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</si>
  <si>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</si>
  <si>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</si>
  <si>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</si>
  <si>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</si>
  <si>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</si>
  <si>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</si>
  <si>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</si>
  <si>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</si>
  <si>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</si>
  <si>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</si>
  <si>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</si>
  <si>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</si>
  <si>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</si>
  <si>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</si>
  <si>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</si>
  <si>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DHK-68124</t>
  </si>
  <si>
    <t>Lalbagh Circuit-2</t>
  </si>
  <si>
    <t>DHK-68126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</si>
  <si>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</si>
  <si>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</si>
  <si>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</si>
  <si>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</si>
  <si>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</si>
  <si>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</si>
  <si>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</si>
  <si>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</si>
  <si>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</si>
  <si>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</si>
  <si>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</si>
  <si>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</si>
  <si>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</si>
  <si>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</si>
  <si>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</si>
  <si>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</si>
  <si>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</si>
  <si>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</si>
  <si>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</si>
  <si>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</si>
  <si>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</si>
  <si>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</si>
  <si>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</si>
  <si>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</si>
  <si>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</si>
  <si>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</si>
  <si>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</si>
  <si>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</si>
  <si>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</si>
  <si>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</si>
  <si>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</si>
  <si>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DHK66499</t>
  </si>
  <si>
    <t>Dhanmondi Circuit-1</t>
  </si>
  <si>
    <t>DHK61092</t>
  </si>
  <si>
    <t>Dhanmondi Circuit-2</t>
  </si>
  <si>
    <t>DHK61095</t>
  </si>
  <si>
    <t>DHK60920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</si>
  <si>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</si>
  <si>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</si>
  <si>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</si>
  <si>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</si>
  <si>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</si>
  <si>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</si>
  <si>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</si>
  <si>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</si>
  <si>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</si>
  <si>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</si>
  <si>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</si>
  <si>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</si>
  <si>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</si>
  <si>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</si>
  <si>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</si>
  <si>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</si>
  <si>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</si>
  <si>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</si>
  <si>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</si>
  <si>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</si>
  <si>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</si>
  <si>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</si>
  <si>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</si>
  <si>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</si>
  <si>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</si>
  <si>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</si>
  <si>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</si>
  <si>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</si>
  <si>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</si>
  <si>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</si>
  <si>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</si>
  <si>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</si>
  <si>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</si>
  <si>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</si>
  <si>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</si>
  <si>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</si>
  <si>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</si>
  <si>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</si>
  <si>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</si>
  <si>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</si>
  <si>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</si>
  <si>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</si>
  <si>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</si>
  <si>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</si>
  <si>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</si>
  <si>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</si>
  <si>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</si>
  <si>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</si>
  <si>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</si>
  <si>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</si>
  <si>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</si>
  <si>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 xml:space="preserve">11 kV 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</si>
  <si>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</si>
  <si>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</si>
  <si>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</si>
  <si>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</si>
  <si>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</si>
  <si>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</si>
  <si>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</si>
  <si>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</si>
  <si>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</si>
  <si>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</si>
  <si>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</si>
  <si>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</si>
  <si>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</si>
  <si>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</si>
  <si>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</si>
  <si>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</si>
  <si>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</si>
  <si>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</si>
  <si>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</si>
  <si>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</si>
  <si>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</si>
  <si>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</si>
  <si>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</si>
  <si>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</si>
  <si>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</si>
  <si>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</si>
  <si>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</si>
  <si>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</si>
  <si>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</si>
  <si>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Keranigonj</t>
  </si>
  <si>
    <t>132 kV Lalbagh</t>
  </si>
  <si>
    <t>KAMRANGIRCHAR 132 KV SIDE (RECEIVING)</t>
  </si>
  <si>
    <t>33/11 kV Transformer T-4 (Spare)</t>
  </si>
  <si>
    <t>Kamrangirchar-1 at Kamrangirchar</t>
  </si>
  <si>
    <t>Kamrangirchar-2 at Kamrangirchar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</si>
  <si>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</si>
  <si>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</si>
  <si>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</si>
  <si>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</si>
  <si>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</si>
  <si>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</si>
  <si>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</si>
  <si>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</si>
  <si>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</si>
  <si>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</si>
  <si>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</si>
  <si>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</si>
  <si>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</si>
  <si>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</si>
  <si>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</si>
  <si>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</si>
  <si>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</si>
  <si>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</si>
  <si>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</si>
  <si>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</si>
  <si>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</si>
  <si>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</si>
  <si>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</si>
  <si>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</si>
  <si>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</si>
  <si>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</si>
  <si>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</si>
  <si>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</si>
  <si>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</si>
  <si>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</si>
  <si>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</si>
  <si>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</si>
  <si>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</si>
  <si>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</si>
  <si>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</si>
  <si>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</si>
  <si>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</si>
  <si>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</si>
  <si>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</si>
  <si>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</si>
  <si>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</si>
  <si>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</si>
  <si>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</si>
  <si>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</si>
  <si>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</si>
  <si>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</si>
  <si>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</si>
  <si>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</si>
  <si>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DHK61073</t>
  </si>
  <si>
    <t>DHK61075</t>
  </si>
  <si>
    <t>Satmosjid U/G Circuit at Satmosjid Grid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</si>
  <si>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</si>
  <si>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</si>
  <si>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</si>
  <si>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</si>
  <si>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</si>
  <si>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</si>
  <si>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</si>
  <si>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</si>
  <si>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</si>
  <si>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</si>
  <si>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</si>
  <si>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</si>
  <si>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</si>
  <si>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</si>
  <si>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</si>
  <si>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</si>
  <si>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</si>
  <si>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</si>
  <si>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</si>
  <si>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</si>
  <si>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</si>
  <si>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</si>
  <si>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</si>
  <si>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</si>
  <si>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</si>
  <si>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</si>
  <si>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</si>
  <si>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</si>
  <si>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BD017107</t>
  </si>
  <si>
    <t>33 kV Jigatala Incoming Circuit-1</t>
  </si>
  <si>
    <t>BD017098</t>
  </si>
  <si>
    <t>33 kV Jigatala Incoming Circuit-2</t>
  </si>
  <si>
    <t>BD017097</t>
  </si>
  <si>
    <t>33 kV Kamrangirchar Circuit-2 (O/H)</t>
  </si>
  <si>
    <t>BD017108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</si>
  <si>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</si>
  <si>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</si>
  <si>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</si>
  <si>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</si>
  <si>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</si>
  <si>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</si>
  <si>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</si>
  <si>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</si>
  <si>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</si>
  <si>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</si>
  <si>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</si>
  <si>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</si>
  <si>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</si>
  <si>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</si>
  <si>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</si>
  <si>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</si>
  <si>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</si>
  <si>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</si>
  <si>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</si>
  <si>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</si>
  <si>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</si>
  <si>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</si>
  <si>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</si>
  <si>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</si>
  <si>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</si>
  <si>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</si>
  <si>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</si>
  <si>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</si>
  <si>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</si>
  <si>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</si>
  <si>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</si>
  <si>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</si>
  <si>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</si>
  <si>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</si>
  <si>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</si>
  <si>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 xml:space="preserve">132/33 kV, 80/120 MVA T1 </t>
  </si>
  <si>
    <t>132/33 kV, 80/120 MVA T2</t>
  </si>
  <si>
    <t>132/33 kV, 80/120 MVA GT-1 Incoming</t>
  </si>
  <si>
    <t>132/33 kV, 80/120 MVA GT-2 Incoming</t>
  </si>
  <si>
    <t>Lalmatia-1/Japan Garden City-1</t>
  </si>
  <si>
    <t>214393/40-2711</t>
  </si>
  <si>
    <t>Asad Gate Circuit-1</t>
  </si>
  <si>
    <t>214393/44-2711</t>
  </si>
  <si>
    <t>Lalmatia Circuit-2</t>
  </si>
  <si>
    <t>Asad Gate Circuit-2</t>
  </si>
  <si>
    <t>214393/43-2711</t>
  </si>
  <si>
    <t>Jigatola U/G Circuit</t>
  </si>
  <si>
    <t>Japan Garden City-2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</si>
  <si>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</si>
  <si>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</si>
  <si>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</si>
  <si>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</si>
  <si>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</si>
  <si>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</si>
  <si>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</si>
  <si>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</si>
  <si>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</si>
  <si>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</si>
  <si>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</si>
  <si>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</si>
  <si>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</si>
  <si>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</si>
  <si>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</si>
  <si>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</si>
  <si>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</si>
  <si>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</si>
  <si>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</si>
  <si>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</si>
  <si>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</si>
  <si>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</si>
  <si>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</si>
  <si>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</si>
  <si>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</si>
  <si>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</si>
  <si>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</si>
  <si>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</si>
  <si>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</si>
  <si>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</si>
  <si>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</si>
  <si>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</si>
  <si>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</si>
  <si>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</si>
  <si>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Japan Garden City Customer S/S / Kallyanpur O/H (Stand by)</t>
  </si>
  <si>
    <t>DHK15681</t>
  </si>
  <si>
    <t>Satmosjid Incoming U/G</t>
  </si>
  <si>
    <t>DHK86051</t>
  </si>
  <si>
    <t>kallyanpur U/G-2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</si>
  <si>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</si>
  <si>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</si>
  <si>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</si>
  <si>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</si>
  <si>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</si>
  <si>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</si>
  <si>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</si>
  <si>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</si>
  <si>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</si>
  <si>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</si>
  <si>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</si>
  <si>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</si>
  <si>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</si>
  <si>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</si>
  <si>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</si>
  <si>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132 kV Rampura 1</t>
  </si>
  <si>
    <t>132 kV Dhanmondi 1</t>
  </si>
  <si>
    <t>132 kV Rampura 2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</si>
  <si>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</si>
  <si>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</si>
  <si>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</si>
  <si>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</si>
  <si>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</si>
  <si>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</si>
  <si>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</si>
  <si>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</si>
  <si>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</si>
  <si>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</si>
  <si>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</si>
  <si>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</si>
  <si>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</si>
  <si>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</si>
  <si>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</si>
  <si>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Motijheel Incoming</t>
  </si>
  <si>
    <t>DHK-C9344</t>
  </si>
  <si>
    <t>Dhaka University Incoming-1</t>
  </si>
  <si>
    <t>DHK-C9341</t>
  </si>
  <si>
    <t>Dhaka University Incoming-2</t>
  </si>
  <si>
    <t>DHK-C9343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</si>
  <si>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</si>
  <si>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</si>
  <si>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</si>
  <si>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</si>
  <si>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</si>
  <si>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</si>
  <si>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</si>
  <si>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</si>
  <si>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</si>
  <si>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</si>
  <si>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</si>
  <si>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</si>
  <si>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</si>
  <si>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</si>
  <si>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</si>
  <si>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</si>
  <si>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</si>
  <si>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</si>
  <si>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</si>
  <si>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</si>
  <si>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</si>
  <si>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</si>
  <si>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</si>
  <si>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33 kV DU Incoming Circuit-1</t>
  </si>
  <si>
    <t>00000072</t>
  </si>
  <si>
    <t>33 kV Dhanmondi Incoming</t>
  </si>
  <si>
    <t>00000082</t>
  </si>
  <si>
    <t>33 kV Spare Circuit</t>
  </si>
  <si>
    <t>00000087</t>
  </si>
  <si>
    <t>33 kV DU Incoming Circuit-2</t>
  </si>
  <si>
    <t>00000081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</si>
  <si>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</si>
  <si>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</si>
  <si>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</si>
  <si>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</si>
  <si>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</si>
  <si>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</si>
  <si>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</si>
  <si>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</si>
  <si>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</si>
  <si>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</si>
  <si>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</si>
  <si>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</si>
  <si>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</si>
  <si>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</si>
  <si>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</si>
  <si>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</si>
  <si>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</si>
  <si>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</si>
  <si>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</si>
  <si>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</si>
  <si>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</si>
  <si>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</si>
  <si>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</si>
  <si>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</si>
  <si>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</si>
  <si>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</si>
  <si>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</si>
  <si>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00000165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</si>
  <si>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</si>
  <si>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</si>
  <si>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</si>
  <si>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</si>
  <si>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</si>
  <si>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</si>
  <si>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</si>
  <si>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</si>
  <si>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</si>
  <si>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</si>
  <si>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33 kV Dhaka University-1</t>
  </si>
  <si>
    <t>BD 017078</t>
  </si>
  <si>
    <t>33 kV Dhaka University-2</t>
  </si>
  <si>
    <t>BD 017090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</si>
  <si>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</si>
  <si>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</si>
  <si>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</si>
  <si>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</si>
  <si>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</si>
  <si>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</si>
  <si>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</si>
  <si>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</si>
  <si>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</si>
  <si>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</si>
  <si>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</si>
  <si>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</si>
  <si>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</si>
  <si>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</si>
  <si>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</si>
  <si>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</si>
  <si>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</si>
  <si>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</si>
  <si>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</si>
  <si>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</si>
  <si>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</si>
  <si>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</si>
  <si>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</si>
  <si>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</si>
  <si>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</si>
  <si>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</si>
  <si>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</si>
  <si>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</si>
  <si>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</si>
  <si>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</si>
  <si>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</si>
  <si>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</si>
  <si>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</si>
  <si>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</si>
  <si>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</si>
  <si>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</si>
  <si>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</si>
  <si>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</si>
  <si>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</si>
  <si>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</si>
  <si>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</si>
  <si>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11 kV Ring Road Feeder</t>
  </si>
  <si>
    <t>11 kV Ganabhaban RMU Feeder</t>
  </si>
  <si>
    <t>DHK14997</t>
  </si>
  <si>
    <t>11 kV Adabor Feeder</t>
  </si>
  <si>
    <t>DHK14957</t>
  </si>
  <si>
    <t>11 kV Gaidertek</t>
  </si>
  <si>
    <t>DHK14996</t>
  </si>
  <si>
    <t>11 kV Tolarbugh</t>
  </si>
  <si>
    <t>DHK27326</t>
  </si>
  <si>
    <t>11 kV Beribadh Feeder</t>
  </si>
  <si>
    <t>DHK14960</t>
  </si>
  <si>
    <t>11 kV South Bisil</t>
  </si>
  <si>
    <t>DHK15017</t>
  </si>
  <si>
    <t>11 kV Lalkhuthy</t>
  </si>
  <si>
    <t>DHK15018</t>
  </si>
  <si>
    <t>11 kV Swerage Feeder</t>
  </si>
  <si>
    <t>DHK14959</t>
  </si>
  <si>
    <t>11 kV Baghbari</t>
  </si>
  <si>
    <t>DHK14956</t>
  </si>
  <si>
    <t>11 kV Technical School</t>
  </si>
  <si>
    <t>DHK15019</t>
  </si>
  <si>
    <t>11 kV Monsurabad Feeder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</si>
  <si>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</si>
  <si>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</si>
  <si>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</si>
  <si>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</si>
  <si>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</si>
  <si>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</si>
  <si>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</si>
  <si>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</si>
  <si>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</si>
  <si>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</si>
  <si>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</si>
  <si>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</si>
  <si>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</si>
  <si>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 (IMP-33 LV)</t>
  </si>
  <si>
    <t>LOSS UNITS=&gt;(132 HV-33 LV)</t>
  </si>
  <si>
    <t>Loss Units=&gt; (IMP-132 HV)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</si>
  <si>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</si>
  <si>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</si>
  <si>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</si>
  <si>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</si>
  <si>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</si>
  <si>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33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</si>
  <si>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</si>
  <si>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</si>
  <si>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</si>
  <si>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</si>
  <si>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</si>
  <si>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</si>
  <si>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</si>
  <si>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</si>
  <si>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</si>
  <si>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</si>
  <si>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</si>
  <si>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</si>
  <si>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</si>
  <si>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</si>
  <si>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</si>
  <si>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</si>
  <si>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</si>
  <si>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</si>
  <si>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</si>
  <si>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</si>
  <si>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kakrail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</si>
  <si>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</si>
  <si>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</si>
  <si>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</si>
  <si>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</si>
  <si>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</si>
  <si>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</si>
  <si>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</si>
  <si>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</si>
  <si>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</si>
  <si>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</si>
  <si>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</si>
  <si>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</si>
  <si>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</si>
  <si>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</si>
  <si>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</si>
  <si>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</si>
  <si>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N. Gonj (East)</t>
  </si>
  <si>
    <t>N. Gonj (west)</t>
  </si>
  <si>
    <t xml:space="preserve">Shitolokka 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</si>
  <si>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</si>
  <si>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</si>
  <si>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</si>
  <si>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</si>
  <si>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</si>
  <si>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</si>
  <si>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</si>
  <si>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Lalbagh old 33/11KV S/S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</si>
  <si>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</si>
  <si>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</si>
  <si>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</si>
  <si>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</si>
  <si>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</si>
  <si>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</si>
  <si>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</si>
  <si>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</si>
  <si>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</si>
  <si>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</si>
  <si>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</si>
  <si>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</si>
  <si>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</si>
  <si>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Consumption</t>
  </si>
  <si>
    <t>Corrected_Consumption</t>
  </si>
  <si>
    <t>Shere Banglanagar</t>
  </si>
  <si>
    <t>Shere Banglanagar at 33 KV level</t>
  </si>
  <si>
    <t>Satmosjit_Shyamoli</t>
  </si>
  <si>
    <t>Rajarbag_
Mogbazar</t>
  </si>
  <si>
    <t>Paribag_Kakrail</t>
  </si>
  <si>
    <t>Jigatola _ Dhanmondi</t>
  </si>
  <si>
    <t>Sherebangla_Satmasjid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</si>
</sst>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_(* #,##0.000000000000000_);_(* \(#,##0.000000000000000\);_(* &quot;-&quot;??_);_(@_)"/>
    <numFmt numFmtId="174" formatCode="_(* #,##0_);_(* \(#,##0\);_(* &quot;-&quot;???_);_(@_)"/>
    <numFmt numFmtId="175" formatCode="0.00000000"/>
    <numFmt numFmtId="176" formatCode="0.0%"/>
    <numFmt numFmtId="177" formatCode="0E+00"/>
    <numFmt numFmtId="178" formatCode="_(* #,##0.0000000_);_(* \(#,##0.0000000\);_(* &quot;-&quot;??_);_(@_)"/>
    <numFmt numFmtId="179" formatCode="#,##0.000"/>
    <numFmt numFmtId="180" formatCode="_(* #,##0.0000_);_(* \(#,##0.0000\);_(* &quot;-&quot;??_);_(@_)"/>
    <numFmt numFmtId="181" formatCode="_(* #,##0.00000_);_(* \(#,##0.00000\);_(* &quot;-&quot;??_);_(@_)"/>
    <numFmt numFmtId="182" formatCode="0.0000000000"/>
    <numFmt numFmtId="183" formatCode="[$-5000445]0"/>
    <numFmt numFmtId="184" formatCode="_(* #,##0.0_);_(* \(#,##0.0\);_(* &quot;-&quot;??_);_(@_)"/>
    <numFmt numFmtId="185" formatCode="_(* #,##0.000_);_(* \(#,##0.000\);_(* &quot;-&quot;??_);_(@_)"/>
    <numFmt numFmtId="186" formatCode="_(* #,##0.000000000000000_);_(* \(#,##0.000000000000000\);_(* &quot;-&quot;???????????????_);_(@_)"/>
    <numFmt numFmtId="187" formatCode="_(* #,##0.00_);_(* \(#,##0.00\);_(* \-??_);_(@_)"/>
  </numFmts>
  <fonts count="209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6.95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color theme="0"/>
      <name val="Times New Roman"/>
      <family val="1"/>
    </font>
    <font>
      <b/>
      <sz val="10"/>
      <name val="Times New Roman"/>
      <family val="1"/>
    </font>
    <font>
      <sz val="6.95"/>
      <name val="Arial"/>
      <family val="2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b/>
      <u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9"/>
      <name val="Arial"/>
      <family val="2"/>
    </font>
    <font>
      <sz val="5.5"/>
      <name val="Arial"/>
      <family val="2"/>
    </font>
    <font>
      <b/>
      <sz val="8"/>
      <name val="Arial Narrow"/>
      <family val="2"/>
    </font>
    <font>
      <sz val="7"/>
      <name val="Arial Narrow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7"/>
      <name val="Arial"/>
      <family val="2"/>
    </font>
    <font>
      <b/>
      <i/>
      <sz val="6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sz val="18"/>
      <name val="Arial"/>
      <family val="2"/>
    </font>
    <font>
      <b/>
      <sz val="5.5"/>
      <name val="Arial"/>
      <family val="2"/>
    </font>
    <font>
      <b/>
      <i/>
      <sz val="12"/>
      <name val="Arial"/>
      <family val="2"/>
    </font>
    <font>
      <b/>
      <sz val="8"/>
      <color theme="0"/>
      <name val="Arial"/>
      <family val="2"/>
    </font>
    <font>
      <sz val="10"/>
      <color theme="0"/>
      <name val="Arial"/>
      <family val="2"/>
    </font>
    <font>
      <sz val="5"/>
      <name val="Arial"/>
      <family val="2"/>
    </font>
    <font>
      <u/>
      <sz val="7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b/>
      <sz val="16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b/>
      <sz val="14"/>
      <name val="Calibri Light"/>
      <family val="2"/>
      <scheme val="major"/>
    </font>
    <font>
      <b/>
      <sz val="12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b/>
      <sz val="18"/>
      <name val="Calibri Light"/>
      <family val="2"/>
      <scheme val="major"/>
    </font>
    <font>
      <b/>
      <sz val="24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b/>
      <sz val="12"/>
      <color theme="1"/>
      <name val="Calibri Light"/>
      <family val="2"/>
      <scheme val="major"/>
    </font>
    <font>
      <sz val="12"/>
      <color rgb="FFFF0000"/>
      <name val="SutonnyMJ"/>
    </font>
    <font>
      <sz val="28"/>
      <name val="Calibri Light"/>
      <family val="2"/>
      <scheme val="major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i/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8.5"/>
      <color theme="8" tint="0.59999389629810485"/>
      <name val="Arial"/>
      <family val="2"/>
    </font>
    <font>
      <b/>
      <sz val="8"/>
      <color theme="8" tint="0.59999389629810485"/>
      <name val="Arial"/>
      <family val="2"/>
    </font>
    <font>
      <sz val="7"/>
      <color theme="8" tint="0.59999389629810485"/>
      <name val="Arial"/>
      <family val="2"/>
    </font>
    <font>
      <sz val="6"/>
      <color theme="8" tint="0.59999389629810485"/>
      <name val="Arial"/>
      <family val="2"/>
    </font>
    <font>
      <sz val="8"/>
      <color theme="8" tint="0.59999389629810485"/>
      <name val="Arial"/>
      <family val="2"/>
    </font>
    <font>
      <sz val="10"/>
      <color theme="8" tint="0.59999389629810485"/>
      <name val="Arial"/>
      <family val="2"/>
    </font>
    <font>
      <b/>
      <sz val="7"/>
      <color theme="8" tint="0.59999389629810485"/>
      <name val="Arial"/>
      <family val="2"/>
    </font>
    <font>
      <b/>
      <sz val="8"/>
      <color theme="4"/>
      <name val="Arial"/>
      <family val="2"/>
    </font>
    <font>
      <sz val="8"/>
      <color theme="3" tint="0.79998168889431442"/>
      <name val="Arial"/>
      <family val="2"/>
    </font>
    <font>
      <sz val="7"/>
      <color theme="3" tint="0.79998168889431442"/>
      <name val="Arial"/>
      <family val="2"/>
    </font>
    <font>
      <sz val="6"/>
      <color theme="3" tint="0.79998168889431442"/>
      <name val="Arial"/>
      <family val="2"/>
    </font>
    <font>
      <sz val="9"/>
      <color theme="8" tint="0.59999389629810485"/>
      <name val="Arial"/>
      <family val="2"/>
    </font>
    <font>
      <sz val="8"/>
      <color theme="8" tint="0.59999389629810485"/>
      <name val="Times New Roman"/>
      <family val="1"/>
    </font>
    <font>
      <b/>
      <sz val="8"/>
      <color theme="8" tint="0.59999389629810485"/>
      <name val="Times New Roman"/>
      <family val="1"/>
    </font>
    <font>
      <sz val="7"/>
      <color theme="8" tint="0.59999389629810485"/>
      <name val="Times New Roman"/>
      <family val="1"/>
    </font>
    <font>
      <sz val="6"/>
      <color theme="8" tint="0.59999389629810485"/>
      <name val="Times New Roman"/>
      <family val="1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sz val="12"/>
      <color rgb="FF993300"/>
      <name val="Times New Roman"/>
      <family val="1"/>
    </font>
    <font>
      <i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i/>
      <sz val="10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</fills>
  <borders count="1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16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99" fillId="0" borderId="0" applyNumberFormat="0" applyFill="0" applyBorder="0" applyAlignment="0" applyProtection="0"/>
    <xf numFmtId="0" fontId="158" fillId="0" borderId="0"/>
    <xf numFmtId="0" fontId="177" fillId="0" borderId="0"/>
    <xf numFmtId="0" fontId="178" fillId="0" borderId="0"/>
    <xf numFmtId="187" fontId="178" fillId="0" borderId="0" applyFill="0" applyBorder="0" applyAlignment="0" applyProtection="0"/>
    <xf numFmtId="0" fontId="179" fillId="0" borderId="0"/>
  </cellStyleXfs>
  <cellXfs count="2429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1" fontId="25" fillId="0" borderId="7" xfId="0" applyNumberFormat="1" applyFont="1" applyBorder="1" applyAlignment="1">
      <alignment horizontal="center" vertical="center" wrapText="1"/>
    </xf>
    <xf numFmtId="0" fontId="30" fillId="0" borderId="0" xfId="4"/>
    <xf numFmtId="43" fontId="31" fillId="0" borderId="0" xfId="5" applyFont="1" applyFill="1" applyAlignment="1">
      <alignment horizontal="center" vertical="center"/>
    </xf>
    <xf numFmtId="166" fontId="31" fillId="0" borderId="0" xfId="5" applyNumberFormat="1" applyFont="1" applyFill="1" applyAlignment="1">
      <alignment horizontal="center" vertical="center"/>
    </xf>
    <xf numFmtId="43" fontId="31" fillId="0" borderId="0" xfId="5" applyFont="1" applyFill="1" applyAlignment="1">
      <alignment horizontal="center" vertical="center" wrapText="1"/>
    </xf>
    <xf numFmtId="166" fontId="31" fillId="0" borderId="0" xfId="5" applyNumberFormat="1" applyFont="1" applyFill="1" applyAlignment="1">
      <alignment horizontal="center" vertical="center" wrapText="1"/>
    </xf>
    <xf numFmtId="166" fontId="35" fillId="0" borderId="0" xfId="5" applyNumberFormat="1" applyFont="1" applyFill="1" applyBorder="1" applyAlignment="1">
      <alignment horizontal="center" vertical="center" wrapText="1"/>
    </xf>
    <xf numFmtId="1" fontId="36" fillId="0" borderId="0" xfId="4" applyNumberFormat="1" applyFont="1" applyAlignment="1">
      <alignment horizontal="center" vertical="center" wrapText="1"/>
    </xf>
    <xf numFmtId="0" fontId="35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43" fontId="36" fillId="0" borderId="7" xfId="5" applyFont="1" applyFill="1" applyBorder="1" applyAlignment="1">
      <alignment horizontal="center" vertical="center" wrapText="1"/>
    </xf>
    <xf numFmtId="166" fontId="36" fillId="0" borderId="9" xfId="5" applyNumberFormat="1" applyFont="1" applyFill="1" applyBorder="1" applyAlignment="1">
      <alignment horizontal="center" vertical="center" wrapText="1"/>
    </xf>
    <xf numFmtId="166" fontId="36" fillId="0" borderId="9" xfId="5" applyNumberFormat="1" applyFont="1" applyFill="1" applyBorder="1" applyAlignment="1">
      <alignment horizontal="center" vertical="center"/>
    </xf>
    <xf numFmtId="166" fontId="36" fillId="0" borderId="7" xfId="5" applyNumberFormat="1" applyFont="1" applyFill="1" applyBorder="1" applyAlignment="1">
      <alignment horizontal="center" vertical="center" wrapText="1"/>
    </xf>
    <xf numFmtId="43" fontId="38" fillId="0" borderId="7" xfId="5" applyFont="1" applyFill="1" applyBorder="1" applyAlignment="1">
      <alignment horizontal="center" vertical="center" wrapText="1"/>
    </xf>
    <xf numFmtId="166" fontId="38" fillId="0" borderId="7" xfId="5" applyNumberFormat="1" applyFont="1" applyFill="1" applyBorder="1" applyAlignment="1">
      <alignment horizontal="center" vertical="center" wrapText="1"/>
    </xf>
    <xf numFmtId="166" fontId="44" fillId="0" borderId="7" xfId="5" applyNumberFormat="1" applyFont="1" applyFill="1" applyBorder="1" applyAlignment="1">
      <alignment horizontal="center" vertical="center" wrapText="1"/>
    </xf>
    <xf numFmtId="0" fontId="30" fillId="0" borderId="7" xfId="4" applyBorder="1"/>
    <xf numFmtId="43" fontId="31" fillId="0" borderId="7" xfId="5" applyFont="1" applyFill="1" applyBorder="1" applyAlignment="1">
      <alignment horizontal="center" vertical="center" wrapText="1"/>
    </xf>
    <xf numFmtId="166" fontId="31" fillId="0" borderId="7" xfId="5" applyNumberFormat="1" applyFont="1" applyFill="1" applyBorder="1" applyAlignment="1">
      <alignment horizontal="center" vertical="center" wrapText="1"/>
    </xf>
    <xf numFmtId="43" fontId="31" fillId="0" borderId="7" xfId="5" applyFont="1" applyFill="1" applyBorder="1" applyAlignment="1">
      <alignment horizontal="center" vertical="center"/>
    </xf>
    <xf numFmtId="166" fontId="31" fillId="0" borderId="7" xfId="5" applyNumberFormat="1" applyFont="1" applyFill="1" applyBorder="1" applyAlignment="1">
      <alignment horizontal="center" vertical="center"/>
    </xf>
    <xf numFmtId="43" fontId="49" fillId="0" borderId="7" xfId="5" applyFont="1" applyFill="1" applyBorder="1" applyAlignment="1">
      <alignment horizontal="center" vertical="center" wrapText="1"/>
    </xf>
    <xf numFmtId="166" fontId="49" fillId="0" borderId="7" xfId="5" applyNumberFormat="1" applyFont="1" applyFill="1" applyBorder="1" applyAlignment="1">
      <alignment horizontal="center" vertical="center" wrapText="1"/>
    </xf>
    <xf numFmtId="43" fontId="36" fillId="0" borderId="12" xfId="5" applyFont="1" applyFill="1" applyBorder="1" applyAlignment="1">
      <alignment horizontal="center" vertical="center" wrapText="1"/>
    </xf>
    <xf numFmtId="43" fontId="36" fillId="0" borderId="11" xfId="5" applyFont="1" applyFill="1" applyBorder="1" applyAlignment="1">
      <alignment horizontal="center" vertical="center" wrapText="1"/>
    </xf>
    <xf numFmtId="43" fontId="36" fillId="0" borderId="0" xfId="5" applyFont="1" applyFill="1" applyAlignment="1">
      <alignment horizontal="center" vertical="center" wrapText="1"/>
    </xf>
    <xf numFmtId="166" fontId="36" fillId="0" borderId="0" xfId="5" applyNumberFormat="1" applyFont="1" applyFill="1" applyAlignment="1">
      <alignment horizontal="center" vertical="center" wrapText="1"/>
    </xf>
    <xf numFmtId="43" fontId="50" fillId="0" borderId="0" xfId="5" applyFont="1" applyFill="1" applyAlignment="1">
      <alignment horizontal="center" vertical="center" wrapText="1"/>
    </xf>
    <xf numFmtId="166" fontId="50" fillId="0" borderId="0" xfId="5" applyNumberFormat="1" applyFont="1" applyFill="1" applyAlignment="1">
      <alignment horizontal="center" vertical="center" wrapText="1"/>
    </xf>
    <xf numFmtId="43" fontId="31" fillId="0" borderId="0" xfId="5" applyFont="1" applyFill="1" applyBorder="1" applyAlignment="1">
      <alignment horizontal="center" vertical="center" wrapText="1"/>
    </xf>
    <xf numFmtId="0" fontId="54" fillId="0" borderId="7" xfId="4" applyFont="1" applyBorder="1" applyAlignment="1">
      <alignment horizontal="center" vertical="center" wrapText="1"/>
    </xf>
    <xf numFmtId="166" fontId="35" fillId="0" borderId="7" xfId="5" applyNumberFormat="1" applyFont="1" applyFill="1" applyBorder="1" applyAlignment="1">
      <alignment horizontal="center" vertical="center" wrapText="1"/>
    </xf>
    <xf numFmtId="166" fontId="36" fillId="0" borderId="10" xfId="5" applyNumberFormat="1" applyFont="1" applyFill="1" applyBorder="1" applyAlignment="1">
      <alignment horizontal="center" vertical="center" wrapText="1"/>
    </xf>
    <xf numFmtId="166" fontId="32" fillId="0" borderId="7" xfId="5" applyNumberFormat="1" applyFont="1" applyFill="1" applyBorder="1" applyAlignment="1">
      <alignment horizontal="center" vertical="center"/>
    </xf>
    <xf numFmtId="166" fontId="31" fillId="0" borderId="0" xfId="5" applyNumberFormat="1" applyFont="1" applyFill="1" applyBorder="1" applyAlignment="1">
      <alignment horizontal="center" vertical="center" wrapText="1"/>
    </xf>
    <xf numFmtId="43" fontId="60" fillId="0" borderId="7" xfId="5" applyFont="1" applyFill="1" applyBorder="1" applyAlignment="1">
      <alignment horizontal="center" vertical="center" wrapText="1"/>
    </xf>
    <xf numFmtId="166" fontId="60" fillId="0" borderId="7" xfId="5" applyNumberFormat="1" applyFont="1" applyFill="1" applyBorder="1" applyAlignment="1">
      <alignment horizontal="center" vertical="center" wrapText="1"/>
    </xf>
    <xf numFmtId="43" fontId="60" fillId="0" borderId="7" xfId="5" applyFont="1" applyFill="1" applyBorder="1" applyAlignment="1">
      <alignment horizontal="center" vertical="center"/>
    </xf>
    <xf numFmtId="43" fontId="31" fillId="0" borderId="12" xfId="5" applyFont="1" applyFill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right" vertical="center" wrapText="1"/>
    </xf>
    <xf numFmtId="1" fontId="30" fillId="0" borderId="0" xfId="4" applyNumberFormat="1"/>
    <xf numFmtId="166" fontId="30" fillId="0" borderId="0" xfId="4" applyNumberFormat="1"/>
    <xf numFmtId="43" fontId="36" fillId="0" borderId="34" xfId="5" applyFont="1" applyFill="1" applyBorder="1" applyAlignment="1">
      <alignment horizontal="center" vertical="center" wrapText="1"/>
    </xf>
    <xf numFmtId="1" fontId="35" fillId="0" borderId="0" xfId="4" applyNumberFormat="1" applyFont="1" applyAlignment="1">
      <alignment horizontal="center" vertical="center" wrapText="1"/>
    </xf>
    <xf numFmtId="1" fontId="35" fillId="0" borderId="0" xfId="4" applyNumberFormat="1" applyFont="1" applyAlignment="1">
      <alignment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0" fontId="54" fillId="0" borderId="0" xfId="4" applyFont="1" applyAlignment="1">
      <alignment horizontal="center" vertical="center" wrapText="1"/>
    </xf>
    <xf numFmtId="0" fontId="35" fillId="0" borderId="0" xfId="4" applyFont="1" applyAlignment="1">
      <alignment vertical="center" wrapText="1"/>
    </xf>
    <xf numFmtId="166" fontId="31" fillId="0" borderId="7" xfId="5" applyNumberFormat="1" applyFont="1" applyFill="1" applyBorder="1" applyAlignment="1">
      <alignment vertical="center" wrapText="1"/>
    </xf>
    <xf numFmtId="0" fontId="35" fillId="0" borderId="0" xfId="4" applyFont="1"/>
    <xf numFmtId="166" fontId="30" fillId="0" borderId="7" xfId="5" applyNumberFormat="1" applyFont="1" applyFill="1" applyBorder="1" applyAlignment="1">
      <alignment horizontal="center" vertical="center"/>
    </xf>
    <xf numFmtId="166" fontId="71" fillId="0" borderId="7" xfId="5" applyNumberFormat="1" applyFont="1" applyFill="1" applyBorder="1" applyAlignment="1">
      <alignment horizontal="center" vertical="center" wrapText="1"/>
    </xf>
    <xf numFmtId="0" fontId="72" fillId="0" borderId="0" xfId="4" applyFont="1"/>
    <xf numFmtId="0" fontId="5" fillId="10" borderId="0" xfId="4" applyFont="1" applyFill="1" applyAlignment="1">
      <alignment horizontal="center"/>
    </xf>
    <xf numFmtId="0" fontId="5" fillId="10" borderId="0" xfId="4" applyFont="1" applyFill="1" applyAlignment="1">
      <alignment horizontal="left"/>
    </xf>
    <xf numFmtId="0" fontId="30" fillId="10" borderId="0" xfId="4" applyFill="1"/>
    <xf numFmtId="0" fontId="75" fillId="0" borderId="0" xfId="4" applyFont="1" applyAlignment="1">
      <alignment horizontal="center"/>
    </xf>
    <xf numFmtId="0" fontId="75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76" fillId="10" borderId="0" xfId="4" applyFont="1" applyFill="1"/>
    <xf numFmtId="0" fontId="77" fillId="0" borderId="0" xfId="4" applyFont="1" applyAlignment="1">
      <alignment horizontal="center"/>
    </xf>
    <xf numFmtId="0" fontId="77" fillId="10" borderId="0" xfId="4" applyFont="1" applyFill="1" applyAlignment="1">
      <alignment horizontal="center"/>
    </xf>
    <xf numFmtId="0" fontId="76" fillId="10" borderId="0" xfId="4" applyFont="1" applyFill="1" applyAlignment="1">
      <alignment horizontal="center"/>
    </xf>
    <xf numFmtId="0" fontId="78" fillId="10" borderId="0" xfId="4" applyFont="1" applyFill="1"/>
    <xf numFmtId="2" fontId="75" fillId="0" borderId="0" xfId="4" applyNumberFormat="1" applyFont="1" applyAlignment="1">
      <alignment horizontal="center"/>
    </xf>
    <xf numFmtId="2" fontId="75" fillId="10" borderId="0" xfId="4" applyNumberFormat="1" applyFont="1" applyFill="1" applyAlignment="1">
      <alignment horizontal="center"/>
    </xf>
    <xf numFmtId="0" fontId="13" fillId="10" borderId="0" xfId="4" applyFont="1" applyFill="1" applyAlignment="1">
      <alignment horizontal="center" vertical="center"/>
    </xf>
    <xf numFmtId="0" fontId="30" fillId="10" borderId="0" xfId="4" applyFill="1" applyAlignment="1">
      <alignment vertical="center"/>
    </xf>
    <xf numFmtId="0" fontId="75" fillId="0" borderId="0" xfId="4" applyFont="1" applyAlignment="1">
      <alignment horizontal="center" vertical="center"/>
    </xf>
    <xf numFmtId="0" fontId="75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5" fillId="10" borderId="7" xfId="4" applyFont="1" applyFill="1" applyBorder="1" applyAlignment="1">
      <alignment horizontal="left"/>
    </xf>
    <xf numFmtId="0" fontId="30" fillId="10" borderId="7" xfId="4" applyFill="1" applyBorder="1"/>
    <xf numFmtId="0" fontId="75" fillId="0" borderId="8" xfId="4" applyFont="1" applyBorder="1" applyAlignment="1">
      <alignment horizontal="center"/>
    </xf>
    <xf numFmtId="0" fontId="75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79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5" fillId="10" borderId="7" xfId="4" applyFont="1" applyFill="1" applyBorder="1" applyAlignment="1">
      <alignment horizontal="center" vertical="center" wrapText="1"/>
    </xf>
    <xf numFmtId="0" fontId="36" fillId="10" borderId="7" xfId="4" applyFont="1" applyFill="1" applyBorder="1" applyAlignment="1">
      <alignment horizontal="center" vertical="center" wrapText="1"/>
    </xf>
    <xf numFmtId="0" fontId="80" fillId="0" borderId="7" xfId="4" applyFont="1" applyBorder="1" applyAlignment="1">
      <alignment horizontal="center" vertical="center" wrapText="1"/>
    </xf>
    <xf numFmtId="0" fontId="80" fillId="10" borderId="7" xfId="4" applyFont="1" applyFill="1" applyBorder="1" applyAlignment="1">
      <alignment horizontal="center" vertical="center" wrapText="1"/>
    </xf>
    <xf numFmtId="14" fontId="36" fillId="10" borderId="40" xfId="4" applyNumberFormat="1" applyFont="1" applyFill="1" applyBorder="1" applyAlignment="1">
      <alignment horizontal="left" vertical="center"/>
    </xf>
    <xf numFmtId="16" fontId="36" fillId="10" borderId="7" xfId="4" applyNumberFormat="1" applyFont="1" applyFill="1" applyBorder="1" applyAlignment="1">
      <alignment horizontal="center" vertical="center" wrapText="1"/>
    </xf>
    <xf numFmtId="16" fontId="49" fillId="10" borderId="7" xfId="4" applyNumberFormat="1" applyFont="1" applyFill="1" applyBorder="1" applyAlignment="1">
      <alignment horizontal="center" vertical="center" wrapText="1"/>
    </xf>
    <xf numFmtId="0" fontId="49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75" fillId="10" borderId="7" xfId="4" applyNumberFormat="1" applyFont="1" applyFill="1" applyBorder="1" applyAlignment="1">
      <alignment horizontal="center" vertical="center"/>
    </xf>
    <xf numFmtId="2" fontId="81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75" fillId="0" borderId="7" xfId="4" applyNumberFormat="1" applyFont="1" applyBorder="1" applyAlignment="1">
      <alignment horizontal="center" vertical="center"/>
    </xf>
    <xf numFmtId="2" fontId="35" fillId="10" borderId="7" xfId="4" applyNumberFormat="1" applyFont="1" applyFill="1" applyBorder="1" applyAlignment="1">
      <alignment horizontal="center" vertical="center"/>
    </xf>
    <xf numFmtId="2" fontId="82" fillId="10" borderId="7" xfId="4" applyNumberFormat="1" applyFont="1" applyFill="1" applyBorder="1" applyAlignment="1">
      <alignment horizontal="center" vertical="center"/>
    </xf>
    <xf numFmtId="2" fontId="83" fillId="10" borderId="7" xfId="4" applyNumberFormat="1" applyFont="1" applyFill="1" applyBorder="1" applyAlignment="1">
      <alignment horizontal="center" vertical="center"/>
    </xf>
    <xf numFmtId="2" fontId="84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85" fillId="10" borderId="7" xfId="4" applyNumberFormat="1" applyFont="1" applyFill="1" applyBorder="1" applyAlignment="1">
      <alignment horizontal="center" vertical="center"/>
    </xf>
    <xf numFmtId="2" fontId="86" fillId="10" borderId="7" xfId="4" applyNumberFormat="1" applyFont="1" applyFill="1" applyBorder="1" applyAlignment="1">
      <alignment horizontal="center" vertical="center"/>
    </xf>
    <xf numFmtId="2" fontId="87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88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75" fillId="10" borderId="10" xfId="4" applyNumberFormat="1" applyFont="1" applyFill="1" applyBorder="1" applyAlignment="1">
      <alignment horizontal="center" vertical="center"/>
    </xf>
    <xf numFmtId="2" fontId="75" fillId="10" borderId="0" xfId="4" applyNumberFormat="1" applyFont="1" applyFill="1" applyAlignment="1">
      <alignment horizontal="center" vertical="center"/>
    </xf>
    <xf numFmtId="2" fontId="81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72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5" fillId="10" borderId="8" xfId="4" applyFont="1" applyFill="1" applyBorder="1" applyAlignment="1">
      <alignment horizontal="center" vertical="center" wrapText="1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89" fillId="10" borderId="7" xfId="4" applyNumberFormat="1" applyFont="1" applyFill="1" applyBorder="1" applyAlignment="1">
      <alignment horizontal="center" vertical="center"/>
    </xf>
    <xf numFmtId="0" fontId="30" fillId="10" borderId="8" xfId="4" applyFill="1" applyBorder="1" applyAlignment="1">
      <alignment horizontal="center" vertical="center" wrapText="1"/>
    </xf>
    <xf numFmtId="0" fontId="32" fillId="10" borderId="7" xfId="4" applyFont="1" applyFill="1" applyBorder="1" applyAlignment="1">
      <alignment horizontal="center" vertical="center"/>
    </xf>
    <xf numFmtId="2" fontId="53" fillId="10" borderId="7" xfId="4" applyNumberFormat="1" applyFont="1" applyFill="1" applyBorder="1" applyAlignment="1">
      <alignment horizontal="center" vertical="center"/>
    </xf>
    <xf numFmtId="2" fontId="90" fillId="10" borderId="7" xfId="4" applyNumberFormat="1" applyFont="1" applyFill="1" applyBorder="1" applyAlignment="1">
      <alignment horizontal="center" vertical="center"/>
    </xf>
    <xf numFmtId="2" fontId="9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81" fillId="10" borderId="7" xfId="4" applyNumberFormat="1" applyFont="1" applyFill="1" applyBorder="1"/>
    <xf numFmtId="2" fontId="75" fillId="0" borderId="11" xfId="4" applyNumberFormat="1" applyFont="1" applyBorder="1" applyAlignment="1">
      <alignment horizontal="center" vertical="center"/>
    </xf>
    <xf numFmtId="2" fontId="75" fillId="10" borderId="11" xfId="4" applyNumberFormat="1" applyFont="1" applyFill="1" applyBorder="1" applyAlignment="1">
      <alignment horizontal="center" vertical="center"/>
    </xf>
    <xf numFmtId="2" fontId="75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75" fillId="0" borderId="7" xfId="4" applyNumberFormat="1" applyFont="1" applyBorder="1" applyAlignment="1">
      <alignment horizontal="center"/>
    </xf>
    <xf numFmtId="0" fontId="30" fillId="0" borderId="7" xfId="4" applyBorder="1" applyAlignment="1">
      <alignment horizontal="left" wrapText="1"/>
    </xf>
    <xf numFmtId="2" fontId="30" fillId="10" borderId="11" xfId="4" applyNumberFormat="1" applyFill="1" applyBorder="1" applyAlignment="1">
      <alignment horizontal="center" vertical="center" wrapText="1"/>
    </xf>
    <xf numFmtId="0" fontId="50" fillId="10" borderId="0" xfId="4" applyFont="1" applyFill="1" applyAlignment="1">
      <alignment horizontal="center" vertical="center"/>
    </xf>
    <xf numFmtId="14" fontId="36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92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6" fillId="10" borderId="41" xfId="4" applyFont="1" applyFill="1" applyBorder="1" applyAlignment="1">
      <alignment horizontal="center" vertical="center" wrapText="1"/>
    </xf>
    <xf numFmtId="14" fontId="36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6" fillId="10" borderId="0" xfId="4" applyFont="1" applyFill="1" applyAlignment="1">
      <alignment horizontal="left" vertical="center"/>
    </xf>
    <xf numFmtId="14" fontId="79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93" fillId="10" borderId="7" xfId="4" applyNumberFormat="1" applyFont="1" applyFill="1" applyBorder="1" applyAlignment="1">
      <alignment horizontal="right" vertical="center" wrapText="1"/>
    </xf>
    <xf numFmtId="168" fontId="79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6" fillId="10" borderId="42" xfId="4" applyNumberFormat="1" applyFont="1" applyFill="1" applyBorder="1" applyAlignment="1">
      <alignment horizontal="center" vertical="center"/>
    </xf>
    <xf numFmtId="14" fontId="36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79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92" fillId="10" borderId="7" xfId="4" applyNumberFormat="1" applyFont="1" applyFill="1" applyBorder="1"/>
    <xf numFmtId="168" fontId="92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92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6" fillId="10" borderId="0" xfId="4" applyFont="1" applyFill="1"/>
    <xf numFmtId="14" fontId="36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94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93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92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92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92" fillId="10" borderId="7" xfId="4" applyNumberFormat="1" applyFont="1" applyFill="1" applyBorder="1" applyAlignment="1">
      <alignment horizontal="right" vertical="center"/>
    </xf>
    <xf numFmtId="0" fontId="36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6" fillId="10" borderId="0" xfId="4" applyFont="1" applyFill="1" applyAlignment="1">
      <alignment vertical="center"/>
    </xf>
    <xf numFmtId="0" fontId="50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9" fontId="95" fillId="10" borderId="7" xfId="4" applyNumberFormat="1" applyFont="1" applyFill="1" applyBorder="1" applyProtection="1">
      <protection locked="0"/>
    </xf>
    <xf numFmtId="2" fontId="94" fillId="10" borderId="7" xfId="4" applyNumberFormat="1" applyFont="1" applyFill="1" applyBorder="1"/>
    <xf numFmtId="1" fontId="36" fillId="10" borderId="7" xfId="4" applyNumberFormat="1" applyFont="1" applyFill="1" applyBorder="1" applyAlignment="1">
      <alignment horizontal="right" vertical="center"/>
    </xf>
    <xf numFmtId="2" fontId="94" fillId="10" borderId="7" xfId="4" applyNumberFormat="1" applyFont="1" applyFill="1" applyBorder="1" applyAlignment="1">
      <alignment vertical="center"/>
    </xf>
    <xf numFmtId="2" fontId="92" fillId="10" borderId="7" xfId="4" applyNumberFormat="1" applyFont="1" applyFill="1" applyBorder="1" applyAlignment="1">
      <alignment vertical="center"/>
    </xf>
    <xf numFmtId="14" fontId="36" fillId="10" borderId="45" xfId="4" applyNumberFormat="1" applyFont="1" applyFill="1" applyBorder="1" applyAlignment="1">
      <alignment horizontal="center" vertical="center"/>
    </xf>
    <xf numFmtId="165" fontId="92" fillId="10" borderId="7" xfId="4" applyNumberFormat="1" applyFont="1" applyFill="1" applyBorder="1"/>
    <xf numFmtId="165" fontId="92" fillId="10" borderId="7" xfId="4" applyNumberFormat="1" applyFont="1" applyFill="1" applyBorder="1" applyAlignment="1">
      <alignment horizontal="right" vertical="center"/>
    </xf>
    <xf numFmtId="165" fontId="92" fillId="10" borderId="7" xfId="4" applyNumberFormat="1" applyFont="1" applyFill="1" applyBorder="1" applyAlignment="1">
      <alignment vertical="center"/>
    </xf>
    <xf numFmtId="4" fontId="38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42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95" fillId="10" borderId="7" xfId="4" applyNumberFormat="1" applyFont="1" applyFill="1" applyBorder="1" applyAlignment="1">
      <alignment vertical="center" wrapText="1"/>
    </xf>
    <xf numFmtId="2" fontId="95" fillId="10" borderId="7" xfId="4" applyNumberFormat="1" applyFont="1" applyFill="1" applyBorder="1"/>
    <xf numFmtId="2" fontId="96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6" fillId="10" borderId="0" xfId="4" applyFont="1" applyFill="1" applyAlignment="1">
      <alignment vertical="center" wrapText="1"/>
    </xf>
    <xf numFmtId="4" fontId="38" fillId="10" borderId="0" xfId="4" applyNumberFormat="1" applyFont="1" applyFill="1" applyAlignment="1">
      <alignment horizontal="center" vertical="center" wrapText="1"/>
    </xf>
    <xf numFmtId="0" fontId="95" fillId="10" borderId="7" xfId="4" applyFont="1" applyFill="1" applyBorder="1" applyAlignment="1">
      <alignment horizontal="center" vertical="center"/>
    </xf>
    <xf numFmtId="0" fontId="36" fillId="10" borderId="7" xfId="4" applyFont="1" applyFill="1" applyBorder="1" applyAlignment="1">
      <alignment horizontal="center" vertical="center"/>
    </xf>
    <xf numFmtId="4" fontId="97" fillId="10" borderId="32" xfId="4" applyNumberFormat="1" applyFont="1" applyFill="1" applyBorder="1" applyAlignment="1">
      <alignment vertical="center" wrapText="1"/>
    </xf>
    <xf numFmtId="49" fontId="92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94" fillId="10" borderId="7" xfId="4" applyFont="1" applyFill="1" applyBorder="1"/>
    <xf numFmtId="0" fontId="94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6" fillId="10" borderId="0" xfId="4" applyFont="1" applyFill="1" applyAlignment="1">
      <alignment horizontal="left"/>
    </xf>
    <xf numFmtId="165" fontId="95" fillId="10" borderId="7" xfId="4" applyNumberFormat="1" applyFont="1" applyFill="1" applyBorder="1" applyAlignment="1">
      <alignment horizontal="center" vertical="center"/>
    </xf>
    <xf numFmtId="165" fontId="36" fillId="10" borderId="7" xfId="4" applyNumberFormat="1" applyFont="1" applyFill="1" applyBorder="1" applyAlignment="1">
      <alignment vertical="center"/>
    </xf>
    <xf numFmtId="2" fontId="95" fillId="10" borderId="7" xfId="4" applyNumberFormat="1" applyFont="1" applyFill="1" applyBorder="1" applyAlignment="1" applyProtection="1">
      <alignment horizontal="right" vertical="center"/>
      <protection locked="0"/>
    </xf>
    <xf numFmtId="1" fontId="95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92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/>
    </xf>
    <xf numFmtId="165" fontId="95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95" fillId="10" borderId="7" xfId="4" applyFont="1" applyFill="1" applyBorder="1"/>
    <xf numFmtId="2" fontId="36" fillId="10" borderId="7" xfId="4" applyNumberFormat="1" applyFont="1" applyFill="1" applyBorder="1" applyAlignment="1">
      <alignment horizontal="right" vertical="center"/>
    </xf>
    <xf numFmtId="2" fontId="92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94" fillId="10" borderId="7" xfId="4" applyNumberFormat="1" applyFont="1" applyFill="1" applyBorder="1" applyAlignment="1">
      <alignment horizontal="right"/>
    </xf>
    <xf numFmtId="0" fontId="36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92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92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6" fillId="10" borderId="0" xfId="4" applyNumberFormat="1" applyFont="1" applyFill="1" applyAlignment="1">
      <alignment horizontal="center" vertical="center"/>
    </xf>
    <xf numFmtId="2" fontId="94" fillId="10" borderId="7" xfId="4" applyNumberFormat="1" applyFont="1" applyFill="1" applyBorder="1" applyAlignment="1">
      <alignment horizontal="right"/>
    </xf>
    <xf numFmtId="0" fontId="94" fillId="10" borderId="7" xfId="4" applyFont="1" applyFill="1" applyBorder="1" applyAlignment="1">
      <alignment horizontal="right"/>
    </xf>
    <xf numFmtId="0" fontId="98" fillId="0" borderId="0" xfId="4" applyFont="1"/>
    <xf numFmtId="0" fontId="100" fillId="0" borderId="0" xfId="3" applyFont="1" applyFill="1" applyBorder="1"/>
    <xf numFmtId="0" fontId="100" fillId="0" borderId="0" xfId="3" applyFont="1" applyFill="1"/>
    <xf numFmtId="0" fontId="102" fillId="0" borderId="0" xfId="3" applyFont="1" applyFill="1" applyAlignment="1">
      <alignment horizontal="center"/>
    </xf>
    <xf numFmtId="0" fontId="103" fillId="0" borderId="0" xfId="4" applyFont="1" applyAlignment="1">
      <alignment horizontal="center" vertical="center" wrapText="1"/>
    </xf>
    <xf numFmtId="0" fontId="104" fillId="0" borderId="0" xfId="3" applyFont="1" applyFill="1"/>
    <xf numFmtId="0" fontId="102" fillId="0" borderId="0" xfId="3" applyFont="1" applyFill="1"/>
    <xf numFmtId="0" fontId="105" fillId="0" borderId="0" xfId="3" applyFont="1" applyFill="1" applyAlignment="1">
      <alignment vertical="center"/>
    </xf>
    <xf numFmtId="0" fontId="105" fillId="0" borderId="26" xfId="3" applyFont="1" applyFill="1" applyBorder="1" applyAlignment="1">
      <alignment vertical="center"/>
    </xf>
    <xf numFmtId="0" fontId="106" fillId="0" borderId="7" xfId="3" applyFont="1" applyFill="1" applyBorder="1" applyAlignment="1">
      <alignment horizontal="center" vertical="center" wrapText="1"/>
    </xf>
    <xf numFmtId="0" fontId="107" fillId="0" borderId="7" xfId="4" applyFont="1" applyBorder="1" applyAlignment="1">
      <alignment horizontal="center" vertical="center" wrapText="1"/>
    </xf>
    <xf numFmtId="0" fontId="106" fillId="0" borderId="7" xfId="3" applyFont="1" applyFill="1" applyBorder="1"/>
    <xf numFmtId="0" fontId="102" fillId="0" borderId="0" xfId="3" applyFont="1" applyFill="1" applyBorder="1"/>
    <xf numFmtId="0" fontId="108" fillId="0" borderId="7" xfId="4" applyFont="1" applyBorder="1" applyAlignment="1">
      <alignment horizontal="center" vertical="center" wrapText="1"/>
    </xf>
    <xf numFmtId="0" fontId="62" fillId="0" borderId="7" xfId="4" applyFont="1" applyBorder="1" applyAlignment="1">
      <alignment horizontal="center" vertical="center" wrapText="1"/>
    </xf>
    <xf numFmtId="0" fontId="104" fillId="0" borderId="7" xfId="3" applyFont="1" applyFill="1" applyBorder="1" applyAlignment="1">
      <alignment horizontal="center" vertical="center" wrapText="1"/>
    </xf>
    <xf numFmtId="166" fontId="104" fillId="0" borderId="7" xfId="5" applyNumberFormat="1" applyFont="1" applyFill="1" applyBorder="1" applyAlignment="1">
      <alignment horizontal="center" vertical="center" wrapText="1"/>
    </xf>
    <xf numFmtId="180" fontId="104" fillId="0" borderId="7" xfId="5" applyNumberFormat="1" applyFont="1" applyFill="1" applyBorder="1" applyAlignment="1">
      <alignment horizontal="center" vertical="center" wrapText="1"/>
    </xf>
    <xf numFmtId="43" fontId="104" fillId="0" borderId="7" xfId="5" applyFont="1" applyFill="1" applyBorder="1" applyAlignment="1">
      <alignment horizontal="center" vertical="center" wrapText="1"/>
    </xf>
    <xf numFmtId="181" fontId="104" fillId="0" borderId="7" xfId="5" applyNumberFormat="1" applyFont="1" applyFill="1" applyBorder="1" applyAlignment="1">
      <alignment horizontal="center" vertical="center" wrapText="1"/>
    </xf>
    <xf numFmtId="182" fontId="109" fillId="0" borderId="0" xfId="3" applyNumberFormat="1" applyFont="1" applyFill="1" applyBorder="1" applyAlignment="1">
      <alignment horizontal="center" vertical="center" wrapText="1"/>
    </xf>
    <xf numFmtId="183" fontId="107" fillId="0" borderId="7" xfId="4" applyNumberFormat="1" applyFont="1" applyBorder="1" applyAlignment="1">
      <alignment horizontal="center" vertical="center" wrapText="1"/>
    </xf>
    <xf numFmtId="0" fontId="110" fillId="0" borderId="7" xfId="4" applyFont="1" applyBorder="1" applyAlignment="1">
      <alignment horizontal="center" vertical="center" wrapText="1"/>
    </xf>
    <xf numFmtId="166" fontId="111" fillId="0" borderId="7" xfId="5" applyNumberFormat="1" applyFont="1" applyBorder="1" applyAlignment="1">
      <alignment horizontal="center" vertical="center" wrapText="1"/>
    </xf>
    <xf numFmtId="184" fontId="112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111" fillId="0" borderId="7" xfId="5" applyFont="1" applyBorder="1" applyAlignment="1">
      <alignment horizontal="center" vertical="center" wrapText="1"/>
    </xf>
    <xf numFmtId="185" fontId="113" fillId="0" borderId="7" xfId="5" applyNumberFormat="1" applyFont="1" applyBorder="1" applyAlignment="1">
      <alignment horizontal="center" vertical="center" wrapText="1"/>
    </xf>
    <xf numFmtId="43" fontId="114" fillId="0" borderId="7" xfId="5" applyFont="1" applyBorder="1" applyAlignment="1">
      <alignment horizontal="center" vertical="center" wrapText="1"/>
    </xf>
    <xf numFmtId="165" fontId="109" fillId="0" borderId="7" xfId="3" applyNumberFormat="1" applyFont="1" applyFill="1" applyBorder="1" applyAlignment="1">
      <alignment horizontal="right" vertical="center" wrapText="1"/>
    </xf>
    <xf numFmtId="167" fontId="109" fillId="0" borderId="0" xfId="3" applyNumberFormat="1" applyFont="1" applyFill="1" applyBorder="1" applyAlignment="1">
      <alignment horizontal="center" vertical="center" wrapText="1"/>
    </xf>
    <xf numFmtId="185" fontId="114" fillId="0" borderId="7" xfId="5" applyNumberFormat="1" applyFont="1" applyBorder="1" applyAlignment="1">
      <alignment horizontal="center" vertical="center" wrapText="1"/>
    </xf>
    <xf numFmtId="1" fontId="109" fillId="0" borderId="7" xfId="3" applyNumberFormat="1" applyFont="1" applyFill="1" applyBorder="1" applyAlignment="1">
      <alignment horizontal="right" vertical="center" wrapText="1"/>
    </xf>
    <xf numFmtId="1" fontId="109" fillId="0" borderId="0" xfId="3" applyNumberFormat="1" applyFont="1" applyFill="1" applyBorder="1" applyAlignment="1">
      <alignment horizontal="center" vertical="center" wrapText="1"/>
    </xf>
    <xf numFmtId="2" fontId="109" fillId="0" borderId="0" xfId="3" applyNumberFormat="1" applyFont="1" applyFill="1" applyBorder="1" applyAlignment="1">
      <alignment horizontal="center" vertical="center" wrapText="1"/>
    </xf>
    <xf numFmtId="185" fontId="104" fillId="0" borderId="7" xfId="5" applyNumberFormat="1" applyFont="1" applyFill="1" applyBorder="1" applyAlignment="1">
      <alignment horizontal="center" vertical="center" wrapText="1"/>
    </xf>
    <xf numFmtId="171" fontId="109" fillId="0" borderId="0" xfId="3" applyNumberFormat="1" applyFont="1" applyFill="1" applyBorder="1" applyAlignment="1">
      <alignment horizontal="center" vertical="center" wrapText="1"/>
    </xf>
    <xf numFmtId="0" fontId="110" fillId="0" borderId="8" xfId="4" applyFont="1" applyBorder="1" applyAlignment="1">
      <alignment horizontal="center" vertical="center" wrapText="1"/>
    </xf>
    <xf numFmtId="166" fontId="111" fillId="10" borderId="7" xfId="4" applyNumberFormat="1" applyFont="1" applyFill="1" applyBorder="1" applyAlignment="1">
      <alignment horizontal="center" vertical="center" wrapText="1"/>
    </xf>
    <xf numFmtId="2" fontId="113" fillId="0" borderId="7" xfId="4" applyNumberFormat="1" applyFont="1" applyBorder="1" applyAlignment="1">
      <alignment horizontal="center" vertical="center" wrapText="1"/>
    </xf>
    <xf numFmtId="43" fontId="111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105" fillId="0" borderId="7" xfId="3" applyFont="1" applyFill="1" applyBorder="1" applyAlignment="1">
      <alignment horizontal="center" vertical="center" wrapText="1"/>
    </xf>
    <xf numFmtId="166" fontId="105" fillId="0" borderId="7" xfId="5" applyNumberFormat="1" applyFont="1" applyFill="1" applyBorder="1" applyAlignment="1">
      <alignment horizontal="center" vertical="center" wrapText="1"/>
    </xf>
    <xf numFmtId="185" fontId="105" fillId="0" borderId="7" xfId="5" applyNumberFormat="1" applyFont="1" applyFill="1" applyBorder="1" applyAlignment="1">
      <alignment horizontal="center" vertical="center" wrapText="1"/>
    </xf>
    <xf numFmtId="43" fontId="105" fillId="0" borderId="7" xfId="5" applyFont="1" applyFill="1" applyBorder="1" applyAlignment="1">
      <alignment horizontal="center" vertical="center" wrapText="1"/>
    </xf>
    <xf numFmtId="169" fontId="109" fillId="0" borderId="7" xfId="3" applyNumberFormat="1" applyFont="1" applyFill="1" applyBorder="1" applyAlignment="1">
      <alignment horizontal="right" vertical="center"/>
    </xf>
    <xf numFmtId="0" fontId="107" fillId="0" borderId="8" xfId="4" applyFont="1" applyBorder="1" applyAlignment="1">
      <alignment horizontal="center" vertical="center" wrapText="1"/>
    </xf>
    <xf numFmtId="166" fontId="115" fillId="0" borderId="7" xfId="5" applyNumberFormat="1" applyFont="1" applyBorder="1" applyAlignment="1">
      <alignment horizontal="center" vertical="center" wrapText="1"/>
    </xf>
    <xf numFmtId="184" fontId="116" fillId="0" borderId="7" xfId="4" applyNumberFormat="1" applyFont="1" applyBorder="1" applyAlignment="1">
      <alignment vertical="center" wrapText="1"/>
    </xf>
    <xf numFmtId="0" fontId="114" fillId="0" borderId="7" xfId="4" applyFont="1" applyBorder="1" applyAlignment="1">
      <alignment horizontal="center" vertical="center" wrapText="1"/>
    </xf>
    <xf numFmtId="43" fontId="115" fillId="0" borderId="7" xfId="5" applyFont="1" applyBorder="1" applyAlignment="1">
      <alignment horizontal="center" vertical="center" wrapText="1"/>
    </xf>
    <xf numFmtId="184" fontId="117" fillId="0" borderId="7" xfId="5" applyNumberFormat="1" applyFont="1" applyBorder="1" applyAlignment="1">
      <alignment vertical="center" wrapText="1"/>
    </xf>
    <xf numFmtId="185" fontId="117" fillId="0" borderId="7" xfId="5" applyNumberFormat="1" applyFont="1" applyBorder="1" applyAlignment="1">
      <alignment horizontal="center" vertical="center" wrapText="1"/>
    </xf>
    <xf numFmtId="175" fontId="118" fillId="0" borderId="7" xfId="3" applyNumberFormat="1" applyFont="1" applyFill="1" applyBorder="1"/>
    <xf numFmtId="0" fontId="119" fillId="0" borderId="7" xfId="4" applyFont="1" applyBorder="1" applyAlignment="1">
      <alignment horizontal="center" vertical="center" wrapText="1"/>
    </xf>
    <xf numFmtId="43" fontId="119" fillId="0" borderId="7" xfId="5" applyFont="1" applyBorder="1" applyAlignment="1">
      <alignment horizontal="center" vertical="center" wrapText="1"/>
    </xf>
    <xf numFmtId="43" fontId="118" fillId="0" borderId="0" xfId="3" applyNumberFormat="1" applyFont="1" applyFill="1" applyBorder="1"/>
    <xf numFmtId="183" fontId="110" fillId="0" borderId="7" xfId="4" applyNumberFormat="1" applyFont="1" applyBorder="1" applyAlignment="1">
      <alignment horizontal="center" vertical="center" wrapText="1"/>
    </xf>
    <xf numFmtId="166" fontId="120" fillId="0" borderId="7" xfId="5" applyNumberFormat="1" applyFont="1" applyBorder="1" applyAlignment="1">
      <alignment horizontal="center" vertical="center" wrapText="1"/>
    </xf>
    <xf numFmtId="0" fontId="113" fillId="0" borderId="7" xfId="4" applyFont="1" applyBorder="1" applyAlignment="1">
      <alignment horizontal="center" vertical="center" wrapText="1"/>
    </xf>
    <xf numFmtId="43" fontId="120" fillId="0" borderId="7" xfId="5" applyFont="1" applyBorder="1" applyAlignment="1">
      <alignment horizontal="center" vertical="center" wrapText="1"/>
    </xf>
    <xf numFmtId="43" fontId="113" fillId="0" borderId="7" xfId="5" applyFont="1" applyBorder="1" applyAlignment="1">
      <alignment horizontal="center" vertical="center" wrapText="1"/>
    </xf>
    <xf numFmtId="2" fontId="109" fillId="0" borderId="7" xfId="3" applyNumberFormat="1" applyFont="1" applyFill="1" applyBorder="1" applyAlignment="1">
      <alignment horizontal="center" vertical="center" wrapText="1"/>
    </xf>
    <xf numFmtId="0" fontId="121" fillId="0" borderId="0" xfId="3" applyFont="1" applyFill="1" applyBorder="1" applyAlignment="1">
      <alignment vertical="center" wrapText="1"/>
    </xf>
    <xf numFmtId="0" fontId="118" fillId="0" borderId="24" xfId="3" applyFont="1" applyFill="1" applyBorder="1" applyAlignment="1">
      <alignment horizontal="center" vertical="center" wrapText="1"/>
    </xf>
    <xf numFmtId="2" fontId="122" fillId="0" borderId="24" xfId="3" applyNumberFormat="1" applyFont="1" applyFill="1" applyBorder="1" applyAlignment="1">
      <alignment horizontal="center" vertical="center"/>
    </xf>
    <xf numFmtId="2" fontId="105" fillId="0" borderId="24" xfId="5" applyNumberFormat="1" applyFont="1" applyFill="1" applyBorder="1" applyAlignment="1">
      <alignment vertical="center"/>
    </xf>
    <xf numFmtId="2" fontId="123" fillId="0" borderId="24" xfId="5" applyNumberFormat="1" applyFont="1" applyFill="1" applyBorder="1" applyAlignment="1">
      <alignment vertical="center"/>
    </xf>
    <xf numFmtId="166" fontId="105" fillId="0" borderId="24" xfId="5" applyNumberFormat="1" applyFont="1" applyFill="1" applyBorder="1" applyAlignment="1">
      <alignment horizontal="center" vertical="center" wrapText="1"/>
    </xf>
    <xf numFmtId="175" fontId="118" fillId="0" borderId="24" xfId="3" applyNumberFormat="1" applyFont="1" applyFill="1" applyBorder="1"/>
    <xf numFmtId="0" fontId="124" fillId="0" borderId="0" xfId="3" applyFont="1" applyFill="1" applyBorder="1" applyAlignment="1">
      <alignment horizontal="center" vertical="center" wrapText="1"/>
    </xf>
    <xf numFmtId="0" fontId="104" fillId="0" borderId="7" xfId="3" applyFont="1" applyFill="1" applyBorder="1" applyAlignment="1">
      <alignment horizontal="center" vertical="center"/>
    </xf>
    <xf numFmtId="184" fontId="104" fillId="0" borderId="7" xfId="5" applyNumberFormat="1" applyFont="1" applyFill="1" applyBorder="1" applyAlignment="1">
      <alignment horizontal="center" vertical="center" wrapText="1"/>
    </xf>
    <xf numFmtId="0" fontId="121" fillId="0" borderId="0" xfId="3" applyFont="1" applyFill="1" applyBorder="1" applyAlignment="1">
      <alignment horizontal="center" vertical="center" wrapText="1"/>
    </xf>
    <xf numFmtId="0" fontId="72" fillId="0" borderId="0" xfId="4" applyFont="1" applyAlignment="1">
      <alignment horizontal="center" vertical="center"/>
    </xf>
    <xf numFmtId="0" fontId="118" fillId="0" borderId="0" xfId="3" applyFont="1" applyFill="1" applyBorder="1" applyAlignment="1">
      <alignment horizontal="center" vertical="center" wrapText="1"/>
    </xf>
    <xf numFmtId="0" fontId="118" fillId="0" borderId="0" xfId="3" applyFont="1" applyFill="1" applyBorder="1" applyAlignment="1">
      <alignment horizontal="center" vertical="center"/>
    </xf>
    <xf numFmtId="166" fontId="105" fillId="0" borderId="0" xfId="5" applyNumberFormat="1" applyFont="1" applyFill="1" applyBorder="1" applyAlignment="1">
      <alignment horizontal="left" vertical="center" wrapText="1"/>
    </xf>
    <xf numFmtId="185" fontId="105" fillId="0" borderId="0" xfId="5" applyNumberFormat="1" applyFont="1" applyFill="1" applyBorder="1" applyAlignment="1">
      <alignment horizontal="center" vertical="center" wrapText="1"/>
    </xf>
    <xf numFmtId="43" fontId="105" fillId="0" borderId="0" xfId="5" applyFont="1" applyFill="1" applyBorder="1" applyAlignment="1">
      <alignment horizontal="center" vertical="center" wrapText="1"/>
    </xf>
    <xf numFmtId="175" fontId="118" fillId="0" borderId="0" xfId="3" applyNumberFormat="1" applyFont="1" applyFill="1" applyBorder="1"/>
    <xf numFmtId="0" fontId="104" fillId="0" borderId="0" xfId="3" applyFont="1" applyFill="1" applyAlignment="1">
      <alignment horizontal="center"/>
    </xf>
    <xf numFmtId="1" fontId="121" fillId="0" borderId="0" xfId="3" applyNumberFormat="1" applyFont="1" applyFill="1" applyBorder="1" applyAlignment="1">
      <alignment horizontal="center" vertical="center" wrapText="1"/>
    </xf>
    <xf numFmtId="0" fontId="125" fillId="0" borderId="0" xfId="3" applyFont="1" applyFill="1" applyBorder="1" applyAlignment="1">
      <alignment horizontal="center" vertical="center" wrapText="1"/>
    </xf>
    <xf numFmtId="0" fontId="109" fillId="0" borderId="0" xfId="3" applyFont="1" applyFill="1" applyBorder="1" applyAlignment="1">
      <alignment horizontal="center" vertical="center" wrapText="1"/>
    </xf>
    <xf numFmtId="184" fontId="121" fillId="0" borderId="0" xfId="5" applyNumberFormat="1" applyFont="1" applyFill="1" applyBorder="1" applyAlignment="1">
      <alignment horizontal="center" vertical="center" wrapText="1"/>
    </xf>
    <xf numFmtId="43" fontId="121" fillId="0" borderId="0" xfId="5" applyFont="1" applyFill="1" applyBorder="1" applyAlignment="1">
      <alignment horizontal="center" vertical="center" wrapText="1"/>
    </xf>
    <xf numFmtId="43" fontId="121" fillId="0" borderId="0" xfId="3" applyNumberFormat="1" applyFont="1" applyFill="1" applyBorder="1" applyAlignment="1">
      <alignment horizontal="center" vertical="center" wrapText="1"/>
    </xf>
    <xf numFmtId="0" fontId="100" fillId="0" borderId="0" xfId="3" applyFont="1" applyFill="1" applyBorder="1" applyAlignment="1">
      <alignment horizontal="center" vertical="center" wrapText="1"/>
    </xf>
    <xf numFmtId="184" fontId="121" fillId="0" borderId="0" xfId="3" applyNumberFormat="1" applyFont="1" applyFill="1" applyBorder="1" applyAlignment="1">
      <alignment horizontal="center" vertical="center" wrapText="1"/>
    </xf>
    <xf numFmtId="185" fontId="121" fillId="0" borderId="0" xfId="3" applyNumberFormat="1" applyFont="1" applyFill="1" applyBorder="1" applyAlignment="1">
      <alignment horizontal="center" vertical="center" wrapText="1"/>
    </xf>
    <xf numFmtId="49" fontId="100" fillId="0" borderId="7" xfId="3" applyNumberFormat="1" applyFont="1" applyFill="1" applyBorder="1" applyAlignment="1">
      <alignment vertical="center"/>
    </xf>
    <xf numFmtId="0" fontId="100" fillId="0" borderId="7" xfId="3" applyFont="1" applyFill="1" applyBorder="1" applyAlignment="1">
      <alignment horizontal="center" vertical="center" wrapText="1"/>
    </xf>
    <xf numFmtId="1" fontId="100" fillId="0" borderId="7" xfId="3" applyNumberFormat="1" applyFont="1" applyFill="1" applyBorder="1" applyAlignment="1">
      <alignment horizontal="center" vertical="center" wrapText="1"/>
    </xf>
    <xf numFmtId="167" fontId="100" fillId="0" borderId="7" xfId="3" applyNumberFormat="1" applyFont="1" applyFill="1" applyBorder="1" applyAlignment="1">
      <alignment horizontal="center" vertical="center" wrapText="1"/>
    </xf>
    <xf numFmtId="0" fontId="100" fillId="0" borderId="7" xfId="3" applyFont="1" applyFill="1" applyBorder="1" applyAlignment="1">
      <alignment horizontal="right" vertical="center" wrapText="1"/>
    </xf>
    <xf numFmtId="1" fontId="100" fillId="0" borderId="0" xfId="3" applyNumberFormat="1" applyFont="1" applyFill="1"/>
    <xf numFmtId="49" fontId="100" fillId="0" borderId="26" xfId="3" applyNumberFormat="1" applyFont="1" applyFill="1" applyBorder="1" applyAlignment="1">
      <alignment vertical="center"/>
    </xf>
    <xf numFmtId="17" fontId="100" fillId="0" borderId="26" xfId="3" applyNumberFormat="1" applyFont="1" applyFill="1" applyBorder="1" applyAlignment="1">
      <alignment vertical="center"/>
    </xf>
    <xf numFmtId="17" fontId="100" fillId="0" borderId="7" xfId="3" applyNumberFormat="1" applyFont="1" applyFill="1" applyBorder="1" applyAlignment="1">
      <alignment horizontal="center" vertical="center"/>
    </xf>
    <xf numFmtId="1" fontId="127" fillId="0" borderId="7" xfId="3" applyNumberFormat="1" applyFont="1" applyFill="1" applyBorder="1" applyAlignment="1">
      <alignment horizontal="center" vertical="center"/>
    </xf>
    <xf numFmtId="0" fontId="127" fillId="0" borderId="7" xfId="3" applyFont="1" applyFill="1" applyBorder="1" applyAlignment="1">
      <alignment horizontal="center" vertical="center"/>
    </xf>
    <xf numFmtId="1" fontId="128" fillId="0" borderId="7" xfId="3" applyNumberFormat="1" applyFont="1" applyFill="1" applyBorder="1" applyAlignment="1">
      <alignment horizontal="center" vertical="center"/>
    </xf>
    <xf numFmtId="0" fontId="128" fillId="0" borderId="7" xfId="3" applyFont="1" applyFill="1" applyBorder="1" applyAlignment="1">
      <alignment horizontal="center" vertical="center"/>
    </xf>
    <xf numFmtId="167" fontId="100" fillId="10" borderId="7" xfId="3" applyNumberFormat="1" applyFont="1" applyFill="1" applyBorder="1" applyAlignment="1">
      <alignment horizontal="center" vertical="center" wrapText="1"/>
    </xf>
    <xf numFmtId="1" fontId="129" fillId="0" borderId="7" xfId="3" applyNumberFormat="1" applyFont="1" applyFill="1" applyBorder="1" applyAlignment="1">
      <alignment horizontal="center" vertical="center"/>
    </xf>
    <xf numFmtId="0" fontId="129" fillId="0" borderId="7" xfId="3" applyFont="1" applyFill="1" applyBorder="1" applyAlignment="1">
      <alignment horizontal="center" vertical="center"/>
    </xf>
    <xf numFmtId="0" fontId="130" fillId="0" borderId="0" xfId="4" applyFont="1"/>
    <xf numFmtId="49" fontId="129" fillId="0" borderId="7" xfId="3" applyNumberFormat="1" applyFont="1" applyFill="1" applyBorder="1" applyAlignment="1">
      <alignment horizontal="center" vertical="center"/>
    </xf>
    <xf numFmtId="1" fontId="129" fillId="0" borderId="7" xfId="3" applyNumberFormat="1" applyFont="1" applyFill="1" applyBorder="1" applyAlignment="1">
      <alignment horizontal="center" vertical="center" wrapText="1"/>
    </xf>
    <xf numFmtId="167" fontId="129" fillId="0" borderId="7" xfId="3" applyNumberFormat="1" applyFont="1" applyFill="1" applyBorder="1" applyAlignment="1">
      <alignment horizontal="center" vertical="center" wrapText="1"/>
    </xf>
    <xf numFmtId="1" fontId="131" fillId="0" borderId="7" xfId="3" applyNumberFormat="1" applyFont="1" applyFill="1" applyBorder="1" applyAlignment="1">
      <alignment horizontal="center" vertical="center"/>
    </xf>
    <xf numFmtId="49" fontId="131" fillId="0" borderId="7" xfId="3" applyNumberFormat="1" applyFont="1" applyFill="1" applyBorder="1" applyAlignment="1">
      <alignment horizontal="center" vertical="center"/>
    </xf>
    <xf numFmtId="167" fontId="131" fillId="0" borderId="7" xfId="3" applyNumberFormat="1" applyFont="1" applyFill="1" applyBorder="1" applyAlignment="1">
      <alignment horizontal="center" vertical="center"/>
    </xf>
    <xf numFmtId="0" fontId="132" fillId="0" borderId="0" xfId="4" applyFont="1"/>
    <xf numFmtId="167" fontId="121" fillId="10" borderId="7" xfId="3" applyNumberFormat="1" applyFont="1" applyFill="1" applyBorder="1" applyAlignment="1">
      <alignment horizontal="center" vertical="center" wrapText="1"/>
    </xf>
    <xf numFmtId="17" fontId="131" fillId="0" borderId="7" xfId="3" applyNumberFormat="1" applyFont="1" applyFill="1" applyBorder="1" applyAlignment="1">
      <alignment horizontal="center" vertical="center"/>
    </xf>
    <xf numFmtId="1" fontId="100" fillId="0" borderId="7" xfId="3" applyNumberFormat="1" applyFont="1" applyFill="1" applyBorder="1" applyAlignment="1">
      <alignment horizontal="center" vertical="center"/>
    </xf>
    <xf numFmtId="0" fontId="100" fillId="0" borderId="7" xfId="3" applyFont="1" applyFill="1" applyBorder="1" applyAlignment="1">
      <alignment horizontal="center"/>
    </xf>
    <xf numFmtId="1" fontId="100" fillId="0" borderId="7" xfId="3" applyNumberFormat="1" applyFont="1" applyFill="1" applyBorder="1" applyAlignment="1">
      <alignment horizontal="center"/>
    </xf>
    <xf numFmtId="17" fontId="100" fillId="0" borderId="0" xfId="3" applyNumberFormat="1" applyFont="1" applyFill="1" applyBorder="1" applyAlignment="1">
      <alignment horizontal="center" vertical="center"/>
    </xf>
    <xf numFmtId="17" fontId="100" fillId="0" borderId="0" xfId="3" applyNumberFormat="1" applyFont="1" applyFill="1"/>
    <xf numFmtId="0" fontId="100" fillId="0" borderId="0" xfId="3" applyFont="1" applyFill="1" applyAlignment="1">
      <alignment horizontal="center" vertical="center"/>
    </xf>
    <xf numFmtId="0" fontId="100" fillId="0" borderId="7" xfId="3" applyFont="1" applyFill="1" applyBorder="1" applyAlignment="1">
      <alignment horizontal="center" vertical="center"/>
    </xf>
    <xf numFmtId="1" fontId="121" fillId="0" borderId="7" xfId="3" applyNumberFormat="1" applyFont="1" applyFill="1" applyBorder="1" applyAlignment="1">
      <alignment horizontal="center" vertical="center"/>
    </xf>
    <xf numFmtId="0" fontId="114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5" fillId="0" borderId="0" xfId="5" applyFont="1" applyFill="1"/>
    <xf numFmtId="166" fontId="35" fillId="0" borderId="0" xfId="5" applyNumberFormat="1" applyFont="1" applyFill="1"/>
    <xf numFmtId="43" fontId="30" fillId="0" borderId="0" xfId="5" applyFont="1" applyFill="1"/>
    <xf numFmtId="166" fontId="133" fillId="0" borderId="0" xfId="5" applyNumberFormat="1" applyFont="1" applyFill="1" applyAlignment="1">
      <alignment vertical="center"/>
    </xf>
    <xf numFmtId="43" fontId="30" fillId="0" borderId="0" xfId="4" applyNumberFormat="1"/>
    <xf numFmtId="166" fontId="134" fillId="0" borderId="0" xfId="5" applyNumberFormat="1" applyFont="1" applyFill="1" applyAlignment="1">
      <alignment vertical="center"/>
    </xf>
    <xf numFmtId="166" fontId="124" fillId="0" borderId="0" xfId="5" applyNumberFormat="1" applyFont="1" applyFill="1" applyAlignment="1">
      <alignment vertical="center"/>
    </xf>
    <xf numFmtId="0" fontId="100" fillId="0" borderId="0" xfId="3" applyFont="1" applyFill="1" applyAlignment="1">
      <alignment horizontal="center"/>
    </xf>
    <xf numFmtId="0" fontId="136" fillId="0" borderId="0" xfId="4" applyFont="1" applyAlignment="1">
      <alignment horizontal="center" vertical="center" wrapText="1"/>
    </xf>
    <xf numFmtId="0" fontId="135" fillId="0" borderId="0" xfId="3" applyFont="1" applyFill="1"/>
    <xf numFmtId="17" fontId="135" fillId="0" borderId="0" xfId="3" applyNumberFormat="1" applyFont="1" applyFill="1" applyAlignment="1">
      <alignment horizontal="right"/>
    </xf>
    <xf numFmtId="0" fontId="135" fillId="0" borderId="0" xfId="3" applyFont="1" applyFill="1" applyAlignment="1">
      <alignment horizontal="left"/>
    </xf>
    <xf numFmtId="0" fontId="100" fillId="0" borderId="0" xfId="3" applyFont="1" applyFill="1" applyAlignment="1">
      <alignment horizontal="left"/>
    </xf>
    <xf numFmtId="1" fontId="114" fillId="0" borderId="0" xfId="4" applyNumberFormat="1" applyFont="1" applyAlignment="1">
      <alignment horizontal="center" vertical="center" wrapText="1"/>
    </xf>
    <xf numFmtId="0" fontId="114" fillId="11" borderId="7" xfId="4" applyFont="1" applyFill="1" applyBorder="1" applyAlignment="1">
      <alignment horizontal="center" vertical="center" wrapText="1"/>
    </xf>
    <xf numFmtId="1" fontId="117" fillId="11" borderId="7" xfId="4" applyNumberFormat="1" applyFont="1" applyFill="1" applyBorder="1" applyAlignment="1">
      <alignment horizontal="center" vertical="center" wrapText="1"/>
    </xf>
    <xf numFmtId="1" fontId="116" fillId="0" borderId="7" xfId="4" applyNumberFormat="1" applyFont="1" applyBorder="1" applyAlignment="1">
      <alignment horizontal="center" vertical="center" wrapText="1"/>
    </xf>
    <xf numFmtId="49" fontId="135" fillId="0" borderId="26" xfId="3" applyNumberFormat="1" applyFont="1" applyFill="1" applyBorder="1" applyAlignment="1">
      <alignment horizontal="left" vertical="center"/>
    </xf>
    <xf numFmtId="0" fontId="137" fillId="0" borderId="0" xfId="4" applyFont="1" applyAlignment="1">
      <alignment horizontal="center" vertical="center" wrapText="1"/>
    </xf>
    <xf numFmtId="0" fontId="138" fillId="0" borderId="7" xfId="3" applyFont="1" applyFill="1" applyBorder="1" applyAlignment="1">
      <alignment horizontal="center" vertical="center" wrapText="1"/>
    </xf>
    <xf numFmtId="0" fontId="139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0" fontId="141" fillId="0" borderId="7" xfId="3" applyFont="1" applyFill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40" fillId="0" borderId="8" xfId="4" applyFont="1" applyBorder="1" applyAlignment="1">
      <alignment horizontal="center" vertical="center" wrapText="1"/>
    </xf>
    <xf numFmtId="0" fontId="140" fillId="0" borderId="10" xfId="4" applyFont="1" applyBorder="1" applyAlignment="1">
      <alignment horizontal="center" vertical="center" wrapText="1"/>
    </xf>
    <xf numFmtId="0" fontId="102" fillId="0" borderId="7" xfId="3" applyFont="1" applyFill="1" applyBorder="1" applyAlignment="1">
      <alignment horizontal="center" vertical="center" wrapText="1"/>
    </xf>
    <xf numFmtId="1" fontId="102" fillId="0" borderId="7" xfId="3" applyNumberFormat="1" applyFont="1" applyFill="1" applyBorder="1" applyAlignment="1">
      <alignment horizontal="center" vertical="center" wrapText="1"/>
    </xf>
    <xf numFmtId="166" fontId="102" fillId="0" borderId="7" xfId="5" applyNumberFormat="1" applyFont="1" applyFill="1" applyBorder="1" applyAlignment="1">
      <alignment horizontal="center" vertical="center" wrapText="1"/>
    </xf>
    <xf numFmtId="0" fontId="102" fillId="0" borderId="7" xfId="3" applyFont="1" applyFill="1" applyBorder="1" applyAlignment="1">
      <alignment horizontal="center" vertical="center"/>
    </xf>
    <xf numFmtId="1" fontId="100" fillId="0" borderId="0" xfId="3" applyNumberFormat="1" applyFont="1" applyFill="1" applyBorder="1" applyAlignment="1">
      <alignment horizontal="center" vertical="center"/>
    </xf>
    <xf numFmtId="166" fontId="116" fillId="0" borderId="7" xfId="5" applyNumberFormat="1" applyFont="1" applyBorder="1" applyAlignment="1">
      <alignment horizontal="center" vertical="center" wrapText="1"/>
    </xf>
    <xf numFmtId="166" fontId="117" fillId="0" borderId="7" xfId="5" applyNumberFormat="1" applyFont="1" applyBorder="1" applyAlignment="1">
      <alignment horizontal="center" vertical="center" wrapText="1"/>
    </xf>
    <xf numFmtId="166" fontId="114" fillId="7" borderId="7" xfId="5" applyNumberFormat="1" applyFont="1" applyFill="1" applyBorder="1" applyAlignment="1">
      <alignment horizontal="center" vertical="center" wrapText="1"/>
    </xf>
    <xf numFmtId="166" fontId="142" fillId="7" borderId="7" xfId="5" applyNumberFormat="1" applyFont="1" applyFill="1" applyBorder="1" applyAlignment="1">
      <alignment horizontal="center" vertical="center" wrapText="1"/>
    </xf>
    <xf numFmtId="166" fontId="113" fillId="0" borderId="7" xfId="5" applyNumberFormat="1" applyFont="1" applyBorder="1" applyAlignment="1">
      <alignment horizontal="center" vertical="center" wrapText="1"/>
    </xf>
    <xf numFmtId="166" fontId="114" fillId="0" borderId="7" xfId="5" applyNumberFormat="1" applyFont="1" applyBorder="1" applyAlignment="1">
      <alignment horizontal="center" vertical="center" wrapText="1"/>
    </xf>
    <xf numFmtId="166" fontId="142" fillId="0" borderId="7" xfId="5" applyNumberFormat="1" applyFont="1" applyBorder="1" applyAlignment="1">
      <alignment horizontal="center" vertical="center" wrapText="1"/>
    </xf>
    <xf numFmtId="1" fontId="102" fillId="10" borderId="7" xfId="3" applyNumberFormat="1" applyFont="1" applyFill="1" applyBorder="1" applyAlignment="1">
      <alignment horizontal="center" vertical="center" wrapText="1"/>
    </xf>
    <xf numFmtId="1" fontId="102" fillId="0" borderId="7" xfId="3" applyNumberFormat="1" applyFont="1" applyFill="1" applyBorder="1" applyAlignment="1">
      <alignment horizontal="center" vertical="center"/>
    </xf>
    <xf numFmtId="167" fontId="100" fillId="0" borderId="0" xfId="3" applyNumberFormat="1" applyFont="1" applyFill="1" applyBorder="1" applyAlignment="1">
      <alignment horizontal="center" vertical="center"/>
    </xf>
    <xf numFmtId="166" fontId="114" fillId="0" borderId="7" xfId="5" applyNumberFormat="1" applyFont="1" applyFill="1" applyBorder="1" applyAlignment="1">
      <alignment horizontal="center" vertical="center" wrapText="1"/>
    </xf>
    <xf numFmtId="166" fontId="114" fillId="12" borderId="7" xfId="5" applyNumberFormat="1" applyFont="1" applyFill="1" applyBorder="1" applyAlignment="1">
      <alignment horizontal="center" vertical="center" wrapText="1"/>
    </xf>
    <xf numFmtId="1" fontId="114" fillId="0" borderId="7" xfId="4" applyNumberFormat="1" applyFont="1" applyBorder="1" applyAlignment="1">
      <alignment horizontal="center" vertical="center" wrapText="1"/>
    </xf>
    <xf numFmtId="0" fontId="114" fillId="0" borderId="8" xfId="4" applyFont="1" applyBorder="1" applyAlignment="1">
      <alignment horizontal="center" vertical="center" wrapText="1"/>
    </xf>
    <xf numFmtId="0" fontId="138" fillId="0" borderId="8" xfId="3" applyFont="1" applyFill="1" applyBorder="1" applyAlignment="1">
      <alignment horizontal="center" vertical="center" wrapText="1"/>
    </xf>
    <xf numFmtId="2" fontId="100" fillId="0" borderId="0" xfId="3" applyNumberFormat="1" applyFont="1" applyFill="1" applyBorder="1" applyAlignment="1">
      <alignment horizontal="center" vertical="center"/>
    </xf>
    <xf numFmtId="166" fontId="109" fillId="0" borderId="0" xfId="3" applyNumberFormat="1" applyFont="1" applyFill="1" applyAlignment="1">
      <alignment horizontal="center" vertical="center"/>
    </xf>
    <xf numFmtId="2" fontId="30" fillId="0" borderId="0" xfId="4" applyNumberFormat="1"/>
    <xf numFmtId="1" fontId="116" fillId="7" borderId="7" xfId="4" applyNumberFormat="1" applyFont="1" applyFill="1" applyBorder="1" applyAlignment="1">
      <alignment horizontal="center" vertical="center" wrapText="1"/>
    </xf>
    <xf numFmtId="1" fontId="142" fillId="7" borderId="7" xfId="4" applyNumberFormat="1" applyFont="1" applyFill="1" applyBorder="1" applyAlignment="1">
      <alignment horizontal="center" vertical="center" wrapText="1"/>
    </xf>
    <xf numFmtId="1" fontId="114" fillId="7" borderId="7" xfId="4" applyNumberFormat="1" applyFont="1" applyFill="1" applyBorder="1" applyAlignment="1">
      <alignment horizontal="center" vertical="center" wrapText="1"/>
    </xf>
    <xf numFmtId="0" fontId="114" fillId="7" borderId="7" xfId="4" applyFont="1" applyFill="1" applyBorder="1" applyAlignment="1">
      <alignment horizontal="center" vertical="center" wrapText="1"/>
    </xf>
    <xf numFmtId="0" fontId="102" fillId="0" borderId="0" xfId="3" applyFont="1" applyFill="1" applyBorder="1" applyAlignment="1">
      <alignment horizontal="center" vertical="center" wrapText="1"/>
    </xf>
    <xf numFmtId="0" fontId="138" fillId="0" borderId="0" xfId="3" applyFont="1" applyFill="1" applyBorder="1" applyAlignment="1">
      <alignment horizontal="center" vertical="center" wrapText="1"/>
    </xf>
    <xf numFmtId="0" fontId="138" fillId="0" borderId="9" xfId="3" applyFont="1" applyFill="1" applyBorder="1" applyAlignment="1">
      <alignment horizontal="center" vertical="center" wrapText="1"/>
    </xf>
    <xf numFmtId="166" fontId="102" fillId="0" borderId="0" xfId="5" applyNumberFormat="1" applyFont="1" applyFill="1" applyBorder="1" applyAlignment="1">
      <alignment horizontal="center" vertical="center" wrapText="1"/>
    </xf>
    <xf numFmtId="1" fontId="102" fillId="0" borderId="0" xfId="3" applyNumberFormat="1" applyFont="1" applyFill="1" applyBorder="1" applyAlignment="1">
      <alignment horizontal="center" vertical="center" wrapText="1"/>
    </xf>
    <xf numFmtId="0" fontId="114" fillId="7" borderId="0" xfId="4" applyFont="1" applyFill="1" applyAlignment="1">
      <alignment horizontal="center" vertical="center" wrapText="1"/>
    </xf>
    <xf numFmtId="1" fontId="116" fillId="7" borderId="0" xfId="4" applyNumberFormat="1" applyFont="1" applyFill="1" applyAlignment="1">
      <alignment horizontal="center" vertical="center" wrapText="1"/>
    </xf>
    <xf numFmtId="1" fontId="142" fillId="7" borderId="0" xfId="4" applyNumberFormat="1" applyFont="1" applyFill="1" applyAlignment="1">
      <alignment horizontal="center" vertical="center" wrapText="1"/>
    </xf>
    <xf numFmtId="1" fontId="114" fillId="7" borderId="0" xfId="4" applyNumberFormat="1" applyFont="1" applyFill="1" applyAlignment="1">
      <alignment horizontal="center" vertical="center" wrapText="1"/>
    </xf>
    <xf numFmtId="166" fontId="102" fillId="0" borderId="7" xfId="3" applyNumberFormat="1" applyFont="1" applyFill="1" applyBorder="1" applyAlignment="1">
      <alignment vertical="center"/>
    </xf>
    <xf numFmtId="1" fontId="102" fillId="0" borderId="0" xfId="3" applyNumberFormat="1" applyFont="1" applyFill="1"/>
    <xf numFmtId="166" fontId="102" fillId="0" borderId="0" xfId="3" applyNumberFormat="1" applyFont="1" applyFill="1"/>
    <xf numFmtId="1" fontId="133" fillId="0" borderId="0" xfId="3" applyNumberFormat="1" applyFont="1" applyFill="1" applyAlignment="1">
      <alignment vertical="center"/>
    </xf>
    <xf numFmtId="1" fontId="143" fillId="0" borderId="0" xfId="3" applyNumberFormat="1" applyFont="1" applyFill="1" applyAlignment="1">
      <alignment vertical="center"/>
    </xf>
    <xf numFmtId="0" fontId="135" fillId="0" borderId="0" xfId="3" applyFont="1" applyFill="1" applyAlignment="1">
      <alignment horizontal="center" vertical="center"/>
    </xf>
    <xf numFmtId="2" fontId="114" fillId="0" borderId="0" xfId="4" applyNumberFormat="1" applyFont="1" applyAlignment="1">
      <alignment horizontal="center" vertical="center" wrapText="1"/>
    </xf>
    <xf numFmtId="0" fontId="100" fillId="0" borderId="0" xfId="3" applyFont="1" applyFill="1" applyAlignment="1">
      <alignment horizontal="left" vertical="center" wrapText="1"/>
    </xf>
    <xf numFmtId="0" fontId="119" fillId="0" borderId="0" xfId="4" applyFont="1"/>
    <xf numFmtId="0" fontId="144" fillId="0" borderId="0" xfId="4" applyFont="1" applyAlignment="1">
      <alignment horizontal="center" vertical="center"/>
    </xf>
    <xf numFmtId="0" fontId="114" fillId="0" borderId="0" xfId="4" applyFont="1"/>
    <xf numFmtId="0" fontId="114" fillId="0" borderId="0" xfId="4" applyFont="1" applyAlignment="1">
      <alignment horizontal="center" vertical="center"/>
    </xf>
    <xf numFmtId="0" fontId="100" fillId="0" borderId="0" xfId="3" applyFont="1" applyFill="1" applyBorder="1" applyAlignment="1">
      <alignment horizontal="center"/>
    </xf>
    <xf numFmtId="0" fontId="114" fillId="0" borderId="0" xfId="4" quotePrefix="1" applyFont="1" applyAlignment="1">
      <alignment horizontal="center" vertical="center" wrapText="1"/>
    </xf>
    <xf numFmtId="17" fontId="100" fillId="0" borderId="0" xfId="3" applyNumberFormat="1" applyFont="1" applyFill="1" applyAlignment="1">
      <alignment horizontal="right"/>
    </xf>
    <xf numFmtId="166" fontId="100" fillId="0" borderId="7" xfId="3" applyNumberFormat="1" applyFont="1" applyFill="1" applyBorder="1" applyAlignment="1">
      <alignment horizontal="center" vertical="center"/>
    </xf>
    <xf numFmtId="166" fontId="100" fillId="0" borderId="7" xfId="3" applyNumberFormat="1" applyFont="1" applyFill="1" applyBorder="1" applyAlignment="1">
      <alignment horizontal="center"/>
    </xf>
    <xf numFmtId="167" fontId="35" fillId="0" borderId="0" xfId="4" applyNumberFormat="1" applyFont="1" applyAlignment="1">
      <alignment vertical="center" wrapText="1"/>
    </xf>
    <xf numFmtId="1" fontId="100" fillId="0" borderId="0" xfId="3" applyNumberFormat="1" applyFont="1" applyFill="1" applyBorder="1"/>
    <xf numFmtId="1" fontId="100" fillId="0" borderId="0" xfId="3" applyNumberFormat="1" applyFont="1" applyFill="1" applyBorder="1" applyAlignment="1">
      <alignment horizontal="center"/>
    </xf>
    <xf numFmtId="17" fontId="100" fillId="0" borderId="0" xfId="3" applyNumberFormat="1" applyFont="1" applyFill="1" applyBorder="1" applyAlignment="1">
      <alignment vertical="center"/>
    </xf>
    <xf numFmtId="0" fontId="100" fillId="0" borderId="0" xfId="3" applyFont="1" applyFill="1" applyBorder="1" applyAlignment="1">
      <alignment vertical="center"/>
    </xf>
    <xf numFmtId="1" fontId="100" fillId="0" borderId="0" xfId="3" applyNumberFormat="1" applyFont="1" applyFill="1" applyBorder="1" applyAlignment="1">
      <alignment horizontal="center" vertical="center" wrapText="1"/>
    </xf>
    <xf numFmtId="0" fontId="100" fillId="0" borderId="0" xfId="3" applyFont="1" applyFill="1" applyBorder="1" applyAlignment="1">
      <alignment horizontal="right" vertical="center" wrapText="1"/>
    </xf>
    <xf numFmtId="165" fontId="100" fillId="0" borderId="0" xfId="3" applyNumberFormat="1" applyFont="1" applyFill="1" applyBorder="1" applyAlignment="1">
      <alignment horizontal="center" vertical="center" wrapText="1"/>
    </xf>
    <xf numFmtId="0" fontId="100" fillId="0" borderId="0" xfId="3" applyFont="1" applyFill="1" applyBorder="1" applyAlignment="1">
      <alignment horizontal="right"/>
    </xf>
    <xf numFmtId="0" fontId="100" fillId="0" borderId="0" xfId="3" applyFont="1" applyFill="1" applyBorder="1" applyAlignment="1"/>
    <xf numFmtId="0" fontId="100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45" fillId="0" borderId="0" xfId="0" applyFont="1"/>
    <xf numFmtId="0" fontId="146" fillId="0" borderId="7" xfId="0" applyFont="1" applyBorder="1" applyAlignment="1">
      <alignment horizontal="left" vertical="center" wrapText="1"/>
    </xf>
    <xf numFmtId="0" fontId="146" fillId="0" borderId="7" xfId="0" applyFont="1" applyBorder="1" applyAlignment="1">
      <alignment vertical="center" wrapText="1"/>
    </xf>
    <xf numFmtId="0" fontId="14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left" vertical="center" wrapText="1"/>
    </xf>
    <xf numFmtId="0" fontId="43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47" fillId="0" borderId="0" xfId="0" applyFont="1"/>
    <xf numFmtId="0" fontId="145" fillId="0" borderId="7" xfId="0" applyFont="1" applyBorder="1"/>
    <xf numFmtId="0" fontId="147" fillId="0" borderId="7" xfId="0" applyFont="1" applyBorder="1"/>
    <xf numFmtId="0" fontId="147" fillId="0" borderId="0" xfId="0" applyFont="1" applyAlignment="1">
      <alignment horizontal="center" vertical="center"/>
    </xf>
    <xf numFmtId="0" fontId="145" fillId="0" borderId="7" xfId="0" applyFont="1" applyBorder="1" applyAlignment="1">
      <alignment horizontal="center" vertical="center"/>
    </xf>
    <xf numFmtId="1" fontId="43" fillId="0" borderId="7" xfId="0" applyNumberFormat="1" applyFont="1" applyBorder="1" applyAlignment="1">
      <alignment vertical="center"/>
    </xf>
    <xf numFmtId="1" fontId="43" fillId="0" borderId="7" xfId="0" applyNumberFormat="1" applyFont="1" applyBorder="1" applyAlignment="1">
      <alignment horizontal="center" vertical="center"/>
    </xf>
    <xf numFmtId="2" fontId="43" fillId="0" borderId="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 wrapText="1"/>
    </xf>
    <xf numFmtId="2" fontId="14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4" fillId="0" borderId="7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45" fillId="0" borderId="0" xfId="0" applyFont="1" applyAlignment="1">
      <alignment vertical="center"/>
    </xf>
    <xf numFmtId="0" fontId="148" fillId="0" borderId="0" xfId="0" applyFont="1" applyAlignment="1">
      <alignment vertical="center"/>
    </xf>
    <xf numFmtId="0" fontId="25" fillId="0" borderId="12" xfId="0" applyFont="1" applyBorder="1" applyAlignment="1">
      <alignment horizontal="right" vertical="center" wrapText="1"/>
    </xf>
    <xf numFmtId="1" fontId="11" fillId="0" borderId="7" xfId="0" applyNumberFormat="1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2" fontId="7" fillId="0" borderId="7" xfId="0" applyNumberFormat="1" applyFont="1" applyBorder="1" applyAlignment="1">
      <alignment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165" fontId="7" fillId="0" borderId="12" xfId="0" applyNumberFormat="1" applyFont="1" applyBorder="1" applyAlignment="1">
      <alignment horizontal="right" vertical="center" wrapText="1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45" fillId="0" borderId="0" xfId="0" applyFont="1" applyAlignment="1">
      <alignment horizontal="center"/>
    </xf>
    <xf numFmtId="170" fontId="14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45" fillId="0" borderId="37" xfId="0" applyNumberFormat="1" applyFont="1" applyBorder="1" applyAlignment="1">
      <alignment horizontal="center" vertical="center"/>
    </xf>
    <xf numFmtId="1" fontId="149" fillId="0" borderId="35" xfId="0" applyNumberFormat="1" applyFont="1" applyBorder="1" applyAlignment="1">
      <alignment horizontal="center" vertical="center"/>
    </xf>
    <xf numFmtId="1" fontId="14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5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45" fillId="0" borderId="7" xfId="0" applyNumberFormat="1" applyFont="1" applyBorder="1" applyAlignment="1">
      <alignment horizontal="center" vertical="center" wrapText="1"/>
    </xf>
    <xf numFmtId="1" fontId="150" fillId="0" borderId="7" xfId="0" applyNumberFormat="1" applyFont="1" applyBorder="1" applyAlignment="1">
      <alignment horizontal="center" vertical="center" wrapText="1"/>
    </xf>
    <xf numFmtId="2" fontId="15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4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" fontId="19" fillId="0" borderId="7" xfId="1" applyNumberFormat="1" applyFont="1" applyFill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1" fillId="2" borderId="1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1" fillId="2" borderId="7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166" fontId="45" fillId="0" borderId="7" xfId="0" applyNumberFormat="1" applyFont="1" applyBorder="1" applyAlignment="1">
      <alignment horizontal="center" vertical="center"/>
    </xf>
    <xf numFmtId="0" fontId="76" fillId="0" borderId="9" xfId="0" applyFont="1" applyBorder="1" applyAlignment="1">
      <alignment vertical="center"/>
    </xf>
    <xf numFmtId="0" fontId="76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45" fillId="9" borderId="0" xfId="0" applyFont="1" applyFill="1"/>
    <xf numFmtId="0" fontId="147" fillId="9" borderId="0" xfId="0" applyFont="1" applyFill="1" applyAlignment="1">
      <alignment horizontal="center" vertical="center"/>
    </xf>
    <xf numFmtId="0" fontId="147" fillId="9" borderId="0" xfId="0" applyFont="1" applyFill="1"/>
    <xf numFmtId="0" fontId="29" fillId="9" borderId="0" xfId="0" applyFont="1" applyFill="1"/>
    <xf numFmtId="0" fontId="145" fillId="9" borderId="0" xfId="0" applyFont="1" applyFill="1" applyAlignment="1">
      <alignment horizontal="center" vertical="center"/>
    </xf>
    <xf numFmtId="167" fontId="10" fillId="0" borderId="7" xfId="0" applyNumberFormat="1" applyFont="1" applyBorder="1" applyAlignment="1">
      <alignment horizontal="center" vertical="center" wrapText="1"/>
    </xf>
    <xf numFmtId="0" fontId="156" fillId="0" borderId="18" xfId="0" applyFont="1" applyBorder="1" applyAlignment="1">
      <alignment horizontal="center" vertical="center"/>
    </xf>
    <xf numFmtId="0" fontId="156" fillId="0" borderId="29" xfId="0" applyFont="1" applyBorder="1" applyAlignment="1">
      <alignment horizontal="center" vertical="center"/>
    </xf>
    <xf numFmtId="0" fontId="156" fillId="7" borderId="29" xfId="0" applyFont="1" applyFill="1" applyBorder="1" applyAlignment="1">
      <alignment horizontal="center" vertical="center"/>
    </xf>
    <xf numFmtId="0" fontId="157" fillId="0" borderId="64" xfId="0" applyFont="1" applyBorder="1" applyAlignment="1">
      <alignment horizontal="center" vertical="center"/>
    </xf>
    <xf numFmtId="0" fontId="157" fillId="0" borderId="34" xfId="0" applyFont="1" applyBorder="1" applyAlignment="1">
      <alignment horizontal="center" vertical="center"/>
    </xf>
    <xf numFmtId="0" fontId="157" fillId="0" borderId="18" xfId="0" applyFont="1" applyBorder="1" applyAlignment="1">
      <alignment horizontal="center" vertical="center"/>
    </xf>
    <xf numFmtId="0" fontId="157" fillId="5" borderId="34" xfId="0" applyFont="1" applyFill="1" applyBorder="1" applyAlignment="1">
      <alignment horizontal="center" vertical="center" wrapText="1"/>
    </xf>
    <xf numFmtId="0" fontId="157" fillId="7" borderId="34" xfId="0" applyFont="1" applyFill="1" applyBorder="1" applyAlignment="1">
      <alignment horizontal="center" vertical="center" wrapText="1"/>
    </xf>
    <xf numFmtId="0" fontId="157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4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165" fontId="7" fillId="7" borderId="7" xfId="0" applyNumberFormat="1" applyFont="1" applyFill="1" applyBorder="1" applyAlignment="1">
      <alignment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45" fillId="7" borderId="0" xfId="0" applyFont="1" applyFill="1"/>
    <xf numFmtId="1" fontId="43" fillId="7" borderId="7" xfId="0" applyNumberFormat="1" applyFont="1" applyFill="1" applyBorder="1" applyAlignment="1">
      <alignment vertical="center"/>
    </xf>
    <xf numFmtId="1" fontId="43" fillId="7" borderId="7" xfId="0" applyNumberFormat="1" applyFont="1" applyFill="1" applyBorder="1" applyAlignment="1">
      <alignment horizontal="center" vertical="center"/>
    </xf>
    <xf numFmtId="2" fontId="43" fillId="7" borderId="7" xfId="0" applyNumberFormat="1" applyFont="1" applyFill="1" applyBorder="1" applyAlignment="1">
      <alignment horizontal="center" vertical="center"/>
    </xf>
    <xf numFmtId="1" fontId="43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45" fillId="0" borderId="0" xfId="0" applyNumberFormat="1" applyFont="1"/>
    <xf numFmtId="2" fontId="6" fillId="2" borderId="1" xfId="0" applyNumberFormat="1" applyFont="1" applyFill="1" applyBorder="1" applyAlignment="1">
      <alignment horizontal="center" vertical="center"/>
    </xf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6" fillId="2" borderId="7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145" fillId="9" borderId="0" xfId="0" applyNumberFormat="1" applyFont="1" applyFill="1"/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6" fillId="2" borderId="1" xfId="0" applyNumberFormat="1" applyFont="1" applyFill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4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168" fontId="23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31" fillId="0" borderId="0" xfId="11" applyFont="1" applyAlignment="1">
      <alignment horizontal="center" vertical="center"/>
    </xf>
    <xf numFmtId="0" fontId="34" fillId="0" borderId="0" xfId="11" applyFont="1" applyAlignment="1">
      <alignment horizontal="center" vertical="center"/>
    </xf>
    <xf numFmtId="0" fontId="30" fillId="0" borderId="0" xfId="11" applyFont="1"/>
    <xf numFmtId="2" fontId="31" fillId="0" borderId="0" xfId="11" applyNumberFormat="1" applyFont="1" applyAlignment="1">
      <alignment horizontal="center" vertical="center"/>
    </xf>
    <xf numFmtId="0" fontId="1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31" fillId="0" borderId="0" xfId="11" applyFont="1" applyAlignment="1">
      <alignment horizontal="right" vertical="center"/>
    </xf>
    <xf numFmtId="0" fontId="31" fillId="0" borderId="0" xfId="11" applyFont="1" applyAlignment="1">
      <alignment horizontal="center" vertical="center" wrapText="1"/>
    </xf>
    <xf numFmtId="0" fontId="34" fillId="0" borderId="0" xfId="11" applyFont="1" applyAlignment="1">
      <alignment horizontal="center" vertical="center" wrapText="1"/>
    </xf>
    <xf numFmtId="0" fontId="32" fillId="0" borderId="0" xfId="11" applyFont="1" applyAlignment="1">
      <alignment horizontal="center" vertical="center" wrapText="1"/>
    </xf>
    <xf numFmtId="0" fontId="74" fillId="0" borderId="0" xfId="11" applyFont="1" applyAlignment="1">
      <alignment horizontal="center" vertical="center" wrapText="1"/>
    </xf>
    <xf numFmtId="0" fontId="31" fillId="0" borderId="0" xfId="11" applyFont="1" applyAlignment="1">
      <alignment horizontal="right" vertical="center" wrapText="1"/>
    </xf>
    <xf numFmtId="166" fontId="36" fillId="13" borderId="26" xfId="5" applyNumberFormat="1" applyFont="1" applyFill="1" applyBorder="1" applyAlignment="1">
      <alignment horizontal="center" vertical="center"/>
    </xf>
    <xf numFmtId="0" fontId="36" fillId="13" borderId="26" xfId="11" applyFont="1" applyFill="1" applyBorder="1" applyAlignment="1">
      <alignment vertical="center"/>
    </xf>
    <xf numFmtId="0" fontId="36" fillId="0" borderId="26" xfId="11" applyFont="1" applyBorder="1" applyAlignment="1">
      <alignment vertical="center" wrapText="1"/>
    </xf>
    <xf numFmtId="0" fontId="36" fillId="0" borderId="0" xfId="11" applyFont="1" applyAlignment="1">
      <alignment horizontal="right" vertical="center" wrapText="1"/>
    </xf>
    <xf numFmtId="0" fontId="36" fillId="0" borderId="0" xfId="11" applyFont="1" applyAlignment="1">
      <alignment horizontal="center" vertical="center" wrapText="1"/>
    </xf>
    <xf numFmtId="166" fontId="36" fillId="13" borderId="0" xfId="5" applyNumberFormat="1" applyFont="1" applyFill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2" fillId="0" borderId="0" xfId="11" applyFont="1" applyAlignment="1">
      <alignment horizontal="center" vertical="center" wrapText="1"/>
    </xf>
    <xf numFmtId="0" fontId="36" fillId="0" borderId="26" xfId="11" applyFont="1" applyBorder="1" applyAlignment="1">
      <alignment vertical="center"/>
    </xf>
    <xf numFmtId="0" fontId="36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wrapText="1"/>
    </xf>
    <xf numFmtId="0" fontId="49" fillId="13" borderId="7" xfId="11" applyFont="1" applyFill="1" applyBorder="1" applyAlignment="1">
      <alignment horizontal="center" vertical="center" wrapText="1"/>
    </xf>
    <xf numFmtId="0" fontId="68" fillId="0" borderId="0" xfId="11" applyFont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48" fillId="0" borderId="7" xfId="11" applyFont="1" applyBorder="1" applyAlignment="1">
      <alignment horizontal="center" vertical="center" wrapText="1"/>
    </xf>
    <xf numFmtId="0" fontId="49" fillId="0" borderId="7" xfId="11" applyFont="1" applyBorder="1" applyAlignment="1">
      <alignment horizontal="center" vertical="center" wrapText="1"/>
    </xf>
    <xf numFmtId="0" fontId="47" fillId="0" borderId="7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166" fontId="36" fillId="13" borderId="7" xfId="5" applyNumberFormat="1" applyFont="1" applyFill="1" applyBorder="1" applyAlignment="1">
      <alignment horizontal="center" vertical="center" wrapText="1"/>
    </xf>
    <xf numFmtId="0" fontId="54" fillId="0" borderId="7" xfId="11" applyFont="1" applyBorder="1" applyAlignment="1">
      <alignment horizontal="center" vertical="center" wrapText="1"/>
    </xf>
    <xf numFmtId="0" fontId="54" fillId="0" borderId="8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1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 wrapText="1"/>
    </xf>
    <xf numFmtId="0" fontId="36" fillId="13" borderId="7" xfId="11" applyFont="1" applyFill="1" applyBorder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30" fillId="0" borderId="7" xfId="11" applyFont="1" applyBorder="1" applyAlignment="1">
      <alignment horizontal="center" vertical="center"/>
    </xf>
    <xf numFmtId="0" fontId="31" fillId="0" borderId="7" xfId="11" applyFont="1" applyBorder="1" applyAlignment="1">
      <alignment horizontal="right" vertical="center" wrapText="1"/>
    </xf>
    <xf numFmtId="166" fontId="31" fillId="13" borderId="7" xfId="5" applyNumberFormat="1" applyFont="1" applyFill="1" applyBorder="1" applyAlignment="1">
      <alignment horizontal="center" vertical="center" wrapText="1"/>
    </xf>
    <xf numFmtId="0" fontId="31" fillId="13" borderId="7" xfId="11" applyFont="1" applyFill="1" applyBorder="1" applyAlignment="1">
      <alignment horizontal="center" vertical="center" wrapText="1"/>
    </xf>
    <xf numFmtId="2" fontId="31" fillId="0" borderId="7" xfId="11" applyNumberFormat="1" applyFont="1" applyBorder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/>
    </xf>
    <xf numFmtId="0" fontId="53" fillId="0" borderId="7" xfId="1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1" fontId="53" fillId="0" borderId="7" xfId="11" applyNumberFormat="1" applyFont="1" applyBorder="1" applyAlignment="1">
      <alignment horizontal="center" vertical="center" wrapText="1"/>
    </xf>
    <xf numFmtId="0" fontId="30" fillId="0" borderId="7" xfId="11" applyFont="1" applyBorder="1" applyAlignment="1">
      <alignment horizontal="center"/>
    </xf>
    <xf numFmtId="0" fontId="30" fillId="0" borderId="8" xfId="11" applyFont="1" applyBorder="1" applyAlignment="1">
      <alignment horizontal="center"/>
    </xf>
    <xf numFmtId="2" fontId="31" fillId="0" borderId="0" xfId="11" applyNumberFormat="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0" fontId="159" fillId="0" borderId="7" xfId="11" applyFont="1" applyBorder="1" applyAlignment="1">
      <alignment horizontal="center" vertical="center" wrapText="1"/>
    </xf>
    <xf numFmtId="0" fontId="160" fillId="0" borderId="7" xfId="11" applyFont="1" applyBorder="1" applyAlignment="1">
      <alignment horizontal="center" vertical="center" wrapText="1"/>
    </xf>
    <xf numFmtId="0" fontId="161" fillId="0" borderId="7" xfId="11" applyFont="1" applyBorder="1" applyAlignment="1">
      <alignment horizontal="center" vertical="center" wrapText="1"/>
    </xf>
    <xf numFmtId="0" fontId="162" fillId="0" borderId="7" xfId="11" applyFont="1" applyBorder="1" applyAlignment="1">
      <alignment horizontal="center" vertical="center" wrapText="1"/>
    </xf>
    <xf numFmtId="165" fontId="163" fillId="0" borderId="7" xfId="11" applyNumberFormat="1" applyFont="1" applyBorder="1" applyAlignment="1">
      <alignment vertical="center"/>
    </xf>
    <xf numFmtId="0" fontId="163" fillId="0" borderId="7" xfId="11" applyFont="1" applyBorder="1" applyAlignment="1">
      <alignment horizontal="center" vertical="center" wrapText="1"/>
    </xf>
    <xf numFmtId="0" fontId="163" fillId="0" borderId="7" xfId="11" applyFont="1" applyBorder="1" applyAlignment="1">
      <alignment horizontal="center" vertical="center"/>
    </xf>
    <xf numFmtId="166" fontId="163" fillId="13" borderId="7" xfId="5" applyNumberFormat="1" applyFont="1" applyFill="1" applyBorder="1" applyAlignment="1">
      <alignment horizontal="center" vertical="center" wrapText="1"/>
    </xf>
    <xf numFmtId="0" fontId="163" fillId="13" borderId="7" xfId="11" applyFont="1" applyFill="1" applyBorder="1" applyAlignment="1">
      <alignment horizontal="center" vertical="center" wrapText="1"/>
    </xf>
    <xf numFmtId="1" fontId="31" fillId="0" borderId="7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 wrapText="1"/>
    </xf>
    <xf numFmtId="2" fontId="53" fillId="0" borderId="7" xfId="11" applyNumberFormat="1" applyFont="1" applyBorder="1" applyAlignment="1">
      <alignment horizontal="center" vertical="center" wrapText="1"/>
    </xf>
    <xf numFmtId="165" fontId="53" fillId="0" borderId="7" xfId="11" applyNumberFormat="1" applyFont="1" applyBorder="1" applyAlignment="1">
      <alignment horizontal="center" vertical="center" wrapText="1"/>
    </xf>
    <xf numFmtId="10" fontId="53" fillId="0" borderId="7" xfId="6" applyNumberFormat="1" applyFont="1" applyFill="1" applyBorder="1" applyAlignment="1">
      <alignment horizontal="center" vertical="center" wrapText="1"/>
    </xf>
    <xf numFmtId="1" fontId="53" fillId="0" borderId="8" xfId="11" applyNumberFormat="1" applyFont="1" applyBorder="1" applyAlignment="1">
      <alignment horizontal="center" vertical="center" wrapText="1"/>
    </xf>
    <xf numFmtId="165" fontId="31" fillId="0" borderId="39" xfId="11" applyNumberFormat="1" applyFont="1" applyBorder="1" applyAlignment="1">
      <alignment horizontal="center" vertical="center" wrapText="1"/>
    </xf>
    <xf numFmtId="165" fontId="31" fillId="0" borderId="38" xfId="11" applyNumberFormat="1" applyFont="1" applyBorder="1" applyAlignment="1">
      <alignment horizontal="center" vertical="center" wrapText="1"/>
    </xf>
    <xf numFmtId="165" fontId="31" fillId="0" borderId="0" xfId="11" applyNumberFormat="1" applyFont="1" applyAlignment="1">
      <alignment horizontal="center" vertical="center" wrapText="1"/>
    </xf>
    <xf numFmtId="1" fontId="31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 wrapText="1"/>
    </xf>
    <xf numFmtId="0" fontId="30" fillId="0" borderId="11" xfId="11" applyFont="1" applyBorder="1" applyAlignment="1">
      <alignment vertical="center"/>
    </xf>
    <xf numFmtId="0" fontId="30" fillId="0" borderId="10" xfId="11" applyFont="1" applyBorder="1"/>
    <xf numFmtId="0" fontId="30" fillId="0" borderId="7" xfId="11" applyFont="1" applyBorder="1"/>
    <xf numFmtId="165" fontId="30" fillId="0" borderId="7" xfId="11" applyNumberFormat="1" applyFont="1" applyBorder="1"/>
    <xf numFmtId="168" fontId="30" fillId="0" borderId="7" xfId="11" applyNumberFormat="1" applyFont="1" applyBorder="1"/>
    <xf numFmtId="0" fontId="30" fillId="0" borderId="8" xfId="11" applyFont="1" applyBorder="1"/>
    <xf numFmtId="167" fontId="31" fillId="0" borderId="7" xfId="11" applyNumberFormat="1" applyFont="1" applyBorder="1" applyAlignment="1">
      <alignment horizontal="center" vertical="center" wrapText="1"/>
    </xf>
    <xf numFmtId="0" fontId="36" fillId="0" borderId="65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53" fillId="0" borderId="12" xfId="11" applyFont="1" applyBorder="1" applyAlignment="1">
      <alignment horizontal="center" vertical="center" wrapText="1"/>
    </xf>
    <xf numFmtId="0" fontId="28" fillId="0" borderId="8" xfId="11" applyFont="1" applyBorder="1" applyAlignment="1">
      <alignment horizontal="center"/>
    </xf>
    <xf numFmtId="1" fontId="28" fillId="0" borderId="7" xfId="11" applyNumberFormat="1" applyFont="1" applyBorder="1" applyAlignment="1">
      <alignment horizontal="center"/>
    </xf>
    <xf numFmtId="165" fontId="31" fillId="0" borderId="10" xfId="11" applyNumberFormat="1" applyFont="1" applyBorder="1" applyAlignment="1">
      <alignment horizontal="center" vertical="center" wrapText="1"/>
    </xf>
    <xf numFmtId="165" fontId="31" fillId="0" borderId="37" xfId="11" applyNumberFormat="1" applyFont="1" applyBorder="1" applyAlignment="1">
      <alignment horizontal="center" vertical="center" wrapText="1"/>
    </xf>
    <xf numFmtId="2" fontId="30" fillId="0" borderId="7" xfId="11" applyNumberFormat="1" applyFont="1" applyBorder="1"/>
    <xf numFmtId="176" fontId="30" fillId="0" borderId="7" xfId="6" applyNumberFormat="1" applyFont="1" applyFill="1" applyBorder="1"/>
    <xf numFmtId="1" fontId="30" fillId="0" borderId="8" xfId="11" applyNumberFormat="1" applyFont="1" applyBorder="1"/>
    <xf numFmtId="1" fontId="30" fillId="0" borderId="7" xfId="11" applyNumberFormat="1" applyFont="1" applyBorder="1"/>
    <xf numFmtId="0" fontId="36" fillId="0" borderId="21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3" fillId="0" borderId="25" xfId="11" applyFont="1" applyBorder="1" applyAlignment="1">
      <alignment horizontal="center" vertical="center" wrapText="1"/>
    </xf>
    <xf numFmtId="0" fontId="36" fillId="0" borderId="28" xfId="11" applyFont="1" applyBorder="1" applyAlignment="1">
      <alignment horizontal="center" vertical="center" wrapText="1"/>
    </xf>
    <xf numFmtId="0" fontId="34" fillId="0" borderId="25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33" fillId="0" borderId="25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0" fontId="30" fillId="0" borderId="7" xfId="11" applyFont="1" applyBorder="1" applyAlignment="1">
      <alignment vertical="center"/>
    </xf>
    <xf numFmtId="1" fontId="73" fillId="13" borderId="7" xfId="11" applyNumberFormat="1" applyFont="1" applyFill="1" applyBorder="1" applyAlignment="1">
      <alignment horizontal="center" vertical="center" wrapText="1"/>
    </xf>
    <xf numFmtId="165" fontId="53" fillId="0" borderId="7" xfId="11" applyNumberFormat="1" applyFont="1" applyBorder="1" applyAlignment="1">
      <alignment horizontal="center" vertical="center"/>
    </xf>
    <xf numFmtId="2" fontId="53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/>
    </xf>
    <xf numFmtId="10" fontId="53" fillId="0" borderId="7" xfId="6" applyNumberFormat="1" applyFont="1" applyFill="1" applyBorder="1" applyAlignment="1">
      <alignment horizontal="center" vertical="center"/>
    </xf>
    <xf numFmtId="165" fontId="31" fillId="0" borderId="10" xfId="11" applyNumberFormat="1" applyFont="1" applyBorder="1" applyAlignment="1">
      <alignment horizontal="center" vertical="center"/>
    </xf>
    <xf numFmtId="165" fontId="31" fillId="0" borderId="37" xfId="11" applyNumberFormat="1" applyFont="1" applyBorder="1" applyAlignment="1">
      <alignment horizontal="center" vertical="center"/>
    </xf>
    <xf numFmtId="1" fontId="31" fillId="0" borderId="0" xfId="11" applyNumberFormat="1" applyFont="1" applyAlignment="1">
      <alignment horizontal="center" vertical="center"/>
    </xf>
    <xf numFmtId="0" fontId="31" fillId="0" borderId="7" xfId="11" applyFont="1" applyBorder="1" applyAlignment="1">
      <alignment vertical="center"/>
    </xf>
    <xf numFmtId="1" fontId="53" fillId="0" borderId="8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vertical="center" wrapText="1"/>
    </xf>
    <xf numFmtId="166" fontId="30" fillId="13" borderId="7" xfId="5" applyNumberFormat="1" applyFont="1" applyFill="1" applyBorder="1" applyAlignment="1">
      <alignment vertical="center"/>
    </xf>
    <xf numFmtId="0" fontId="30" fillId="13" borderId="7" xfId="11" applyFont="1" applyFill="1" applyBorder="1" applyAlignment="1">
      <alignment vertical="center"/>
    </xf>
    <xf numFmtId="0" fontId="158" fillId="0" borderId="0" xfId="11" applyAlignment="1">
      <alignment vertical="center"/>
    </xf>
    <xf numFmtId="0" fontId="164" fillId="0" borderId="7" xfId="11" applyFont="1" applyBorder="1" applyAlignment="1">
      <alignment vertical="center"/>
    </xf>
    <xf numFmtId="166" fontId="164" fillId="13" borderId="7" xfId="5" applyNumberFormat="1" applyFont="1" applyFill="1" applyBorder="1" applyAlignment="1">
      <alignment vertical="center"/>
    </xf>
    <xf numFmtId="0" fontId="164" fillId="13" borderId="7" xfId="11" applyFont="1" applyFill="1" applyBorder="1" applyAlignment="1">
      <alignment vertical="center"/>
    </xf>
    <xf numFmtId="0" fontId="31" fillId="0" borderId="9" xfId="11" applyFont="1" applyBorder="1" applyAlignment="1">
      <alignment horizontal="center" vertical="center" wrapText="1"/>
    </xf>
    <xf numFmtId="178" fontId="31" fillId="13" borderId="7" xfId="5" applyNumberFormat="1" applyFont="1" applyFill="1" applyBorder="1" applyAlignment="1">
      <alignment horizontal="center" vertical="center" wrapText="1"/>
    </xf>
    <xf numFmtId="165" fontId="31" fillId="0" borderId="7" xfId="11" applyNumberFormat="1" applyFont="1" applyBorder="1" applyAlignment="1">
      <alignment vertical="center"/>
    </xf>
    <xf numFmtId="0" fontId="36" fillId="9" borderId="7" xfId="11" applyFont="1" applyFill="1" applyBorder="1" applyAlignment="1">
      <alignment horizontal="center" vertical="center" wrapText="1"/>
    </xf>
    <xf numFmtId="0" fontId="36" fillId="0" borderId="7" xfId="11" applyFont="1" applyBorder="1" applyAlignment="1">
      <alignment vertical="center" wrapText="1"/>
    </xf>
    <xf numFmtId="177" fontId="36" fillId="0" borderId="7" xfId="11" applyNumberFormat="1" applyFont="1" applyBorder="1" applyAlignment="1">
      <alignment horizontal="center" vertical="center" wrapText="1"/>
    </xf>
    <xf numFmtId="2" fontId="31" fillId="0" borderId="7" xfId="11" applyNumberFormat="1" applyFont="1" applyBorder="1" applyAlignment="1">
      <alignment horizontal="center" vertical="center"/>
    </xf>
    <xf numFmtId="177" fontId="54" fillId="0" borderId="7" xfId="11" applyNumberFormat="1" applyFont="1" applyBorder="1" applyAlignment="1">
      <alignment horizontal="center" vertical="center" wrapText="1"/>
    </xf>
    <xf numFmtId="2" fontId="54" fillId="0" borderId="7" xfId="11" applyNumberFormat="1" applyFont="1" applyBorder="1" applyAlignment="1">
      <alignment horizontal="center" vertical="center" wrapText="1"/>
    </xf>
    <xf numFmtId="1" fontId="54" fillId="0" borderId="7" xfId="11" applyNumberFormat="1" applyFont="1" applyBorder="1" applyAlignment="1">
      <alignment horizontal="center" vertical="center" wrapText="1"/>
    </xf>
    <xf numFmtId="165" fontId="54" fillId="0" borderId="7" xfId="11" applyNumberFormat="1" applyFont="1" applyBorder="1" applyAlignment="1">
      <alignment horizontal="center" vertical="center" wrapText="1"/>
    </xf>
    <xf numFmtId="9" fontId="54" fillId="0" borderId="7" xfId="6" applyFont="1" applyFill="1" applyBorder="1" applyAlignment="1">
      <alignment horizontal="center" vertical="center" wrapText="1"/>
    </xf>
    <xf numFmtId="1" fontId="54" fillId="0" borderId="8" xfId="11" applyNumberFormat="1" applyFont="1" applyBorder="1" applyAlignment="1">
      <alignment horizontal="center" vertical="center" wrapText="1"/>
    </xf>
    <xf numFmtId="165" fontId="36" fillId="0" borderId="10" xfId="11" applyNumberFormat="1" applyFont="1" applyBorder="1" applyAlignment="1">
      <alignment horizontal="center" vertical="center" wrapText="1"/>
    </xf>
    <xf numFmtId="165" fontId="36" fillId="0" borderId="37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center" vertical="center" wrapText="1"/>
    </xf>
    <xf numFmtId="0" fontId="36" fillId="0" borderId="8" xfId="11" applyFont="1" applyBorder="1" applyAlignment="1">
      <alignment vertical="center" wrapText="1"/>
    </xf>
    <xf numFmtId="165" fontId="36" fillId="0" borderId="7" xfId="11" applyNumberFormat="1" applyFont="1" applyBorder="1" applyAlignment="1">
      <alignment vertical="center" wrapText="1"/>
    </xf>
    <xf numFmtId="2" fontId="53" fillId="0" borderId="8" xfId="11" applyNumberFormat="1" applyFont="1" applyBorder="1" applyAlignment="1">
      <alignment horizontal="center" vertical="center"/>
    </xf>
    <xf numFmtId="166" fontId="163" fillId="13" borderId="7" xfId="5" applyNumberFormat="1" applyFont="1" applyFill="1" applyBorder="1" applyAlignment="1">
      <alignment vertical="center"/>
    </xf>
    <xf numFmtId="165" fontId="163" fillId="13" borderId="7" xfId="11" applyNumberFormat="1" applyFont="1" applyFill="1" applyBorder="1" applyAlignment="1">
      <alignment vertical="center"/>
    </xf>
    <xf numFmtId="165" fontId="163" fillId="0" borderId="7" xfId="11" applyNumberFormat="1" applyFont="1" applyBorder="1"/>
    <xf numFmtId="165" fontId="31" fillId="0" borderId="36" xfId="11" applyNumberFormat="1" applyFont="1" applyBorder="1" applyAlignment="1">
      <alignment horizontal="center" vertical="center"/>
    </xf>
    <xf numFmtId="165" fontId="31" fillId="0" borderId="35" xfId="11" applyNumberFormat="1" applyFont="1" applyBorder="1" applyAlignment="1">
      <alignment horizontal="center" vertical="center"/>
    </xf>
    <xf numFmtId="0" fontId="53" fillId="0" borderId="7" xfId="11" applyFont="1" applyBorder="1" applyAlignment="1">
      <alignment horizontal="center" vertical="center"/>
    </xf>
    <xf numFmtId="2" fontId="53" fillId="0" borderId="8" xfId="11" applyNumberFormat="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/>
    </xf>
    <xf numFmtId="1" fontId="36" fillId="0" borderId="0" xfId="11" applyNumberFormat="1" applyFont="1" applyAlignment="1">
      <alignment horizontal="center" vertical="center"/>
    </xf>
    <xf numFmtId="165" fontId="35" fillId="0" borderId="0" xfId="11" applyNumberFormat="1" applyFont="1" applyAlignment="1">
      <alignment horizontal="left" vertical="center" wrapText="1"/>
    </xf>
    <xf numFmtId="1" fontId="35" fillId="0" borderId="0" xfId="11" applyNumberFormat="1" applyFont="1"/>
    <xf numFmtId="2" fontId="35" fillId="0" borderId="0" xfId="11" applyNumberFormat="1" applyFont="1"/>
    <xf numFmtId="165" fontId="31" fillId="0" borderId="0" xfId="11" applyNumberFormat="1" applyFont="1" applyAlignment="1">
      <alignment horizontal="center" vertical="center"/>
    </xf>
    <xf numFmtId="0" fontId="32" fillId="0" borderId="7" xfId="11" applyFont="1" applyBorder="1" applyAlignment="1">
      <alignment horizontal="left" vertical="center" wrapText="1"/>
    </xf>
    <xf numFmtId="0" fontId="32" fillId="0" borderId="7" xfId="11" applyFont="1" applyBorder="1" applyAlignment="1">
      <alignment horizontal="center" vertical="center"/>
    </xf>
    <xf numFmtId="0" fontId="33" fillId="0" borderId="7" xfId="11" applyFont="1" applyBorder="1" applyAlignment="1">
      <alignment horizontal="center" vertical="center"/>
    </xf>
    <xf numFmtId="165" fontId="36" fillId="0" borderId="7" xfId="11" applyNumberFormat="1" applyFont="1" applyBorder="1" applyAlignment="1">
      <alignment horizontal="center" vertical="center" wrapText="1"/>
    </xf>
    <xf numFmtId="1" fontId="31" fillId="0" borderId="7" xfId="11" applyNumberFormat="1" applyFont="1" applyBorder="1" applyAlignment="1">
      <alignment vertical="center"/>
    </xf>
    <xf numFmtId="1" fontId="36" fillId="13" borderId="7" xfId="11" applyNumberFormat="1" applyFont="1" applyFill="1" applyBorder="1" applyAlignment="1">
      <alignment horizontal="center" vertical="center" wrapText="1"/>
    </xf>
    <xf numFmtId="1" fontId="35" fillId="0" borderId="8" xfId="11" applyNumberFormat="1" applyFont="1" applyBorder="1"/>
    <xf numFmtId="1" fontId="35" fillId="0" borderId="7" xfId="11" applyNumberFormat="1" applyFont="1" applyBorder="1"/>
    <xf numFmtId="1" fontId="36" fillId="0" borderId="7" xfId="11" applyNumberFormat="1" applyFont="1" applyBorder="1" applyAlignment="1">
      <alignment horizontal="center" vertical="center" wrapText="1"/>
    </xf>
    <xf numFmtId="0" fontId="36" fillId="0" borderId="0" xfId="11" applyFont="1" applyAlignment="1">
      <alignment horizontal="center" vertical="center"/>
    </xf>
    <xf numFmtId="2" fontId="54" fillId="0" borderId="7" xfId="11" applyNumberFormat="1" applyFont="1" applyBorder="1" applyAlignment="1">
      <alignment horizontal="center" vertical="center"/>
    </xf>
    <xf numFmtId="1" fontId="54" fillId="0" borderId="7" xfId="11" applyNumberFormat="1" applyFont="1" applyBorder="1" applyAlignment="1">
      <alignment horizontal="center" vertical="center"/>
    </xf>
    <xf numFmtId="165" fontId="54" fillId="0" borderId="7" xfId="11" applyNumberFormat="1" applyFont="1" applyBorder="1" applyAlignment="1">
      <alignment horizontal="center" vertical="center"/>
    </xf>
    <xf numFmtId="1" fontId="54" fillId="0" borderId="8" xfId="11" applyNumberFormat="1" applyFont="1" applyBorder="1" applyAlignment="1">
      <alignment horizontal="center" vertical="center"/>
    </xf>
    <xf numFmtId="1" fontId="36" fillId="0" borderId="7" xfId="11" applyNumberFormat="1" applyFont="1" applyBorder="1" applyAlignment="1">
      <alignment horizontal="center" vertical="center"/>
    </xf>
    <xf numFmtId="165" fontId="36" fillId="0" borderId="0" xfId="11" applyNumberFormat="1" applyFont="1" applyAlignment="1">
      <alignment horizontal="center" vertical="center" wrapText="1"/>
    </xf>
    <xf numFmtId="167" fontId="36" fillId="0" borderId="0" xfId="11" applyNumberFormat="1" applyFont="1" applyAlignment="1">
      <alignment horizontal="center" vertical="center" wrapText="1"/>
    </xf>
    <xf numFmtId="165" fontId="36" fillId="0" borderId="0" xfId="11" applyNumberFormat="1" applyFont="1" applyAlignment="1">
      <alignment horizontal="center" vertical="center"/>
    </xf>
    <xf numFmtId="0" fontId="35" fillId="0" borderId="0" xfId="11" applyFont="1"/>
    <xf numFmtId="0" fontId="35" fillId="0" borderId="7" xfId="11" applyFont="1" applyBorder="1"/>
    <xf numFmtId="165" fontId="36" fillId="0" borderId="7" xfId="11" applyNumberFormat="1" applyFont="1" applyBorder="1" applyAlignment="1">
      <alignment horizontal="center" vertical="center"/>
    </xf>
    <xf numFmtId="2" fontId="36" fillId="0" borderId="0" xfId="11" applyNumberFormat="1" applyFont="1" applyAlignment="1">
      <alignment horizontal="center" vertical="center"/>
    </xf>
    <xf numFmtId="0" fontId="2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left" vertical="center" wrapText="1"/>
    </xf>
    <xf numFmtId="0" fontId="53" fillId="0" borderId="7" xfId="11" applyFont="1" applyBorder="1" applyAlignment="1">
      <alignment horizontal="left" vertical="center" wrapText="1"/>
    </xf>
    <xf numFmtId="0" fontId="31" fillId="13" borderId="7" xfId="11" applyFont="1" applyFill="1" applyBorder="1" applyAlignment="1">
      <alignment vertical="center" wrapText="1"/>
    </xf>
    <xf numFmtId="0" fontId="31" fillId="0" borderId="7" xfId="11" applyFont="1" applyBorder="1" applyAlignment="1">
      <alignment vertical="center" wrapText="1"/>
    </xf>
    <xf numFmtId="9" fontId="53" fillId="0" borderId="7" xfId="6" applyFont="1" applyFill="1" applyBorder="1" applyAlignment="1">
      <alignment horizontal="center" vertical="center"/>
    </xf>
    <xf numFmtId="0" fontId="30" fillId="0" borderId="26" xfId="11" applyFont="1" applyBorder="1" applyAlignment="1">
      <alignment horizontal="left"/>
    </xf>
    <xf numFmtId="0" fontId="30" fillId="0" borderId="12" xfId="11" applyFont="1" applyBorder="1"/>
    <xf numFmtId="0" fontId="165" fillId="0" borderId="7" xfId="11" applyFont="1" applyBorder="1" applyAlignment="1">
      <alignment horizontal="center" vertical="center" wrapText="1"/>
    </xf>
    <xf numFmtId="166" fontId="163" fillId="13" borderId="7" xfId="5" applyNumberFormat="1" applyFont="1" applyFill="1" applyBorder="1" applyAlignment="1">
      <alignment horizontal="center" vertical="center"/>
    </xf>
    <xf numFmtId="1" fontId="31" fillId="0" borderId="10" xfId="11" applyNumberFormat="1" applyFont="1" applyBorder="1" applyAlignment="1">
      <alignment horizontal="center" vertical="center" wrapText="1"/>
    </xf>
    <xf numFmtId="0" fontId="53" fillId="0" borderId="11" xfId="11" applyFont="1" applyBorder="1" applyAlignment="1">
      <alignment horizontal="left" vertical="center" wrapText="1"/>
    </xf>
    <xf numFmtId="0" fontId="34" fillId="0" borderId="11" xfId="11" applyFont="1" applyBorder="1" applyAlignment="1">
      <alignment horizontal="left" vertical="center" wrapText="1"/>
    </xf>
    <xf numFmtId="0" fontId="31" fillId="0" borderId="11" xfId="11" applyFont="1" applyBorder="1" applyAlignment="1">
      <alignment horizontal="center" vertical="center" wrapText="1"/>
    </xf>
    <xf numFmtId="0" fontId="160" fillId="0" borderId="7" xfId="11" applyFont="1" applyBorder="1" applyAlignment="1">
      <alignment vertical="center" wrapText="1"/>
    </xf>
    <xf numFmtId="2" fontId="36" fillId="0" borderId="7" xfId="11" applyNumberFormat="1" applyFont="1" applyBorder="1" applyAlignment="1">
      <alignment vertical="center" wrapText="1"/>
    </xf>
    <xf numFmtId="0" fontId="35" fillId="0" borderId="7" xfId="11" applyFont="1" applyBorder="1" applyAlignment="1">
      <alignment horizontal="center" vertical="center"/>
    </xf>
    <xf numFmtId="2" fontId="35" fillId="0" borderId="7" xfId="11" applyNumberFormat="1" applyFont="1" applyBorder="1"/>
    <xf numFmtId="9" fontId="35" fillId="0" borderId="7" xfId="6" applyFont="1" applyFill="1" applyBorder="1"/>
    <xf numFmtId="0" fontId="48" fillId="0" borderId="7" xfId="11" applyFont="1" applyBorder="1" applyAlignment="1">
      <alignment horizontal="left" vertical="center" wrapText="1"/>
    </xf>
    <xf numFmtId="0" fontId="48" fillId="0" borderId="9" xfId="11" applyFont="1" applyBorder="1" applyAlignment="1">
      <alignment horizontal="center" vertical="center" wrapText="1"/>
    </xf>
    <xf numFmtId="0" fontId="36" fillId="0" borderId="9" xfId="11" applyFont="1" applyBorder="1" applyAlignment="1">
      <alignment vertical="center" wrapText="1"/>
    </xf>
    <xf numFmtId="1" fontId="36" fillId="9" borderId="7" xfId="11" applyNumberFormat="1" applyFont="1" applyFill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center" vertical="center" wrapText="1"/>
    </xf>
    <xf numFmtId="9" fontId="30" fillId="0" borderId="7" xfId="6" applyFont="1" applyFill="1" applyBorder="1"/>
    <xf numFmtId="4" fontId="30" fillId="0" borderId="7" xfId="11" applyNumberFormat="1" applyFont="1" applyBorder="1" applyAlignment="1">
      <alignment vertical="center"/>
    </xf>
    <xf numFmtId="165" fontId="30" fillId="0" borderId="7" xfId="11" applyNumberFormat="1" applyFont="1" applyBorder="1" applyAlignment="1">
      <alignment horizontal="center"/>
    </xf>
    <xf numFmtId="1" fontId="30" fillId="0" borderId="7" xfId="11" applyNumberFormat="1" applyFont="1" applyBorder="1" applyAlignment="1">
      <alignment horizontal="center"/>
    </xf>
    <xf numFmtId="168" fontId="31" fillId="0" borderId="7" xfId="11" applyNumberFormat="1" applyFont="1" applyBorder="1" applyAlignment="1">
      <alignment horizontal="center" vertical="center" wrapText="1"/>
    </xf>
    <xf numFmtId="0" fontId="32" fillId="13" borderId="7" xfId="11" applyFont="1" applyFill="1" applyBorder="1" applyAlignment="1">
      <alignment horizontal="center" vertical="center" wrapText="1"/>
    </xf>
    <xf numFmtId="0" fontId="34" fillId="0" borderId="26" xfId="11" applyFont="1" applyBorder="1" applyAlignment="1">
      <alignment horizontal="center" vertical="center" wrapText="1"/>
    </xf>
    <xf numFmtId="0" fontId="32" fillId="0" borderId="9" xfId="11" applyFont="1" applyBorder="1" applyAlignment="1">
      <alignment horizontal="center" vertical="center" wrapText="1"/>
    </xf>
    <xf numFmtId="0" fontId="32" fillId="0" borderId="22" xfId="11" applyFont="1" applyBorder="1" applyAlignment="1">
      <alignment horizontal="center" vertical="center" wrapText="1"/>
    </xf>
    <xf numFmtId="166" fontId="31" fillId="13" borderId="7" xfId="5" applyNumberFormat="1" applyFont="1" applyFill="1" applyBorder="1" applyAlignment="1">
      <alignment horizontal="center" vertical="center"/>
    </xf>
    <xf numFmtId="165" fontId="35" fillId="0" borderId="8" xfId="11" applyNumberFormat="1" applyFont="1" applyBorder="1" applyAlignment="1">
      <alignment horizontal="left" vertical="center" wrapText="1"/>
    </xf>
    <xf numFmtId="0" fontId="30" fillId="0" borderId="9" xfId="11" applyFont="1" applyBorder="1"/>
    <xf numFmtId="10" fontId="30" fillId="0" borderId="7" xfId="6" applyNumberFormat="1" applyFont="1" applyFill="1" applyBorder="1" applyAlignment="1">
      <alignment horizontal="center"/>
    </xf>
    <xf numFmtId="3" fontId="35" fillId="0" borderId="7" xfId="11" applyNumberFormat="1" applyFont="1" applyBorder="1" applyAlignment="1">
      <alignment horizontal="center" vertical="center" wrapText="1"/>
    </xf>
    <xf numFmtId="0" fontId="34" fillId="0" borderId="9" xfId="11" applyFont="1" applyBorder="1" applyAlignment="1">
      <alignment horizontal="center" vertical="center" wrapText="1"/>
    </xf>
    <xf numFmtId="0" fontId="32" fillId="0" borderId="10" xfId="11" applyFont="1" applyBorder="1" applyAlignment="1">
      <alignment horizontal="center" vertical="center" wrapText="1"/>
    </xf>
    <xf numFmtId="3" fontId="36" fillId="0" borderId="7" xfId="11" applyNumberFormat="1" applyFont="1" applyBorder="1" applyAlignment="1">
      <alignment horizontal="center" vertical="center" wrapText="1"/>
    </xf>
    <xf numFmtId="1" fontId="36" fillId="0" borderId="8" xfId="11" applyNumberFormat="1" applyFont="1" applyBorder="1" applyAlignment="1">
      <alignment horizontal="center" vertical="center" wrapText="1"/>
    </xf>
    <xf numFmtId="0" fontId="34" fillId="0" borderId="7" xfId="11" applyFont="1" applyBorder="1" applyAlignment="1">
      <alignment vertical="center" wrapText="1"/>
    </xf>
    <xf numFmtId="1" fontId="32" fillId="0" borderId="7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center" vertical="center" wrapText="1"/>
    </xf>
    <xf numFmtId="0" fontId="53" fillId="0" borderId="11" xfId="11" applyFont="1" applyBorder="1" applyAlignment="1">
      <alignment vertical="center" wrapText="1"/>
    </xf>
    <xf numFmtId="0" fontId="34" fillId="0" borderId="11" xfId="11" applyFont="1" applyBorder="1" applyAlignment="1">
      <alignment vertical="center" wrapText="1"/>
    </xf>
    <xf numFmtId="169" fontId="31" fillId="0" borderId="7" xfId="11" applyNumberFormat="1" applyFont="1" applyBorder="1" applyAlignment="1">
      <alignment horizontal="center" vertical="center"/>
    </xf>
    <xf numFmtId="169" fontId="31" fillId="0" borderId="0" xfId="11" applyNumberFormat="1" applyFont="1" applyAlignment="1">
      <alignment horizontal="center" vertical="center"/>
    </xf>
    <xf numFmtId="0" fontId="48" fillId="0" borderId="7" xfId="11" applyFont="1" applyBorder="1" applyAlignment="1">
      <alignment vertical="center" wrapText="1"/>
    </xf>
    <xf numFmtId="1" fontId="49" fillId="0" borderId="7" xfId="11" applyNumberFormat="1" applyFont="1" applyBorder="1" applyAlignment="1">
      <alignment horizontal="center" vertical="center" wrapText="1"/>
    </xf>
    <xf numFmtId="0" fontId="166" fillId="0" borderId="7" xfId="1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48" fillId="0" borderId="50" xfId="11" applyFont="1" applyBorder="1" applyAlignment="1">
      <alignment horizontal="center" vertical="center" wrapText="1"/>
    </xf>
    <xf numFmtId="0" fontId="36" fillId="0" borderId="50" xfId="11" applyFont="1" applyBorder="1" applyAlignment="1">
      <alignment horizontal="center" vertical="center" wrapText="1"/>
    </xf>
    <xf numFmtId="0" fontId="49" fillId="0" borderId="11" xfId="11" applyFont="1" applyBorder="1" applyAlignment="1">
      <alignment horizontal="center" vertical="center" wrapText="1"/>
    </xf>
    <xf numFmtId="0" fontId="47" fillId="0" borderId="11" xfId="1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vertical="center" wrapText="1"/>
    </xf>
    <xf numFmtId="0" fontId="60" fillId="0" borderId="0" xfId="11" applyFont="1" applyAlignment="1">
      <alignment horizontal="center" vertical="center" wrapText="1"/>
    </xf>
    <xf numFmtId="2" fontId="67" fillId="0" borderId="7" xfId="11" applyNumberFormat="1" applyFont="1" applyBorder="1" applyAlignment="1">
      <alignment horizontal="center" vertical="center" wrapText="1"/>
    </xf>
    <xf numFmtId="165" fontId="67" fillId="0" borderId="7" xfId="11" applyNumberFormat="1" applyFont="1" applyBorder="1" applyAlignment="1">
      <alignment horizontal="center" vertical="center" wrapText="1"/>
    </xf>
    <xf numFmtId="1" fontId="67" fillId="0" borderId="7" xfId="11" applyNumberFormat="1" applyFont="1" applyBorder="1" applyAlignment="1">
      <alignment horizontal="center" vertical="center" wrapText="1"/>
    </xf>
    <xf numFmtId="1" fontId="67" fillId="0" borderId="8" xfId="11" applyNumberFormat="1" applyFont="1" applyBorder="1" applyAlignment="1">
      <alignment horizontal="center" vertical="center" wrapText="1"/>
    </xf>
    <xf numFmtId="1" fontId="60" fillId="0" borderId="7" xfId="11" applyNumberFormat="1" applyFont="1" applyBorder="1" applyAlignment="1">
      <alignment horizontal="center" vertical="center"/>
    </xf>
    <xf numFmtId="1" fontId="60" fillId="0" borderId="0" xfId="11" applyNumberFormat="1" applyFont="1" applyAlignment="1">
      <alignment horizontal="center" vertical="center" wrapText="1"/>
    </xf>
    <xf numFmtId="167" fontId="60" fillId="0" borderId="0" xfId="11" applyNumberFormat="1" applyFont="1" applyAlignment="1">
      <alignment horizontal="center" vertical="center" wrapText="1"/>
    </xf>
    <xf numFmtId="2" fontId="60" fillId="0" borderId="0" xfId="11" applyNumberFormat="1" applyFont="1" applyAlignment="1">
      <alignment horizontal="center" vertical="center" wrapText="1"/>
    </xf>
    <xf numFmtId="165" fontId="60" fillId="0" borderId="0" xfId="11" applyNumberFormat="1" applyFont="1" applyAlignment="1">
      <alignment horizontal="center" vertical="center"/>
    </xf>
    <xf numFmtId="0" fontId="66" fillId="0" borderId="0" xfId="11" applyFont="1"/>
    <xf numFmtId="2" fontId="60" fillId="0" borderId="0" xfId="11" applyNumberFormat="1" applyFont="1" applyAlignment="1">
      <alignment horizontal="center" vertical="center"/>
    </xf>
    <xf numFmtId="0" fontId="55" fillId="0" borderId="7" xfId="11" applyFont="1" applyBorder="1" applyAlignment="1">
      <alignment horizontal="center" vertical="center" wrapText="1"/>
    </xf>
    <xf numFmtId="0" fontId="60" fillId="0" borderId="7" xfId="11" applyFont="1" applyBorder="1" applyAlignment="1">
      <alignment horizontal="center" vertical="center" wrapText="1"/>
    </xf>
    <xf numFmtId="2" fontId="60" fillId="0" borderId="7" xfId="11" applyNumberFormat="1" applyFont="1" applyBorder="1" applyAlignment="1">
      <alignment horizontal="center" vertical="center" wrapText="1"/>
    </xf>
    <xf numFmtId="1" fontId="60" fillId="0" borderId="7" xfId="11" applyNumberFormat="1" applyFont="1" applyBorder="1" applyAlignment="1">
      <alignment horizontal="center" vertical="center" wrapText="1"/>
    </xf>
    <xf numFmtId="0" fontId="70" fillId="0" borderId="27" xfId="11" applyFont="1" applyBorder="1" applyAlignment="1">
      <alignment vertical="center" wrapText="1"/>
    </xf>
    <xf numFmtId="1" fontId="60" fillId="0" borderId="8" xfId="11" applyNumberFormat="1" applyFont="1" applyBorder="1" applyAlignment="1">
      <alignment horizontal="center" vertical="center" wrapText="1"/>
    </xf>
    <xf numFmtId="0" fontId="66" fillId="0" borderId="7" xfId="11" applyFont="1" applyBorder="1" applyAlignment="1">
      <alignment vertical="center"/>
    </xf>
    <xf numFmtId="0" fontId="60" fillId="0" borderId="7" xfId="11" applyFont="1" applyBorder="1" applyAlignment="1">
      <alignment horizontal="center" vertical="center"/>
    </xf>
    <xf numFmtId="0" fontId="60" fillId="0" borderId="0" xfId="11" applyFont="1" applyAlignment="1">
      <alignment horizontal="center" vertical="center"/>
    </xf>
    <xf numFmtId="1" fontId="31" fillId="13" borderId="7" xfId="11" applyNumberFormat="1" applyFont="1" applyFill="1" applyBorder="1" applyAlignment="1">
      <alignment vertical="center" wrapText="1"/>
    </xf>
    <xf numFmtId="166" fontId="31" fillId="13" borderId="7" xfId="5" applyNumberFormat="1" applyFont="1" applyFill="1" applyBorder="1" applyAlignment="1">
      <alignment vertical="center" wrapText="1"/>
    </xf>
    <xf numFmtId="2" fontId="31" fillId="0" borderId="7" xfId="11" applyNumberFormat="1" applyFont="1" applyBorder="1" applyAlignment="1">
      <alignment vertical="center" wrapText="1"/>
    </xf>
    <xf numFmtId="167" fontId="53" fillId="0" borderId="7" xfId="11" applyNumberFormat="1" applyFont="1" applyBorder="1" applyAlignment="1">
      <alignment horizontal="center" vertical="center" wrapText="1"/>
    </xf>
    <xf numFmtId="0" fontId="31" fillId="0" borderId="27" xfId="11" applyFont="1" applyBorder="1" applyAlignment="1">
      <alignment horizontal="center" vertical="center" wrapText="1"/>
    </xf>
    <xf numFmtId="0" fontId="36" fillId="0" borderId="11" xfId="11" applyFont="1" applyBorder="1" applyAlignment="1">
      <alignment vertical="center" wrapText="1"/>
    </xf>
    <xf numFmtId="1" fontId="36" fillId="0" borderId="11" xfId="11" applyNumberFormat="1" applyFont="1" applyBorder="1" applyAlignment="1">
      <alignment horizontal="center" vertical="center" wrapText="1"/>
    </xf>
    <xf numFmtId="0" fontId="2" fillId="0" borderId="11" xfId="11" applyFont="1" applyBorder="1" applyAlignment="1">
      <alignment vertical="center"/>
    </xf>
    <xf numFmtId="1" fontId="36" fillId="0" borderId="11" xfId="11" applyNumberFormat="1" applyFont="1" applyBorder="1" applyAlignment="1">
      <alignment horizontal="center" vertical="center"/>
    </xf>
    <xf numFmtId="165" fontId="2" fillId="0" borderId="7" xfId="11" applyNumberFormat="1" applyFont="1" applyBorder="1" applyAlignment="1">
      <alignment vertical="center"/>
    </xf>
    <xf numFmtId="0" fontId="53" fillId="0" borderId="0" xfId="11" applyFont="1" applyAlignment="1">
      <alignment horizontal="center" vertical="center" wrapText="1"/>
    </xf>
    <xf numFmtId="165" fontId="53" fillId="0" borderId="0" xfId="11" applyNumberFormat="1" applyFont="1" applyAlignment="1">
      <alignment horizontal="center" vertical="center" wrapText="1"/>
    </xf>
    <xf numFmtId="1" fontId="53" fillId="0" borderId="0" xfId="11" applyNumberFormat="1" applyFont="1" applyAlignment="1">
      <alignment horizontal="center" vertical="center" wrapText="1"/>
    </xf>
    <xf numFmtId="0" fontId="1" fillId="0" borderId="0" xfId="11" applyFont="1" applyAlignment="1">
      <alignment horizontal="center" vertical="center" wrapText="1"/>
    </xf>
    <xf numFmtId="165" fontId="35" fillId="0" borderId="10" xfId="11" applyNumberFormat="1" applyFont="1" applyBorder="1" applyAlignment="1">
      <alignment horizontal="right" vertical="center" wrapText="1"/>
    </xf>
    <xf numFmtId="0" fontId="60" fillId="0" borderId="0" xfId="11" applyFont="1" applyAlignment="1">
      <alignment horizontal="right" vertical="center" wrapText="1"/>
    </xf>
    <xf numFmtId="0" fontId="67" fillId="0" borderId="0" xfId="11" applyFont="1" applyAlignment="1">
      <alignment vertical="center" wrapText="1"/>
    </xf>
    <xf numFmtId="0" fontId="35" fillId="0" borderId="0" xfId="11" applyFont="1" applyAlignment="1">
      <alignment vertical="center" wrapText="1"/>
    </xf>
    <xf numFmtId="0" fontId="54" fillId="0" borderId="0" xfId="11" applyFont="1" applyAlignment="1">
      <alignment horizontal="center" vertical="center" wrapText="1"/>
    </xf>
    <xf numFmtId="1" fontId="36" fillId="0" borderId="7" xfId="11" applyNumberFormat="1" applyFont="1" applyBorder="1" applyAlignment="1">
      <alignment vertical="center" wrapText="1"/>
    </xf>
    <xf numFmtId="167" fontId="54" fillId="0" borderId="7" xfId="11" applyNumberFormat="1" applyFont="1" applyBorder="1" applyAlignment="1">
      <alignment horizontal="center" vertical="center" wrapText="1"/>
    </xf>
    <xf numFmtId="168" fontId="54" fillId="0" borderId="0" xfId="11" applyNumberFormat="1" applyFont="1" applyAlignment="1">
      <alignment horizontal="center" vertical="center" wrapText="1"/>
    </xf>
    <xf numFmtId="1" fontId="54" fillId="0" borderId="0" xfId="11" applyNumberFormat="1" applyFont="1" applyAlignment="1">
      <alignment horizontal="center" vertical="center" wrapText="1"/>
    </xf>
    <xf numFmtId="0" fontId="48" fillId="0" borderId="0" xfId="11" applyFont="1" applyAlignment="1">
      <alignment horizontal="center" vertical="center" wrapText="1"/>
    </xf>
    <xf numFmtId="0" fontId="49" fillId="0" borderId="0" xfId="11" applyFont="1" applyAlignment="1">
      <alignment horizontal="center" vertical="center" wrapText="1"/>
    </xf>
    <xf numFmtId="1" fontId="36" fillId="13" borderId="7" xfId="11" applyNumberFormat="1" applyFont="1" applyFill="1" applyBorder="1" applyAlignment="1">
      <alignment vertical="center" wrapText="1"/>
    </xf>
    <xf numFmtId="166" fontId="36" fillId="13" borderId="7" xfId="5" applyNumberFormat="1" applyFont="1" applyFill="1" applyBorder="1" applyAlignment="1">
      <alignment horizontal="center" vertical="center"/>
    </xf>
    <xf numFmtId="1" fontId="36" fillId="0" borderId="7" xfId="11" applyNumberFormat="1" applyFont="1" applyBorder="1" applyAlignment="1">
      <alignment horizontal="right" vertical="center" wrapText="1"/>
    </xf>
    <xf numFmtId="0" fontId="36" fillId="13" borderId="7" xfId="11" applyFont="1" applyFill="1" applyBorder="1" applyAlignment="1">
      <alignment vertical="center" wrapText="1"/>
    </xf>
    <xf numFmtId="165" fontId="36" fillId="0" borderId="7" xfId="11" applyNumberFormat="1" applyFont="1" applyBorder="1" applyAlignment="1">
      <alignment horizontal="right" vertical="center"/>
    </xf>
    <xf numFmtId="0" fontId="35" fillId="0" borderId="7" xfId="11" applyFont="1" applyBorder="1" applyAlignment="1">
      <alignment vertical="center"/>
    </xf>
    <xf numFmtId="2" fontId="35" fillId="0" borderId="7" xfId="11" applyNumberFormat="1" applyFont="1" applyBorder="1" applyAlignment="1">
      <alignment vertical="center"/>
    </xf>
    <xf numFmtId="168" fontId="53" fillId="0" borderId="0" xfId="11" applyNumberFormat="1" applyFont="1" applyAlignment="1">
      <alignment horizontal="center" vertical="center" wrapText="1"/>
    </xf>
    <xf numFmtId="0" fontId="67" fillId="0" borderId="7" xfId="11" applyFont="1" applyBorder="1" applyAlignment="1">
      <alignment horizontal="center" vertical="center" wrapText="1"/>
    </xf>
    <xf numFmtId="166" fontId="36" fillId="8" borderId="7" xfId="5" applyNumberFormat="1" applyFont="1" applyFill="1" applyBorder="1" applyAlignment="1">
      <alignment horizontal="center" vertical="center" wrapText="1"/>
    </xf>
    <xf numFmtId="1" fontId="33" fillId="0" borderId="7" xfId="11" applyNumberFormat="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/>
    </xf>
    <xf numFmtId="0" fontId="2" fillId="0" borderId="7" xfId="11" applyFont="1" applyBorder="1" applyAlignment="1">
      <alignment vertical="center"/>
    </xf>
    <xf numFmtId="1" fontId="36" fillId="8" borderId="7" xfId="11" applyNumberFormat="1" applyFont="1" applyFill="1" applyBorder="1" applyAlignment="1">
      <alignment horizontal="center" vertical="center"/>
    </xf>
    <xf numFmtId="2" fontId="2" fillId="0" borderId="11" xfId="11" applyNumberFormat="1" applyFont="1" applyBorder="1" applyAlignment="1">
      <alignment vertical="center"/>
    </xf>
    <xf numFmtId="1" fontId="2" fillId="9" borderId="11" xfId="11" applyNumberFormat="1" applyFont="1" applyFill="1" applyBorder="1" applyAlignment="1">
      <alignment vertical="center"/>
    </xf>
    <xf numFmtId="0" fontId="67" fillId="0" borderId="0" xfId="11" applyFont="1" applyAlignment="1">
      <alignment horizontal="center" vertical="center" wrapText="1"/>
    </xf>
    <xf numFmtId="0" fontId="67" fillId="0" borderId="24" xfId="11" applyFont="1" applyBorder="1" applyAlignment="1">
      <alignment vertical="center" wrapText="1"/>
    </xf>
    <xf numFmtId="166" fontId="31" fillId="13" borderId="0" xfId="5" applyNumberFormat="1" applyFont="1" applyFill="1" applyAlignment="1">
      <alignment horizontal="center" vertical="center" wrapText="1"/>
    </xf>
    <xf numFmtId="0" fontId="67" fillId="13" borderId="24" xfId="11" applyFont="1" applyFill="1" applyBorder="1" applyAlignment="1">
      <alignment vertical="center" wrapText="1"/>
    </xf>
    <xf numFmtId="166" fontId="31" fillId="0" borderId="0" xfId="11" applyNumberFormat="1" applyFont="1" applyAlignment="1">
      <alignment horizontal="center" vertical="center"/>
    </xf>
    <xf numFmtId="1" fontId="35" fillId="0" borderId="0" xfId="11" applyNumberFormat="1" applyFont="1" applyAlignment="1">
      <alignment vertical="center" wrapText="1"/>
    </xf>
    <xf numFmtId="1" fontId="35" fillId="0" borderId="0" xfId="11" applyNumberFormat="1" applyFont="1" applyAlignment="1">
      <alignment horizontal="center" vertical="center" wrapText="1"/>
    </xf>
    <xf numFmtId="0" fontId="35" fillId="0" borderId="11" xfId="11" applyFont="1" applyBorder="1" applyAlignment="1">
      <alignment horizontal="center" vertical="center" wrapText="1"/>
    </xf>
    <xf numFmtId="166" fontId="54" fillId="13" borderId="7" xfId="5" applyNumberFormat="1" applyFont="1" applyFill="1" applyBorder="1" applyAlignment="1">
      <alignment horizontal="center" vertical="center" wrapText="1"/>
    </xf>
    <xf numFmtId="0" fontId="54" fillId="0" borderId="7" xfId="11" applyFont="1" applyBorder="1" applyAlignment="1">
      <alignment vertical="center" wrapText="1"/>
    </xf>
    <xf numFmtId="166" fontId="35" fillId="13" borderId="7" xfId="5" applyNumberFormat="1" applyFont="1" applyFill="1" applyBorder="1" applyAlignment="1">
      <alignment horizontal="center" vertical="center" wrapText="1"/>
    </xf>
    <xf numFmtId="0" fontId="32" fillId="0" borderId="0" xfId="11" applyFont="1" applyAlignment="1">
      <alignment vertical="center" wrapText="1"/>
    </xf>
    <xf numFmtId="0" fontId="69" fillId="0" borderId="0" xfId="11" applyFont="1"/>
    <xf numFmtId="0" fontId="31" fillId="0" borderId="0" xfId="11" applyFont="1" applyAlignment="1">
      <alignment vertical="center" wrapText="1"/>
    </xf>
    <xf numFmtId="166" fontId="67" fillId="13" borderId="0" xfId="5" applyNumberFormat="1" applyFont="1" applyFill="1" applyAlignment="1">
      <alignment horizontal="center" vertical="center" wrapText="1"/>
    </xf>
    <xf numFmtId="0" fontId="31" fillId="13" borderId="0" xfId="11" applyFont="1" applyFill="1" applyAlignment="1">
      <alignment horizontal="center" vertical="center" wrapText="1"/>
    </xf>
    <xf numFmtId="0" fontId="158" fillId="0" borderId="0" xfId="11"/>
    <xf numFmtId="166" fontId="158" fillId="13" borderId="0" xfId="11" applyNumberFormat="1" applyFill="1"/>
    <xf numFmtId="0" fontId="33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166" fontId="0" fillId="13" borderId="0" xfId="5" applyNumberFormat="1" applyFont="1" applyFill="1" applyAlignment="1">
      <alignment vertical="center"/>
    </xf>
    <xf numFmtId="0" fontId="158" fillId="13" borderId="0" xfId="11" applyFill="1" applyAlignment="1">
      <alignment vertical="center"/>
    </xf>
    <xf numFmtId="0" fontId="158" fillId="13" borderId="0" xfId="11" applyFill="1"/>
    <xf numFmtId="0" fontId="35" fillId="8" borderId="7" xfId="11" applyFont="1" applyFill="1" applyBorder="1" applyAlignment="1">
      <alignment vertical="center"/>
    </xf>
    <xf numFmtId="1" fontId="158" fillId="0" borderId="0" xfId="11" applyNumberFormat="1"/>
    <xf numFmtId="166" fontId="31" fillId="13" borderId="0" xfId="5" applyNumberFormat="1" applyFont="1" applyFill="1" applyAlignment="1">
      <alignment horizontal="center" vertical="center"/>
    </xf>
    <xf numFmtId="0" fontId="31" fillId="13" borderId="0" xfId="11" applyFont="1" applyFill="1" applyAlignment="1">
      <alignment horizontal="center" vertical="center"/>
    </xf>
    <xf numFmtId="167" fontId="31" fillId="0" borderId="0" xfId="11" applyNumberFormat="1" applyFont="1" applyAlignment="1">
      <alignment horizontal="center" vertical="center"/>
    </xf>
    <xf numFmtId="0" fontId="60" fillId="0" borderId="0" xfId="11" applyFont="1" applyAlignment="1">
      <alignment horizontal="right" vertical="center"/>
    </xf>
    <xf numFmtId="0" fontId="67" fillId="0" borderId="0" xfId="11" applyFont="1" applyAlignment="1">
      <alignment horizontal="center" vertical="center"/>
    </xf>
    <xf numFmtId="17" fontId="36" fillId="0" borderId="0" xfId="11" applyNumberFormat="1" applyFont="1" applyAlignment="1">
      <alignment horizontal="center" vertical="center"/>
    </xf>
    <xf numFmtId="0" fontId="31" fillId="0" borderId="26" xfId="11" applyFont="1" applyBorder="1" applyAlignment="1">
      <alignment horizontal="center" vertical="center"/>
    </xf>
    <xf numFmtId="0" fontId="34" fillId="0" borderId="26" xfId="11" applyFont="1" applyBorder="1" applyAlignment="1">
      <alignment horizontal="center" vertical="center"/>
    </xf>
    <xf numFmtId="0" fontId="32" fillId="0" borderId="26" xfId="11" applyFont="1" applyBorder="1" applyAlignment="1">
      <alignment horizontal="center" vertical="center"/>
    </xf>
    <xf numFmtId="0" fontId="33" fillId="0" borderId="26" xfId="11" applyFont="1" applyBorder="1" applyAlignment="1">
      <alignment horizontal="center" vertical="center"/>
    </xf>
    <xf numFmtId="166" fontId="36" fillId="13" borderId="7" xfId="5" applyNumberFormat="1" applyFont="1" applyFill="1" applyBorder="1" applyAlignment="1">
      <alignment horizontal="right" vertical="center" wrapText="1"/>
    </xf>
    <xf numFmtId="0" fontId="36" fillId="13" borderId="7" xfId="11" applyFont="1" applyFill="1" applyBorder="1" applyAlignment="1">
      <alignment horizontal="right" vertical="center" wrapText="1"/>
    </xf>
    <xf numFmtId="2" fontId="36" fillId="0" borderId="7" xfId="11" applyNumberFormat="1" applyFont="1" applyBorder="1" applyAlignment="1">
      <alignment horizontal="right" vertical="center" wrapText="1"/>
    </xf>
    <xf numFmtId="167" fontId="36" fillId="0" borderId="0" xfId="11" applyNumberFormat="1" applyFont="1" applyAlignment="1">
      <alignment horizontal="right" vertical="center" wrapText="1"/>
    </xf>
    <xf numFmtId="175" fontId="31" fillId="13" borderId="7" xfId="11" applyNumberFormat="1" applyFont="1" applyFill="1" applyBorder="1" applyAlignment="1">
      <alignment horizontal="center" vertical="center" wrapText="1"/>
    </xf>
    <xf numFmtId="1" fontId="167" fillId="0" borderId="7" xfId="11" applyNumberFormat="1" applyFont="1" applyBorder="1" applyAlignment="1">
      <alignment horizontal="center" vertical="center" wrapText="1"/>
    </xf>
    <xf numFmtId="0" fontId="169" fillId="0" borderId="7" xfId="11" applyFont="1" applyBorder="1" applyAlignment="1">
      <alignment horizontal="center" vertical="center" wrapText="1"/>
    </xf>
    <xf numFmtId="0" fontId="168" fillId="0" borderId="7" xfId="11" applyFont="1" applyBorder="1" applyAlignment="1">
      <alignment horizontal="center" vertical="center" wrapText="1"/>
    </xf>
    <xf numFmtId="165" fontId="167" fillId="0" borderId="7" xfId="11" applyNumberFormat="1" applyFont="1" applyBorder="1" applyAlignment="1">
      <alignment horizontal="right" vertical="center" wrapText="1"/>
    </xf>
    <xf numFmtId="0" fontId="167" fillId="0" borderId="7" xfId="11" applyFont="1" applyBorder="1" applyAlignment="1">
      <alignment horizontal="center" vertical="center" wrapText="1"/>
    </xf>
    <xf numFmtId="0" fontId="167" fillId="0" borderId="0" xfId="11" applyFont="1" applyAlignment="1">
      <alignment horizontal="center" vertical="center"/>
    </xf>
    <xf numFmtId="166" fontId="167" fillId="13" borderId="7" xfId="5" applyNumberFormat="1" applyFont="1" applyFill="1" applyBorder="1" applyAlignment="1">
      <alignment horizontal="center" vertical="center" wrapText="1"/>
    </xf>
    <xf numFmtId="0" fontId="167" fillId="13" borderId="7" xfId="11" applyFont="1" applyFill="1" applyBorder="1" applyAlignment="1">
      <alignment horizontal="center" vertical="center" wrapText="1"/>
    </xf>
    <xf numFmtId="2" fontId="167" fillId="0" borderId="7" xfId="11" applyNumberFormat="1" applyFont="1" applyBorder="1" applyAlignment="1">
      <alignment horizontal="right" vertical="center" wrapText="1"/>
    </xf>
    <xf numFmtId="165" fontId="167" fillId="0" borderId="7" xfId="11" applyNumberFormat="1" applyFont="1" applyBorder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right" vertical="center" wrapText="1"/>
    </xf>
    <xf numFmtId="0" fontId="168" fillId="0" borderId="12" xfId="11" applyFont="1" applyBorder="1" applyAlignment="1">
      <alignment horizontal="center" vertical="center" wrapText="1"/>
    </xf>
    <xf numFmtId="0" fontId="167" fillId="0" borderId="7" xfId="11" applyFont="1" applyBorder="1" applyAlignment="1">
      <alignment horizontal="right" vertical="center"/>
    </xf>
    <xf numFmtId="168" fontId="31" fillId="0" borderId="7" xfId="11" applyNumberFormat="1" applyFont="1" applyBorder="1" applyAlignment="1">
      <alignment horizontal="center" vertical="center"/>
    </xf>
    <xf numFmtId="1" fontId="167" fillId="13" borderId="7" xfId="11" applyNumberFormat="1" applyFont="1" applyFill="1" applyBorder="1" applyAlignment="1">
      <alignment horizontal="center" vertical="center" wrapText="1"/>
    </xf>
    <xf numFmtId="165" fontId="31" fillId="0" borderId="12" xfId="11" applyNumberFormat="1" applyFont="1" applyBorder="1" applyAlignment="1">
      <alignment horizontal="center" vertical="center"/>
    </xf>
    <xf numFmtId="1" fontId="31" fillId="0" borderId="12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right" vertical="center" wrapText="1"/>
    </xf>
    <xf numFmtId="169" fontId="167" fillId="0" borderId="7" xfId="11" applyNumberFormat="1" applyFont="1" applyBorder="1" applyAlignment="1">
      <alignment horizontal="right" vertical="center" wrapText="1"/>
    </xf>
    <xf numFmtId="169" fontId="167" fillId="0" borderId="7" xfId="11" applyNumberFormat="1" applyFont="1" applyBorder="1" applyAlignment="1">
      <alignment horizontal="center" vertical="center" wrapText="1"/>
    </xf>
    <xf numFmtId="168" fontId="31" fillId="0" borderId="12" xfId="11" applyNumberFormat="1" applyFont="1" applyBorder="1" applyAlignment="1">
      <alignment horizontal="center" vertical="center"/>
    </xf>
    <xf numFmtId="171" fontId="31" fillId="0" borderId="7" xfId="11" applyNumberFormat="1" applyFont="1" applyBorder="1" applyAlignment="1">
      <alignment horizontal="right" vertical="center" wrapText="1"/>
    </xf>
    <xf numFmtId="0" fontId="60" fillId="0" borderId="12" xfId="11" applyFont="1" applyBorder="1" applyAlignment="1">
      <alignment horizontal="center" vertical="center" wrapText="1"/>
    </xf>
    <xf numFmtId="0" fontId="60" fillId="0" borderId="12" xfId="11" applyFont="1" applyBorder="1" applyAlignment="1">
      <alignment horizontal="center" vertical="center"/>
    </xf>
    <xf numFmtId="1" fontId="64" fillId="0" borderId="12" xfId="11" applyNumberFormat="1" applyFont="1" applyBorder="1" applyAlignment="1">
      <alignment horizontal="center" vertical="center" wrapText="1"/>
    </xf>
    <xf numFmtId="0" fontId="64" fillId="0" borderId="7" xfId="11" applyFont="1" applyBorder="1" applyAlignment="1">
      <alignment horizontal="center" vertical="center" wrapText="1"/>
    </xf>
    <xf numFmtId="1" fontId="60" fillId="0" borderId="12" xfId="11" applyNumberFormat="1" applyFont="1" applyBorder="1" applyAlignment="1">
      <alignment horizontal="center" vertical="center"/>
    </xf>
    <xf numFmtId="0" fontId="64" fillId="0" borderId="12" xfId="11" applyFont="1" applyBorder="1" applyAlignment="1">
      <alignment horizontal="center" vertical="center" wrapText="1"/>
    </xf>
    <xf numFmtId="0" fontId="65" fillId="0" borderId="7" xfId="11" applyFont="1" applyBorder="1" applyAlignment="1">
      <alignment horizontal="center" vertical="center" wrapText="1"/>
    </xf>
    <xf numFmtId="166" fontId="60" fillId="13" borderId="7" xfId="5" applyNumberFormat="1" applyFont="1" applyFill="1" applyBorder="1" applyAlignment="1">
      <alignment horizontal="center" vertical="center" wrapText="1"/>
    </xf>
    <xf numFmtId="1" fontId="60" fillId="13" borderId="7" xfId="11" applyNumberFormat="1" applyFont="1" applyFill="1" applyBorder="1" applyAlignment="1">
      <alignment horizontal="center" vertical="center" wrapText="1"/>
    </xf>
    <xf numFmtId="1" fontId="47" fillId="0" borderId="7" xfId="11" applyNumberFormat="1" applyFont="1" applyBorder="1" applyAlignment="1">
      <alignment horizontal="center" vertical="center" wrapText="1"/>
    </xf>
    <xf numFmtId="2" fontId="60" fillId="0" borderId="7" xfId="11" applyNumberFormat="1" applyFont="1" applyBorder="1" applyAlignment="1">
      <alignment horizontal="right" vertical="center" wrapText="1"/>
    </xf>
    <xf numFmtId="168" fontId="60" fillId="0" borderId="7" xfId="11" applyNumberFormat="1" applyFont="1" applyBorder="1" applyAlignment="1">
      <alignment horizontal="center" vertical="center"/>
    </xf>
    <xf numFmtId="1" fontId="60" fillId="0" borderId="12" xfId="11" applyNumberFormat="1" applyFont="1" applyBorder="1" applyAlignment="1">
      <alignment horizontal="center" vertical="center" wrapText="1"/>
    </xf>
    <xf numFmtId="169" fontId="60" fillId="0" borderId="7" xfId="11" applyNumberFormat="1" applyFont="1" applyBorder="1" applyAlignment="1">
      <alignment horizontal="right" vertical="center" wrapText="1"/>
    </xf>
    <xf numFmtId="171" fontId="60" fillId="0" borderId="7" xfId="11" applyNumberFormat="1" applyFont="1" applyBorder="1" applyAlignment="1">
      <alignment horizontal="right" vertical="center" wrapText="1"/>
    </xf>
    <xf numFmtId="168" fontId="60" fillId="0" borderId="7" xfId="11" applyNumberFormat="1" applyFont="1" applyBorder="1" applyAlignment="1">
      <alignment horizontal="center" vertical="center" wrapText="1"/>
    </xf>
    <xf numFmtId="1" fontId="60" fillId="0" borderId="7" xfId="11" applyNumberFormat="1" applyFont="1" applyBorder="1" applyAlignment="1">
      <alignment vertical="center" wrapText="1"/>
    </xf>
    <xf numFmtId="166" fontId="60" fillId="13" borderId="0" xfId="5" applyNumberFormat="1" applyFont="1" applyFill="1" applyAlignment="1">
      <alignment horizontal="center" vertical="center"/>
    </xf>
    <xf numFmtId="1" fontId="59" fillId="0" borderId="7" xfId="11" applyNumberFormat="1" applyFont="1" applyBorder="1" applyAlignment="1">
      <alignment horizontal="center" vertical="center"/>
    </xf>
    <xf numFmtId="2" fontId="59" fillId="0" borderId="7" xfId="11" applyNumberFormat="1" applyFont="1" applyBorder="1" applyAlignment="1">
      <alignment horizontal="right" vertical="center" wrapText="1"/>
    </xf>
    <xf numFmtId="0" fontId="59" fillId="0" borderId="7" xfId="11" applyFont="1" applyBorder="1" applyAlignment="1">
      <alignment horizontal="center" vertical="center"/>
    </xf>
    <xf numFmtId="2" fontId="59" fillId="0" borderId="7" xfId="11" applyNumberFormat="1" applyFont="1" applyBorder="1" applyAlignment="1">
      <alignment horizontal="center" vertical="center"/>
    </xf>
    <xf numFmtId="168" fontId="59" fillId="0" borderId="7" xfId="11" applyNumberFormat="1" applyFont="1" applyBorder="1" applyAlignment="1">
      <alignment horizontal="center" vertical="center"/>
    </xf>
    <xf numFmtId="0" fontId="59" fillId="0" borderId="7" xfId="11" applyFont="1" applyBorder="1" applyAlignment="1">
      <alignment horizontal="center" vertical="center" wrapText="1"/>
    </xf>
    <xf numFmtId="0" fontId="59" fillId="0" borderId="0" xfId="11" applyFont="1" applyAlignment="1">
      <alignment horizontal="center" vertical="center" wrapText="1"/>
    </xf>
    <xf numFmtId="0" fontId="63" fillId="0" borderId="7" xfId="11" applyFont="1" applyBorder="1" applyAlignment="1">
      <alignment horizontal="center" vertical="center" wrapText="1"/>
    </xf>
    <xf numFmtId="0" fontId="62" fillId="0" borderId="0" xfId="11" applyFont="1"/>
    <xf numFmtId="2" fontId="59" fillId="0" borderId="0" xfId="11" applyNumberFormat="1" applyFont="1" applyAlignment="1">
      <alignment horizontal="center" vertical="center" wrapText="1"/>
    </xf>
    <xf numFmtId="0" fontId="61" fillId="0" borderId="7" xfId="11" applyFont="1" applyBorder="1" applyAlignment="1">
      <alignment horizontal="center" vertical="center" wrapText="1"/>
    </xf>
    <xf numFmtId="169" fontId="59" fillId="0" borderId="7" xfId="11" applyNumberFormat="1" applyFont="1" applyBorder="1" applyAlignment="1">
      <alignment horizontal="right" vertical="center" wrapText="1"/>
    </xf>
    <xf numFmtId="171" fontId="59" fillId="0" borderId="7" xfId="11" applyNumberFormat="1" applyFont="1" applyBorder="1" applyAlignment="1">
      <alignment horizontal="right" vertical="center" wrapText="1"/>
    </xf>
    <xf numFmtId="0" fontId="59" fillId="0" borderId="0" xfId="11" applyFont="1" applyAlignment="1">
      <alignment horizontal="center" vertical="center"/>
    </xf>
    <xf numFmtId="0" fontId="34" fillId="0" borderId="7" xfId="11" applyFont="1" applyBorder="1" applyAlignment="1">
      <alignment horizontal="center" vertical="top" wrapText="1"/>
    </xf>
    <xf numFmtId="0" fontId="1" fillId="0" borderId="7" xfId="11" applyFont="1" applyBorder="1" applyAlignment="1">
      <alignment horizontal="left" vertical="center"/>
    </xf>
    <xf numFmtId="0" fontId="30" fillId="0" borderId="0" xfId="11" applyFont="1" applyAlignment="1">
      <alignment vertical="center"/>
    </xf>
    <xf numFmtId="0" fontId="31" fillId="13" borderId="11" xfId="11" applyFont="1" applyFill="1" applyBorder="1" applyAlignment="1">
      <alignment vertical="center" wrapText="1"/>
    </xf>
    <xf numFmtId="0" fontId="1" fillId="0" borderId="7" xfId="11" applyFont="1" applyBorder="1" applyAlignment="1">
      <alignment horizontal="center" vertical="top" wrapText="1"/>
    </xf>
    <xf numFmtId="0" fontId="34" fillId="0" borderId="11" xfId="11" applyFont="1" applyBorder="1" applyAlignment="1">
      <alignment horizontal="center" vertical="top" wrapText="1"/>
    </xf>
    <xf numFmtId="0" fontId="31" fillId="13" borderId="12" xfId="11" applyFont="1" applyFill="1" applyBorder="1" applyAlignment="1">
      <alignment vertical="center" wrapText="1"/>
    </xf>
    <xf numFmtId="0" fontId="53" fillId="0" borderId="7" xfId="11" applyFont="1" applyBorder="1" applyAlignment="1">
      <alignment horizontal="center" vertical="top" wrapText="1"/>
    </xf>
    <xf numFmtId="165" fontId="33" fillId="0" borderId="7" xfId="11" applyNumberFormat="1" applyFont="1" applyBorder="1" applyAlignment="1">
      <alignment horizontal="center" vertical="center" wrapText="1"/>
    </xf>
    <xf numFmtId="166" fontId="36" fillId="0" borderId="7" xfId="11" applyNumberFormat="1" applyFont="1" applyBorder="1" applyAlignment="1">
      <alignment horizontal="center" vertical="center" wrapText="1"/>
    </xf>
    <xf numFmtId="1" fontId="31" fillId="0" borderId="11" xfId="11" applyNumberFormat="1" applyFont="1" applyBorder="1" applyAlignment="1">
      <alignment horizontal="center" vertical="center" wrapText="1"/>
    </xf>
    <xf numFmtId="165" fontId="163" fillId="0" borderId="7" xfId="11" applyNumberFormat="1" applyFont="1" applyBorder="1" applyAlignment="1">
      <alignment horizontal="right" vertical="center" wrapText="1"/>
    </xf>
    <xf numFmtId="1" fontId="31" fillId="13" borderId="7" xfId="11" applyNumberFormat="1" applyFont="1" applyFill="1" applyBorder="1" applyAlignment="1">
      <alignment horizontal="center" vertical="center" wrapText="1"/>
    </xf>
    <xf numFmtId="0" fontId="36" fillId="0" borderId="65" xfId="11" applyFont="1" applyBorder="1" applyAlignment="1">
      <alignment vertical="center"/>
    </xf>
    <xf numFmtId="0" fontId="36" fillId="0" borderId="24" xfId="11" applyFont="1" applyBorder="1" applyAlignment="1">
      <alignment vertical="center"/>
    </xf>
    <xf numFmtId="166" fontId="36" fillId="9" borderId="0" xfId="5" applyNumberFormat="1" applyFont="1" applyFill="1" applyAlignment="1">
      <alignment horizontal="center" vertical="center"/>
    </xf>
    <xf numFmtId="1" fontId="36" fillId="13" borderId="11" xfId="11" applyNumberFormat="1" applyFont="1" applyFill="1" applyBorder="1" applyAlignment="1">
      <alignment horizontal="center" vertical="center"/>
    </xf>
    <xf numFmtId="0" fontId="31" fillId="0" borderId="11" xfId="11" applyFont="1" applyBorder="1" applyAlignment="1">
      <alignment horizontal="center" vertical="center"/>
    </xf>
    <xf numFmtId="0" fontId="54" fillId="0" borderId="7" xfId="11" applyFont="1" applyBorder="1" applyAlignment="1">
      <alignment vertical="center"/>
    </xf>
    <xf numFmtId="0" fontId="36" fillId="0" borderId="8" xfId="11" applyFont="1" applyBorder="1" applyAlignment="1">
      <alignment vertical="center"/>
    </xf>
    <xf numFmtId="0" fontId="36" fillId="0" borderId="9" xfId="11" applyFont="1" applyBorder="1" applyAlignment="1">
      <alignment vertical="center"/>
    </xf>
    <xf numFmtId="0" fontId="58" fillId="0" borderId="7" xfId="11" applyFont="1" applyBorder="1" applyAlignment="1">
      <alignment horizontal="center" vertical="center" wrapText="1"/>
    </xf>
    <xf numFmtId="0" fontId="58" fillId="0" borderId="7" xfId="11" applyFont="1" applyBorder="1" applyAlignment="1">
      <alignment vertical="center" wrapText="1"/>
    </xf>
    <xf numFmtId="0" fontId="57" fillId="0" borderId="7" xfId="11" applyFont="1" applyBorder="1" applyAlignment="1">
      <alignment horizontal="center" vertical="center" wrapText="1"/>
    </xf>
    <xf numFmtId="0" fontId="58" fillId="0" borderId="12" xfId="11" applyFont="1" applyBorder="1" applyAlignment="1">
      <alignment vertical="center" wrapText="1"/>
    </xf>
    <xf numFmtId="0" fontId="33" fillId="0" borderId="12" xfId="11" applyFont="1" applyBorder="1" applyAlignment="1">
      <alignment horizontal="center" vertical="center"/>
    </xf>
    <xf numFmtId="0" fontId="170" fillId="0" borderId="7" xfId="11" applyFont="1" applyBorder="1" applyAlignment="1">
      <alignment horizontal="left" vertical="center"/>
    </xf>
    <xf numFmtId="166" fontId="161" fillId="0" borderId="7" xfId="5" applyNumberFormat="1" applyFont="1" applyFill="1" applyBorder="1" applyAlignment="1">
      <alignment horizontal="center" vertical="center"/>
    </xf>
    <xf numFmtId="166" fontId="163" fillId="13" borderId="7" xfId="5" applyNumberFormat="1" applyFont="1" applyFill="1" applyBorder="1" applyAlignment="1">
      <alignment horizontal="right" vertical="center" wrapText="1"/>
    </xf>
    <xf numFmtId="1" fontId="1" fillId="0" borderId="7" xfId="11" applyNumberFormat="1" applyFont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right" vertical="center" wrapText="1"/>
    </xf>
    <xf numFmtId="166" fontId="31" fillId="13" borderId="7" xfId="5" applyNumberFormat="1" applyFont="1" applyFill="1" applyBorder="1" applyAlignment="1">
      <alignment horizontal="right" vertical="center" wrapText="1"/>
    </xf>
    <xf numFmtId="43" fontId="31" fillId="0" borderId="7" xfId="11" applyNumberFormat="1" applyFont="1" applyBorder="1" applyAlignment="1">
      <alignment horizontal="center" vertical="center" wrapText="1"/>
    </xf>
    <xf numFmtId="0" fontId="32" fillId="0" borderId="8" xfId="11" applyFont="1" applyBorder="1" applyAlignment="1">
      <alignment vertical="center" wrapText="1"/>
    </xf>
    <xf numFmtId="0" fontId="32" fillId="0" borderId="9" xfId="11" applyFont="1" applyBorder="1" applyAlignment="1">
      <alignment vertical="center" wrapText="1"/>
    </xf>
    <xf numFmtId="0" fontId="32" fillId="0" borderId="10" xfId="11" applyFont="1" applyBorder="1" applyAlignment="1">
      <alignment vertical="center" wrapText="1"/>
    </xf>
    <xf numFmtId="1" fontId="31" fillId="0" borderId="7" xfId="11" applyNumberFormat="1" applyFont="1" applyBorder="1" applyAlignment="1">
      <alignment horizontal="right" vertical="center" wrapText="1"/>
    </xf>
    <xf numFmtId="168" fontId="31" fillId="0" borderId="7" xfId="11" applyNumberFormat="1" applyFont="1" applyBorder="1" applyAlignment="1">
      <alignment horizontal="right" vertical="center" wrapText="1"/>
    </xf>
    <xf numFmtId="2" fontId="2" fillId="0" borderId="0" xfId="11" applyNumberFormat="1" applyFont="1" applyAlignment="1">
      <alignment horizontal="center" vertical="center" wrapText="1"/>
    </xf>
    <xf numFmtId="165" fontId="31" fillId="13" borderId="7" xfId="11" applyNumberFormat="1" applyFont="1" applyFill="1" applyBorder="1" applyAlignment="1">
      <alignment horizontal="right" vertical="center" wrapText="1"/>
    </xf>
    <xf numFmtId="174" fontId="31" fillId="0" borderId="7" xfId="11" applyNumberFormat="1" applyFont="1" applyBorder="1" applyAlignment="1">
      <alignment vertical="center" wrapText="1"/>
    </xf>
    <xf numFmtId="165" fontId="56" fillId="0" borderId="2" xfId="11" applyNumberFormat="1" applyFont="1" applyBorder="1" applyAlignment="1">
      <alignment horizontal="right" vertical="center" shrinkToFit="1"/>
    </xf>
    <xf numFmtId="1" fontId="31" fillId="9" borderId="7" xfId="11" applyNumberFormat="1" applyFont="1" applyFill="1" applyBorder="1" applyAlignment="1">
      <alignment horizontal="center" vertical="center"/>
    </xf>
    <xf numFmtId="2" fontId="56" fillId="0" borderId="2" xfId="11" applyNumberFormat="1" applyFont="1" applyBorder="1" applyAlignment="1">
      <alignment horizontal="right" vertical="center" shrinkToFit="1"/>
    </xf>
    <xf numFmtId="165" fontId="56" fillId="0" borderId="1" xfId="11" applyNumberFormat="1" applyFont="1" applyBorder="1" applyAlignment="1">
      <alignment horizontal="right" vertical="center" shrinkToFit="1"/>
    </xf>
    <xf numFmtId="165" fontId="56" fillId="0" borderId="7" xfId="11" applyNumberFormat="1" applyFont="1" applyBorder="1" applyAlignment="1">
      <alignment horizontal="right" vertical="center" shrinkToFit="1"/>
    </xf>
    <xf numFmtId="174" fontId="31" fillId="13" borderId="7" xfId="11" applyNumberFormat="1" applyFont="1" applyFill="1" applyBorder="1" applyAlignment="1">
      <alignment horizontal="center" vertical="center" wrapText="1"/>
    </xf>
    <xf numFmtId="1" fontId="36" fillId="7" borderId="7" xfId="11" applyNumberFormat="1" applyFont="1" applyFill="1" applyBorder="1" applyAlignment="1">
      <alignment horizontal="center" vertical="center" wrapText="1"/>
    </xf>
    <xf numFmtId="165" fontId="31" fillId="14" borderId="7" xfId="11" applyNumberFormat="1" applyFont="1" applyFill="1" applyBorder="1" applyAlignment="1">
      <alignment horizontal="right" vertical="center" wrapText="1"/>
    </xf>
    <xf numFmtId="166" fontId="36" fillId="9" borderId="7" xfId="5" applyNumberFormat="1" applyFont="1" applyFill="1" applyBorder="1" applyAlignment="1">
      <alignment horizontal="center" vertical="center"/>
    </xf>
    <xf numFmtId="1" fontId="36" fillId="13" borderId="7" xfId="11" applyNumberFormat="1" applyFont="1" applyFill="1" applyBorder="1" applyAlignment="1">
      <alignment vertical="center"/>
    </xf>
    <xf numFmtId="0" fontId="35" fillId="0" borderId="9" xfId="11" applyFont="1" applyBorder="1" applyAlignment="1">
      <alignment vertical="center"/>
    </xf>
    <xf numFmtId="166" fontId="36" fillId="9" borderId="7" xfId="11" applyNumberFormat="1" applyFont="1" applyFill="1" applyBorder="1" applyAlignment="1">
      <alignment horizontal="center" vertical="center" wrapText="1"/>
    </xf>
    <xf numFmtId="166" fontId="36" fillId="13" borderId="10" xfId="5" applyNumberFormat="1" applyFont="1" applyFill="1" applyBorder="1" applyAlignment="1">
      <alignment horizontal="center" vertical="center" wrapText="1"/>
    </xf>
    <xf numFmtId="2" fontId="35" fillId="0" borderId="10" xfId="11" applyNumberFormat="1" applyFont="1" applyBorder="1" applyAlignment="1">
      <alignment vertical="center"/>
    </xf>
    <xf numFmtId="174" fontId="36" fillId="0" borderId="7" xfId="11" applyNumberFormat="1" applyFont="1" applyBorder="1" applyAlignment="1">
      <alignment horizontal="center" vertical="center" wrapText="1"/>
    </xf>
    <xf numFmtId="0" fontId="35" fillId="0" borderId="10" xfId="11" applyFont="1" applyBorder="1" applyAlignment="1">
      <alignment vertical="center"/>
    </xf>
    <xf numFmtId="0" fontId="31" fillId="0" borderId="8" xfId="11" applyFont="1" applyBorder="1" applyAlignment="1">
      <alignment vertical="center" wrapText="1"/>
    </xf>
    <xf numFmtId="0" fontId="31" fillId="0" borderId="10" xfId="11" applyFont="1" applyBorder="1" applyAlignment="1">
      <alignment vertical="center" wrapText="1"/>
    </xf>
    <xf numFmtId="1" fontId="35" fillId="0" borderId="9" xfId="11" applyNumberFormat="1" applyFont="1" applyBorder="1" applyAlignment="1">
      <alignment vertical="center"/>
    </xf>
    <xf numFmtId="165" fontId="32" fillId="0" borderId="7" xfId="11" applyNumberFormat="1" applyFont="1" applyBorder="1" applyAlignment="1">
      <alignment horizontal="center" vertical="center" wrapText="1"/>
    </xf>
    <xf numFmtId="173" fontId="31" fillId="13" borderId="7" xfId="5" applyNumberFormat="1" applyFont="1" applyFill="1" applyBorder="1" applyAlignment="1">
      <alignment horizontal="center" vertical="center" wrapText="1"/>
    </xf>
    <xf numFmtId="186" fontId="31" fillId="0" borderId="7" xfId="11" applyNumberFormat="1" applyFont="1" applyBorder="1" applyAlignment="1">
      <alignment horizontal="center" vertical="center" wrapText="1"/>
    </xf>
    <xf numFmtId="166" fontId="31" fillId="9" borderId="7" xfId="5" applyNumberFormat="1" applyFont="1" applyFill="1" applyBorder="1" applyAlignment="1">
      <alignment horizontal="center" vertical="center" wrapText="1"/>
    </xf>
    <xf numFmtId="171" fontId="47" fillId="0" borderId="7" xfId="11" applyNumberFormat="1" applyFont="1" applyBorder="1" applyAlignment="1">
      <alignment horizontal="center" vertical="center" wrapText="1"/>
    </xf>
    <xf numFmtId="167" fontId="31" fillId="0" borderId="10" xfId="11" applyNumberFormat="1" applyFont="1" applyBorder="1" applyAlignment="1">
      <alignment horizontal="center" vertical="center" wrapText="1"/>
    </xf>
    <xf numFmtId="165" fontId="36" fillId="0" borderId="8" xfId="11" applyNumberFormat="1" applyFont="1" applyBorder="1" applyAlignment="1">
      <alignment horizontal="center" vertical="center" wrapText="1"/>
    </xf>
    <xf numFmtId="0" fontId="33" fillId="0" borderId="7" xfId="11" applyFont="1" applyBorder="1" applyAlignment="1">
      <alignment vertical="center" wrapText="1"/>
    </xf>
    <xf numFmtId="165" fontId="32" fillId="0" borderId="7" xfId="11" applyNumberFormat="1" applyFont="1" applyBorder="1" applyAlignment="1">
      <alignment horizontal="right" vertical="center" wrapText="1"/>
    </xf>
    <xf numFmtId="0" fontId="53" fillId="0" borderId="7" xfId="11" applyFont="1" applyBorder="1" applyAlignment="1">
      <alignment vertical="center" wrapText="1"/>
    </xf>
    <xf numFmtId="172" fontId="36" fillId="0" borderId="8" xfId="11" applyNumberFormat="1" applyFont="1" applyBorder="1" applyAlignment="1">
      <alignment horizontal="center" vertical="center" wrapText="1"/>
    </xf>
    <xf numFmtId="0" fontId="35" fillId="13" borderId="7" xfId="11" applyFont="1" applyFill="1" applyBorder="1" applyAlignment="1">
      <alignment vertical="center"/>
    </xf>
    <xf numFmtId="1" fontId="35" fillId="0" borderId="7" xfId="11" applyNumberFormat="1" applyFont="1" applyBorder="1" applyAlignment="1">
      <alignment horizontal="center" vertical="center"/>
    </xf>
    <xf numFmtId="0" fontId="31" fillId="0" borderId="11" xfId="11" applyFont="1" applyBorder="1" applyAlignment="1">
      <alignment horizontal="right" vertical="center" wrapText="1"/>
    </xf>
    <xf numFmtId="165" fontId="49" fillId="0" borderId="9" xfId="11" applyNumberFormat="1" applyFont="1" applyBorder="1" applyAlignment="1">
      <alignment horizontal="center" vertical="center" wrapText="1"/>
    </xf>
    <xf numFmtId="0" fontId="35" fillId="0" borderId="8" xfId="11" applyFont="1" applyBorder="1" applyAlignment="1">
      <alignment vertical="center"/>
    </xf>
    <xf numFmtId="0" fontId="34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center" vertical="center" wrapText="1"/>
    </xf>
    <xf numFmtId="0" fontId="32" fillId="0" borderId="24" xfId="11" applyFont="1" applyBorder="1" applyAlignment="1">
      <alignment horizontal="center" vertical="center" wrapText="1"/>
    </xf>
    <xf numFmtId="0" fontId="49" fillId="0" borderId="24" xfId="11" applyFont="1" applyBorder="1" applyAlignment="1">
      <alignment horizontal="center" vertical="center" wrapText="1"/>
    </xf>
    <xf numFmtId="0" fontId="47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right" vertical="center"/>
    </xf>
    <xf numFmtId="0" fontId="36" fillId="0" borderId="9" xfId="11" applyFont="1" applyBorder="1" applyAlignment="1">
      <alignment horizontal="right" vertical="center"/>
    </xf>
    <xf numFmtId="0" fontId="33" fillId="0" borderId="9" xfId="11" applyFont="1" applyBorder="1" applyAlignment="1">
      <alignment vertical="center" wrapText="1"/>
    </xf>
    <xf numFmtId="0" fontId="49" fillId="0" borderId="9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right" vertical="center"/>
    </xf>
    <xf numFmtId="1" fontId="36" fillId="9" borderId="8" xfId="11" applyNumberFormat="1" applyFont="1" applyFill="1" applyBorder="1" applyAlignment="1">
      <alignment horizontal="center" vertical="center" wrapText="1"/>
    </xf>
    <xf numFmtId="1" fontId="35" fillId="13" borderId="7" xfId="11" applyNumberFormat="1" applyFont="1" applyFill="1" applyBorder="1" applyAlignment="1">
      <alignment vertical="center"/>
    </xf>
    <xf numFmtId="1" fontId="35" fillId="9" borderId="7" xfId="11" applyNumberFormat="1" applyFont="1" applyFill="1" applyBorder="1" applyAlignment="1">
      <alignment horizontal="center" vertical="center" wrapText="1"/>
    </xf>
    <xf numFmtId="1" fontId="2" fillId="0" borderId="7" xfId="11" applyNumberFormat="1" applyFont="1" applyBorder="1" applyAlignment="1">
      <alignment horizontal="center" vertical="center" wrapText="1"/>
    </xf>
    <xf numFmtId="1" fontId="31" fillId="0" borderId="27" xfId="11" applyNumberFormat="1" applyFont="1" applyBorder="1" applyAlignment="1">
      <alignment horizontal="center" vertical="center" wrapText="1"/>
    </xf>
    <xf numFmtId="1" fontId="31" fillId="0" borderId="25" xfId="11" applyNumberFormat="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" fontId="32" fillId="0" borderId="7" xfId="11" applyNumberFormat="1" applyFont="1" applyBorder="1" applyAlignment="1">
      <alignment vertical="center" wrapText="1"/>
    </xf>
    <xf numFmtId="166" fontId="35" fillId="8" borderId="7" xfId="5" applyNumberFormat="1" applyFont="1" applyFill="1" applyBorder="1" applyAlignment="1">
      <alignment horizontal="center" vertical="center" wrapText="1"/>
    </xf>
    <xf numFmtId="0" fontId="2" fillId="0" borderId="9" xfId="11" applyFont="1" applyBorder="1" applyAlignment="1">
      <alignment vertical="center"/>
    </xf>
    <xf numFmtId="1" fontId="36" fillId="8" borderId="7" xfId="11" applyNumberFormat="1" applyFont="1" applyFill="1" applyBorder="1" applyAlignment="1">
      <alignment horizontal="center" vertical="center" wrapText="1"/>
    </xf>
    <xf numFmtId="2" fontId="35" fillId="0" borderId="7" xfId="11" applyNumberFormat="1" applyFont="1" applyBorder="1" applyAlignment="1">
      <alignment horizontal="center" vertical="center"/>
    </xf>
    <xf numFmtId="43" fontId="31" fillId="0" borderId="7" xfId="11" applyNumberFormat="1" applyFont="1" applyBorder="1" applyAlignment="1">
      <alignment horizontal="center" vertical="center"/>
    </xf>
    <xf numFmtId="165" fontId="31" fillId="0" borderId="27" xfId="11" applyNumberFormat="1" applyFont="1" applyBorder="1" applyAlignment="1">
      <alignment horizontal="center" vertical="center" wrapText="1"/>
    </xf>
    <xf numFmtId="165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50" xfId="11" applyFont="1" applyBorder="1" applyAlignment="1">
      <alignment horizontal="center" vertical="center"/>
    </xf>
    <xf numFmtId="1" fontId="35" fillId="0" borderId="11" xfId="11" applyNumberFormat="1" applyFont="1" applyBorder="1" applyAlignment="1">
      <alignment horizontal="center" vertical="center" wrapText="1"/>
    </xf>
    <xf numFmtId="0" fontId="2" fillId="0" borderId="24" xfId="11" applyFont="1" applyBorder="1" applyAlignment="1">
      <alignment vertical="center"/>
    </xf>
    <xf numFmtId="165" fontId="35" fillId="0" borderId="7" xfId="11" applyNumberFormat="1" applyFont="1" applyBorder="1" applyAlignment="1">
      <alignment horizontal="center" vertical="center"/>
    </xf>
    <xf numFmtId="165" fontId="35" fillId="0" borderId="10" xfId="11" applyNumberFormat="1" applyFont="1" applyBorder="1" applyAlignment="1">
      <alignment horizontal="center" vertical="center" wrapText="1"/>
    </xf>
    <xf numFmtId="166" fontId="36" fillId="13" borderId="8" xfId="5" applyNumberFormat="1" applyFont="1" applyFill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" fontId="31" fillId="0" borderId="0" xfId="11" applyNumberFormat="1" applyFont="1" applyAlignment="1">
      <alignment horizontal="right" vertical="center" wrapText="1"/>
    </xf>
    <xf numFmtId="0" fontId="13" fillId="0" borderId="0" xfId="11" applyFont="1" applyAlignment="1">
      <alignment vertical="center" wrapText="1"/>
    </xf>
    <xf numFmtId="1" fontId="54" fillId="0" borderId="0" xfId="11" applyNumberFormat="1" applyFont="1" applyAlignment="1">
      <alignment vertical="center" wrapText="1"/>
    </xf>
    <xf numFmtId="0" fontId="53" fillId="0" borderId="0" xfId="11" applyFont="1" applyAlignment="1">
      <alignment horizontal="center" vertical="center"/>
    </xf>
    <xf numFmtId="166" fontId="13" fillId="0" borderId="0" xfId="11" applyNumberFormat="1" applyFont="1" applyAlignment="1">
      <alignment vertical="center" wrapText="1"/>
    </xf>
    <xf numFmtId="166" fontId="35" fillId="8" borderId="7" xfId="5" applyNumberFormat="1" applyFont="1" applyFill="1" applyBorder="1" applyAlignment="1">
      <alignment vertical="center"/>
    </xf>
    <xf numFmtId="166" fontId="158" fillId="0" borderId="0" xfId="11" applyNumberFormat="1"/>
    <xf numFmtId="0" fontId="13" fillId="0" borderId="0" xfId="11" applyFont="1" applyAlignment="1">
      <alignment horizontal="right" vertical="center" wrapText="1"/>
    </xf>
    <xf numFmtId="1" fontId="32" fillId="0" borderId="0" xfId="11" applyNumberFormat="1" applyFont="1" applyAlignment="1">
      <alignment horizontal="center" vertical="center" wrapText="1"/>
    </xf>
    <xf numFmtId="170" fontId="31" fillId="0" borderId="0" xfId="6" applyNumberFormat="1" applyFont="1" applyFill="1" applyBorder="1" applyAlignment="1">
      <alignment horizontal="center" vertical="center" wrapText="1"/>
    </xf>
    <xf numFmtId="0" fontId="50" fillId="0" borderId="0" xfId="11" applyFont="1" applyAlignment="1">
      <alignment horizontal="right" vertical="center" wrapText="1"/>
    </xf>
    <xf numFmtId="0" fontId="50" fillId="0" borderId="0" xfId="11" applyFont="1" applyAlignment="1">
      <alignment horizontal="center" vertical="center" wrapText="1"/>
    </xf>
    <xf numFmtId="166" fontId="50" fillId="13" borderId="0" xfId="5" applyNumberFormat="1" applyFont="1" applyFill="1" applyAlignment="1">
      <alignment horizontal="center" vertical="center" wrapText="1"/>
    </xf>
    <xf numFmtId="2" fontId="50" fillId="0" borderId="0" xfId="11" applyNumberFormat="1" applyFont="1" applyAlignment="1">
      <alignment horizontal="center" vertical="center" wrapText="1"/>
    </xf>
    <xf numFmtId="0" fontId="52" fillId="0" borderId="0" xfId="11" applyFont="1" applyAlignment="1">
      <alignment horizontal="center" vertical="center" wrapText="1"/>
    </xf>
    <xf numFmtId="0" fontId="36" fillId="0" borderId="50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textRotation="90" wrapText="1"/>
    </xf>
    <xf numFmtId="166" fontId="47" fillId="13" borderId="7" xfId="5" applyNumberFormat="1" applyFont="1" applyFill="1" applyBorder="1" applyAlignment="1">
      <alignment horizontal="center" vertical="center" wrapText="1"/>
    </xf>
    <xf numFmtId="166" fontId="49" fillId="13" borderId="7" xfId="5" applyNumberFormat="1" applyFont="1" applyFill="1" applyBorder="1" applyAlignment="1">
      <alignment horizontal="center" vertical="center" wrapText="1"/>
    </xf>
    <xf numFmtId="2" fontId="47" fillId="0" borderId="7" xfId="11" applyNumberFormat="1" applyFont="1" applyBorder="1" applyAlignment="1">
      <alignment horizontal="center" vertical="center" wrapText="1"/>
    </xf>
    <xf numFmtId="0" fontId="47" fillId="0" borderId="0" xfId="1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/>
    </xf>
    <xf numFmtId="0" fontId="46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40" fillId="0" borderId="7" xfId="11" applyFont="1" applyBorder="1" applyAlignment="1">
      <alignment horizontal="center" vertical="center" wrapText="1"/>
    </xf>
    <xf numFmtId="0" fontId="41" fillId="0" borderId="7" xfId="11" applyFont="1" applyBorder="1" applyAlignment="1">
      <alignment horizontal="center" vertical="center" wrapText="1"/>
    </xf>
    <xf numFmtId="0" fontId="45" fillId="0" borderId="7" xfId="11" applyFont="1" applyBorder="1" applyAlignment="1">
      <alignment horizontal="center" vertical="center"/>
    </xf>
    <xf numFmtId="166" fontId="42" fillId="13" borderId="7" xfId="5" applyNumberFormat="1" applyFont="1" applyFill="1" applyBorder="1" applyAlignment="1">
      <alignment horizontal="center" vertical="center" wrapText="1"/>
    </xf>
    <xf numFmtId="166" fontId="44" fillId="9" borderId="7" xfId="5" applyNumberFormat="1" applyFont="1" applyFill="1" applyBorder="1" applyAlignment="1">
      <alignment horizontal="center" vertical="center" wrapText="1"/>
    </xf>
    <xf numFmtId="166" fontId="38" fillId="13" borderId="7" xfId="5" applyNumberFormat="1" applyFont="1" applyFill="1" applyBorder="1" applyAlignment="1">
      <alignment horizontal="center" vertical="center" wrapText="1"/>
    </xf>
    <xf numFmtId="2" fontId="38" fillId="0" borderId="7" xfId="11" applyNumberFormat="1" applyFont="1" applyBorder="1" applyAlignment="1">
      <alignment horizontal="center" vertical="center" wrapText="1"/>
    </xf>
    <xf numFmtId="168" fontId="38" fillId="0" borderId="7" xfId="11" applyNumberFormat="1" applyFont="1" applyBorder="1" applyAlignment="1">
      <alignment horizontal="center" vertical="center"/>
    </xf>
    <xf numFmtId="1" fontId="38" fillId="0" borderId="7" xfId="11" applyNumberFormat="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wrapText="1"/>
    </xf>
    <xf numFmtId="0" fontId="37" fillId="0" borderId="0" xfId="11" applyFont="1" applyAlignment="1">
      <alignment horizontal="center" vertical="center"/>
    </xf>
    <xf numFmtId="0" fontId="37" fillId="0" borderId="7" xfId="11" applyFont="1" applyBorder="1" applyAlignment="1">
      <alignment horizontal="center" vertical="center"/>
    </xf>
    <xf numFmtId="2" fontId="38" fillId="0" borderId="0" xfId="11" applyNumberFormat="1" applyFont="1" applyAlignment="1">
      <alignment horizontal="center" vertical="center" wrapText="1"/>
    </xf>
    <xf numFmtId="0" fontId="43" fillId="0" borderId="7" xfId="11" applyFont="1" applyBorder="1" applyAlignment="1">
      <alignment horizontal="center" vertical="center" wrapText="1"/>
    </xf>
    <xf numFmtId="165" fontId="38" fillId="0" borderId="7" xfId="11" applyNumberFormat="1" applyFont="1" applyBorder="1" applyAlignment="1">
      <alignment horizontal="center" vertical="center"/>
    </xf>
    <xf numFmtId="0" fontId="39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/>
    </xf>
    <xf numFmtId="0" fontId="38" fillId="0" borderId="0" xfId="11" applyFont="1" applyAlignment="1">
      <alignment horizontal="center" vertical="center"/>
    </xf>
    <xf numFmtId="43" fontId="38" fillId="0" borderId="0" xfId="11" applyNumberFormat="1" applyFont="1" applyAlignment="1">
      <alignment horizontal="center" vertical="center"/>
    </xf>
    <xf numFmtId="0" fontId="171" fillId="0" borderId="7" xfId="11" applyFont="1" applyBorder="1" applyAlignment="1">
      <alignment horizontal="center" vertical="center" wrapText="1"/>
    </xf>
    <xf numFmtId="0" fontId="172" fillId="0" borderId="7" xfId="11" applyFont="1" applyBorder="1" applyAlignment="1">
      <alignment horizontal="center" vertical="center" wrapText="1"/>
    </xf>
    <xf numFmtId="0" fontId="173" fillId="0" borderId="7" xfId="11" applyFont="1" applyBorder="1" applyAlignment="1">
      <alignment horizontal="center" vertical="center" wrapText="1"/>
    </xf>
    <xf numFmtId="0" fontId="174" fillId="0" borderId="7" xfId="11" applyFont="1" applyBorder="1" applyAlignment="1">
      <alignment horizontal="center" vertical="center" wrapText="1"/>
    </xf>
    <xf numFmtId="165" fontId="171" fillId="0" borderId="7" xfId="11" applyNumberFormat="1" applyFont="1" applyBorder="1" applyAlignment="1">
      <alignment horizontal="center" vertical="center"/>
    </xf>
    <xf numFmtId="0" fontId="171" fillId="0" borderId="7" xfId="11" applyFont="1" applyBorder="1" applyAlignment="1">
      <alignment horizontal="center" vertical="center"/>
    </xf>
    <xf numFmtId="0" fontId="175" fillId="0" borderId="7" xfId="11" applyFont="1" applyBorder="1" applyAlignment="1">
      <alignment horizontal="center" vertical="center"/>
    </xf>
    <xf numFmtId="166" fontId="38" fillId="13" borderId="7" xfId="5" applyNumberFormat="1" applyFont="1" applyFill="1" applyBorder="1" applyAlignment="1">
      <alignment horizontal="center" vertical="center"/>
    </xf>
    <xf numFmtId="165" fontId="38" fillId="0" borderId="7" xfId="11" applyNumberFormat="1" applyFont="1" applyBorder="1" applyAlignment="1">
      <alignment horizontal="center" vertical="center" wrapText="1"/>
    </xf>
    <xf numFmtId="165" fontId="42" fillId="0" borderId="7" xfId="11" applyNumberFormat="1" applyFont="1" applyBorder="1" applyAlignment="1">
      <alignment horizontal="center" vertical="center"/>
    </xf>
    <xf numFmtId="2" fontId="38" fillId="0" borderId="11" xfId="11" applyNumberFormat="1" applyFont="1" applyBorder="1" applyAlignment="1">
      <alignment horizontal="center" vertical="center" wrapText="1"/>
    </xf>
    <xf numFmtId="0" fontId="40" fillId="0" borderId="9" xfId="11" applyFont="1" applyBorder="1" applyAlignment="1">
      <alignment horizontal="center" vertical="center" wrapText="1"/>
    </xf>
    <xf numFmtId="0" fontId="40" fillId="0" borderId="10" xfId="11" applyFont="1" applyBorder="1" applyAlignment="1">
      <alignment horizontal="center" vertical="center" wrapText="1"/>
    </xf>
    <xf numFmtId="0" fontId="42" fillId="0" borderId="8" xfId="11" applyFont="1" applyBorder="1" applyAlignment="1">
      <alignment horizontal="center" vertical="center" wrapText="1"/>
    </xf>
    <xf numFmtId="0" fontId="38" fillId="0" borderId="9" xfId="1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textRotation="90" wrapText="1"/>
    </xf>
    <xf numFmtId="0" fontId="42" fillId="0" borderId="24" xfId="11" applyFont="1" applyBorder="1" applyAlignment="1">
      <alignment horizontal="center" vertical="center" wrapText="1"/>
    </xf>
    <xf numFmtId="0" fontId="40" fillId="0" borderId="24" xfId="11" applyFont="1" applyBorder="1" applyAlignment="1">
      <alignment horizontal="center" vertical="center" wrapText="1"/>
    </xf>
    <xf numFmtId="0" fontId="40" fillId="0" borderId="50" xfId="11" applyFont="1" applyBorder="1" applyAlignment="1">
      <alignment horizontal="center" vertical="center" wrapText="1"/>
    </xf>
    <xf numFmtId="0" fontId="41" fillId="0" borderId="11" xfId="11" applyFont="1" applyBorder="1" applyAlignment="1">
      <alignment horizontal="center" vertical="center" wrapText="1"/>
    </xf>
    <xf numFmtId="0" fontId="40" fillId="0" borderId="11" xfId="11" applyFont="1" applyBorder="1" applyAlignment="1">
      <alignment horizontal="center" vertical="center" wrapText="1"/>
    </xf>
    <xf numFmtId="165" fontId="38" fillId="0" borderId="11" xfId="11" applyNumberFormat="1" applyFont="1" applyBorder="1" applyAlignment="1">
      <alignment horizontal="center" vertical="center"/>
    </xf>
    <xf numFmtId="0" fontId="39" fillId="0" borderId="11" xfId="11" applyFont="1" applyBorder="1" applyAlignment="1">
      <alignment horizontal="center" vertical="center"/>
    </xf>
    <xf numFmtId="0" fontId="38" fillId="0" borderId="8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/>
    </xf>
    <xf numFmtId="166" fontId="45" fillId="0" borderId="7" xfId="5" applyNumberFormat="1" applyFont="1" applyFill="1" applyBorder="1" applyAlignment="1">
      <alignment horizontal="center" vertical="center" wrapText="1"/>
    </xf>
    <xf numFmtId="165" fontId="31" fillId="0" borderId="11" xfId="11" applyNumberFormat="1" applyFont="1" applyBorder="1" applyAlignment="1">
      <alignment horizontal="right" vertical="center"/>
    </xf>
    <xf numFmtId="165" fontId="31" fillId="0" borderId="11" xfId="11" applyNumberFormat="1" applyFont="1" applyBorder="1" applyAlignment="1" applyProtection="1">
      <alignment horizontal="right" vertical="center"/>
      <protection locked="0"/>
    </xf>
    <xf numFmtId="2" fontId="31" fillId="0" borderId="11" xfId="11" applyNumberFormat="1" applyFont="1" applyBorder="1" applyAlignment="1">
      <alignment horizontal="center" vertical="center"/>
    </xf>
    <xf numFmtId="166" fontId="36" fillId="13" borderId="9" xfId="5" applyNumberFormat="1" applyFont="1" applyFill="1" applyBorder="1" applyAlignment="1">
      <alignment horizontal="center" vertical="center" wrapText="1"/>
    </xf>
    <xf numFmtId="2" fontId="35" fillId="0" borderId="9" xfId="11" applyNumberFormat="1" applyFont="1" applyBorder="1" applyAlignment="1">
      <alignment vertical="center"/>
    </xf>
    <xf numFmtId="0" fontId="35" fillId="0" borderId="25" xfId="11" applyFont="1" applyBorder="1" applyAlignment="1">
      <alignment vertical="center"/>
    </xf>
    <xf numFmtId="166" fontId="36" fillId="13" borderId="9" xfId="5" applyNumberFormat="1" applyFont="1" applyFill="1" applyBorder="1" applyAlignment="1">
      <alignment horizontal="center" vertical="center"/>
    </xf>
    <xf numFmtId="2" fontId="2" fillId="0" borderId="9" xfId="11" applyNumberFormat="1" applyFont="1" applyBorder="1" applyAlignment="1">
      <alignment vertical="center"/>
    </xf>
    <xf numFmtId="0" fontId="2" fillId="0" borderId="10" xfId="11" applyFont="1" applyBorder="1" applyAlignment="1">
      <alignment vertical="center"/>
    </xf>
    <xf numFmtId="0" fontId="36" fillId="0" borderId="27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right" vertical="center"/>
    </xf>
    <xf numFmtId="0" fontId="2" fillId="0" borderId="26" xfId="11" applyFont="1" applyBorder="1" applyAlignment="1">
      <alignment vertical="center"/>
    </xf>
    <xf numFmtId="1" fontId="36" fillId="0" borderId="8" xfId="11" applyNumberFormat="1" applyFont="1" applyBorder="1" applyAlignment="1">
      <alignment horizontal="center" vertical="center"/>
    </xf>
    <xf numFmtId="0" fontId="2" fillId="0" borderId="25" xfId="11" applyFont="1" applyBorder="1" applyAlignment="1">
      <alignment vertical="center"/>
    </xf>
    <xf numFmtId="2" fontId="36" fillId="0" borderId="9" xfId="11" applyNumberFormat="1" applyFont="1" applyBorder="1" applyAlignment="1">
      <alignment vertical="center"/>
    </xf>
    <xf numFmtId="0" fontId="36" fillId="0" borderId="10" xfId="11" applyFont="1" applyBorder="1" applyAlignment="1">
      <alignment vertical="center"/>
    </xf>
    <xf numFmtId="1" fontId="36" fillId="0" borderId="50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right" vertical="center"/>
    </xf>
    <xf numFmtId="0" fontId="36" fillId="0" borderId="12" xfId="11" applyFont="1" applyBorder="1" applyAlignment="1">
      <alignment vertical="center"/>
    </xf>
    <xf numFmtId="165" fontId="2" fillId="0" borderId="22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right" vertical="center" wrapText="1"/>
    </xf>
    <xf numFmtId="43" fontId="158" fillId="0" borderId="0" xfId="11" applyNumberFormat="1"/>
    <xf numFmtId="167" fontId="35" fillId="0" borderId="0" xfId="11" applyNumberFormat="1" applyFont="1" applyAlignment="1">
      <alignment horizontal="center" vertical="center" wrapText="1"/>
    </xf>
    <xf numFmtId="166" fontId="35" fillId="13" borderId="0" xfId="5" applyNumberFormat="1" applyFont="1" applyFill="1" applyBorder="1" applyAlignment="1">
      <alignment horizontal="center" vertical="center" wrapText="1"/>
    </xf>
    <xf numFmtId="2" fontId="35" fillId="0" borderId="0" xfId="11" applyNumberFormat="1" applyFont="1" applyAlignment="1">
      <alignment horizontal="center" vertical="center" wrapText="1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8" fillId="7" borderId="7" xfId="0" applyNumberFormat="1" applyFont="1" applyFill="1" applyBorder="1" applyAlignment="1">
      <alignment horizontal="right" vertical="center" wrapText="1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4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70" fontId="29" fillId="0" borderId="35" xfId="2" applyNumberFormat="1" applyFont="1" applyBorder="1"/>
    <xf numFmtId="1" fontId="15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80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81" fillId="0" borderId="0" xfId="12" applyFont="1"/>
    <xf numFmtId="0" fontId="182" fillId="0" borderId="0" xfId="0" applyFont="1"/>
    <xf numFmtId="0" fontId="5" fillId="0" borderId="85" xfId="12" applyFont="1" applyBorder="1"/>
    <xf numFmtId="0" fontId="4" fillId="2" borderId="2" xfId="12" applyFont="1" applyFill="1" applyBorder="1" applyAlignment="1">
      <alignment horizontal="center" vertical="center"/>
    </xf>
    <xf numFmtId="164" fontId="4" fillId="2" borderId="2" xfId="12" applyNumberFormat="1" applyFont="1" applyFill="1" applyBorder="1" applyAlignment="1">
      <alignment horizontal="center" vertical="center"/>
    </xf>
    <xf numFmtId="0" fontId="5" fillId="0" borderId="6" xfId="12" applyFont="1" applyBorder="1"/>
    <xf numFmtId="0" fontId="183" fillId="0" borderId="0" xfId="12" applyFont="1"/>
    <xf numFmtId="0" fontId="5" fillId="0" borderId="87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6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8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9" xfId="12" applyFont="1" applyBorder="1" applyAlignment="1">
      <alignment vertical="center"/>
    </xf>
    <xf numFmtId="0" fontId="4" fillId="0" borderId="79" xfId="12" applyFont="1" applyBorder="1" applyAlignment="1">
      <alignment horizontal="center" vertical="center"/>
    </xf>
    <xf numFmtId="0" fontId="184" fillId="0" borderId="79" xfId="12" applyFont="1" applyBorder="1" applyAlignment="1">
      <alignment horizontal="center" vertical="center"/>
    </xf>
    <xf numFmtId="0" fontId="181" fillId="0" borderId="79" xfId="12" applyFont="1" applyBorder="1"/>
    <xf numFmtId="165" fontId="4" fillId="0" borderId="69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81" fillId="0" borderId="17" xfId="12" applyFont="1" applyBorder="1" applyAlignment="1">
      <alignment vertical="center"/>
    </xf>
    <xf numFmtId="0" fontId="4" fillId="0" borderId="70" xfId="12" applyFont="1" applyBorder="1" applyAlignment="1">
      <alignment horizontal="center" vertical="center"/>
    </xf>
    <xf numFmtId="0" fontId="181" fillId="0" borderId="70" xfId="12" applyFont="1" applyBorder="1" applyAlignment="1">
      <alignment horizontal="center" vertical="center"/>
    </xf>
    <xf numFmtId="2" fontId="4" fillId="0" borderId="70" xfId="12" applyNumberFormat="1" applyFont="1" applyBorder="1" applyAlignment="1">
      <alignment horizontal="center" vertical="center"/>
    </xf>
    <xf numFmtId="0" fontId="181" fillId="0" borderId="91" xfId="12" applyFont="1" applyBorder="1" applyAlignment="1">
      <alignment horizontal="right" vertical="center"/>
    </xf>
    <xf numFmtId="165" fontId="4" fillId="0" borderId="70" xfId="12" applyNumberFormat="1" applyFont="1" applyBorder="1" applyAlignment="1">
      <alignment vertical="center"/>
    </xf>
    <xf numFmtId="166" fontId="11" fillId="0" borderId="70" xfId="12" applyNumberFormat="1" applyFont="1" applyBorder="1" applyAlignment="1">
      <alignment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0" fontId="7" fillId="0" borderId="90" xfId="12" applyFont="1" applyBorder="1" applyAlignment="1">
      <alignment horizontal="center" vertical="center"/>
    </xf>
    <xf numFmtId="165" fontId="7" fillId="0" borderId="89" xfId="12" applyNumberFormat="1" applyFont="1" applyBorder="1" applyAlignment="1">
      <alignment vertical="center"/>
    </xf>
    <xf numFmtId="165" fontId="7" fillId="0" borderId="67" xfId="12" applyNumberFormat="1" applyFont="1" applyBorder="1" applyAlignment="1">
      <alignment vertical="center"/>
    </xf>
    <xf numFmtId="166" fontId="10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8" xfId="12" applyFont="1" applyBorder="1" applyAlignment="1">
      <alignment horizontal="center" vertical="center"/>
    </xf>
    <xf numFmtId="0" fontId="181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0" fontId="181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0" fontId="181" fillId="0" borderId="91" xfId="12" applyFont="1" applyBorder="1" applyAlignment="1">
      <alignment vertical="center"/>
    </xf>
    <xf numFmtId="165" fontId="7" fillId="0" borderId="73" xfId="12" applyNumberFormat="1" applyFont="1" applyBorder="1" applyAlignment="1">
      <alignment vertical="center"/>
    </xf>
    <xf numFmtId="166" fontId="7" fillId="0" borderId="70" xfId="12" applyNumberFormat="1" applyFont="1" applyBorder="1" applyAlignment="1">
      <alignment vertical="center"/>
    </xf>
    <xf numFmtId="0" fontId="181" fillId="0" borderId="60" xfId="12" applyFont="1" applyBorder="1" applyAlignment="1">
      <alignment vertical="center"/>
    </xf>
    <xf numFmtId="166" fontId="11" fillId="0" borderId="67" xfId="12" applyNumberFormat="1" applyFont="1" applyBorder="1" applyAlignment="1">
      <alignment vertical="center"/>
    </xf>
    <xf numFmtId="0" fontId="181" fillId="0" borderId="74" xfId="12" applyFont="1" applyBorder="1" applyAlignment="1">
      <alignment vertical="center"/>
    </xf>
    <xf numFmtId="166" fontId="10" fillId="0" borderId="90" xfId="12" applyNumberFormat="1" applyFont="1" applyBorder="1" applyAlignment="1">
      <alignment vertical="center"/>
    </xf>
    <xf numFmtId="166" fontId="7" fillId="0" borderId="90" xfId="12" applyNumberFormat="1" applyFont="1" applyBorder="1" applyAlignment="1">
      <alignment vertical="center"/>
    </xf>
    <xf numFmtId="165" fontId="4" fillId="0" borderId="72" xfId="12" applyNumberFormat="1" applyFont="1" applyBorder="1" applyAlignment="1">
      <alignment vertical="center"/>
    </xf>
    <xf numFmtId="166" fontId="11" fillId="0" borderId="74" xfId="12" applyNumberFormat="1" applyFont="1" applyBorder="1" applyAlignment="1">
      <alignment vertical="center"/>
    </xf>
    <xf numFmtId="166" fontId="4" fillId="0" borderId="9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5" fontId="181" fillId="0" borderId="74" xfId="12" applyNumberFormat="1" applyFont="1" applyBorder="1" applyAlignment="1">
      <alignment vertical="center"/>
    </xf>
    <xf numFmtId="0" fontId="181" fillId="0" borderId="72" xfId="12" applyFont="1" applyBorder="1" applyAlignment="1">
      <alignment vertical="center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5" fontId="4" fillId="0" borderId="73" xfId="12" applyNumberFormat="1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 wrapText="1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0" fontId="181" fillId="0" borderId="2" xfId="12" applyFont="1" applyBorder="1" applyAlignment="1">
      <alignment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85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165" fontId="7" fillId="0" borderId="69" xfId="12" applyNumberFormat="1" applyFont="1" applyBorder="1" applyAlignment="1">
      <alignment horizontal="right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86" fillId="0" borderId="0" xfId="12" applyFont="1" applyAlignment="1">
      <alignment horizontal="center" vertical="center"/>
    </xf>
    <xf numFmtId="165" fontId="186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11" fillId="0" borderId="0" xfId="12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2" fontId="7" fillId="0" borderId="17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5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85" fillId="15" borderId="2" xfId="12" applyFont="1" applyFill="1" applyBorder="1" applyAlignment="1">
      <alignment horizontal="center" vertical="center"/>
    </xf>
    <xf numFmtId="0" fontId="185" fillId="0" borderId="2" xfId="12" applyFont="1" applyBorder="1" applyAlignment="1">
      <alignment horizontal="center" vertical="center"/>
    </xf>
    <xf numFmtId="2" fontId="185" fillId="0" borderId="2" xfId="12" applyNumberFormat="1" applyFont="1" applyBorder="1" applyAlignment="1">
      <alignment horizontal="center" vertical="center"/>
    </xf>
    <xf numFmtId="166" fontId="185" fillId="0" borderId="2" xfId="12" applyNumberFormat="1" applyFont="1" applyBorder="1" applyAlignment="1">
      <alignment vertical="center"/>
    </xf>
    <xf numFmtId="168" fontId="4" fillId="0" borderId="2" xfId="12" applyNumberFormat="1" applyFont="1" applyBorder="1" applyAlignment="1">
      <alignment vertical="center"/>
    </xf>
    <xf numFmtId="166" fontId="185" fillId="0" borderId="2" xfId="12" applyNumberFormat="1" applyFont="1" applyBorder="1" applyAlignment="1">
      <alignment horizontal="right" vertical="center"/>
    </xf>
    <xf numFmtId="0" fontId="7" fillId="15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2" fontId="4" fillId="0" borderId="17" xfId="12" applyNumberFormat="1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6" fontId="4" fillId="0" borderId="17" xfId="12" applyNumberFormat="1" applyFont="1" applyBorder="1" applyAlignment="1">
      <alignment horizontal="center" vertical="center"/>
    </xf>
    <xf numFmtId="166" fontId="7" fillId="0" borderId="67" xfId="12" applyNumberFormat="1" applyFont="1" applyBorder="1" applyAlignment="1">
      <alignment horizontal="right" vertical="center"/>
    </xf>
    <xf numFmtId="166" fontId="7" fillId="0" borderId="67" xfId="12" applyNumberFormat="1" applyFont="1" applyBorder="1" applyAlignment="1">
      <alignment horizontal="center" vertical="center"/>
    </xf>
    <xf numFmtId="0" fontId="7" fillId="0" borderId="1" xfId="12" applyFont="1" applyBorder="1" applyAlignment="1">
      <alignment vertical="center" wrapText="1"/>
    </xf>
    <xf numFmtId="166" fontId="4" fillId="0" borderId="70" xfId="12" applyNumberFormat="1" applyFont="1" applyBorder="1" applyAlignment="1">
      <alignment horizontal="right" vertical="center"/>
    </xf>
    <xf numFmtId="166" fontId="4" fillId="0" borderId="72" xfId="12" applyNumberFormat="1" applyFont="1" applyBorder="1" applyAlignment="1">
      <alignment horizontal="center" vertical="center"/>
    </xf>
    <xf numFmtId="2" fontId="7" fillId="0" borderId="15" xfId="12" applyNumberFormat="1" applyFont="1" applyBorder="1" applyAlignment="1">
      <alignment horizontal="center" vertical="center"/>
    </xf>
    <xf numFmtId="166" fontId="7" fillId="0" borderId="17" xfId="12" applyNumberFormat="1" applyFont="1" applyBorder="1" applyAlignment="1">
      <alignment horizontal="center" vertical="center"/>
    </xf>
    <xf numFmtId="165" fontId="4" fillId="0" borderId="1" xfId="12" applyNumberFormat="1" applyFont="1" applyBorder="1" applyAlignment="1">
      <alignment vertical="center"/>
    </xf>
    <xf numFmtId="0" fontId="4" fillId="0" borderId="85" xfId="12" applyFont="1" applyBorder="1" applyAlignment="1">
      <alignment horizontal="center" vertical="center"/>
    </xf>
    <xf numFmtId="0" fontId="181" fillId="0" borderId="6" xfId="12" applyFont="1" applyBorder="1" applyAlignment="1">
      <alignment horizontal="right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8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8" fontId="8" fillId="17" borderId="2" xfId="12" applyNumberFormat="1" applyFont="1" applyFill="1" applyBorder="1" applyAlignment="1">
      <alignment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6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85" fillId="0" borderId="86" xfId="12" applyFont="1" applyBorder="1" applyAlignment="1">
      <alignment horizontal="center" vertical="center"/>
    </xf>
    <xf numFmtId="0" fontId="185" fillId="0" borderId="2" xfId="12" applyFont="1" applyBorder="1" applyAlignment="1">
      <alignment horizontal="left" vertical="center"/>
    </xf>
    <xf numFmtId="0" fontId="185" fillId="0" borderId="2" xfId="12" applyFont="1" applyBorder="1" applyAlignment="1">
      <alignment vertical="center"/>
    </xf>
    <xf numFmtId="0" fontId="4" fillId="0" borderId="1" xfId="12" applyFont="1" applyBorder="1" applyAlignment="1">
      <alignment horizontal="left" vertical="center"/>
    </xf>
    <xf numFmtId="2" fontId="181" fillId="0" borderId="1" xfId="12" applyNumberFormat="1" applyFont="1" applyBorder="1" applyAlignment="1">
      <alignment horizontal="center" vertical="center"/>
    </xf>
    <xf numFmtId="166" fontId="4" fillId="0" borderId="94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81" fillId="0" borderId="1" xfId="12" applyFont="1" applyBorder="1" applyAlignment="1">
      <alignment horizontal="center" vertical="center"/>
    </xf>
    <xf numFmtId="166" fontId="181" fillId="0" borderId="1" xfId="12" applyNumberFormat="1" applyFont="1" applyBorder="1" applyAlignment="1">
      <alignment vertical="center"/>
    </xf>
    <xf numFmtId="0" fontId="181" fillId="0" borderId="85" xfId="12" applyFont="1" applyBorder="1" applyAlignment="1">
      <alignment horizontal="center" vertical="center"/>
    </xf>
    <xf numFmtId="0" fontId="181" fillId="0" borderId="6" xfId="12" applyFont="1" applyBorder="1" applyAlignment="1">
      <alignment vertical="center"/>
    </xf>
    <xf numFmtId="0" fontId="181" fillId="0" borderId="6" xfId="12" applyFont="1" applyBorder="1" applyAlignment="1">
      <alignment horizontal="center" vertical="center"/>
    </xf>
    <xf numFmtId="1" fontId="181" fillId="0" borderId="6" xfId="12" applyNumberFormat="1" applyFont="1" applyBorder="1" applyAlignment="1">
      <alignment vertical="center"/>
    </xf>
    <xf numFmtId="166" fontId="181" fillId="0" borderId="6" xfId="12" applyNumberFormat="1" applyFont="1" applyBorder="1" applyAlignment="1">
      <alignment vertical="center"/>
    </xf>
    <xf numFmtId="166" fontId="181" fillId="0" borderId="6" xfId="12" applyNumberFormat="1" applyFont="1" applyBorder="1" applyAlignment="1">
      <alignment horizontal="right" vertical="center"/>
    </xf>
    <xf numFmtId="0" fontId="4" fillId="0" borderId="17" xfId="12" applyFont="1" applyBorder="1" applyAlignment="1">
      <alignment vertical="center"/>
    </xf>
    <xf numFmtId="1" fontId="181" fillId="0" borderId="2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4" fillId="0" borderId="14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81" fillId="0" borderId="88" xfId="12" applyFont="1" applyBorder="1" applyAlignment="1">
      <alignment vertical="center"/>
    </xf>
    <xf numFmtId="0" fontId="181" fillId="0" borderId="2" xfId="12" applyFont="1" applyBorder="1" applyAlignment="1">
      <alignment horizontal="center" vertical="center"/>
    </xf>
    <xf numFmtId="0" fontId="181" fillId="0" borderId="2" xfId="12" applyFont="1" applyBorder="1" applyAlignment="1">
      <alignment horizontal="right" vertical="center"/>
    </xf>
    <xf numFmtId="0" fontId="8" fillId="0" borderId="3" xfId="12" applyFont="1" applyBorder="1" applyAlignment="1">
      <alignment horizontal="right" vertical="center"/>
    </xf>
    <xf numFmtId="166" fontId="181" fillId="0" borderId="2" xfId="12" applyNumberFormat="1" applyFont="1" applyBorder="1" applyAlignment="1">
      <alignment horizontal="right" vertical="center"/>
    </xf>
    <xf numFmtId="168" fontId="4" fillId="0" borderId="6" xfId="12" applyNumberFormat="1" applyFont="1" applyBorder="1" applyAlignment="1">
      <alignment vertical="center"/>
    </xf>
    <xf numFmtId="169" fontId="4" fillId="0" borderId="2" xfId="12" applyNumberFormat="1" applyFont="1" applyBorder="1" applyAlignment="1">
      <alignment vertical="center"/>
    </xf>
    <xf numFmtId="0" fontId="7" fillId="0" borderId="1" xfId="12" applyFont="1" applyBorder="1" applyAlignment="1">
      <alignment horizontal="left" vertical="center"/>
    </xf>
    <xf numFmtId="1" fontId="4" fillId="0" borderId="2" xfId="12" applyNumberFormat="1" applyFont="1" applyBorder="1" applyAlignment="1">
      <alignment horizontal="right" vertical="center"/>
    </xf>
    <xf numFmtId="0" fontId="4" fillId="0" borderId="52" xfId="12" applyFont="1" applyBorder="1" applyAlignment="1">
      <alignment horizontal="left" vertical="center"/>
    </xf>
    <xf numFmtId="0" fontId="189" fillId="0" borderId="1" xfId="12" applyFont="1" applyBorder="1" applyAlignment="1">
      <alignment vertical="center"/>
    </xf>
    <xf numFmtId="168" fontId="189" fillId="0" borderId="1" xfId="12" applyNumberFormat="1" applyFont="1" applyBorder="1" applyAlignment="1">
      <alignment horizontal="center" vertical="center"/>
    </xf>
    <xf numFmtId="0" fontId="189" fillId="0" borderId="1" xfId="12" applyFont="1" applyBorder="1" applyAlignment="1">
      <alignment horizontal="center" vertical="center"/>
    </xf>
    <xf numFmtId="2" fontId="181" fillId="17" borderId="1" xfId="12" applyNumberFormat="1" applyFont="1" applyFill="1" applyBorder="1" applyAlignment="1">
      <alignment horizontal="center" vertical="center"/>
    </xf>
    <xf numFmtId="1" fontId="189" fillId="0" borderId="1" xfId="12" applyNumberFormat="1" applyFont="1" applyBorder="1" applyAlignment="1">
      <alignment horizontal="right" vertical="center"/>
    </xf>
    <xf numFmtId="166" fontId="189" fillId="0" borderId="1" xfId="12" applyNumberFormat="1" applyFont="1" applyBorder="1" applyAlignment="1">
      <alignment vertical="center"/>
    </xf>
    <xf numFmtId="0" fontId="189" fillId="0" borderId="0" xfId="12" applyFont="1"/>
    <xf numFmtId="0" fontId="7" fillId="0" borderId="17" xfId="12" applyFont="1" applyBorder="1" applyAlignment="1">
      <alignment vertical="center" wrapText="1"/>
    </xf>
    <xf numFmtId="1" fontId="4" fillId="0" borderId="70" xfId="12" applyNumberFormat="1" applyFont="1" applyBorder="1" applyAlignment="1">
      <alignment horizontal="right" vertical="center"/>
    </xf>
    <xf numFmtId="0" fontId="4" fillId="0" borderId="70" xfId="12" applyFont="1" applyBorder="1" applyAlignment="1">
      <alignment vertical="center"/>
    </xf>
    <xf numFmtId="1" fontId="7" fillId="0" borderId="6" xfId="12" applyNumberFormat="1" applyFont="1" applyBorder="1" applyAlignment="1">
      <alignment horizontal="right" vertical="center"/>
    </xf>
    <xf numFmtId="0" fontId="7" fillId="0" borderId="6" xfId="12" applyFont="1" applyBorder="1" applyAlignment="1">
      <alignment vertical="center"/>
    </xf>
    <xf numFmtId="1" fontId="4" fillId="0" borderId="72" xfId="12" applyNumberFormat="1" applyFont="1" applyBorder="1" applyAlignment="1">
      <alignment horizontal="right" vertical="center"/>
    </xf>
    <xf numFmtId="0" fontId="4" fillId="0" borderId="72" xfId="12" applyFont="1" applyBorder="1" applyAlignment="1">
      <alignment vertical="center"/>
    </xf>
    <xf numFmtId="1" fontId="7" fillId="0" borderId="17" xfId="12" applyNumberFormat="1" applyFont="1" applyBorder="1" applyAlignment="1">
      <alignment horizontal="right" vertical="center"/>
    </xf>
    <xf numFmtId="0" fontId="7" fillId="0" borderId="17" xfId="12" applyFont="1" applyBorder="1" applyAlignment="1">
      <alignment vertical="center"/>
    </xf>
    <xf numFmtId="165" fontId="4" fillId="0" borderId="6" xfId="12" applyNumberFormat="1" applyFont="1" applyBorder="1" applyAlignment="1">
      <alignment horizontal="right" vertical="center"/>
    </xf>
    <xf numFmtId="0" fontId="190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6" borderId="86" xfId="12" applyFont="1" applyFill="1" applyBorder="1" applyAlignment="1">
      <alignment horizontal="center" vertical="center"/>
    </xf>
    <xf numFmtId="0" fontId="4" fillId="16" borderId="2" xfId="12" applyFont="1" applyFill="1" applyBorder="1" applyAlignment="1">
      <alignment horizontal="left" vertical="center"/>
    </xf>
    <xf numFmtId="0" fontId="4" fillId="16" borderId="2" xfId="12" applyFont="1" applyFill="1" applyBorder="1" applyAlignment="1">
      <alignment horizontal="center" vertical="center"/>
    </xf>
    <xf numFmtId="2" fontId="4" fillId="16" borderId="2" xfId="12" applyNumberFormat="1" applyFont="1" applyFill="1" applyBorder="1" applyAlignment="1">
      <alignment horizontal="center" vertical="center"/>
    </xf>
    <xf numFmtId="165" fontId="181" fillId="16" borderId="2" xfId="12" applyNumberFormat="1" applyFont="1" applyFill="1" applyBorder="1" applyAlignment="1">
      <alignment horizontal="right" vertical="center"/>
    </xf>
    <xf numFmtId="165" fontId="4" fillId="16" borderId="2" xfId="12" applyNumberFormat="1" applyFont="1" applyFill="1" applyBorder="1" applyAlignment="1">
      <alignment horizontal="right" vertical="center"/>
    </xf>
    <xf numFmtId="166" fontId="4" fillId="16" borderId="2" xfId="12" applyNumberFormat="1" applyFont="1" applyFill="1" applyBorder="1" applyAlignment="1">
      <alignment vertical="center"/>
    </xf>
    <xf numFmtId="0" fontId="4" fillId="0" borderId="88" xfId="12" applyFont="1" applyBorder="1" applyAlignment="1">
      <alignment vertical="center"/>
    </xf>
    <xf numFmtId="0" fontId="191" fillId="0" borderId="93" xfId="12" applyFont="1" applyBorder="1"/>
    <xf numFmtId="0" fontId="4" fillId="0" borderId="93" xfId="12" applyFont="1" applyBorder="1" applyAlignment="1">
      <alignment horizontal="center" vertical="center"/>
    </xf>
    <xf numFmtId="2" fontId="4" fillId="0" borderId="97" xfId="12" applyNumberFormat="1" applyFont="1" applyBorder="1" applyAlignment="1">
      <alignment horizontal="center" vertical="center"/>
    </xf>
    <xf numFmtId="0" fontId="181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87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8" xfId="12" applyFont="1" applyBorder="1" applyAlignment="1">
      <alignment horizontal="center" vertical="center"/>
    </xf>
    <xf numFmtId="0" fontId="4" fillId="0" borderId="99" xfId="12" applyFont="1" applyBorder="1" applyAlignment="1">
      <alignment horizontal="left" vertical="center"/>
    </xf>
    <xf numFmtId="0" fontId="4" fillId="0" borderId="99" xfId="12" applyFont="1" applyBorder="1" applyAlignment="1">
      <alignment horizontal="center" vertical="center"/>
    </xf>
    <xf numFmtId="0" fontId="7" fillId="0" borderId="95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5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6" borderId="3" xfId="12" applyFont="1" applyFill="1" applyBorder="1" applyAlignment="1">
      <alignment vertical="center"/>
    </xf>
    <xf numFmtId="0" fontId="4" fillId="16" borderId="4" xfId="12" applyFont="1" applyFill="1" applyBorder="1" applyAlignment="1">
      <alignment vertical="center"/>
    </xf>
    <xf numFmtId="1" fontId="181" fillId="16" borderId="2" xfId="12" applyNumberFormat="1" applyFont="1" applyFill="1" applyBorder="1" applyAlignment="1">
      <alignment horizontal="right" vertical="center"/>
    </xf>
    <xf numFmtId="1" fontId="4" fillId="16" borderId="2" xfId="12" applyNumberFormat="1" applyFont="1" applyFill="1" applyBorder="1" applyAlignment="1">
      <alignment horizontal="right" vertical="center"/>
    </xf>
    <xf numFmtId="0" fontId="186" fillId="0" borderId="86" xfId="12" applyFont="1" applyBorder="1" applyAlignment="1">
      <alignment horizontal="center" vertical="center"/>
    </xf>
    <xf numFmtId="0" fontId="186" fillId="0" borderId="2" xfId="12" applyFont="1" applyBorder="1" applyAlignment="1">
      <alignment horizontal="left" vertical="center"/>
    </xf>
    <xf numFmtId="168" fontId="186" fillId="0" borderId="2" xfId="12" applyNumberFormat="1" applyFont="1" applyBorder="1" applyAlignment="1">
      <alignment horizontal="center" vertical="center"/>
    </xf>
    <xf numFmtId="0" fontId="186" fillId="0" borderId="2" xfId="12" applyFont="1" applyBorder="1" applyAlignment="1">
      <alignment horizontal="center" vertical="center"/>
    </xf>
    <xf numFmtId="2" fontId="186" fillId="0" borderId="2" xfId="12" applyNumberFormat="1" applyFont="1" applyBorder="1" applyAlignment="1">
      <alignment horizontal="center" vertical="center"/>
    </xf>
    <xf numFmtId="168" fontId="186" fillId="0" borderId="2" xfId="12" applyNumberFormat="1" applyFont="1" applyBorder="1" applyAlignment="1">
      <alignment horizontal="right" vertical="center"/>
    </xf>
    <xf numFmtId="166" fontId="186" fillId="0" borderId="2" xfId="12" applyNumberFormat="1" applyFont="1" applyBorder="1" applyAlignment="1">
      <alignment vertical="center"/>
    </xf>
    <xf numFmtId="0" fontId="186" fillId="0" borderId="88" xfId="12" applyFont="1" applyBorder="1" applyAlignment="1">
      <alignment horizontal="center" vertical="center"/>
    </xf>
    <xf numFmtId="0" fontId="186" fillId="0" borderId="1" xfId="12" applyFont="1" applyBorder="1" applyAlignment="1">
      <alignment horizontal="left" vertical="center"/>
    </xf>
    <xf numFmtId="168" fontId="186" fillId="0" borderId="1" xfId="12" applyNumberFormat="1" applyFont="1" applyBorder="1" applyAlignment="1">
      <alignment horizontal="center" vertical="center"/>
    </xf>
    <xf numFmtId="0" fontId="186" fillId="0" borderId="1" xfId="12" applyFont="1" applyBorder="1" applyAlignment="1">
      <alignment horizontal="center" vertical="center"/>
    </xf>
    <xf numFmtId="2" fontId="186" fillId="0" borderId="1" xfId="12" applyNumberFormat="1" applyFont="1" applyBorder="1" applyAlignment="1">
      <alignment horizontal="center" vertical="center"/>
    </xf>
    <xf numFmtId="168" fontId="186" fillId="0" borderId="1" xfId="12" applyNumberFormat="1" applyFont="1" applyBorder="1" applyAlignment="1">
      <alignment horizontal="right" vertical="center"/>
    </xf>
    <xf numFmtId="165" fontId="186" fillId="0" borderId="1" xfId="12" applyNumberFormat="1" applyFont="1" applyBorder="1" applyAlignment="1">
      <alignment horizontal="right" vertical="center"/>
    </xf>
    <xf numFmtId="166" fontId="186" fillId="0" borderId="1" xfId="12" applyNumberFormat="1" applyFont="1" applyBorder="1" applyAlignment="1">
      <alignment vertical="center"/>
    </xf>
    <xf numFmtId="0" fontId="7" fillId="0" borderId="100" xfId="12" applyFont="1" applyBorder="1" applyAlignment="1">
      <alignment horizontal="center" vertical="center"/>
    </xf>
    <xf numFmtId="0" fontId="7" fillId="0" borderId="101" xfId="12" applyFont="1" applyBorder="1" applyAlignment="1">
      <alignment horizontal="center" vertical="center"/>
    </xf>
    <xf numFmtId="0" fontId="7" fillId="0" borderId="82" xfId="12" applyFont="1" applyBorder="1" applyAlignment="1">
      <alignment vertical="center"/>
    </xf>
    <xf numFmtId="0" fontId="7" fillId="0" borderId="81" xfId="12" applyFont="1" applyBorder="1" applyAlignment="1">
      <alignment horizontal="center" vertical="center"/>
    </xf>
    <xf numFmtId="0" fontId="191" fillId="0" borderId="84" xfId="12" applyFont="1" applyBorder="1"/>
    <xf numFmtId="2" fontId="7" fillId="0" borderId="83" xfId="12" applyNumberFormat="1" applyFont="1" applyBorder="1" applyAlignment="1">
      <alignment horizontal="center" vertical="center"/>
    </xf>
    <xf numFmtId="0" fontId="181" fillId="0" borderId="81" xfId="12" applyFont="1" applyBorder="1" applyAlignment="1">
      <alignment horizontal="right" vertical="center"/>
    </xf>
    <xf numFmtId="165" fontId="4" fillId="15" borderId="84" xfId="12" applyNumberFormat="1" applyFont="1" applyFill="1" applyBorder="1" applyAlignment="1">
      <alignment horizontal="right" vertical="center"/>
    </xf>
    <xf numFmtId="166" fontId="7" fillId="0" borderId="82" xfId="12" applyNumberFormat="1" applyFont="1" applyBorder="1" applyAlignment="1">
      <alignment horizontal="right" vertical="center"/>
    </xf>
    <xf numFmtId="166" fontId="10" fillId="0" borderId="81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91" fillId="0" borderId="16" xfId="12" applyFont="1" applyBorder="1"/>
    <xf numFmtId="0" fontId="181" fillId="0" borderId="6" xfId="12" applyFont="1" applyBorder="1"/>
    <xf numFmtId="165" fontId="4" fillId="15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91" fillId="0" borderId="5" xfId="12" applyFont="1" applyBorder="1"/>
    <xf numFmtId="165" fontId="4" fillId="15" borderId="76" xfId="12" applyNumberFormat="1" applyFont="1" applyFill="1" applyBorder="1" applyAlignment="1">
      <alignment vertical="center"/>
    </xf>
    <xf numFmtId="166" fontId="188" fillId="0" borderId="2" xfId="12" applyNumberFormat="1" applyFont="1" applyBorder="1" applyAlignment="1">
      <alignment horizontal="center" vertical="center"/>
    </xf>
    <xf numFmtId="0" fontId="181" fillId="15" borderId="2" xfId="12" applyFont="1" applyFill="1" applyBorder="1" applyAlignment="1">
      <alignment horizontal="right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5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5" borderId="2" xfId="12" applyNumberFormat="1" applyFont="1" applyFill="1" applyBorder="1" applyAlignment="1">
      <alignment vertical="center"/>
    </xf>
    <xf numFmtId="165" fontId="4" fillId="15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7" fillId="0" borderId="70" xfId="12" applyFont="1" applyBorder="1" applyAlignment="1">
      <alignment horizontal="center" vertical="center"/>
    </xf>
    <xf numFmtId="0" fontId="192" fillId="0" borderId="6" xfId="12" applyFont="1" applyBorder="1" applyAlignment="1">
      <alignment horizontal="center" vertical="center"/>
    </xf>
    <xf numFmtId="0" fontId="192" fillId="0" borderId="67" xfId="12" applyFont="1" applyBorder="1" applyAlignment="1">
      <alignment horizontal="center" vertical="center"/>
    </xf>
    <xf numFmtId="166" fontId="11" fillId="0" borderId="78" xfId="12" applyNumberFormat="1" applyFont="1" applyBorder="1" applyAlignment="1">
      <alignment vertical="center"/>
    </xf>
    <xf numFmtId="0" fontId="20" fillId="2" borderId="8" xfId="0" applyFont="1" applyFill="1" applyBorder="1" applyAlignment="1">
      <alignment horizontal="center" vertical="center"/>
    </xf>
    <xf numFmtId="0" fontId="180" fillId="0" borderId="7" xfId="12" applyFont="1" applyBorder="1"/>
    <xf numFmtId="0" fontId="7" fillId="0" borderId="7" xfId="12" applyFont="1" applyBorder="1"/>
    <xf numFmtId="0" fontId="181" fillId="0" borderId="7" xfId="12" applyFont="1" applyBorder="1"/>
    <xf numFmtId="0" fontId="4" fillId="0" borderId="7" xfId="12" applyFont="1" applyBorder="1"/>
    <xf numFmtId="0" fontId="185" fillId="0" borderId="7" xfId="12" applyFont="1" applyBorder="1"/>
    <xf numFmtId="0" fontId="189" fillId="0" borderId="7" xfId="12" applyFont="1" applyBorder="1"/>
    <xf numFmtId="166" fontId="7" fillId="0" borderId="4" xfId="12" applyNumberFormat="1" applyFont="1" applyBorder="1" applyAlignment="1">
      <alignment vertical="center"/>
    </xf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81" fillId="0" borderId="12" xfId="12" applyFont="1" applyBorder="1"/>
    <xf numFmtId="0" fontId="181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1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66" fontId="11" fillId="11" borderId="69" xfId="12" applyNumberFormat="1" applyFont="1" applyFill="1" applyBorder="1" applyAlignment="1">
      <alignment vertical="center"/>
    </xf>
    <xf numFmtId="1" fontId="9" fillId="0" borderId="8" xfId="0" applyNumberFormat="1" applyFont="1" applyBorder="1" applyAlignment="1">
      <alignment horizontal="right" vertical="center"/>
    </xf>
    <xf numFmtId="0" fontId="181" fillId="0" borderId="10" xfId="12" applyFont="1" applyBorder="1"/>
    <xf numFmtId="2" fontId="19" fillId="0" borderId="18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7" xfId="0" applyFont="1" applyFill="1" applyBorder="1" applyAlignment="1">
      <alignment horizontal="center" vertical="center"/>
    </xf>
    <xf numFmtId="0" fontId="20" fillId="2" borderId="107" xfId="0" applyFont="1" applyFill="1" applyBorder="1" applyAlignment="1">
      <alignment horizontal="center" vertical="center"/>
    </xf>
    <xf numFmtId="0" fontId="6" fillId="2" borderId="109" xfId="12" applyFont="1" applyFill="1" applyBorder="1" applyAlignment="1">
      <alignment horizontal="center" vertical="center"/>
    </xf>
    <xf numFmtId="0" fontId="6" fillId="2" borderId="110" xfId="12" applyFont="1" applyFill="1" applyBorder="1" applyAlignment="1">
      <alignment horizontal="center" vertical="center"/>
    </xf>
    <xf numFmtId="0" fontId="6" fillId="2" borderId="110" xfId="0" applyFont="1" applyFill="1" applyBorder="1" applyAlignment="1">
      <alignment horizontal="center" vertical="center"/>
    </xf>
    <xf numFmtId="0" fontId="27" fillId="2" borderId="111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5" fillId="0" borderId="9" xfId="0" applyNumberFormat="1" applyFont="1" applyBorder="1" applyAlignment="1">
      <alignment vertical="center" wrapText="1"/>
    </xf>
    <xf numFmtId="165" fontId="45" fillId="0" borderId="7" xfId="0" applyNumberFormat="1" applyFont="1" applyBorder="1" applyAlignment="1">
      <alignment vertical="center" wrapText="1"/>
    </xf>
    <xf numFmtId="165" fontId="45" fillId="0" borderId="0" xfId="0" applyNumberFormat="1" applyFont="1" applyAlignment="1">
      <alignment vertical="center" wrapText="1"/>
    </xf>
    <xf numFmtId="165" fontId="175" fillId="0" borderId="9" xfId="0" applyNumberFormat="1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153" fillId="2" borderId="2" xfId="12" applyFont="1" applyFill="1" applyBorder="1" applyAlignment="1">
      <alignment horizontal="center" vertical="center" wrapText="1"/>
    </xf>
    <xf numFmtId="0" fontId="193" fillId="2" borderId="110" xfId="12" applyFont="1" applyFill="1" applyBorder="1" applyAlignment="1">
      <alignment horizontal="center" vertical="center" wrapText="1"/>
    </xf>
    <xf numFmtId="0" fontId="194" fillId="4" borderId="26" xfId="0" applyFont="1" applyFill="1" applyBorder="1" applyAlignment="1">
      <alignment vertical="center" wrapText="1"/>
    </xf>
    <xf numFmtId="0" fontId="195" fillId="0" borderId="2" xfId="12" applyFont="1" applyBorder="1" applyAlignment="1">
      <alignment horizontal="center" vertical="center" wrapText="1"/>
    </xf>
    <xf numFmtId="0" fontId="195" fillId="0" borderId="6" xfId="12" applyFont="1" applyBorder="1" applyAlignment="1">
      <alignment horizontal="center" vertical="center" wrapText="1"/>
    </xf>
    <xf numFmtId="0" fontId="45" fillId="4" borderId="9" xfId="0" applyFont="1" applyFill="1" applyBorder="1" applyAlignment="1">
      <alignment vertical="center" wrapText="1"/>
    </xf>
    <xf numFmtId="0" fontId="195" fillId="0" borderId="67" xfId="12" applyFont="1" applyBorder="1" applyAlignment="1">
      <alignment horizontal="center" vertical="center" wrapText="1"/>
    </xf>
    <xf numFmtId="0" fontId="196" fillId="0" borderId="0" xfId="0" applyFont="1" applyAlignment="1">
      <alignment wrapText="1"/>
    </xf>
    <xf numFmtId="0" fontId="45" fillId="4" borderId="26" xfId="0" applyFont="1" applyFill="1" applyBorder="1" applyAlignment="1">
      <alignment vertical="center" wrapText="1"/>
    </xf>
    <xf numFmtId="0" fontId="195" fillId="0" borderId="1" xfId="12" applyFont="1" applyBorder="1" applyAlignment="1">
      <alignment horizontal="center" vertical="center" wrapText="1"/>
    </xf>
    <xf numFmtId="0" fontId="153" fillId="0" borderId="79" xfId="12" applyFont="1" applyBorder="1" applyAlignment="1">
      <alignment horizontal="center" vertical="center" wrapText="1"/>
    </xf>
    <xf numFmtId="0" fontId="45" fillId="5" borderId="9" xfId="0" applyFont="1" applyFill="1" applyBorder="1" applyAlignment="1">
      <alignment vertical="center" wrapText="1"/>
    </xf>
    <xf numFmtId="0" fontId="37" fillId="0" borderId="7" xfId="0" applyFont="1" applyBorder="1" applyAlignment="1">
      <alignment horizontal="center" vertical="center" wrapText="1"/>
    </xf>
    <xf numFmtId="0" fontId="153" fillId="0" borderId="72" xfId="12" applyFont="1" applyBorder="1" applyAlignment="1">
      <alignment horizontal="center" vertical="center" wrapText="1"/>
    </xf>
    <xf numFmtId="0" fontId="197" fillId="0" borderId="70" xfId="12" applyFont="1" applyBorder="1" applyAlignment="1">
      <alignment horizontal="center" vertical="center" wrapText="1"/>
    </xf>
    <xf numFmtId="0" fontId="197" fillId="0" borderId="70" xfId="12" quotePrefix="1" applyFont="1" applyBorder="1" applyAlignment="1">
      <alignment horizontal="center" vertical="center" wrapText="1"/>
    </xf>
    <xf numFmtId="0" fontId="197" fillId="0" borderId="17" xfId="12" quotePrefix="1" applyFont="1" applyBorder="1" applyAlignment="1">
      <alignment horizontal="center" vertical="center" wrapText="1"/>
    </xf>
    <xf numFmtId="0" fontId="197" fillId="0" borderId="72" xfId="12" applyFont="1" applyBorder="1" applyAlignment="1">
      <alignment horizontal="center" vertical="center" wrapText="1"/>
    </xf>
    <xf numFmtId="0" fontId="153" fillId="0" borderId="2" xfId="12" applyFont="1" applyBorder="1" applyAlignment="1">
      <alignment horizontal="center" vertical="center" wrapText="1"/>
    </xf>
    <xf numFmtId="0" fontId="153" fillId="0" borderId="69" xfId="12" applyFont="1" applyBorder="1" applyAlignment="1">
      <alignment horizontal="center" vertical="center" wrapText="1"/>
    </xf>
    <xf numFmtId="0" fontId="198" fillId="0" borderId="0" xfId="12" applyFont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199" fillId="2" borderId="1" xfId="0" applyFont="1" applyFill="1" applyBorder="1" applyAlignment="1">
      <alignment horizontal="center" vertical="center" wrapText="1"/>
    </xf>
    <xf numFmtId="0" fontId="153" fillId="0" borderId="17" xfId="12" applyFont="1" applyBorder="1" applyAlignment="1">
      <alignment horizontal="center" vertical="center" wrapText="1"/>
    </xf>
    <xf numFmtId="0" fontId="153" fillId="0" borderId="70" xfId="12" applyFont="1" applyBorder="1" applyAlignment="1">
      <alignment horizontal="center" vertical="center" wrapText="1"/>
    </xf>
    <xf numFmtId="0" fontId="37" fillId="0" borderId="9" xfId="0" applyFont="1" applyBorder="1" applyAlignment="1">
      <alignment horizontal="center" vertical="center" wrapText="1"/>
    </xf>
    <xf numFmtId="0" fontId="153" fillId="0" borderId="1" xfId="12" applyFont="1" applyBorder="1" applyAlignment="1">
      <alignment horizontal="center" vertical="center" wrapText="1"/>
    </xf>
    <xf numFmtId="0" fontId="200" fillId="0" borderId="1" xfId="12" applyFont="1" applyBorder="1" applyAlignment="1">
      <alignment horizontal="center" vertical="center" wrapText="1"/>
    </xf>
    <xf numFmtId="0" fontId="197" fillId="0" borderId="1" xfId="12" applyFont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201" fillId="0" borderId="2" xfId="12" applyFont="1" applyBorder="1" applyAlignment="1">
      <alignment horizontal="center" vertical="center" wrapText="1"/>
    </xf>
    <xf numFmtId="0" fontId="153" fillId="0" borderId="0" xfId="0" applyFont="1" applyAlignment="1">
      <alignment wrapText="1"/>
    </xf>
    <xf numFmtId="0" fontId="197" fillId="0" borderId="6" xfId="12" applyFont="1" applyBorder="1" applyAlignment="1">
      <alignment horizontal="center" vertical="center" wrapText="1"/>
    </xf>
    <xf numFmtId="0" fontId="197" fillId="0" borderId="17" xfId="12" applyFont="1" applyBorder="1" applyAlignment="1">
      <alignment horizontal="center" vertical="center" wrapText="1"/>
    </xf>
    <xf numFmtId="0" fontId="153" fillId="0" borderId="6" xfId="12" applyFont="1" applyBorder="1" applyAlignment="1">
      <alignment horizontal="center" vertical="center" wrapText="1"/>
    </xf>
    <xf numFmtId="0" fontId="202" fillId="0" borderId="1" xfId="12" applyFont="1" applyBorder="1" applyAlignment="1">
      <alignment horizontal="center" vertical="center" wrapText="1"/>
    </xf>
    <xf numFmtId="0" fontId="195" fillId="0" borderId="17" xfId="12" applyFont="1" applyBorder="1" applyAlignment="1">
      <alignment horizontal="center" vertical="center" wrapText="1"/>
    </xf>
    <xf numFmtId="0" fontId="153" fillId="16" borderId="2" xfId="12" applyFont="1" applyFill="1" applyBorder="1" applyAlignment="1">
      <alignment horizontal="center" vertical="center" wrapText="1"/>
    </xf>
    <xf numFmtId="0" fontId="197" fillId="0" borderId="96" xfId="12" applyFont="1" applyBorder="1" applyAlignment="1">
      <alignment horizontal="center" vertical="center" wrapText="1"/>
    </xf>
    <xf numFmtId="0" fontId="195" fillId="0" borderId="75" xfId="12" applyFont="1" applyBorder="1" applyAlignment="1">
      <alignment horizontal="center" vertical="center" wrapText="1"/>
    </xf>
    <xf numFmtId="0" fontId="198" fillId="0" borderId="2" xfId="12" applyFont="1" applyBorder="1" applyAlignment="1">
      <alignment horizontal="center" vertical="center" wrapText="1"/>
    </xf>
    <xf numFmtId="0" fontId="198" fillId="0" borderId="1" xfId="12" applyFont="1" applyBorder="1" applyAlignment="1">
      <alignment horizontal="center" vertical="center" wrapText="1"/>
    </xf>
    <xf numFmtId="0" fontId="195" fillId="0" borderId="81" xfId="12" applyFont="1" applyBorder="1" applyAlignment="1">
      <alignment horizontal="center" vertical="center" wrapText="1"/>
    </xf>
    <xf numFmtId="0" fontId="195" fillId="0" borderId="3" xfId="12" applyFont="1" applyBorder="1" applyAlignment="1">
      <alignment horizontal="center" vertical="center" wrapText="1"/>
    </xf>
    <xf numFmtId="0" fontId="195" fillId="0" borderId="1" xfId="12" applyFont="1" applyBorder="1" applyAlignment="1">
      <alignment vertical="center" wrapText="1"/>
    </xf>
    <xf numFmtId="0" fontId="194" fillId="4" borderId="9" xfId="0" applyFont="1" applyFill="1" applyBorder="1" applyAlignment="1">
      <alignment vertical="center" wrapText="1"/>
    </xf>
    <xf numFmtId="0" fontId="37" fillId="0" borderId="11" xfId="0" quotePrefix="1" applyFont="1" applyBorder="1" applyAlignment="1">
      <alignment vertical="center" wrapText="1"/>
    </xf>
    <xf numFmtId="0" fontId="37" fillId="0" borderId="25" xfId="0" quotePrefix="1" applyFont="1" applyBorder="1" applyAlignment="1">
      <alignment vertical="center" wrapText="1"/>
    </xf>
    <xf numFmtId="0" fontId="37" fillId="0" borderId="12" xfId="0" quotePrefix="1" applyFont="1" applyBorder="1" applyAlignment="1">
      <alignment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199" fillId="2" borderId="7" xfId="0" applyFont="1" applyFill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7" fillId="0" borderId="10" xfId="0" quotePrefix="1" applyFont="1" applyBorder="1" applyAlignment="1">
      <alignment horizontal="center" vertical="center" wrapText="1"/>
    </xf>
    <xf numFmtId="0" fontId="203" fillId="0" borderId="7" xfId="0" applyFont="1" applyBorder="1" applyAlignment="1">
      <alignment horizontal="center" vertical="center" wrapText="1"/>
    </xf>
    <xf numFmtId="167" fontId="7" fillId="0" borderId="7" xfId="0" applyNumberFormat="1" applyFont="1" applyBorder="1" applyAlignment="1">
      <alignment horizontal="right" vertical="center"/>
    </xf>
    <xf numFmtId="43" fontId="9" fillId="0" borderId="7" xfId="1" applyFont="1" applyBorder="1" applyAlignment="1">
      <alignment horizontal="right" vertical="center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45" fillId="0" borderId="0" xfId="0" applyNumberFormat="1" applyFont="1"/>
    <xf numFmtId="0" fontId="20" fillId="0" borderId="11" xfId="0" quotePrefix="1" applyFont="1" applyBorder="1" applyAlignment="1">
      <alignment vertical="center"/>
    </xf>
    <xf numFmtId="0" fontId="20" fillId="0" borderId="12" xfId="0" quotePrefix="1" applyFont="1" applyBorder="1" applyAlignment="1">
      <alignment vertical="center"/>
    </xf>
    <xf numFmtId="166" fontId="31" fillId="13" borderId="7" xfId="11" applyNumberFormat="1" applyFont="1" applyFill="1" applyBorder="1" applyAlignment="1">
      <alignment horizontal="center" vertical="center" wrapText="1"/>
    </xf>
    <xf numFmtId="166" fontId="15" fillId="0" borderId="7" xfId="1" applyNumberFormat="1" applyFont="1" applyBorder="1" applyAlignment="1">
      <alignment vertical="center"/>
    </xf>
    <xf numFmtId="0" fontId="207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2" fontId="7" fillId="0" borderId="26" xfId="0" applyNumberFormat="1" applyFont="1" applyBorder="1" applyAlignment="1">
      <alignment horizontal="right" vertical="center" wrapText="1"/>
    </xf>
    <xf numFmtId="166" fontId="7" fillId="0" borderId="12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right"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0" fontId="30" fillId="10" borderId="0" xfId="4" applyFill="1" applyAlignment="1">
      <alignment horizontal="left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0" fontId="30" fillId="10" borderId="7" xfId="0" applyFont="1" applyFill="1" applyBorder="1" applyAlignment="1">
      <alignment horizontal="left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75" fillId="10" borderId="0" xfId="0" applyNumberFormat="1" applyFont="1" applyFill="1" applyAlignment="1">
      <alignment horizontal="center" vertical="center"/>
    </xf>
    <xf numFmtId="2" fontId="81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75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2" fontId="75" fillId="0" borderId="0" xfId="0" applyNumberFormat="1" applyFont="1" applyAlignment="1">
      <alignment horizontal="center"/>
    </xf>
    <xf numFmtId="0" fontId="75" fillId="0" borderId="0" xfId="0" applyFont="1" applyAlignment="1">
      <alignment horizontal="center" vertical="center"/>
    </xf>
    <xf numFmtId="0" fontId="75" fillId="0" borderId="8" xfId="0" applyFont="1" applyBorder="1" applyAlignment="1">
      <alignment horizontal="center"/>
    </xf>
    <xf numFmtId="0" fontId="80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75" fillId="0" borderId="7" xfId="0" applyNumberFormat="1" applyFont="1" applyBorder="1" applyAlignment="1">
      <alignment horizontal="center" vertical="center"/>
    </xf>
    <xf numFmtId="2" fontId="75" fillId="0" borderId="0" xfId="0" applyNumberFormat="1" applyFont="1" applyAlignment="1">
      <alignment horizontal="center" vertical="center"/>
    </xf>
    <xf numFmtId="0" fontId="30" fillId="13" borderId="7" xfId="4" applyFill="1" applyBorder="1"/>
    <xf numFmtId="0" fontId="30" fillId="13" borderId="7" xfId="4" applyFill="1" applyBorder="1" applyAlignment="1">
      <alignment horizontal="left" vertical="center" wrapText="1"/>
    </xf>
    <xf numFmtId="0" fontId="30" fillId="13" borderId="8" xfId="4" applyFill="1" applyBorder="1" applyAlignment="1">
      <alignment horizontal="left" vertical="center" wrapText="1"/>
    </xf>
    <xf numFmtId="2" fontId="75" fillId="0" borderId="11" xfId="0" applyNumberFormat="1" applyFont="1" applyBorder="1" applyAlignment="1">
      <alignment horizontal="center" vertical="center"/>
    </xf>
    <xf numFmtId="2" fontId="75" fillId="0" borderId="7" xfId="0" applyNumberFormat="1" applyFont="1" applyBorder="1" applyAlignment="1">
      <alignment horizontal="center"/>
    </xf>
    <xf numFmtId="0" fontId="30" fillId="9" borderId="7" xfId="0" applyFont="1" applyFill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49" fillId="0" borderId="0" xfId="0" applyNumberFormat="1" applyFont="1" applyAlignment="1">
      <alignment horizontal="center" vertical="center"/>
    </xf>
    <xf numFmtId="0" fontId="30" fillId="13" borderId="0" xfId="4" applyFill="1"/>
    <xf numFmtId="170" fontId="150" fillId="0" borderId="35" xfId="2" applyNumberFormat="1" applyFont="1" applyBorder="1" applyAlignment="1">
      <alignment horizontal="center" vertical="center"/>
    </xf>
    <xf numFmtId="10" fontId="150" fillId="0" borderId="35" xfId="2" applyNumberFormat="1" applyFont="1" applyBorder="1" applyAlignment="1">
      <alignment horizontal="center"/>
    </xf>
    <xf numFmtId="10" fontId="150" fillId="0" borderId="35" xfId="2" applyNumberFormat="1" applyFont="1" applyBorder="1" applyAlignment="1">
      <alignment horizontal="center" vertical="center"/>
    </xf>
    <xf numFmtId="0" fontId="14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8" borderId="37" xfId="0" applyNumberFormat="1" applyFont="1" applyFill="1" applyBorder="1"/>
    <xf numFmtId="0" fontId="30" fillId="13" borderId="7" xfId="4" applyFill="1" applyBorder="1" applyAlignment="1">
      <alignment horizontal="left" wrapText="1"/>
    </xf>
    <xf numFmtId="0" fontId="30" fillId="13" borderId="11" xfId="4" applyFill="1" applyBorder="1" applyAlignment="1">
      <alignment horizontal="left" vertical="center" wrapText="1"/>
    </xf>
    <xf numFmtId="0" fontId="30" fillId="13" borderId="7" xfId="4" applyFill="1" applyBorder="1" applyAlignment="1">
      <alignment horizontal="center" vertical="center" wrapText="1"/>
    </xf>
    <xf numFmtId="0" fontId="30" fillId="18" borderId="7" xfId="4" applyFill="1" applyBorder="1" applyAlignment="1">
      <alignment horizontal="left" vertical="center" wrapText="1"/>
    </xf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1" fontId="15" fillId="18" borderId="37" xfId="0" applyNumberFormat="1" applyFont="1" applyFill="1" applyBorder="1"/>
    <xf numFmtId="0" fontId="20" fillId="9" borderId="0" xfId="0" applyFont="1" applyFill="1"/>
    <xf numFmtId="0" fontId="20" fillId="18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4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1" fontId="15" fillId="5" borderId="7" xfId="0" applyNumberFormat="1" applyFont="1" applyFill="1" applyBorder="1" applyAlignment="1">
      <alignment vertical="center" wrapText="1"/>
    </xf>
    <xf numFmtId="0" fontId="182" fillId="0" borderId="7" xfId="0" applyFont="1" applyBorder="1" applyAlignment="1">
      <alignment horizontal="center" vertical="center"/>
    </xf>
    <xf numFmtId="0" fontId="208" fillId="0" borderId="7" xfId="0" applyFont="1" applyBorder="1" applyAlignment="1">
      <alignment horizontal="center"/>
    </xf>
    <xf numFmtId="2" fontId="30" fillId="18" borderId="7" xfId="4" applyNumberFormat="1" applyFill="1" applyBorder="1"/>
    <xf numFmtId="0" fontId="20" fillId="18" borderId="7" xfId="0" applyFont="1" applyFill="1" applyBorder="1" applyAlignment="1">
      <alignment horizontal="left" vertical="center" wrapText="1"/>
    </xf>
    <xf numFmtId="0" fontId="208" fillId="0" borderId="7" xfId="0" applyFont="1" applyBorder="1" applyAlignment="1">
      <alignment horizontal="center" wrapText="1"/>
    </xf>
    <xf numFmtId="1" fontId="20" fillId="18" borderId="7" xfId="0" applyNumberFormat="1" applyFont="1" applyFill="1" applyBorder="1" applyAlignment="1">
      <alignment horizontal="center" vertical="center"/>
    </xf>
    <xf numFmtId="0" fontId="208" fillId="18" borderId="7" xfId="0" applyFont="1" applyFill="1" applyBorder="1" applyAlignment="1">
      <alignment horizontal="left" vertical="center" wrapText="1"/>
    </xf>
    <xf numFmtId="2" fontId="208" fillId="18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1" fontId="147" fillId="0" borderId="7" xfId="0" applyNumberFormat="1" applyFont="1" applyBorder="1" applyAlignment="1">
      <alignment horizontal="center" vertical="center" wrapText="1"/>
    </xf>
    <xf numFmtId="0" fontId="147" fillId="0" borderId="9" xfId="0" applyFont="1" applyBorder="1" applyAlignment="1">
      <alignment horizontal="center" vertical="center"/>
    </xf>
    <xf numFmtId="0" fontId="29" fillId="5" borderId="9" xfId="0" applyFont="1" applyFill="1" applyBorder="1" applyAlignment="1">
      <alignment vertical="center"/>
    </xf>
    <xf numFmtId="0" fontId="20" fillId="18" borderId="7" xfId="0" applyFont="1" applyFill="1" applyBorder="1"/>
    <xf numFmtId="1" fontId="20" fillId="18" borderId="7" xfId="0" applyNumberFormat="1" applyFont="1" applyFill="1" applyBorder="1" applyAlignment="1">
      <alignment horizontal="center" vertical="center" wrapText="1"/>
    </xf>
    <xf numFmtId="1" fontId="15" fillId="18" borderId="25" xfId="0" applyNumberFormat="1" applyFont="1" applyFill="1" applyBorder="1" applyAlignment="1">
      <alignment vertical="center" wrapText="1"/>
    </xf>
    <xf numFmtId="1" fontId="147" fillId="18" borderId="7" xfId="0" applyNumberFormat="1" applyFont="1" applyFill="1" applyBorder="1" applyAlignment="1">
      <alignment horizontal="center" vertical="center" wrapText="1"/>
    </xf>
    <xf numFmtId="165" fontId="7" fillId="18" borderId="7" xfId="0" applyNumberFormat="1" applyFont="1" applyFill="1" applyBorder="1" applyAlignment="1">
      <alignment horizontal="center" vertical="center"/>
    </xf>
    <xf numFmtId="165" fontId="7" fillId="18" borderId="7" xfId="0" applyNumberFormat="1" applyFont="1" applyFill="1" applyBorder="1" applyAlignment="1">
      <alignment vertical="center"/>
    </xf>
    <xf numFmtId="2" fontId="7" fillId="18" borderId="7" xfId="0" applyNumberFormat="1" applyFont="1" applyFill="1" applyBorder="1" applyAlignment="1">
      <alignment horizontal="right" vertical="center" wrapText="1"/>
    </xf>
    <xf numFmtId="0" fontId="7" fillId="18" borderId="7" xfId="0" applyFont="1" applyFill="1" applyBorder="1" applyAlignment="1">
      <alignment horizontal="center" vertical="center"/>
    </xf>
    <xf numFmtId="166" fontId="10" fillId="18" borderId="7" xfId="0" applyNumberFormat="1" applyFont="1" applyFill="1" applyBorder="1" applyAlignment="1">
      <alignment horizontal="center" vertical="center"/>
    </xf>
    <xf numFmtId="1" fontId="7" fillId="18" borderId="7" xfId="0" applyNumberFormat="1" applyFont="1" applyFill="1" applyBorder="1" applyAlignment="1">
      <alignment horizontal="right" vertical="center"/>
    </xf>
    <xf numFmtId="0" fontId="10" fillId="18" borderId="7" xfId="0" applyFont="1" applyFill="1" applyBorder="1" applyAlignment="1">
      <alignment horizontal="center" vertical="center"/>
    </xf>
    <xf numFmtId="0" fontId="0" fillId="18" borderId="0" xfId="0" applyFill="1"/>
    <xf numFmtId="0" fontId="20" fillId="18" borderId="7" xfId="0" applyFont="1" applyFill="1" applyBorder="1" applyAlignment="1">
      <alignment horizontal="center" vertical="center"/>
    </xf>
    <xf numFmtId="168" fontId="7" fillId="18" borderId="7" xfId="0" applyNumberFormat="1" applyFont="1" applyFill="1" applyBorder="1" applyAlignment="1">
      <alignment horizontal="center" vertical="center"/>
    </xf>
    <xf numFmtId="1" fontId="15" fillId="18" borderId="11" xfId="0" applyNumberFormat="1" applyFont="1" applyFill="1" applyBorder="1" applyAlignment="1">
      <alignment vertical="center" wrapText="1"/>
    </xf>
    <xf numFmtId="2" fontId="7" fillId="18" borderId="7" xfId="0" applyNumberFormat="1" applyFont="1" applyFill="1" applyBorder="1" applyAlignment="1">
      <alignment horizontal="center" vertical="center"/>
    </xf>
    <xf numFmtId="0" fontId="145" fillId="18" borderId="0" xfId="0" applyFont="1" applyFill="1"/>
    <xf numFmtId="0" fontId="208" fillId="18" borderId="7" xfId="0" applyFont="1" applyFill="1" applyBorder="1" applyAlignment="1">
      <alignment horizontal="center" vertical="center" wrapText="1"/>
    </xf>
    <xf numFmtId="1" fontId="15" fillId="0" borderId="11" xfId="0" applyNumberFormat="1" applyFont="1" applyBorder="1" applyAlignment="1">
      <alignment vertical="center" wrapText="1"/>
    </xf>
    <xf numFmtId="1" fontId="208" fillId="18" borderId="7" xfId="0" applyNumberFormat="1" applyFont="1" applyFill="1" applyBorder="1" applyAlignment="1">
      <alignment horizontal="center" vertical="center"/>
    </xf>
    <xf numFmtId="0" fontId="30" fillId="18" borderId="8" xfId="4" applyFill="1" applyBorder="1" applyAlignment="1">
      <alignment horizontal="left" vertical="center" wrapText="1"/>
    </xf>
    <xf numFmtId="0" fontId="30" fillId="18" borderId="7" xfId="4" applyFill="1" applyBorder="1" applyAlignment="1">
      <alignment horizontal="left" vertical="center"/>
    </xf>
    <xf numFmtId="0" fontId="30" fillId="18" borderId="23" xfId="4" applyFill="1" applyBorder="1" applyAlignment="1">
      <alignment horizontal="left" vertical="center" wrapText="1"/>
    </xf>
    <xf numFmtId="0" fontId="4" fillId="0" borderId="7" xfId="12" applyFont="1" applyBorder="1" applyAlignment="1">
      <alignment horizontal="center" vertical="center"/>
    </xf>
    <xf numFmtId="166" fontId="181" fillId="0" borderId="15" xfId="12" applyNumberFormat="1" applyFont="1" applyBorder="1" applyAlignment="1">
      <alignment horizontal="right" vertical="center"/>
    </xf>
    <xf numFmtId="0" fontId="20" fillId="0" borderId="7" xfId="12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5" fillId="4" borderId="22" xfId="0" applyFont="1" applyFill="1" applyBorder="1" applyAlignment="1">
      <alignment horizontal="center" vertical="center"/>
    </xf>
    <xf numFmtId="0" fontId="181" fillId="0" borderId="0" xfId="12" applyFont="1" applyAlignment="1">
      <alignment horizontal="center" vertical="center"/>
    </xf>
    <xf numFmtId="0" fontId="15" fillId="5" borderId="10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85" fillId="0" borderId="0" xfId="12" applyFont="1" applyAlignment="1">
      <alignment horizontal="center" vertical="center"/>
    </xf>
    <xf numFmtId="0" fontId="181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2" fontId="20" fillId="0" borderId="11" xfId="0" applyNumberFormat="1" applyFont="1" applyBorder="1" applyAlignment="1">
      <alignment horizontal="center" vertical="center"/>
    </xf>
    <xf numFmtId="2" fontId="20" fillId="0" borderId="10" xfId="0" applyNumberFormat="1" applyFont="1" applyBorder="1" applyAlignment="1">
      <alignment horizontal="center" vertical="center"/>
    </xf>
    <xf numFmtId="166" fontId="4" fillId="16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0" fontId="30" fillId="18" borderId="7" xfId="4" applyFill="1" applyBorder="1"/>
    <xf numFmtId="0" fontId="30" fillId="18" borderId="7" xfId="4" applyFill="1" applyBorder="1" applyAlignment="1">
      <alignment horizontal="left"/>
    </xf>
    <xf numFmtId="0" fontId="30" fillId="18" borderId="11" xfId="4" applyFill="1" applyBorder="1" applyAlignment="1">
      <alignment horizontal="left"/>
    </xf>
    <xf numFmtId="0" fontId="20" fillId="7" borderId="7" xfId="0" applyFont="1" applyFill="1" applyBorder="1"/>
    <xf numFmtId="1" fontId="15" fillId="7" borderId="25" xfId="0" applyNumberFormat="1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0" fillId="7" borderId="0" xfId="0" applyFill="1"/>
    <xf numFmtId="0" fontId="30" fillId="18" borderId="7" xfId="4" applyFill="1" applyBorder="1" applyAlignment="1">
      <alignment horizontal="left" wrapText="1"/>
    </xf>
    <xf numFmtId="0" fontId="37" fillId="18" borderId="7" xfId="0" applyFont="1" applyFill="1" applyBorder="1" applyAlignment="1">
      <alignment horizontal="center" vertical="center" wrapText="1"/>
    </xf>
    <xf numFmtId="1" fontId="15" fillId="0" borderId="25" xfId="0" applyNumberFormat="1" applyFont="1" applyBorder="1" applyAlignment="1">
      <alignment vertical="center" wrapText="1"/>
    </xf>
    <xf numFmtId="0" fontId="20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1" fontId="15" fillId="9" borderId="25" xfId="0" applyNumberFormat="1" applyFont="1" applyFill="1" applyBorder="1" applyAlignment="1">
      <alignment vertical="center" wrapText="1"/>
    </xf>
    <xf numFmtId="0" fontId="20" fillId="9" borderId="7" xfId="0" applyFont="1" applyFill="1" applyBorder="1" applyAlignment="1">
      <alignment horizontal="center" vertical="center"/>
    </xf>
    <xf numFmtId="165" fontId="7" fillId="9" borderId="7" xfId="0" applyNumberFormat="1" applyFont="1" applyFill="1" applyBorder="1" applyAlignment="1">
      <alignment horizontal="center" vertical="center"/>
    </xf>
    <xf numFmtId="165" fontId="7" fillId="9" borderId="7" xfId="0" applyNumberFormat="1" applyFont="1" applyFill="1" applyBorder="1" applyAlignment="1">
      <alignment vertical="center"/>
    </xf>
    <xf numFmtId="2" fontId="7" fillId="9" borderId="7" xfId="0" applyNumberFormat="1" applyFont="1" applyFill="1" applyBorder="1" applyAlignment="1">
      <alignment horizontal="right" vertical="center" wrapText="1"/>
    </xf>
    <xf numFmtId="0" fontId="7" fillId="9" borderId="7" xfId="0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1" fontId="2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0" fillId="9" borderId="0" xfId="0" applyFill="1"/>
    <xf numFmtId="0" fontId="30" fillId="18" borderId="7" xfId="4" applyFill="1" applyBorder="1" applyAlignment="1">
      <alignment horizontal="center" vertical="center" wrapText="1"/>
    </xf>
    <xf numFmtId="166" fontId="15" fillId="18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" fontId="9" fillId="18" borderId="7" xfId="0" applyNumberFormat="1" applyFont="1" applyFill="1" applyBorder="1" applyAlignment="1">
      <alignment horizontal="right" vertical="center"/>
    </xf>
    <xf numFmtId="166" fontId="9" fillId="18" borderId="7" xfId="1" applyNumberFormat="1" applyFont="1" applyFill="1" applyBorder="1" applyAlignment="1">
      <alignment horizontal="right" vertical="center"/>
    </xf>
    <xf numFmtId="1" fontId="29" fillId="18" borderId="37" xfId="0" applyNumberFormat="1" applyFont="1" applyFill="1" applyBorder="1" applyAlignment="1">
      <alignment horizontal="center" vertical="center"/>
    </xf>
    <xf numFmtId="10" fontId="29" fillId="0" borderId="35" xfId="2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5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15" fillId="18" borderId="11" xfId="0" applyNumberFormat="1" applyFont="1" applyFill="1" applyBorder="1" applyAlignment="1">
      <alignment horizontal="center" vertical="center" wrapText="1"/>
    </xf>
    <xf numFmtId="1" fontId="15" fillId="18" borderId="25" xfId="0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124" fillId="0" borderId="26" xfId="3" applyFont="1" applyFill="1" applyBorder="1" applyAlignment="1">
      <alignment horizontal="center" vertical="center" wrapText="1"/>
    </xf>
    <xf numFmtId="0" fontId="101" fillId="0" borderId="0" xfId="3" applyFont="1" applyFill="1" applyBorder="1" applyAlignment="1">
      <alignment horizontal="center" vertical="center"/>
    </xf>
    <xf numFmtId="0" fontId="105" fillId="0" borderId="26" xfId="3" applyFont="1" applyFill="1" applyBorder="1" applyAlignment="1">
      <alignment horizontal="right" vertical="center"/>
    </xf>
    <xf numFmtId="0" fontId="106" fillId="0" borderId="7" xfId="3" applyFont="1" applyFill="1" applyBorder="1" applyAlignment="1">
      <alignment horizontal="center" vertical="center" wrapText="1"/>
    </xf>
    <xf numFmtId="0" fontId="104" fillId="0" borderId="8" xfId="3" applyFont="1" applyFill="1" applyBorder="1" applyAlignment="1">
      <alignment horizontal="center" vertical="center" wrapText="1"/>
    </xf>
    <xf numFmtId="0" fontId="104" fillId="0" borderId="9" xfId="3" applyFont="1" applyFill="1" applyBorder="1" applyAlignment="1">
      <alignment horizontal="center" vertical="center" wrapText="1"/>
    </xf>
    <xf numFmtId="0" fontId="104" fillId="0" borderId="10" xfId="3" applyFont="1" applyFill="1" applyBorder="1" applyAlignment="1">
      <alignment horizontal="center" vertical="center" wrapText="1"/>
    </xf>
    <xf numFmtId="0" fontId="124" fillId="0" borderId="0" xfId="3" applyFont="1" applyFill="1" applyBorder="1" applyAlignment="1">
      <alignment horizontal="center" vertical="center" wrapText="1"/>
    </xf>
    <xf numFmtId="0" fontId="100" fillId="0" borderId="7" xfId="3" applyFont="1" applyFill="1" applyBorder="1" applyAlignment="1">
      <alignment horizontal="center"/>
    </xf>
    <xf numFmtId="0" fontId="101" fillId="0" borderId="7" xfId="3" applyFont="1" applyFill="1" applyBorder="1" applyAlignment="1">
      <alignment horizontal="center" vertical="center" wrapText="1"/>
    </xf>
    <xf numFmtId="0" fontId="104" fillId="0" borderId="0" xfId="3" applyFont="1" applyFill="1" applyAlignment="1">
      <alignment horizontal="center" wrapText="1"/>
    </xf>
    <xf numFmtId="0" fontId="104" fillId="0" borderId="0" xfId="3" applyFont="1" applyFill="1" applyAlignment="1">
      <alignment horizontal="center"/>
    </xf>
    <xf numFmtId="0" fontId="126" fillId="0" borderId="0" xfId="3" applyFont="1" applyFill="1" applyAlignment="1">
      <alignment horizontal="center" vertical="center"/>
    </xf>
    <xf numFmtId="0" fontId="126" fillId="0" borderId="26" xfId="3" applyFont="1" applyFill="1" applyBorder="1" applyAlignment="1">
      <alignment horizontal="center"/>
    </xf>
    <xf numFmtId="17" fontId="100" fillId="0" borderId="7" xfId="3" applyNumberFormat="1" applyFont="1" applyFill="1" applyBorder="1" applyAlignment="1">
      <alignment horizontal="right" vertical="center"/>
    </xf>
    <xf numFmtId="0" fontId="100" fillId="0" borderId="7" xfId="3" applyFont="1" applyFill="1" applyBorder="1" applyAlignment="1">
      <alignment horizontal="center" vertical="center"/>
    </xf>
    <xf numFmtId="0" fontId="100" fillId="0" borderId="7" xfId="3" applyFont="1" applyFill="1" applyBorder="1" applyAlignment="1">
      <alignment horizontal="center" vertical="center" wrapText="1"/>
    </xf>
    <xf numFmtId="0" fontId="100" fillId="0" borderId="11" xfId="3" applyFont="1" applyFill="1" applyBorder="1" applyAlignment="1">
      <alignment horizontal="center" vertical="center" wrapText="1"/>
    </xf>
    <xf numFmtId="0" fontId="100" fillId="0" borderId="25" xfId="3" applyFont="1" applyFill="1" applyBorder="1" applyAlignment="1">
      <alignment horizontal="center" vertical="center" wrapText="1"/>
    </xf>
    <xf numFmtId="0" fontId="100" fillId="0" borderId="12" xfId="3" applyFont="1" applyFill="1" applyBorder="1" applyAlignment="1">
      <alignment horizontal="center" vertical="center" wrapText="1"/>
    </xf>
    <xf numFmtId="17" fontId="100" fillId="0" borderId="11" xfId="3" applyNumberFormat="1" applyFont="1" applyFill="1" applyBorder="1" applyAlignment="1">
      <alignment horizontal="center" vertical="center"/>
    </xf>
    <xf numFmtId="17" fontId="100" fillId="0" borderId="25" xfId="3" applyNumberFormat="1" applyFont="1" applyFill="1" applyBorder="1" applyAlignment="1">
      <alignment horizontal="center" vertical="center"/>
    </xf>
    <xf numFmtId="17" fontId="100" fillId="0" borderId="12" xfId="3" applyNumberFormat="1" applyFont="1" applyFill="1" applyBorder="1" applyAlignment="1">
      <alignment horizontal="center" vertical="center"/>
    </xf>
    <xf numFmtId="17" fontId="128" fillId="0" borderId="11" xfId="3" applyNumberFormat="1" applyFont="1" applyFill="1" applyBorder="1" applyAlignment="1">
      <alignment horizontal="center" vertical="center"/>
    </xf>
    <xf numFmtId="17" fontId="128" fillId="0" borderId="25" xfId="3" applyNumberFormat="1" applyFont="1" applyFill="1" applyBorder="1" applyAlignment="1">
      <alignment horizontal="center" vertical="center"/>
    </xf>
    <xf numFmtId="17" fontId="128" fillId="0" borderId="12" xfId="3" applyNumberFormat="1" applyFont="1" applyFill="1" applyBorder="1" applyAlignment="1">
      <alignment horizontal="center" vertical="center"/>
    </xf>
    <xf numFmtId="17" fontId="129" fillId="0" borderId="11" xfId="3" applyNumberFormat="1" applyFont="1" applyFill="1" applyBorder="1" applyAlignment="1">
      <alignment horizontal="center" vertical="center"/>
    </xf>
    <xf numFmtId="17" fontId="129" fillId="0" borderId="25" xfId="3" applyNumberFormat="1" applyFont="1" applyFill="1" applyBorder="1" applyAlignment="1">
      <alignment horizontal="center" vertical="center"/>
    </xf>
    <xf numFmtId="17" fontId="129" fillId="0" borderId="12" xfId="3" applyNumberFormat="1" applyFont="1" applyFill="1" applyBorder="1" applyAlignment="1">
      <alignment horizontal="center" vertical="center"/>
    </xf>
    <xf numFmtId="17" fontId="131" fillId="0" borderId="11" xfId="3" applyNumberFormat="1" applyFont="1" applyFill="1" applyBorder="1" applyAlignment="1">
      <alignment horizontal="center" vertical="center"/>
    </xf>
    <xf numFmtId="17" fontId="131" fillId="0" borderId="25" xfId="3" applyNumberFormat="1" applyFont="1" applyFill="1" applyBorder="1" applyAlignment="1">
      <alignment horizontal="center" vertical="center"/>
    </xf>
    <xf numFmtId="17" fontId="131" fillId="0" borderId="12" xfId="3" applyNumberFormat="1" applyFont="1" applyFill="1" applyBorder="1" applyAlignment="1">
      <alignment horizontal="center" vertical="center"/>
    </xf>
    <xf numFmtId="17" fontId="100" fillId="0" borderId="26" xfId="3" applyNumberFormat="1" applyFont="1" applyFill="1" applyBorder="1" applyAlignment="1">
      <alignment horizontal="right" vertical="center"/>
    </xf>
    <xf numFmtId="0" fontId="100" fillId="0" borderId="11" xfId="3" applyFont="1" applyFill="1" applyBorder="1" applyAlignment="1">
      <alignment horizontal="center" vertical="center"/>
    </xf>
    <xf numFmtId="0" fontId="100" fillId="0" borderId="12" xfId="3" applyFont="1" applyFill="1" applyBorder="1" applyAlignment="1">
      <alignment horizontal="center" vertical="center"/>
    </xf>
    <xf numFmtId="0" fontId="100" fillId="0" borderId="25" xfId="3" applyFont="1" applyFill="1" applyBorder="1" applyAlignment="1">
      <alignment horizontal="center" vertical="center"/>
    </xf>
    <xf numFmtId="0" fontId="104" fillId="0" borderId="0" xfId="3" applyFont="1" applyFill="1" applyAlignment="1">
      <alignment horizontal="center" vertical="center" wrapText="1"/>
    </xf>
    <xf numFmtId="0" fontId="104" fillId="0" borderId="0" xfId="3" applyFont="1" applyFill="1" applyAlignment="1">
      <alignment horizontal="center" vertical="center"/>
    </xf>
    <xf numFmtId="0" fontId="135" fillId="0" borderId="0" xfId="3" applyFont="1" applyFill="1" applyAlignment="1">
      <alignment horizontal="center"/>
    </xf>
    <xf numFmtId="17" fontId="135" fillId="0" borderId="26" xfId="3" applyNumberFormat="1" applyFont="1" applyFill="1" applyBorder="1" applyAlignment="1">
      <alignment horizontal="right" vertical="center"/>
    </xf>
    <xf numFmtId="0" fontId="100" fillId="0" borderId="0" xfId="3" applyFont="1" applyFill="1" applyAlignment="1">
      <alignment horizontal="center"/>
    </xf>
    <xf numFmtId="0" fontId="140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/>
    </xf>
    <xf numFmtId="0" fontId="35" fillId="0" borderId="10" xfId="4" applyFont="1" applyBorder="1" applyAlignment="1">
      <alignment horizontal="center" vertical="center"/>
    </xf>
    <xf numFmtId="0" fontId="109" fillId="0" borderId="7" xfId="3" applyFont="1" applyFill="1" applyBorder="1" applyAlignment="1">
      <alignment horizontal="center" vertical="center"/>
    </xf>
    <xf numFmtId="0" fontId="138" fillId="0" borderId="8" xfId="3" applyFont="1" applyFill="1" applyBorder="1" applyAlignment="1">
      <alignment horizontal="center" vertical="center" wrapText="1"/>
    </xf>
    <xf numFmtId="0" fontId="138" fillId="0" borderId="9" xfId="3" applyFont="1" applyFill="1" applyBorder="1" applyAlignment="1">
      <alignment horizontal="center" vertical="center" wrapText="1"/>
    </xf>
    <xf numFmtId="0" fontId="138" fillId="0" borderId="10" xfId="3" applyFont="1" applyFill="1" applyBorder="1" applyAlignment="1">
      <alignment horizontal="center" vertical="center" wrapText="1"/>
    </xf>
    <xf numFmtId="0" fontId="114" fillId="7" borderId="8" xfId="4" applyFont="1" applyFill="1" applyBorder="1" applyAlignment="1">
      <alignment horizontal="center" vertical="center" wrapText="1"/>
    </xf>
    <xf numFmtId="0" fontId="114" fillId="7" borderId="10" xfId="4" applyFont="1" applyFill="1" applyBorder="1" applyAlignment="1">
      <alignment horizontal="center" vertical="center" wrapText="1"/>
    </xf>
    <xf numFmtId="0" fontId="102" fillId="0" borderId="11" xfId="3" applyFont="1" applyFill="1" applyBorder="1" applyAlignment="1">
      <alignment horizontal="center" vertical="center" wrapText="1"/>
    </xf>
    <xf numFmtId="0" fontId="102" fillId="0" borderId="25" xfId="3" applyFont="1" applyFill="1" applyBorder="1" applyAlignment="1">
      <alignment horizontal="center" vertical="center" wrapText="1"/>
    </xf>
    <xf numFmtId="0" fontId="102" fillId="0" borderId="12" xfId="3" applyFont="1" applyFill="1" applyBorder="1" applyAlignment="1">
      <alignment horizontal="center" vertical="center" wrapText="1"/>
    </xf>
    <xf numFmtId="0" fontId="135" fillId="0" borderId="0" xfId="3" applyFont="1" applyFill="1" applyAlignment="1">
      <alignment horizontal="center" vertical="center" wrapText="1"/>
    </xf>
    <xf numFmtId="1" fontId="100" fillId="0" borderId="0" xfId="3" applyNumberFormat="1" applyFont="1" applyFill="1" applyBorder="1" applyAlignment="1">
      <alignment horizontal="center"/>
    </xf>
    <xf numFmtId="17" fontId="100" fillId="0" borderId="26" xfId="3" applyNumberFormat="1" applyFont="1" applyFill="1" applyBorder="1" applyAlignment="1">
      <alignment horizontal="left" vertical="center"/>
    </xf>
    <xf numFmtId="0" fontId="100" fillId="0" borderId="0" xfId="3" applyFont="1" applyFill="1" applyAlignment="1">
      <alignment horizontal="left" vertical="center" wrapText="1"/>
    </xf>
    <xf numFmtId="0" fontId="100" fillId="0" borderId="0" xfId="3" applyFont="1" applyFill="1" applyBorder="1" applyAlignment="1">
      <alignment horizontal="right" vertical="center"/>
    </xf>
    <xf numFmtId="0" fontId="100" fillId="0" borderId="0" xfId="3" applyFont="1" applyFill="1" applyBorder="1" applyAlignment="1">
      <alignment horizontal="center" vertical="center" wrapText="1"/>
    </xf>
    <xf numFmtId="0" fontId="100" fillId="0" borderId="0" xfId="3" applyFont="1" applyFill="1" applyBorder="1" applyAlignment="1">
      <alignment horizontal="center"/>
    </xf>
    <xf numFmtId="49" fontId="100" fillId="0" borderId="0" xfId="3" applyNumberFormat="1" applyFont="1" applyFill="1" applyAlignment="1">
      <alignment horizontal="center"/>
    </xf>
    <xf numFmtId="0" fontId="100" fillId="0" borderId="0" xfId="3" applyFont="1" applyFill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/>
    </xf>
    <xf numFmtId="0" fontId="147" fillId="0" borderId="7" xfId="0" applyFont="1" applyBorder="1" applyAlignment="1">
      <alignment horizontal="left" vertical="center" wrapText="1"/>
    </xf>
    <xf numFmtId="0" fontId="29" fillId="0" borderId="7" xfId="0" applyFont="1" applyBorder="1" applyAlignment="1">
      <alignment horizontal="left" vertical="center" wrapText="1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0" borderId="61" xfId="0" applyFont="1" applyBorder="1"/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47" fillId="0" borderId="66" xfId="0" applyFont="1" applyBorder="1" applyAlignment="1">
      <alignment horizontal="center" vertical="center"/>
    </xf>
    <xf numFmtId="0" fontId="147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20" fillId="0" borderId="17" xfId="0" applyFont="1" applyBorder="1" applyAlignment="1">
      <alignment horizontal="center" vertical="center"/>
    </xf>
    <xf numFmtId="0" fontId="145" fillId="0" borderId="56" xfId="0" applyFont="1" applyBorder="1" applyAlignment="1">
      <alignment horizontal="center"/>
    </xf>
    <xf numFmtId="0" fontId="145" fillId="0" borderId="57" xfId="0" applyFont="1" applyBorder="1" applyAlignment="1">
      <alignment horizontal="center"/>
    </xf>
    <xf numFmtId="0" fontId="145" fillId="0" borderId="36" xfId="0" applyFont="1" applyBorder="1" applyAlignment="1">
      <alignment horizontal="center"/>
    </xf>
    <xf numFmtId="0" fontId="147" fillId="0" borderId="59" xfId="0" applyFont="1" applyBorder="1" applyAlignment="1">
      <alignment horizontal="center" vertical="center"/>
    </xf>
    <xf numFmtId="0" fontId="147" fillId="0" borderId="7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47" fillId="0" borderId="49" xfId="0" applyFont="1" applyBorder="1" applyAlignment="1">
      <alignment horizontal="center" vertical="center"/>
    </xf>
    <xf numFmtId="0" fontId="147" fillId="0" borderId="42" xfId="0" applyFont="1" applyBorder="1" applyAlignment="1">
      <alignment horizontal="center" vertical="center"/>
    </xf>
    <xf numFmtId="0" fontId="147" fillId="0" borderId="55" xfId="0" applyFont="1" applyBorder="1" applyAlignment="1">
      <alignment horizontal="center" vertical="center"/>
    </xf>
    <xf numFmtId="0" fontId="147" fillId="0" borderId="10" xfId="0" applyFont="1" applyBorder="1" applyAlignment="1">
      <alignment horizontal="center" vertical="center"/>
    </xf>
    <xf numFmtId="0" fontId="145" fillId="0" borderId="55" xfId="0" applyFont="1" applyBorder="1" applyAlignment="1">
      <alignment horizontal="center"/>
    </xf>
    <xf numFmtId="0" fontId="145" fillId="0" borderId="9" xfId="0" applyFont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5" fillId="0" borderId="59" xfId="0" applyFont="1" applyBorder="1" applyAlignment="1">
      <alignment horizontal="center"/>
    </xf>
    <xf numFmtId="0" fontId="145" fillId="0" borderId="7" xfId="0" applyFont="1" applyBorder="1" applyAlignment="1">
      <alignment horizontal="center"/>
    </xf>
    <xf numFmtId="0" fontId="150" fillId="0" borderId="59" xfId="0" applyFont="1" applyBorder="1" applyAlignment="1">
      <alignment horizontal="center"/>
    </xf>
    <xf numFmtId="0" fontId="150" fillId="0" borderId="7" xfId="0" applyFont="1" applyBorder="1" applyAlignment="1">
      <alignment horizontal="center"/>
    </xf>
    <xf numFmtId="0" fontId="150" fillId="0" borderId="55" xfId="0" applyFont="1" applyBorder="1" applyAlignment="1">
      <alignment horizontal="center"/>
    </xf>
    <xf numFmtId="0" fontId="150" fillId="0" borderId="9" xfId="0" applyFont="1" applyBorder="1" applyAlignment="1">
      <alignment horizontal="center"/>
    </xf>
    <xf numFmtId="0" fontId="150" fillId="0" borderId="10" xfId="0" applyFont="1" applyBorder="1" applyAlignment="1">
      <alignment horizontal="center"/>
    </xf>
    <xf numFmtId="0" fontId="145" fillId="0" borderId="49" xfId="0" applyFont="1" applyBorder="1" applyAlignment="1">
      <alignment horizontal="center"/>
    </xf>
    <xf numFmtId="0" fontId="145" fillId="0" borderId="42" xfId="0" applyFont="1" applyBorder="1" applyAlignment="1">
      <alignment horizont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50" fillId="4" borderId="48" xfId="0" applyFont="1" applyFill="1" applyBorder="1" applyAlignment="1">
      <alignment horizontal="center"/>
    </xf>
    <xf numFmtId="0" fontId="150" fillId="4" borderId="40" xfId="0" applyFont="1" applyFill="1" applyBorder="1" applyAlignment="1">
      <alignment horizontal="center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2" fillId="0" borderId="59" xfId="0" applyFont="1" applyBorder="1" applyAlignment="1">
      <alignment horizontal="center"/>
    </xf>
    <xf numFmtId="0" fontId="152" fillId="0" borderId="7" xfId="0" applyFont="1" applyBorder="1" applyAlignment="1">
      <alignment horizontal="center"/>
    </xf>
    <xf numFmtId="0" fontId="153" fillId="0" borderId="59" xfId="0" applyFont="1" applyBorder="1" applyAlignment="1">
      <alignment horizontal="center"/>
    </xf>
    <xf numFmtId="0" fontId="153" fillId="0" borderId="7" xfId="0" applyFont="1" applyBorder="1" applyAlignment="1">
      <alignment horizont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37" fillId="0" borderId="12" xfId="0" quotePrefix="1" applyFont="1" applyBorder="1" applyAlignment="1">
      <alignment horizontal="center" vertical="center" wrapText="1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4" fillId="2" borderId="102" xfId="12" applyFont="1" applyFill="1" applyBorder="1" applyAlignment="1">
      <alignment horizontal="center" vertical="center" wrapText="1"/>
    </xf>
    <xf numFmtId="0" fontId="5" fillId="0" borderId="108" xfId="12" applyFont="1" applyBorder="1"/>
    <xf numFmtId="0" fontId="4" fillId="2" borderId="103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4" fillId="2" borderId="105" xfId="0" applyFont="1" applyFill="1" applyBorder="1" applyAlignment="1">
      <alignment horizontal="center" vertical="center"/>
    </xf>
    <xf numFmtId="0" fontId="20" fillId="0" borderId="105" xfId="0" applyFont="1" applyBorder="1"/>
    <xf numFmtId="0" fontId="4" fillId="2" borderId="104" xfId="12" applyFont="1" applyFill="1" applyBorder="1" applyAlignment="1">
      <alignment horizontal="center" vertical="center"/>
    </xf>
    <xf numFmtId="0" fontId="4" fillId="2" borderId="105" xfId="12" applyFont="1" applyFill="1" applyBorder="1" applyAlignment="1">
      <alignment horizontal="center" vertical="center"/>
    </xf>
    <xf numFmtId="0" fontId="4" fillId="2" borderId="106" xfId="12" applyFont="1" applyFill="1" applyBorder="1" applyAlignment="1">
      <alignment horizontal="center" vertical="center"/>
    </xf>
    <xf numFmtId="0" fontId="5" fillId="0" borderId="6" xfId="12" applyFont="1" applyBorder="1"/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4" fillId="0" borderId="88" xfId="12" applyFont="1" applyBorder="1" applyAlignment="1">
      <alignment horizontal="center" vertical="center"/>
    </xf>
    <xf numFmtId="0" fontId="5" fillId="0" borderId="85" xfId="12" applyFont="1" applyBorder="1"/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12" xfId="0" applyFont="1" applyFill="1" applyBorder="1" applyAlignment="1">
      <alignment horizontal="center" vertical="center"/>
    </xf>
    <xf numFmtId="0" fontId="37" fillId="0" borderId="25" xfId="0" quotePrefix="1" applyFont="1" applyBorder="1" applyAlignment="1">
      <alignment horizontal="center" vertical="center" wrapText="1"/>
    </xf>
    <xf numFmtId="0" fontId="154" fillId="0" borderId="59" xfId="0" applyFont="1" applyBorder="1" applyAlignment="1">
      <alignment horizontal="center"/>
    </xf>
    <xf numFmtId="0" fontId="154" fillId="0" borderId="7" xfId="0" applyFont="1" applyBorder="1" applyAlignment="1">
      <alignment horizontal="center"/>
    </xf>
    <xf numFmtId="0" fontId="155" fillId="0" borderId="59" xfId="0" applyFont="1" applyBorder="1" applyAlignment="1">
      <alignment horizontal="center"/>
    </xf>
    <xf numFmtId="0" fontId="155" fillId="0" borderId="7" xfId="0" applyFont="1" applyBorder="1" applyAlignment="1">
      <alignment horizontal="center"/>
    </xf>
    <xf numFmtId="0" fontId="155" fillId="0" borderId="49" xfId="0" applyFont="1" applyBorder="1" applyAlignment="1">
      <alignment horizontal="center"/>
    </xf>
    <xf numFmtId="0" fontId="155" fillId="0" borderId="42" xfId="0" applyFont="1" applyBorder="1" applyAlignment="1">
      <alignment horizontal="center"/>
    </xf>
    <xf numFmtId="0" fontId="147" fillId="0" borderId="56" xfId="0" applyFont="1" applyBorder="1" applyAlignment="1">
      <alignment horizontal="center" vertical="center"/>
    </xf>
    <xf numFmtId="0" fontId="147" fillId="0" borderId="3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81" fillId="5" borderId="80" xfId="12" applyFont="1" applyFill="1" applyBorder="1" applyAlignment="1">
      <alignment horizontal="center" vertical="center"/>
    </xf>
    <xf numFmtId="0" fontId="181" fillId="5" borderId="17" xfId="12" applyFont="1" applyFill="1" applyBorder="1" applyAlignment="1">
      <alignment horizontal="center" vertical="center"/>
    </xf>
    <xf numFmtId="0" fontId="181" fillId="5" borderId="113" xfId="12" applyFont="1" applyFill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88" xfId="12" applyFont="1" applyBorder="1" applyAlignment="1">
      <alignment horizontal="center" vertical="center"/>
    </xf>
    <xf numFmtId="0" fontId="5" fillId="0" borderId="87" xfId="12" applyFont="1" applyBorder="1"/>
    <xf numFmtId="0" fontId="4" fillId="0" borderId="87" xfId="12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76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168" fontId="20" fillId="0" borderId="17" xfId="0" applyNumberFormat="1" applyFont="1" applyBorder="1"/>
    <xf numFmtId="0" fontId="176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0" fillId="0" borderId="4" xfId="0" applyFont="1" applyBorder="1"/>
    <xf numFmtId="2" fontId="4" fillId="2" borderId="1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4" fillId="2" borderId="17" xfId="0" applyNumberFormat="1" applyFont="1" applyFill="1" applyBorder="1" applyAlignment="1">
      <alignment horizontal="center" vertical="center"/>
    </xf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15" fillId="0" borderId="8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15" fillId="0" borderId="10" xfId="0" applyFont="1" applyBorder="1" applyAlignment="1">
      <alignment horizontal="left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15" fillId="4" borderId="7" xfId="0" applyFont="1" applyFill="1" applyBorder="1" applyAlignment="1">
      <alignment horizontal="center" vertical="center"/>
    </xf>
    <xf numFmtId="0" fontId="15" fillId="5" borderId="24" xfId="0" applyFont="1" applyFill="1" applyBorder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5" borderId="26" xfId="0" applyFont="1" applyFill="1" applyBorder="1" applyAlignment="1">
      <alignment horizontal="center" vertical="center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2" fontId="20" fillId="0" borderId="17" xfId="0" applyNumberFormat="1" applyFont="1" applyBorder="1"/>
    <xf numFmtId="0" fontId="146" fillId="0" borderId="11" xfId="0" applyFont="1" applyBorder="1" applyAlignment="1">
      <alignment horizontal="center" vertical="center" wrapText="1"/>
    </xf>
    <xf numFmtId="0" fontId="146" fillId="0" borderId="12" xfId="0" applyFont="1" applyBorder="1" applyAlignment="1">
      <alignment horizontal="center" vertical="center" wrapText="1"/>
    </xf>
    <xf numFmtId="1" fontId="146" fillId="0" borderId="11" xfId="0" applyNumberFormat="1" applyFont="1" applyBorder="1" applyAlignment="1">
      <alignment horizontal="center" vertical="center" wrapText="1"/>
    </xf>
    <xf numFmtId="1" fontId="146" fillId="0" borderId="12" xfId="0" applyNumberFormat="1" applyFont="1" applyBorder="1" applyAlignment="1">
      <alignment horizontal="center" vertical="center" wrapText="1"/>
    </xf>
    <xf numFmtId="16" fontId="146" fillId="0" borderId="11" xfId="0" applyNumberFormat="1" applyFont="1" applyBorder="1" applyAlignment="1">
      <alignment horizontal="center" vertical="center" wrapText="1"/>
    </xf>
    <xf numFmtId="16" fontId="146" fillId="0" borderId="12" xfId="0" applyNumberFormat="1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20" fillId="0" borderId="27" xfId="0" quotePrefix="1" applyFont="1" applyBorder="1" applyAlignment="1">
      <alignment horizontal="center" vertical="center"/>
    </xf>
    <xf numFmtId="0" fontId="148" fillId="0" borderId="8" xfId="0" applyFont="1" applyBorder="1" applyAlignment="1">
      <alignment horizontal="center" vertical="center"/>
    </xf>
    <xf numFmtId="0" fontId="148" fillId="0" borderId="9" xfId="0" applyFont="1" applyBorder="1" applyAlignment="1">
      <alignment horizontal="center" vertical="center"/>
    </xf>
    <xf numFmtId="0" fontId="148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" fontId="20" fillId="0" borderId="11" xfId="0" applyNumberFormat="1" applyFont="1" applyBorder="1" applyAlignment="1">
      <alignment horizontal="center" vertical="center"/>
    </xf>
    <xf numFmtId="1" fontId="20" fillId="0" borderId="25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1" fontId="1" fillId="7" borderId="8" xfId="0" applyNumberFormat="1" applyFont="1" applyFill="1" applyBorder="1" applyAlignment="1">
      <alignment horizontal="center" vertical="center"/>
    </xf>
    <xf numFmtId="1" fontId="1" fillId="7" borderId="9" xfId="0" applyNumberFormat="1" applyFont="1" applyFill="1" applyBorder="1" applyAlignment="1">
      <alignment horizontal="center" vertical="center"/>
    </xf>
    <xf numFmtId="1" fontId="1" fillId="7" borderId="10" xfId="0" applyNumberFormat="1" applyFont="1" applyFill="1" applyBorder="1" applyAlignment="1">
      <alignment horizontal="center" vertical="center"/>
    </xf>
    <xf numFmtId="0" fontId="2" fillId="0" borderId="8" xfId="11" applyFont="1" applyBorder="1" applyAlignment="1">
      <alignment horizontal="right" vertical="center" wrapText="1"/>
    </xf>
    <xf numFmtId="0" fontId="2" fillId="0" borderId="9" xfId="11" applyFont="1" applyBorder="1" applyAlignment="1">
      <alignment horizontal="right" vertical="center" wrapText="1"/>
    </xf>
    <xf numFmtId="0" fontId="31" fillId="0" borderId="9" xfId="11" applyFont="1" applyBorder="1" applyAlignment="1">
      <alignment horizontal="center" vertical="center" wrapText="1"/>
    </xf>
    <xf numFmtId="0" fontId="31" fillId="0" borderId="10" xfId="1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/>
    </xf>
    <xf numFmtId="0" fontId="31" fillId="0" borderId="25" xfId="11" applyFont="1" applyBorder="1" applyAlignment="1">
      <alignment horizontal="center" vertical="center"/>
    </xf>
    <xf numFmtId="0" fontId="31" fillId="0" borderId="12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right" vertical="center" wrapText="1"/>
    </xf>
    <xf numFmtId="0" fontId="36" fillId="0" borderId="9" xfId="11" applyFont="1" applyBorder="1" applyAlignment="1">
      <alignment horizontal="right" vertical="center" wrapText="1"/>
    </xf>
    <xf numFmtId="0" fontId="36" fillId="0" borderId="7" xfId="11" applyFont="1" applyBorder="1" applyAlignment="1">
      <alignment horizontal="center" vertical="center" wrapText="1"/>
    </xf>
    <xf numFmtId="0" fontId="36" fillId="0" borderId="28" xfId="11" applyFont="1" applyBorder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2" fillId="0" borderId="65" xfId="11" applyFont="1" applyBorder="1" applyAlignment="1">
      <alignment horizontal="right" vertical="center" wrapText="1"/>
    </xf>
    <xf numFmtId="0" fontId="2" fillId="0" borderId="24" xfId="11" applyFont="1" applyBorder="1" applyAlignment="1">
      <alignment horizontal="right" vertical="center" wrapText="1"/>
    </xf>
    <xf numFmtId="0" fontId="38" fillId="0" borderId="11" xfId="11" applyFont="1" applyBorder="1" applyAlignment="1">
      <alignment horizontal="center" vertical="center" wrapText="1"/>
    </xf>
    <xf numFmtId="0" fontId="38" fillId="0" borderId="25" xfId="11" applyFont="1" applyBorder="1" applyAlignment="1">
      <alignment horizontal="center" vertical="center" wrapText="1"/>
    </xf>
    <xf numFmtId="0" fontId="38" fillId="0" borderId="12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textRotation="90" wrapText="1"/>
    </xf>
    <xf numFmtId="0" fontId="38" fillId="0" borderId="25" xfId="11" applyFont="1" applyBorder="1" applyAlignment="1">
      <alignment horizontal="center" vertical="center" textRotation="90" wrapText="1"/>
    </xf>
    <xf numFmtId="0" fontId="38" fillId="0" borderId="12" xfId="11" applyFont="1" applyBorder="1" applyAlignment="1">
      <alignment horizontal="center" vertical="center" textRotation="90" wrapText="1"/>
    </xf>
    <xf numFmtId="0" fontId="31" fillId="0" borderId="7" xfId="11" applyFont="1" applyBorder="1" applyAlignment="1">
      <alignment horizontal="center" vertical="center" wrapText="1"/>
    </xf>
    <xf numFmtId="0" fontId="38" fillId="0" borderId="7" xfId="1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36" fillId="0" borderId="50" xfId="1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1" fillId="0" borderId="25" xfId="11" applyFont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textRotation="90" wrapText="1"/>
    </xf>
    <xf numFmtId="0" fontId="31" fillId="0" borderId="25" xfId="11" applyFont="1" applyBorder="1" applyAlignment="1">
      <alignment horizontal="center" vertical="center" textRotation="90" wrapText="1"/>
    </xf>
    <xf numFmtId="0" fontId="31" fillId="0" borderId="12" xfId="11" applyFont="1" applyBorder="1" applyAlignment="1">
      <alignment horizontal="center" vertical="center" textRotation="90" wrapText="1"/>
    </xf>
    <xf numFmtId="0" fontId="36" fillId="0" borderId="8" xfId="11" applyFont="1" applyBorder="1" applyAlignment="1">
      <alignment horizontal="center" vertical="center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2" fontId="36" fillId="0" borderId="11" xfId="11" applyNumberFormat="1" applyFont="1" applyBorder="1" applyAlignment="1">
      <alignment horizontal="center" vertical="center" wrapText="1"/>
    </xf>
    <xf numFmtId="2" fontId="36" fillId="0" borderId="12" xfId="11" applyNumberFormat="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1" fillId="0" borderId="8" xfId="11" applyFont="1" applyBorder="1" applyAlignment="1">
      <alignment horizontal="center" vertical="center" wrapText="1"/>
    </xf>
    <xf numFmtId="0" fontId="1" fillId="0" borderId="10" xfId="1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51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0" fontId="31" fillId="0" borderId="26" xfId="11" applyFont="1" applyBorder="1" applyAlignment="1">
      <alignment horizontal="center" vertical="center" wrapText="1"/>
    </xf>
    <xf numFmtId="0" fontId="36" fillId="13" borderId="11" xfId="11" applyFont="1" applyFill="1" applyBorder="1" applyAlignment="1">
      <alignment horizontal="center" vertical="center" wrapText="1"/>
    </xf>
    <xf numFmtId="0" fontId="36" fillId="13" borderId="12" xfId="11" applyFont="1" applyFill="1" applyBorder="1" applyAlignment="1">
      <alignment horizontal="center" vertical="center" wrapText="1"/>
    </xf>
    <xf numFmtId="1" fontId="36" fillId="0" borderId="8" xfId="11" applyNumberFormat="1" applyFont="1" applyBorder="1" applyAlignment="1">
      <alignment horizontal="right" vertical="center" wrapText="1"/>
    </xf>
    <xf numFmtId="0" fontId="35" fillId="0" borderId="11" xfId="11" applyFont="1" applyBorder="1" applyAlignment="1">
      <alignment horizontal="center" vertical="center" wrapText="1"/>
    </xf>
    <xf numFmtId="0" fontId="35" fillId="0" borderId="12" xfId="11" applyFont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71" fontId="13" fillId="0" borderId="0" xfId="11" applyNumberFormat="1" applyFont="1" applyAlignment="1">
      <alignment horizontal="center" vertical="center" wrapText="1"/>
    </xf>
    <xf numFmtId="1" fontId="54" fillId="0" borderId="30" xfId="11" applyNumberFormat="1" applyFont="1" applyBorder="1" applyAlignment="1">
      <alignment horizontal="center" vertical="center" wrapText="1"/>
    </xf>
    <xf numFmtId="1" fontId="54" fillId="0" borderId="29" xfId="11" applyNumberFormat="1" applyFont="1" applyBorder="1" applyAlignment="1">
      <alignment horizontal="center" vertical="center" wrapText="1"/>
    </xf>
    <xf numFmtId="1" fontId="35" fillId="0" borderId="8" xfId="11" applyNumberFormat="1" applyFont="1" applyBorder="1" applyAlignment="1">
      <alignment horizontal="center" vertical="center" wrapText="1"/>
    </xf>
    <xf numFmtId="1" fontId="35" fillId="0" borderId="10" xfId="11" applyNumberFormat="1" applyFont="1" applyBorder="1" applyAlignment="1">
      <alignment horizontal="center" vertical="center" wrapText="1"/>
    </xf>
    <xf numFmtId="1" fontId="36" fillId="0" borderId="24" xfId="11" applyNumberFormat="1" applyFont="1" applyBorder="1" applyAlignment="1">
      <alignment horizontal="left" vertical="center" wrapText="1"/>
    </xf>
    <xf numFmtId="0" fontId="36" fillId="0" borderId="24" xfId="11" applyFont="1" applyBorder="1" applyAlignment="1">
      <alignment horizontal="left" vertical="center" wrapText="1"/>
    </xf>
    <xf numFmtId="0" fontId="36" fillId="0" borderId="50" xfId="11" applyFont="1" applyBorder="1" applyAlignment="1">
      <alignment horizontal="left" vertical="center" wrapText="1"/>
    </xf>
    <xf numFmtId="0" fontId="31" fillId="0" borderId="8" xfId="11" applyFont="1" applyBorder="1" applyAlignment="1">
      <alignment horizontal="right" vertical="center"/>
    </xf>
    <xf numFmtId="0" fontId="31" fillId="0" borderId="9" xfId="11" applyFont="1" applyBorder="1" applyAlignment="1">
      <alignment horizontal="right" vertical="center"/>
    </xf>
    <xf numFmtId="0" fontId="31" fillId="0" borderId="10" xfId="11" applyFont="1" applyBorder="1" applyAlignment="1">
      <alignment horizontal="right" vertical="center"/>
    </xf>
    <xf numFmtId="0" fontId="2" fillId="0" borderId="8" xfId="11" applyFont="1" applyBorder="1" applyAlignment="1">
      <alignment horizontal="center" vertical="center"/>
    </xf>
    <xf numFmtId="0" fontId="2" fillId="0" borderId="9" xfId="11" applyFont="1" applyBorder="1" applyAlignment="1">
      <alignment horizontal="center" vertical="center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65" xfId="11" applyFont="1" applyBorder="1" applyAlignment="1">
      <alignment horizontal="right" vertical="center"/>
    </xf>
    <xf numFmtId="0" fontId="31" fillId="0" borderId="24" xfId="11" applyFont="1" applyBorder="1" applyAlignment="1">
      <alignment horizontal="right" vertical="center"/>
    </xf>
    <xf numFmtId="0" fontId="31" fillId="0" borderId="50" xfId="11" applyFont="1" applyBorder="1" applyAlignment="1">
      <alignment horizontal="right" vertical="center"/>
    </xf>
    <xf numFmtId="0" fontId="34" fillId="0" borderId="7" xfId="11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34" fillId="0" borderId="50" xfId="11" applyFont="1" applyBorder="1" applyAlignment="1">
      <alignment horizontal="center" vertical="center" wrapText="1"/>
    </xf>
    <xf numFmtId="0" fontId="35" fillId="0" borderId="8" xfId="11" applyFont="1" applyBorder="1" applyAlignment="1">
      <alignment horizontal="center" vertical="center"/>
    </xf>
    <xf numFmtId="0" fontId="35" fillId="0" borderId="9" xfId="11" applyFont="1" applyBorder="1" applyAlignment="1">
      <alignment horizontal="center" vertical="center"/>
    </xf>
    <xf numFmtId="0" fontId="35" fillId="0" borderId="10" xfId="11" applyFont="1" applyBorder="1" applyAlignment="1">
      <alignment horizontal="center" vertical="center"/>
    </xf>
    <xf numFmtId="2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right" vertical="center" wrapText="1"/>
    </xf>
    <xf numFmtId="0" fontId="36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left" vertical="center" wrapText="1"/>
    </xf>
    <xf numFmtId="0" fontId="36" fillId="0" borderId="9" xfId="11" applyFont="1" applyBorder="1" applyAlignment="1">
      <alignment horizontal="left" vertical="center" wrapText="1"/>
    </xf>
    <xf numFmtId="0" fontId="36" fillId="0" borderId="10" xfId="11" applyFont="1" applyBorder="1" applyAlignment="1">
      <alignment horizontal="left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top" wrapText="1"/>
    </xf>
    <xf numFmtId="0" fontId="34" fillId="0" borderId="12" xfId="11" applyFont="1" applyBorder="1" applyAlignment="1">
      <alignment horizontal="center" vertical="top" wrapText="1"/>
    </xf>
    <xf numFmtId="0" fontId="54" fillId="0" borderId="7" xfId="11" applyFont="1" applyBorder="1" applyAlignment="1">
      <alignment horizontal="center" vertical="center" wrapText="1"/>
    </xf>
    <xf numFmtId="0" fontId="36" fillId="0" borderId="33" xfId="11" applyFont="1" applyBorder="1" applyAlignment="1">
      <alignment horizontal="center" vertical="center" wrapText="1"/>
    </xf>
    <xf numFmtId="0" fontId="36" fillId="0" borderId="32" xfId="11" applyFont="1" applyBorder="1" applyAlignment="1">
      <alignment horizontal="center" vertical="center" wrapText="1"/>
    </xf>
    <xf numFmtId="0" fontId="36" fillId="0" borderId="31" xfId="11" applyFont="1" applyBorder="1" applyAlignment="1">
      <alignment horizontal="center" vertical="center" wrapText="1"/>
    </xf>
    <xf numFmtId="0" fontId="36" fillId="0" borderId="30" xfId="11" applyFont="1" applyBorder="1" applyAlignment="1">
      <alignment horizontal="center" vertical="center" wrapText="1"/>
    </xf>
    <xf numFmtId="0" fontId="60" fillId="0" borderId="8" xfId="11" applyFont="1" applyBorder="1" applyAlignment="1">
      <alignment horizontal="center" vertical="center" wrapText="1"/>
    </xf>
    <xf numFmtId="0" fontId="60" fillId="0" borderId="9" xfId="11" applyFont="1" applyBorder="1" applyAlignment="1">
      <alignment horizontal="center" vertical="center" wrapText="1"/>
    </xf>
    <xf numFmtId="0" fontId="60" fillId="0" borderId="10" xfId="11" applyFont="1" applyBorder="1" applyAlignment="1">
      <alignment horizontal="center" vertical="center" wrapText="1"/>
    </xf>
    <xf numFmtId="0" fontId="60" fillId="0" borderId="7" xfId="11" applyFont="1" applyBorder="1" applyAlignment="1">
      <alignment horizontal="center" vertical="center" wrapText="1"/>
    </xf>
    <xf numFmtId="1" fontId="32" fillId="0" borderId="11" xfId="11" applyNumberFormat="1" applyFont="1" applyBorder="1" applyAlignment="1">
      <alignment horizontal="center" vertical="center" wrapText="1"/>
    </xf>
    <xf numFmtId="1" fontId="32" fillId="0" borderId="12" xfId="11" applyNumberFormat="1" applyFont="1" applyBorder="1" applyAlignment="1">
      <alignment horizontal="center" vertical="center" wrapText="1"/>
    </xf>
    <xf numFmtId="1" fontId="33" fillId="0" borderId="11" xfId="11" applyNumberFormat="1" applyFont="1" applyBorder="1" applyAlignment="1">
      <alignment horizontal="center" vertical="center" wrapText="1"/>
    </xf>
    <xf numFmtId="1" fontId="33" fillId="0" borderId="12" xfId="11" applyNumberFormat="1" applyFont="1" applyBorder="1" applyAlignment="1">
      <alignment horizontal="center" vertical="center" wrapText="1"/>
    </xf>
    <xf numFmtId="0" fontId="167" fillId="0" borderId="11" xfId="11" applyFont="1" applyBorder="1" applyAlignment="1">
      <alignment horizontal="center" vertical="center" wrapText="1"/>
    </xf>
    <xf numFmtId="0" fontId="167" fillId="0" borderId="12" xfId="11" applyFont="1" applyBorder="1" applyAlignment="1">
      <alignment horizontal="center" vertical="center" wrapText="1"/>
    </xf>
    <xf numFmtId="1" fontId="168" fillId="0" borderId="11" xfId="11" applyNumberFormat="1" applyFont="1" applyBorder="1" applyAlignment="1">
      <alignment horizontal="center" vertical="center" wrapText="1"/>
    </xf>
    <xf numFmtId="1" fontId="168" fillId="0" borderId="12" xfId="11" applyNumberFormat="1" applyFont="1" applyBorder="1" applyAlignment="1">
      <alignment horizontal="center" vertical="center" wrapText="1"/>
    </xf>
    <xf numFmtId="1" fontId="169" fillId="0" borderId="11" xfId="11" applyNumberFormat="1" applyFont="1" applyBorder="1" applyAlignment="1">
      <alignment horizontal="center" vertical="center" wrapText="1"/>
    </xf>
    <xf numFmtId="1" fontId="169" fillId="0" borderId="12" xfId="11" applyNumberFormat="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168" fillId="0" borderId="11" xfId="11" applyFont="1" applyBorder="1" applyAlignment="1">
      <alignment horizontal="center" vertical="center" wrapText="1"/>
    </xf>
    <xf numFmtId="0" fontId="168" fillId="0" borderId="12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68" fillId="0" borderId="26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center" vertical="center" wrapText="1"/>
    </xf>
    <xf numFmtId="0" fontId="51" fillId="0" borderId="26" xfId="11" applyFont="1" applyBorder="1" applyAlignment="1">
      <alignment horizontal="center" vertical="center"/>
    </xf>
    <xf numFmtId="17" fontId="36" fillId="0" borderId="26" xfId="11" applyNumberFormat="1" applyFont="1" applyBorder="1" applyAlignment="1">
      <alignment horizontal="center" vertical="center"/>
    </xf>
    <xf numFmtId="0" fontId="67" fillId="0" borderId="26" xfId="11" applyFont="1" applyBorder="1" applyAlignment="1">
      <alignment horizontal="center" vertical="center"/>
    </xf>
    <xf numFmtId="0" fontId="49" fillId="0" borderId="7" xfId="11" applyFont="1" applyBorder="1" applyAlignment="1">
      <alignment horizontal="center" vertical="center" wrapText="1"/>
    </xf>
    <xf numFmtId="1" fontId="35" fillId="0" borderId="7" xfId="11" applyNumberFormat="1" applyFont="1" applyBorder="1" applyAlignment="1">
      <alignment horizontal="center" vertical="center" wrapText="1"/>
    </xf>
    <xf numFmtId="0" fontId="35" fillId="0" borderId="9" xfId="11" applyFont="1" applyBorder="1" applyAlignment="1">
      <alignment horizontal="right" vertical="center" wrapText="1"/>
    </xf>
    <xf numFmtId="1" fontId="60" fillId="0" borderId="10" xfId="11" applyNumberFormat="1" applyFont="1" applyBorder="1" applyAlignment="1">
      <alignment horizontal="right" vertical="center" wrapText="1"/>
    </xf>
    <xf numFmtId="1" fontId="60" fillId="0" borderId="7" xfId="11" applyNumberFormat="1" applyFont="1" applyBorder="1" applyAlignment="1">
      <alignment horizontal="right" vertical="center" wrapText="1"/>
    </xf>
    <xf numFmtId="1" fontId="31" fillId="0" borderId="7" xfId="11" applyNumberFormat="1" applyFont="1" applyBorder="1" applyAlignment="1">
      <alignment horizontal="center" vertical="center" wrapText="1"/>
    </xf>
    <xf numFmtId="0" fontId="36" fillId="0" borderId="7" xfId="11" applyFont="1" applyBorder="1" applyAlignment="1">
      <alignment horizontal="left" vertical="center" wrapText="1"/>
    </xf>
    <xf numFmtId="0" fontId="33" fillId="0" borderId="11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31" fillId="13" borderId="7" xfId="11" applyFont="1" applyFill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0" fontId="53" fillId="0" borderId="11" xfId="11" applyFont="1" applyBorder="1" applyAlignment="1">
      <alignment horizontal="center" vertical="center" wrapText="1"/>
    </xf>
    <xf numFmtId="0" fontId="53" fillId="0" borderId="12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left" vertical="center"/>
    </xf>
    <xf numFmtId="0" fontId="36" fillId="0" borderId="8" xfId="11" applyFont="1" applyBorder="1" applyAlignment="1">
      <alignment horizontal="left" vertical="center"/>
    </xf>
    <xf numFmtId="0" fontId="36" fillId="0" borderId="9" xfId="11" applyFont="1" applyBorder="1" applyAlignment="1">
      <alignment horizontal="left" vertical="center"/>
    </xf>
    <xf numFmtId="0" fontId="32" fillId="13" borderId="7" xfId="11" applyFont="1" applyFill="1" applyBorder="1" applyAlignment="1">
      <alignment horizontal="center" vertical="center" wrapText="1"/>
    </xf>
    <xf numFmtId="0" fontId="33" fillId="0" borderId="25" xfId="11" applyFont="1" applyBorder="1" applyAlignment="1">
      <alignment horizontal="center" vertical="center" wrapText="1"/>
    </xf>
    <xf numFmtId="1" fontId="31" fillId="0" borderId="8" xfId="11" applyNumberFormat="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horizontal="center" vertical="center" wrapText="1"/>
    </xf>
    <xf numFmtId="0" fontId="32" fillId="0" borderId="7" xfId="11" applyFont="1" applyBorder="1" applyAlignment="1">
      <alignment horizontal="left" vertical="center" wrapText="1"/>
    </xf>
    <xf numFmtId="0" fontId="54" fillId="0" borderId="11" xfId="11" applyFont="1" applyBorder="1" applyAlignment="1">
      <alignment horizontal="center" vertical="center" wrapText="1"/>
    </xf>
    <xf numFmtId="0" fontId="54" fillId="0" borderId="12" xfId="11" applyFont="1" applyBorder="1" applyAlignment="1">
      <alignment horizontal="center" vertical="center" wrapText="1"/>
    </xf>
    <xf numFmtId="0" fontId="161" fillId="0" borderId="7" xfId="11" applyFont="1" applyBorder="1" applyAlignment="1">
      <alignment horizontal="center" vertical="center" wrapText="1"/>
    </xf>
    <xf numFmtId="0" fontId="162" fillId="0" borderId="7" xfId="11" applyFont="1" applyBorder="1" applyAlignment="1">
      <alignment horizontal="center" vertical="center" wrapText="1"/>
    </xf>
    <xf numFmtId="0" fontId="159" fillId="0" borderId="7" xfId="11" applyFont="1" applyBorder="1" applyAlignment="1">
      <alignment horizontal="center" vertical="center" wrapText="1"/>
    </xf>
    <xf numFmtId="0" fontId="160" fillId="0" borderId="7" xfId="11" applyFont="1" applyBorder="1" applyAlignment="1">
      <alignment horizontal="center" vertical="center" wrapText="1"/>
    </xf>
    <xf numFmtId="0" fontId="54" fillId="0" borderId="8" xfId="11" applyFont="1" applyBorder="1" applyAlignment="1">
      <alignment horizontal="center" vertical="center" wrapText="1"/>
    </xf>
    <xf numFmtId="0" fontId="54" fillId="0" borderId="10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35" fillId="0" borderId="0" xfId="11" applyFont="1" applyAlignment="1">
      <alignment horizontal="center" vertical="center"/>
    </xf>
    <xf numFmtId="0" fontId="70" fillId="0" borderId="26" xfId="11" applyFont="1" applyBorder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36" fillId="0" borderId="7" xfId="11" applyFont="1" applyBorder="1" applyAlignment="1">
      <alignment horizontal="center" vertical="center"/>
    </xf>
    <xf numFmtId="0" fontId="49" fillId="13" borderId="7" xfId="11" applyFont="1" applyFill="1" applyBorder="1" applyAlignment="1">
      <alignment horizontal="center" vertical="center" wrapText="1"/>
    </xf>
    <xf numFmtId="0" fontId="32" fillId="13" borderId="7" xfId="11" applyFont="1" applyFill="1" applyBorder="1" applyAlignment="1">
      <alignment vertical="center"/>
    </xf>
  </cellXfs>
  <cellStyles count="16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2FFF8D"/>
      <color rgb="FF00FFFF"/>
      <color rgb="FFBDFFFF"/>
      <color rgb="FFFBE4D5"/>
      <color rgb="FFE4D2F2"/>
      <color rgb="FFEFE5F7"/>
      <color rgb="FF8BFFFF"/>
      <color rgb="FFFFD653"/>
      <color rgb="FFD1B2E8"/>
      <color rgb="FFFFEA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1%20Energy%20Balance%20New%20Format\February-2023_Provisional_Wor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\MOD-(2022-2023)%20moshiur\3%20September-2022%20SAE%20PC%20Office\SEP-2022\September-2022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NORTH "/>
      <sheetName val="%Loss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616">
          <cell r="S2616">
            <v>1.2831376766663276</v>
          </cell>
        </row>
        <row r="2652">
          <cell r="S2652">
            <v>0.64068291432701741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PDB Bill AMR"/>
      <sheetName val="Tariff point wise"/>
      <sheetName val="PDB SUM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2"/>
  <sheetViews>
    <sheetView view="pageBreakPreview" topLeftCell="A124" zoomScale="90" zoomScaleNormal="80" zoomScaleSheetLayoutView="90" zoomScalePageLayoutView="70" workbookViewId="0">
      <selection activeCell="I110" sqref="I110"/>
    </sheetView>
  </sheetViews>
  <sheetFormatPr defaultColWidth="9.453125" defaultRowHeight="14.5" x14ac:dyDescent="0.35"/>
  <cols>
    <col min="1" max="1" width="8.54296875" style="398" customWidth="1"/>
    <col min="2" max="2" width="26" style="398" customWidth="1"/>
    <col min="3" max="3" width="24.7265625" style="398" customWidth="1"/>
    <col min="4" max="4" width="21.26953125" style="398" customWidth="1"/>
    <col min="5" max="5" width="23.54296875" style="398" customWidth="1"/>
    <col min="6" max="6" width="21.7265625" style="398" customWidth="1"/>
    <col min="7" max="7" width="14.54296875" style="398" customWidth="1"/>
    <col min="8" max="9" width="9.453125" style="104" customWidth="1"/>
    <col min="10" max="10" width="22.453125" style="104" customWidth="1"/>
    <col min="11" max="11" width="19.453125" style="104" customWidth="1"/>
    <col min="12" max="12" width="17.54296875" style="104" customWidth="1"/>
    <col min="13" max="14" width="14.54296875" style="104" bestFit="1" customWidth="1"/>
    <col min="15" max="15" width="12.453125" style="104" bestFit="1" customWidth="1"/>
    <col min="16" max="16" width="4.54296875" style="104" customWidth="1"/>
    <col min="17" max="17" width="9.453125" style="104"/>
    <col min="18" max="18" width="16.54296875" style="104" customWidth="1"/>
    <col min="19" max="19" width="24.7265625" style="104" customWidth="1"/>
    <col min="20" max="20" width="27.26953125" style="104" customWidth="1"/>
    <col min="21" max="21" width="18.453125" style="104" customWidth="1"/>
    <col min="22" max="22" width="15.453125" style="104" bestFit="1" customWidth="1"/>
    <col min="23" max="23" width="13.453125" style="104" customWidth="1"/>
    <col min="24" max="24" width="14.453125" style="104" customWidth="1"/>
    <col min="25" max="25" width="11.453125" style="104" customWidth="1"/>
    <col min="26" max="26" width="9.453125" style="104"/>
    <col min="27" max="27" width="19.453125" style="104" bestFit="1" customWidth="1"/>
    <col min="28" max="16384" width="9.453125" style="104"/>
  </cols>
  <sheetData>
    <row r="1" spans="1:22" x14ac:dyDescent="0.35">
      <c r="A1" s="397"/>
      <c r="B1" s="397"/>
      <c r="C1" s="397"/>
      <c r="D1" s="397"/>
      <c r="E1" s="397"/>
      <c r="F1" s="397"/>
    </row>
    <row r="2" spans="1:22" ht="41.25" customHeight="1" x14ac:dyDescent="0.35">
      <c r="A2" s="2021" t="s">
        <v>877</v>
      </c>
      <c r="B2" s="2021"/>
      <c r="C2" s="2021"/>
      <c r="D2" s="2021"/>
      <c r="E2" s="2021"/>
      <c r="F2" s="2021"/>
      <c r="G2" s="399"/>
      <c r="K2" s="400"/>
      <c r="S2" s="400"/>
    </row>
    <row r="3" spans="1:22" ht="18.5" x14ac:dyDescent="0.45">
      <c r="A3" s="401"/>
      <c r="B3" s="401"/>
      <c r="C3" s="401"/>
      <c r="D3" s="401"/>
      <c r="E3" s="401"/>
      <c r="F3" s="401"/>
      <c r="G3" s="402"/>
    </row>
    <row r="4" spans="1:22" ht="34.5" customHeight="1" x14ac:dyDescent="0.35">
      <c r="A4" s="2022" t="s">
        <v>878</v>
      </c>
      <c r="B4" s="2022"/>
      <c r="C4" s="2022"/>
      <c r="D4" s="2022"/>
      <c r="E4" s="403" t="e">
        <f>#REF!</f>
        <v>#REF!</v>
      </c>
      <c r="F4" s="404"/>
      <c r="G4" s="402"/>
    </row>
    <row r="5" spans="1:22" ht="78.75" customHeight="1" x14ac:dyDescent="0.35">
      <c r="A5" s="2023" t="s">
        <v>879</v>
      </c>
      <c r="B5" s="405" t="s">
        <v>880</v>
      </c>
      <c r="C5" s="405" t="s">
        <v>881</v>
      </c>
      <c r="D5" s="405" t="s">
        <v>882</v>
      </c>
      <c r="E5" s="405" t="s">
        <v>883</v>
      </c>
      <c r="F5" s="405" t="s">
        <v>884</v>
      </c>
      <c r="G5" s="402"/>
      <c r="I5" s="406" t="s">
        <v>885</v>
      </c>
      <c r="J5" s="406" t="s">
        <v>886</v>
      </c>
      <c r="K5" s="406" t="s">
        <v>887</v>
      </c>
      <c r="L5" s="406" t="s">
        <v>888</v>
      </c>
      <c r="M5" s="406" t="s">
        <v>889</v>
      </c>
      <c r="N5" s="406" t="s">
        <v>890</v>
      </c>
      <c r="Q5" s="406" t="s">
        <v>885</v>
      </c>
      <c r="R5" s="406" t="s">
        <v>886</v>
      </c>
      <c r="S5" s="406" t="s">
        <v>891</v>
      </c>
      <c r="T5" s="406" t="s">
        <v>892</v>
      </c>
      <c r="U5" s="406" t="s">
        <v>893</v>
      </c>
      <c r="V5" s="406" t="s">
        <v>890</v>
      </c>
    </row>
    <row r="6" spans="1:22" ht="18.75" customHeight="1" x14ac:dyDescent="0.35">
      <c r="A6" s="2023"/>
      <c r="B6" s="405" t="s">
        <v>894</v>
      </c>
      <c r="C6" s="405" t="s">
        <v>895</v>
      </c>
      <c r="D6" s="405" t="s">
        <v>896</v>
      </c>
      <c r="E6" s="405" t="s">
        <v>897</v>
      </c>
      <c r="F6" s="407"/>
      <c r="G6" s="408"/>
      <c r="I6" s="409" t="s">
        <v>894</v>
      </c>
      <c r="J6" s="409" t="s">
        <v>895</v>
      </c>
      <c r="K6" s="410" t="s">
        <v>896</v>
      </c>
      <c r="L6" s="410" t="s">
        <v>897</v>
      </c>
      <c r="M6" s="410" t="s">
        <v>898</v>
      </c>
      <c r="N6" s="410" t="s">
        <v>899</v>
      </c>
      <c r="Q6" s="409" t="s">
        <v>894</v>
      </c>
      <c r="R6" s="409" t="s">
        <v>895</v>
      </c>
      <c r="S6" s="410" t="s">
        <v>896</v>
      </c>
      <c r="T6" s="410" t="s">
        <v>897</v>
      </c>
      <c r="U6" s="410" t="s">
        <v>898</v>
      </c>
      <c r="V6" s="410" t="s">
        <v>899</v>
      </c>
    </row>
    <row r="7" spans="1:22" ht="36" customHeight="1" x14ac:dyDescent="0.25">
      <c r="A7" s="411">
        <v>1</v>
      </c>
      <c r="B7" s="411" t="s">
        <v>900</v>
      </c>
      <c r="C7" s="412" t="e">
        <f>#REF!</f>
        <v>#REF!</v>
      </c>
      <c r="D7" s="413">
        <v>6.3882000000000003</v>
      </c>
      <c r="E7" s="414" t="e">
        <f>C7*D7</f>
        <v>#REF!</v>
      </c>
      <c r="F7" s="415"/>
      <c r="G7" s="416"/>
      <c r="I7" s="417">
        <v>1</v>
      </c>
      <c r="J7" s="418" t="s">
        <v>901</v>
      </c>
      <c r="K7" s="419" t="e">
        <f>C7</f>
        <v>#REF!</v>
      </c>
      <c r="L7" s="419" t="e">
        <f>C7</f>
        <v>#REF!</v>
      </c>
      <c r="M7" s="420" t="e">
        <f>K7-L7</f>
        <v>#REF!</v>
      </c>
      <c r="N7" s="421"/>
      <c r="Q7" s="417">
        <v>1</v>
      </c>
      <c r="R7" s="418" t="s">
        <v>902</v>
      </c>
      <c r="S7" s="422" t="e">
        <f>E7</f>
        <v>#REF!</v>
      </c>
      <c r="T7" s="422" t="e">
        <f>E7</f>
        <v>#REF!</v>
      </c>
      <c r="U7" s="423" t="e">
        <f>S7-T7</f>
        <v>#REF!</v>
      </c>
      <c r="V7" s="424"/>
    </row>
    <row r="8" spans="1:22" ht="36" customHeight="1" x14ac:dyDescent="0.25">
      <c r="A8" s="411" t="s">
        <v>903</v>
      </c>
      <c r="B8" s="411" t="s">
        <v>904</v>
      </c>
      <c r="C8" s="412" t="e">
        <f>#REF!</f>
        <v>#REF!</v>
      </c>
      <c r="D8" s="413">
        <v>6.4531000000000001</v>
      </c>
      <c r="E8" s="414" t="e">
        <f>C8*D8</f>
        <v>#REF!</v>
      </c>
      <c r="F8" s="425"/>
      <c r="G8" s="426"/>
      <c r="I8" s="417">
        <v>2</v>
      </c>
      <c r="J8" s="406" t="s">
        <v>905</v>
      </c>
      <c r="K8" s="419" t="e">
        <f>C8</f>
        <v>#REF!</v>
      </c>
      <c r="L8" s="419" t="e">
        <f>C8</f>
        <v>#REF!</v>
      </c>
      <c r="M8" s="420" t="e">
        <f t="shared" ref="M8:M16" si="0">K8-L8</f>
        <v>#REF!</v>
      </c>
      <c r="N8" s="421"/>
      <c r="Q8" s="417">
        <v>2</v>
      </c>
      <c r="R8" s="406" t="s">
        <v>906</v>
      </c>
      <c r="S8" s="422" t="e">
        <f t="shared" ref="S8:S14" si="1">E8</f>
        <v>#REF!</v>
      </c>
      <c r="T8" s="422" t="e">
        <f t="shared" ref="T8:T16" si="2">E8</f>
        <v>#REF!</v>
      </c>
      <c r="U8" s="427" t="e">
        <f>S8-T8</f>
        <v>#REF!</v>
      </c>
      <c r="V8" s="424"/>
    </row>
    <row r="9" spans="1:22" ht="49.5" x14ac:dyDescent="0.25">
      <c r="A9" s="411" t="s">
        <v>907</v>
      </c>
      <c r="B9" s="411" t="s">
        <v>908</v>
      </c>
      <c r="C9" s="412" t="e">
        <f>#REF!</f>
        <v>#REF!</v>
      </c>
      <c r="D9" s="413">
        <v>6.4531000000000001</v>
      </c>
      <c r="E9" s="414" t="e">
        <f>C9*D9</f>
        <v>#REF!</v>
      </c>
      <c r="F9" s="428"/>
      <c r="G9" s="429"/>
      <c r="I9" s="417">
        <v>3</v>
      </c>
      <c r="J9" s="406" t="s">
        <v>909</v>
      </c>
      <c r="K9" s="419" t="e">
        <f>C9</f>
        <v>#REF!</v>
      </c>
      <c r="L9" s="419" t="e">
        <f>C9</f>
        <v>#REF!</v>
      </c>
      <c r="M9" s="420" t="e">
        <f t="shared" si="0"/>
        <v>#REF!</v>
      </c>
      <c r="N9" s="421"/>
      <c r="Q9" s="417">
        <v>3</v>
      </c>
      <c r="R9" s="406" t="s">
        <v>910</v>
      </c>
      <c r="S9" s="422" t="e">
        <f t="shared" si="1"/>
        <v>#REF!</v>
      </c>
      <c r="T9" s="422" t="e">
        <f t="shared" si="2"/>
        <v>#REF!</v>
      </c>
      <c r="U9" s="427" t="e">
        <f t="shared" ref="U9:U16" si="3">S9-T9</f>
        <v>#REF!</v>
      </c>
      <c r="V9" s="424"/>
    </row>
    <row r="10" spans="1:22" ht="36" customHeight="1" x14ac:dyDescent="0.25">
      <c r="A10" s="411" t="s">
        <v>911</v>
      </c>
      <c r="B10" s="411" t="s">
        <v>912</v>
      </c>
      <c r="C10" s="412" t="e">
        <f>#REF!</f>
        <v>#REF!</v>
      </c>
      <c r="D10" s="413">
        <v>6.4531000000000001</v>
      </c>
      <c r="E10" s="414" t="e">
        <f>(C10*D10)+1.731</f>
        <v>#REF!</v>
      </c>
      <c r="F10" s="428"/>
      <c r="G10" s="430"/>
      <c r="I10" s="417">
        <v>4</v>
      </c>
      <c r="J10" s="406" t="s">
        <v>913</v>
      </c>
      <c r="K10" s="419" t="e">
        <f>C10</f>
        <v>#REF!</v>
      </c>
      <c r="L10" s="419" t="e">
        <f>C10</f>
        <v>#REF!</v>
      </c>
      <c r="M10" s="420" t="e">
        <f t="shared" si="0"/>
        <v>#REF!</v>
      </c>
      <c r="N10" s="421"/>
      <c r="Q10" s="417">
        <v>4</v>
      </c>
      <c r="R10" s="406" t="s">
        <v>914</v>
      </c>
      <c r="S10" s="422" t="e">
        <f t="shared" si="1"/>
        <v>#REF!</v>
      </c>
      <c r="T10" s="422" t="e">
        <f t="shared" si="2"/>
        <v>#REF!</v>
      </c>
      <c r="U10" s="427" t="e">
        <f t="shared" si="3"/>
        <v>#REF!</v>
      </c>
      <c r="V10" s="424"/>
    </row>
    <row r="11" spans="1:22" ht="36" customHeight="1" x14ac:dyDescent="0.35">
      <c r="A11" s="411">
        <v>3</v>
      </c>
      <c r="B11" s="411" t="s">
        <v>915</v>
      </c>
      <c r="C11" s="412" t="e">
        <f>C10+C9+C8</f>
        <v>#REF!</v>
      </c>
      <c r="D11" s="431"/>
      <c r="E11" s="414" t="e">
        <f>E10+E9+E8</f>
        <v>#REF!</v>
      </c>
      <c r="F11" s="414"/>
      <c r="G11" s="432"/>
      <c r="I11" s="417">
        <v>5</v>
      </c>
      <c r="J11" s="433" t="s">
        <v>916</v>
      </c>
      <c r="K11" s="419" t="e">
        <f>C11</f>
        <v>#REF!</v>
      </c>
      <c r="L11" s="434" t="e">
        <f>C11</f>
        <v>#REF!</v>
      </c>
      <c r="M11" s="420" t="e">
        <f t="shared" si="0"/>
        <v>#REF!</v>
      </c>
      <c r="N11" s="435"/>
      <c r="Q11" s="417">
        <v>5</v>
      </c>
      <c r="R11" s="418" t="s">
        <v>917</v>
      </c>
      <c r="S11" s="422" t="e">
        <f t="shared" si="1"/>
        <v>#REF!</v>
      </c>
      <c r="T11" s="436" t="e">
        <f t="shared" si="2"/>
        <v>#REF!</v>
      </c>
      <c r="U11" s="423" t="e">
        <f t="shared" si="3"/>
        <v>#REF!</v>
      </c>
      <c r="V11" s="437"/>
    </row>
    <row r="12" spans="1:22" ht="36" customHeight="1" x14ac:dyDescent="0.25">
      <c r="A12" s="438">
        <v>4</v>
      </c>
      <c r="B12" s="438" t="s">
        <v>918</v>
      </c>
      <c r="C12" s="439" t="e">
        <f>C11+C7</f>
        <v>#REF!</v>
      </c>
      <c r="D12" s="440"/>
      <c r="E12" s="441" t="e">
        <f>E11+E7</f>
        <v>#REF!</v>
      </c>
      <c r="F12" s="442"/>
      <c r="G12" s="429"/>
      <c r="I12" s="417">
        <v>6</v>
      </c>
      <c r="J12" s="443" t="s">
        <v>919</v>
      </c>
      <c r="K12" s="444" t="e">
        <f>+K11+K7</f>
        <v>#REF!</v>
      </c>
      <c r="L12" s="444" t="e">
        <f>+L11+L7</f>
        <v>#REF!</v>
      </c>
      <c r="M12" s="445" t="e">
        <f>M7+M11</f>
        <v>#REF!</v>
      </c>
      <c r="N12" s="446"/>
      <c r="Q12" s="417">
        <v>6</v>
      </c>
      <c r="R12" s="406" t="s">
        <v>919</v>
      </c>
      <c r="S12" s="447" t="e">
        <f t="shared" si="1"/>
        <v>#REF!</v>
      </c>
      <c r="T12" s="447" t="e">
        <f t="shared" si="2"/>
        <v>#REF!</v>
      </c>
      <c r="U12" s="427" t="e">
        <f t="shared" si="3"/>
        <v>#REF!</v>
      </c>
      <c r="V12" s="424"/>
    </row>
    <row r="13" spans="1:22" ht="36" customHeight="1" x14ac:dyDescent="0.25">
      <c r="A13" s="411">
        <v>5</v>
      </c>
      <c r="B13" s="411" t="s">
        <v>920</v>
      </c>
      <c r="C13" s="412" t="e">
        <f>#REF!</f>
        <v>#REF!</v>
      </c>
      <c r="D13" s="413">
        <f>D7</f>
        <v>6.3882000000000003</v>
      </c>
      <c r="E13" s="414" t="e">
        <f>C13*D13</f>
        <v>#REF!</v>
      </c>
      <c r="F13" s="414"/>
      <c r="G13" s="426"/>
      <c r="I13" s="417">
        <v>7</v>
      </c>
      <c r="J13" s="406" t="s">
        <v>921</v>
      </c>
      <c r="K13" s="419" t="e">
        <f>C13</f>
        <v>#REF!</v>
      </c>
      <c r="L13" s="419" t="e">
        <f>C13</f>
        <v>#REF!</v>
      </c>
      <c r="M13" s="448" t="e">
        <f t="shared" si="0"/>
        <v>#REF!</v>
      </c>
      <c r="N13" s="446"/>
      <c r="Q13" s="417">
        <v>7</v>
      </c>
      <c r="R13" s="406" t="s">
        <v>922</v>
      </c>
      <c r="S13" s="422" t="e">
        <f>E13</f>
        <v>#REF!</v>
      </c>
      <c r="T13" s="422" t="e">
        <f t="shared" si="2"/>
        <v>#REF!</v>
      </c>
      <c r="U13" s="449" t="e">
        <f>S13-T13</f>
        <v>#REF!</v>
      </c>
      <c r="V13" s="424"/>
    </row>
    <row r="14" spans="1:22" ht="36" customHeight="1" x14ac:dyDescent="0.25">
      <c r="A14" s="411">
        <v>6</v>
      </c>
      <c r="B14" s="411" t="s">
        <v>923</v>
      </c>
      <c r="C14" s="412" t="e">
        <f>#REF!</f>
        <v>#REF!</v>
      </c>
      <c r="D14" s="413">
        <f>D9</f>
        <v>6.4531000000000001</v>
      </c>
      <c r="E14" s="414" t="e">
        <f>C14*D14</f>
        <v>#REF!</v>
      </c>
      <c r="F14" s="414"/>
      <c r="G14" s="432"/>
      <c r="I14" s="417">
        <v>8</v>
      </c>
      <c r="J14" s="406" t="s">
        <v>924</v>
      </c>
      <c r="K14" s="419" t="e">
        <f>C14</f>
        <v>#REF!</v>
      </c>
      <c r="L14" s="419" t="e">
        <f>C14</f>
        <v>#REF!</v>
      </c>
      <c r="M14" s="420" t="e">
        <f t="shared" si="0"/>
        <v>#REF!</v>
      </c>
      <c r="N14" s="446"/>
      <c r="Q14" s="417">
        <v>8</v>
      </c>
      <c r="R14" s="406" t="s">
        <v>925</v>
      </c>
      <c r="S14" s="422" t="e">
        <f t="shared" si="1"/>
        <v>#REF!</v>
      </c>
      <c r="T14" s="422" t="e">
        <f t="shared" si="2"/>
        <v>#REF!</v>
      </c>
      <c r="U14" s="427" t="e">
        <f t="shared" si="3"/>
        <v>#REF!</v>
      </c>
      <c r="V14" s="424"/>
    </row>
    <row r="15" spans="1:22" ht="41.25" customHeight="1" x14ac:dyDescent="0.35">
      <c r="A15" s="438">
        <v>7</v>
      </c>
      <c r="B15" s="438" t="s">
        <v>926</v>
      </c>
      <c r="C15" s="439" t="e">
        <f>C14+C13</f>
        <v>#REF!</v>
      </c>
      <c r="D15" s="439"/>
      <c r="E15" s="441" t="e">
        <f>E14+E13</f>
        <v>#REF!</v>
      </c>
      <c r="F15" s="450"/>
      <c r="G15" s="429"/>
      <c r="I15" s="417">
        <v>9</v>
      </c>
      <c r="J15" s="443" t="s">
        <v>927</v>
      </c>
      <c r="K15" s="444" t="e">
        <f>SUM(K13:K14)</f>
        <v>#REF!</v>
      </c>
      <c r="L15" s="444" t="e">
        <f>SUM(L13:L14)</f>
        <v>#REF!</v>
      </c>
      <c r="M15" s="448" t="e">
        <f t="shared" si="0"/>
        <v>#REF!</v>
      </c>
      <c r="N15" s="451"/>
      <c r="Q15" s="417">
        <v>9</v>
      </c>
      <c r="R15" s="406" t="s">
        <v>928</v>
      </c>
      <c r="S15" s="447" t="e">
        <f>S13+S14</f>
        <v>#REF!</v>
      </c>
      <c r="T15" s="447" t="e">
        <f t="shared" si="2"/>
        <v>#REF!</v>
      </c>
      <c r="U15" s="427" t="e">
        <f t="shared" si="3"/>
        <v>#REF!</v>
      </c>
      <c r="V15" s="452"/>
    </row>
    <row r="16" spans="1:22" s="153" customFormat="1" ht="36" customHeight="1" x14ac:dyDescent="0.35">
      <c r="A16" s="438">
        <v>8</v>
      </c>
      <c r="B16" s="438" t="s">
        <v>929</v>
      </c>
      <c r="C16" s="439" t="e">
        <f>C15+C12</f>
        <v>#REF!</v>
      </c>
      <c r="D16" s="440"/>
      <c r="E16" s="441" t="e">
        <f>E15+E12</f>
        <v>#REF!</v>
      </c>
      <c r="F16" s="450"/>
      <c r="G16" s="453"/>
      <c r="I16" s="454">
        <v>10</v>
      </c>
      <c r="J16" s="418" t="s">
        <v>930</v>
      </c>
      <c r="K16" s="455" t="e">
        <f>+K15+K12</f>
        <v>#REF!</v>
      </c>
      <c r="L16" s="455" t="e">
        <f>+L15+L12</f>
        <v>#REF!</v>
      </c>
      <c r="M16" s="448" t="e">
        <f t="shared" si="0"/>
        <v>#REF!</v>
      </c>
      <c r="N16" s="456"/>
      <c r="Q16" s="454">
        <v>10</v>
      </c>
      <c r="R16" s="418" t="s">
        <v>931</v>
      </c>
      <c r="S16" s="457" t="e">
        <f>S7+S11+S15</f>
        <v>#REF!</v>
      </c>
      <c r="T16" s="457" t="e">
        <f t="shared" si="2"/>
        <v>#REF!</v>
      </c>
      <c r="U16" s="458" t="e">
        <f t="shared" si="3"/>
        <v>#REF!</v>
      </c>
      <c r="V16" s="458"/>
    </row>
    <row r="17" spans="1:10" s="156" customFormat="1" ht="42.65" customHeight="1" x14ac:dyDescent="0.25">
      <c r="A17" s="411">
        <v>9</v>
      </c>
      <c r="B17" s="2024" t="s">
        <v>932</v>
      </c>
      <c r="C17" s="2025"/>
      <c r="D17" s="2026"/>
      <c r="E17" s="414">
        <v>137755952.94</v>
      </c>
      <c r="F17" s="459" t="s">
        <v>933</v>
      </c>
      <c r="G17" s="460"/>
      <c r="J17" s="104"/>
    </row>
    <row r="18" spans="1:10" s="156" customFormat="1" ht="38.25" customHeight="1" x14ac:dyDescent="0.35">
      <c r="A18" s="438">
        <v>10</v>
      </c>
      <c r="B18" s="438" t="s">
        <v>934</v>
      </c>
      <c r="C18" s="439"/>
      <c r="D18" s="440"/>
      <c r="E18" s="441" t="e">
        <f>E16+E17</f>
        <v>#REF!</v>
      </c>
      <c r="F18" s="450"/>
      <c r="G18" s="460"/>
    </row>
    <row r="19" spans="1:10" s="156" customFormat="1" ht="32.25" customHeight="1" x14ac:dyDescent="0.35">
      <c r="A19" s="461"/>
      <c r="B19" s="462"/>
      <c r="C19" s="463"/>
      <c r="D19" s="464"/>
      <c r="E19" s="465"/>
      <c r="F19" s="466"/>
      <c r="G19" s="460"/>
    </row>
    <row r="20" spans="1:10" s="156" customFormat="1" ht="32.25" customHeight="1" x14ac:dyDescent="0.25">
      <c r="A20" s="2027" t="s">
        <v>935</v>
      </c>
      <c r="B20" s="2027"/>
      <c r="C20" s="2027"/>
      <c r="D20" s="2027"/>
      <c r="E20" s="2027"/>
      <c r="F20" s="2027"/>
      <c r="G20" s="460"/>
    </row>
    <row r="21" spans="1:10" s="156" customFormat="1" ht="32.25" customHeight="1" x14ac:dyDescent="0.25">
      <c r="A21" s="2027"/>
      <c r="B21" s="2027"/>
      <c r="C21" s="2027"/>
      <c r="D21" s="2027"/>
      <c r="E21" s="2027"/>
      <c r="F21" s="2027"/>
      <c r="G21" s="460"/>
    </row>
    <row r="22" spans="1:10" s="156" customFormat="1" ht="32.25" customHeight="1" x14ac:dyDescent="0.25">
      <c r="A22" s="2020" t="s">
        <v>936</v>
      </c>
      <c r="B22" s="2020"/>
      <c r="C22" s="467"/>
      <c r="D22" s="467"/>
      <c r="E22" s="467"/>
      <c r="F22" s="467"/>
      <c r="G22" s="460"/>
    </row>
    <row r="23" spans="1:10" s="156" customFormat="1" ht="42" customHeight="1" x14ac:dyDescent="0.25">
      <c r="A23" s="2029" t="s">
        <v>937</v>
      </c>
      <c r="B23" s="2029"/>
      <c r="C23" s="2029"/>
      <c r="D23" s="2029"/>
      <c r="E23" s="2029"/>
      <c r="F23" s="2029"/>
      <c r="G23" s="460"/>
    </row>
    <row r="24" spans="1:10" s="156" customFormat="1" ht="44.15" customHeight="1" x14ac:dyDescent="0.25">
      <c r="A24" s="441" t="s">
        <v>45</v>
      </c>
      <c r="B24" s="441" t="s">
        <v>938</v>
      </c>
      <c r="C24" s="441" t="s">
        <v>939</v>
      </c>
      <c r="D24" s="441" t="s">
        <v>940</v>
      </c>
      <c r="E24" s="441" t="s">
        <v>941</v>
      </c>
      <c r="F24" s="441" t="s">
        <v>942</v>
      </c>
      <c r="G24" s="460"/>
    </row>
    <row r="25" spans="1:10" s="471" customFormat="1" ht="32.25" customHeight="1" x14ac:dyDescent="0.35">
      <c r="A25" s="411">
        <v>1</v>
      </c>
      <c r="B25" s="468">
        <v>11</v>
      </c>
      <c r="C25" s="468">
        <v>24</v>
      </c>
      <c r="D25" s="414">
        <v>137755952.94</v>
      </c>
      <c r="E25" s="469">
        <v>3306142870.5999999</v>
      </c>
      <c r="F25" s="469">
        <f>E25-D25*B25</f>
        <v>1790827388.26</v>
      </c>
      <c r="G25" s="470"/>
    </row>
    <row r="26" spans="1:10" s="156" customFormat="1" ht="32.25" customHeight="1" x14ac:dyDescent="0.35">
      <c r="A26" s="472"/>
      <c r="B26" s="473"/>
      <c r="C26" s="474"/>
      <c r="D26" s="475"/>
      <c r="E26" s="476"/>
      <c r="F26" s="477"/>
      <c r="G26" s="460"/>
    </row>
    <row r="27" spans="1:10" ht="17.25" customHeight="1" x14ac:dyDescent="0.45">
      <c r="A27" s="2030" t="s">
        <v>943</v>
      </c>
      <c r="B27" s="2031"/>
      <c r="C27" s="2030" t="s">
        <v>944</v>
      </c>
      <c r="D27" s="2031"/>
      <c r="E27" s="2030" t="s">
        <v>945</v>
      </c>
      <c r="F27" s="2031"/>
      <c r="G27" s="478"/>
    </row>
    <row r="28" spans="1:10" ht="19.5" customHeight="1" x14ac:dyDescent="0.45">
      <c r="A28" s="2031"/>
      <c r="B28" s="2031"/>
      <c r="C28" s="2031"/>
      <c r="D28" s="2031"/>
      <c r="E28" s="2031"/>
      <c r="F28" s="2031"/>
      <c r="G28" s="478"/>
    </row>
    <row r="29" spans="1:10" ht="63.75" customHeight="1" x14ac:dyDescent="0.45">
      <c r="A29" s="2031"/>
      <c r="B29" s="2031"/>
      <c r="C29" s="2031"/>
      <c r="D29" s="2031"/>
      <c r="E29" s="2031"/>
      <c r="F29" s="2031"/>
      <c r="G29" s="478"/>
    </row>
    <row r="30" spans="1:10" ht="21" customHeight="1" x14ac:dyDescent="0.35">
      <c r="A30" s="470"/>
      <c r="B30" s="470"/>
      <c r="C30" s="479"/>
      <c r="D30" s="479"/>
      <c r="F30" s="480"/>
      <c r="G30" s="480"/>
    </row>
    <row r="31" spans="1:10" ht="21" customHeight="1" x14ac:dyDescent="0.35">
      <c r="A31" s="470"/>
      <c r="B31" s="470"/>
      <c r="C31" s="470"/>
      <c r="D31" s="470"/>
      <c r="F31" s="480"/>
      <c r="G31" s="480"/>
    </row>
    <row r="32" spans="1:10" x14ac:dyDescent="0.25">
      <c r="A32" s="470"/>
      <c r="B32" s="481"/>
      <c r="C32" s="481"/>
      <c r="D32" s="481"/>
      <c r="E32" s="482" t="e">
        <f>#REF!</f>
        <v>#REF!</v>
      </c>
      <c r="F32" s="483" t="e">
        <f>E32*0.04</f>
        <v>#REF!</v>
      </c>
      <c r="G32" s="484" t="e">
        <f>F32*5.878</f>
        <v>#REF!</v>
      </c>
    </row>
    <row r="33" spans="1:7" x14ac:dyDescent="0.25">
      <c r="A33" s="470"/>
      <c r="B33" s="481"/>
      <c r="C33" s="481"/>
      <c r="D33" s="481"/>
      <c r="E33" s="482" t="e">
        <f>+#REF!</f>
        <v>#REF!</v>
      </c>
      <c r="F33" s="483" t="e">
        <f>E33*0.03</f>
        <v>#REF!</v>
      </c>
      <c r="G33" s="484" t="e">
        <f>F33*5.878</f>
        <v>#REF!</v>
      </c>
    </row>
    <row r="34" spans="1:7" x14ac:dyDescent="0.25">
      <c r="A34" s="485"/>
      <c r="B34" s="481"/>
      <c r="C34" s="481"/>
      <c r="D34" s="481"/>
      <c r="E34" s="486" t="e">
        <f>SUM(E32:E33)</f>
        <v>#REF!</v>
      </c>
      <c r="F34" s="487" t="e">
        <f>SUM(F32:F33)</f>
        <v>#REF!</v>
      </c>
      <c r="G34" s="484" t="e">
        <f>+G32+G33</f>
        <v>#REF!</v>
      </c>
    </row>
    <row r="35" spans="1:7" x14ac:dyDescent="0.25">
      <c r="A35" s="485"/>
      <c r="B35" s="481"/>
      <c r="C35" s="481"/>
      <c r="D35" s="481"/>
      <c r="E35" s="481"/>
      <c r="F35" s="480"/>
      <c r="G35" s="480"/>
    </row>
    <row r="36" spans="1:7" x14ac:dyDescent="0.25">
      <c r="A36" s="485"/>
      <c r="B36" s="481"/>
      <c r="C36" s="481"/>
      <c r="D36" s="481"/>
      <c r="E36" s="481"/>
      <c r="F36" s="480"/>
      <c r="G36" s="480"/>
    </row>
    <row r="37" spans="1:7" x14ac:dyDescent="0.25">
      <c r="A37" s="485"/>
      <c r="B37" s="485"/>
      <c r="C37" s="485"/>
      <c r="D37" s="485"/>
      <c r="E37" s="480"/>
      <c r="F37" s="480"/>
      <c r="G37" s="480"/>
    </row>
    <row r="38" spans="1:7" x14ac:dyDescent="0.25">
      <c r="A38" s="485"/>
      <c r="B38" s="485"/>
      <c r="C38" s="485"/>
      <c r="D38" s="485"/>
      <c r="E38" s="480"/>
      <c r="F38" s="480"/>
      <c r="G38" s="480"/>
    </row>
    <row r="39" spans="1:7" x14ac:dyDescent="0.25">
      <c r="A39" s="485"/>
      <c r="B39" s="485"/>
      <c r="C39" s="485"/>
      <c r="D39" s="485"/>
      <c r="E39" s="485"/>
      <c r="F39" s="485"/>
      <c r="G39" s="485"/>
    </row>
    <row r="40" spans="1:7" x14ac:dyDescent="0.25">
      <c r="A40" s="485"/>
      <c r="B40" s="485"/>
      <c r="C40" s="485"/>
      <c r="D40" s="485"/>
      <c r="E40" s="485"/>
      <c r="F40" s="485"/>
      <c r="G40" s="485"/>
    </row>
    <row r="41" spans="1:7" x14ac:dyDescent="0.25">
      <c r="A41" s="485"/>
      <c r="B41" s="485"/>
      <c r="C41" s="485"/>
      <c r="D41" s="485"/>
      <c r="E41" s="485"/>
      <c r="F41" s="485"/>
      <c r="G41" s="485"/>
    </row>
    <row r="42" spans="1:7" x14ac:dyDescent="0.25">
      <c r="A42" s="485"/>
      <c r="B42" s="485"/>
      <c r="C42" s="485"/>
      <c r="D42" s="485"/>
      <c r="E42" s="485"/>
      <c r="F42" s="485"/>
      <c r="G42" s="485"/>
    </row>
    <row r="43" spans="1:7" x14ac:dyDescent="0.25">
      <c r="A43" s="485"/>
      <c r="B43" s="485"/>
      <c r="C43" s="485"/>
      <c r="D43" s="485"/>
      <c r="E43" s="485"/>
      <c r="F43" s="485"/>
      <c r="G43" s="485"/>
    </row>
    <row r="44" spans="1:7" x14ac:dyDescent="0.25">
      <c r="A44" s="485"/>
      <c r="B44" s="485"/>
      <c r="C44" s="485"/>
      <c r="D44" s="485"/>
      <c r="E44" s="485"/>
      <c r="F44" s="485"/>
      <c r="G44" s="485"/>
    </row>
    <row r="45" spans="1:7" x14ac:dyDescent="0.25">
      <c r="A45" s="485"/>
      <c r="B45" s="485"/>
      <c r="C45" s="485"/>
      <c r="D45" s="485"/>
      <c r="E45" s="485"/>
      <c r="F45" s="485"/>
      <c r="G45" s="485"/>
    </row>
    <row r="46" spans="1:7" x14ac:dyDescent="0.25">
      <c r="A46" s="485"/>
      <c r="B46" s="485"/>
      <c r="C46" s="485"/>
      <c r="D46" s="485"/>
      <c r="E46" s="485"/>
      <c r="F46" s="485"/>
      <c r="G46" s="485"/>
    </row>
    <row r="47" spans="1:7" x14ac:dyDescent="0.25">
      <c r="A47" s="485"/>
      <c r="B47" s="485"/>
      <c r="C47" s="485"/>
      <c r="D47" s="485"/>
      <c r="E47" s="485"/>
      <c r="F47" s="485"/>
      <c r="G47" s="485"/>
    </row>
    <row r="48" spans="1:7" ht="36" customHeight="1" x14ac:dyDescent="0.35"/>
    <row r="49" spans="1:12" ht="21" x14ac:dyDescent="0.25">
      <c r="A49" s="2032" t="s">
        <v>946</v>
      </c>
      <c r="B49" s="2032"/>
      <c r="C49" s="2032"/>
      <c r="D49" s="2032"/>
      <c r="E49" s="2032"/>
      <c r="F49" s="2032"/>
      <c r="G49" s="2032"/>
    </row>
    <row r="50" spans="1:12" ht="19.399999999999999" customHeight="1" x14ac:dyDescent="0.5">
      <c r="A50" s="2033" t="s">
        <v>947</v>
      </c>
      <c r="B50" s="2033"/>
      <c r="C50" s="2033"/>
      <c r="D50" s="2033"/>
      <c r="E50" s="2033"/>
      <c r="F50" s="2033"/>
      <c r="G50" s="2033"/>
    </row>
    <row r="51" spans="1:12" ht="15.75" customHeight="1" x14ac:dyDescent="0.25">
      <c r="A51" s="2034" t="s">
        <v>948</v>
      </c>
      <c r="B51" s="2034"/>
      <c r="C51" s="2034"/>
      <c r="D51" s="2034"/>
      <c r="E51" s="488" t="e">
        <f>E4</f>
        <v>#REF!</v>
      </c>
      <c r="F51" s="2035" t="s">
        <v>7</v>
      </c>
      <c r="G51" s="2035"/>
    </row>
    <row r="52" spans="1:12" ht="15.75" customHeight="1" x14ac:dyDescent="0.25">
      <c r="A52" s="2036" t="s">
        <v>949</v>
      </c>
      <c r="B52" s="489" t="s">
        <v>950</v>
      </c>
      <c r="C52" s="489" t="s">
        <v>14</v>
      </c>
      <c r="D52" s="489" t="s">
        <v>409</v>
      </c>
      <c r="E52" s="489" t="s">
        <v>391</v>
      </c>
      <c r="F52" s="2035"/>
      <c r="G52" s="2035"/>
    </row>
    <row r="53" spans="1:12" x14ac:dyDescent="0.35">
      <c r="A53" s="2036"/>
      <c r="B53" s="489" t="s">
        <v>951</v>
      </c>
      <c r="C53" s="489" t="s">
        <v>952</v>
      </c>
      <c r="D53" s="489" t="s">
        <v>953</v>
      </c>
      <c r="E53" s="489" t="s">
        <v>954</v>
      </c>
      <c r="F53" s="2028"/>
      <c r="G53" s="2028"/>
    </row>
    <row r="54" spans="1:12" x14ac:dyDescent="0.35">
      <c r="A54" s="489">
        <v>1</v>
      </c>
      <c r="B54" s="489" t="s">
        <v>955</v>
      </c>
      <c r="C54" s="490" t="e">
        <f>#REF!</f>
        <v>#REF!</v>
      </c>
      <c r="D54" s="490" t="e">
        <f>#REF!</f>
        <v>#REF!</v>
      </c>
      <c r="E54" s="491" t="e">
        <f>COS(ATAN(D54/C54))</f>
        <v>#REF!</v>
      </c>
      <c r="F54" s="2028"/>
      <c r="G54" s="2028"/>
    </row>
    <row r="55" spans="1:12" x14ac:dyDescent="0.35">
      <c r="A55" s="489">
        <v>2</v>
      </c>
      <c r="B55" s="489" t="s">
        <v>956</v>
      </c>
      <c r="C55" s="490" t="e">
        <f>#REF!</f>
        <v>#REF!</v>
      </c>
      <c r="D55" s="490" t="e">
        <f>#REF!</f>
        <v>#REF!</v>
      </c>
      <c r="E55" s="491" t="e">
        <f>COS(ATAN(D55/C55))</f>
        <v>#REF!</v>
      </c>
      <c r="F55" s="2028"/>
      <c r="G55" s="2028"/>
      <c r="L55" s="491"/>
    </row>
    <row r="56" spans="1:12" x14ac:dyDescent="0.35">
      <c r="A56" s="489">
        <v>3</v>
      </c>
      <c r="B56" s="489" t="s">
        <v>957</v>
      </c>
      <c r="C56" s="490" t="e">
        <f>#REF!</f>
        <v>#REF!</v>
      </c>
      <c r="D56" s="490" t="e">
        <f>#REF!</f>
        <v>#REF!</v>
      </c>
      <c r="E56" s="491" t="e">
        <f>COS(ATAN(D56/C56))</f>
        <v>#REF!</v>
      </c>
      <c r="F56" s="2028"/>
      <c r="G56" s="2028"/>
    </row>
    <row r="57" spans="1:12" x14ac:dyDescent="0.35">
      <c r="A57" s="489"/>
      <c r="B57" s="492" t="s">
        <v>958</v>
      </c>
      <c r="C57" s="490" t="e">
        <f>SUM(C54:C56)</f>
        <v>#REF!</v>
      </c>
      <c r="D57" s="490" t="e">
        <f>SUM(D54:D56)</f>
        <v>#REF!</v>
      </c>
      <c r="E57" s="491" t="e">
        <f>COS(ATAN(D57/C57))</f>
        <v>#REF!</v>
      </c>
      <c r="F57" s="2028"/>
      <c r="G57" s="2028"/>
    </row>
    <row r="58" spans="1:12" x14ac:dyDescent="0.35">
      <c r="F58" s="493"/>
      <c r="G58" s="493"/>
    </row>
    <row r="59" spans="1:12" x14ac:dyDescent="0.35">
      <c r="C59" s="493"/>
    </row>
    <row r="61" spans="1:12" x14ac:dyDescent="0.35">
      <c r="A61" s="2052" t="s">
        <v>959</v>
      </c>
      <c r="B61" s="2052"/>
      <c r="C61" s="2052"/>
      <c r="D61" s="2052"/>
      <c r="E61" s="494" t="s">
        <v>960</v>
      </c>
      <c r="F61" s="495"/>
    </row>
    <row r="62" spans="1:12" x14ac:dyDescent="0.25">
      <c r="A62" s="2036" t="s">
        <v>949</v>
      </c>
      <c r="B62" s="2036" t="s">
        <v>961</v>
      </c>
      <c r="C62" s="489" t="s">
        <v>950</v>
      </c>
      <c r="D62" s="489" t="s">
        <v>14</v>
      </c>
      <c r="E62" s="489" t="s">
        <v>409</v>
      </c>
      <c r="F62" s="489" t="s">
        <v>962</v>
      </c>
      <c r="G62" s="496" t="s">
        <v>963</v>
      </c>
    </row>
    <row r="63" spans="1:12" x14ac:dyDescent="0.25">
      <c r="A63" s="2036"/>
      <c r="B63" s="2036"/>
      <c r="C63" s="489" t="s">
        <v>951</v>
      </c>
      <c r="D63" s="489" t="s">
        <v>952</v>
      </c>
      <c r="E63" s="489" t="s">
        <v>953</v>
      </c>
      <c r="F63" s="489" t="s">
        <v>964</v>
      </c>
      <c r="G63" s="496"/>
    </row>
    <row r="64" spans="1:12" x14ac:dyDescent="0.25">
      <c r="A64" s="497">
        <v>1</v>
      </c>
      <c r="B64" s="498" t="s">
        <v>965</v>
      </c>
      <c r="C64" s="2037" t="s">
        <v>966</v>
      </c>
      <c r="D64" s="497" t="e">
        <f>C57</f>
        <v>#REF!</v>
      </c>
      <c r="E64" s="497" t="e">
        <f>D57</f>
        <v>#REF!</v>
      </c>
      <c r="F64" s="491" t="e">
        <f>COS(ATAN(E64/D64))</f>
        <v>#REF!</v>
      </c>
      <c r="G64" s="2040"/>
    </row>
    <row r="65" spans="1:24" x14ac:dyDescent="0.25">
      <c r="A65" s="497">
        <v>2</v>
      </c>
      <c r="B65" s="498" t="s">
        <v>967</v>
      </c>
      <c r="C65" s="2038"/>
      <c r="D65" s="497"/>
      <c r="E65" s="497"/>
      <c r="F65" s="491"/>
      <c r="G65" s="2041"/>
    </row>
    <row r="66" spans="1:24" x14ac:dyDescent="0.25">
      <c r="A66" s="497">
        <v>3</v>
      </c>
      <c r="B66" s="498" t="s">
        <v>968</v>
      </c>
      <c r="C66" s="2038"/>
      <c r="D66" s="497"/>
      <c r="E66" s="497"/>
      <c r="F66" s="491"/>
      <c r="G66" s="2042"/>
    </row>
    <row r="67" spans="1:24" s="396" customFormat="1" x14ac:dyDescent="0.25">
      <c r="A67" s="499">
        <v>4</v>
      </c>
      <c r="B67" s="500" t="s">
        <v>969</v>
      </c>
      <c r="C67" s="2038"/>
      <c r="D67" s="499"/>
      <c r="E67" s="499"/>
      <c r="F67" s="491"/>
      <c r="G67" s="2043"/>
      <c r="H67" s="104"/>
      <c r="I67" s="104"/>
      <c r="J67" s="104"/>
      <c r="K67" s="104"/>
      <c r="L67" s="104"/>
      <c r="M67" s="104"/>
      <c r="N67" s="104"/>
      <c r="O67" s="104"/>
      <c r="P67" s="104"/>
      <c r="W67" s="104"/>
      <c r="X67" s="104"/>
    </row>
    <row r="68" spans="1:24" s="396" customFormat="1" x14ac:dyDescent="0.25">
      <c r="A68" s="499">
        <v>5</v>
      </c>
      <c r="B68" s="500" t="s">
        <v>970</v>
      </c>
      <c r="C68" s="2038"/>
      <c r="D68" s="499"/>
      <c r="E68" s="499"/>
      <c r="F68" s="491"/>
      <c r="G68" s="2044"/>
    </row>
    <row r="69" spans="1:24" s="396" customFormat="1" x14ac:dyDescent="0.25">
      <c r="A69" s="499">
        <v>6</v>
      </c>
      <c r="B69" s="500" t="s">
        <v>971</v>
      </c>
      <c r="C69" s="2038"/>
      <c r="D69" s="499"/>
      <c r="E69" s="499"/>
      <c r="F69" s="501"/>
      <c r="G69" s="2045"/>
    </row>
    <row r="70" spans="1:24" s="504" customFormat="1" x14ac:dyDescent="0.25">
      <c r="A70" s="502">
        <v>7</v>
      </c>
      <c r="B70" s="503" t="s">
        <v>972</v>
      </c>
      <c r="C70" s="2038"/>
      <c r="D70" s="502"/>
      <c r="E70" s="502"/>
      <c r="F70" s="501"/>
      <c r="G70" s="2046"/>
      <c r="H70" s="396"/>
      <c r="I70" s="396"/>
      <c r="J70" s="396"/>
      <c r="K70" s="396"/>
      <c r="L70" s="396"/>
      <c r="M70" s="396"/>
      <c r="N70" s="396"/>
      <c r="O70" s="396"/>
      <c r="P70" s="396"/>
      <c r="W70" s="396"/>
      <c r="X70" s="396"/>
    </row>
    <row r="71" spans="1:24" s="504" customFormat="1" x14ac:dyDescent="0.25">
      <c r="A71" s="502">
        <v>8</v>
      </c>
      <c r="B71" s="503" t="s">
        <v>973</v>
      </c>
      <c r="C71" s="2038"/>
      <c r="D71" s="490"/>
      <c r="E71" s="490"/>
      <c r="F71" s="501"/>
      <c r="G71" s="2047"/>
    </row>
    <row r="72" spans="1:24" s="504" customFormat="1" x14ac:dyDescent="0.25">
      <c r="A72" s="502">
        <v>9</v>
      </c>
      <c r="B72" s="505" t="s">
        <v>974</v>
      </c>
      <c r="C72" s="2038"/>
      <c r="D72" s="506"/>
      <c r="E72" s="506"/>
      <c r="F72" s="507"/>
      <c r="G72" s="2048"/>
    </row>
    <row r="73" spans="1:24" s="511" customFormat="1" x14ac:dyDescent="0.25">
      <c r="A73" s="508">
        <v>10</v>
      </c>
      <c r="B73" s="509" t="s">
        <v>975</v>
      </c>
      <c r="C73" s="2038"/>
      <c r="D73" s="508"/>
      <c r="E73" s="508"/>
      <c r="F73" s="510"/>
      <c r="G73" s="2049"/>
      <c r="H73" s="504"/>
      <c r="I73" s="504"/>
      <c r="J73" s="504"/>
      <c r="K73" s="504"/>
      <c r="L73" s="504"/>
      <c r="M73" s="504"/>
      <c r="N73" s="504"/>
      <c r="O73" s="504"/>
      <c r="P73" s="504"/>
      <c r="W73" s="504"/>
      <c r="X73" s="504"/>
    </row>
    <row r="74" spans="1:24" s="511" customFormat="1" x14ac:dyDescent="0.25">
      <c r="A74" s="508">
        <v>11</v>
      </c>
      <c r="B74" s="509" t="s">
        <v>976</v>
      </c>
      <c r="C74" s="2038"/>
      <c r="D74" s="508"/>
      <c r="E74" s="508"/>
      <c r="F74" s="512"/>
      <c r="G74" s="2050"/>
    </row>
    <row r="75" spans="1:24" s="511" customFormat="1" x14ac:dyDescent="0.25">
      <c r="A75" s="508">
        <v>12</v>
      </c>
      <c r="B75" s="513" t="s">
        <v>977</v>
      </c>
      <c r="C75" s="2038"/>
      <c r="D75" s="490"/>
      <c r="E75" s="490"/>
      <c r="F75" s="512" t="e">
        <f>COS(ATAN(E75/D75))</f>
        <v>#DIV/0!</v>
      </c>
      <c r="G75" s="2051"/>
    </row>
    <row r="76" spans="1:24" x14ac:dyDescent="0.35">
      <c r="A76" s="514">
        <v>13</v>
      </c>
      <c r="B76" s="515" t="s">
        <v>958</v>
      </c>
      <c r="C76" s="2039"/>
      <c r="D76" s="516" t="e">
        <f>SUM(D64:D75)</f>
        <v>#REF!</v>
      </c>
      <c r="E76" s="516" t="e">
        <f>SUM(E64:E75)</f>
        <v>#REF!</v>
      </c>
      <c r="F76" s="491" t="e">
        <f>COS(ATAN(E76/D76))</f>
        <v>#REF!</v>
      </c>
      <c r="G76" s="496"/>
      <c r="H76" s="511"/>
      <c r="I76" s="511"/>
      <c r="J76" s="511"/>
      <c r="K76" s="511"/>
      <c r="L76" s="511"/>
      <c r="M76" s="511"/>
      <c r="N76" s="511"/>
      <c r="O76" s="511"/>
      <c r="P76" s="511"/>
      <c r="W76" s="511"/>
      <c r="X76" s="511"/>
    </row>
    <row r="77" spans="1:24" x14ac:dyDescent="0.35">
      <c r="G77" s="517"/>
    </row>
    <row r="78" spans="1:24" x14ac:dyDescent="0.35">
      <c r="C78" s="518"/>
      <c r="G78" s="517"/>
    </row>
    <row r="80" spans="1:24" x14ac:dyDescent="0.25">
      <c r="A80" s="2052" t="s">
        <v>978</v>
      </c>
      <c r="B80" s="2052"/>
      <c r="C80" s="2052"/>
      <c r="D80" s="2052"/>
      <c r="E80" s="494" t="str">
        <f>E61</f>
        <v>JUNE-2018</v>
      </c>
      <c r="F80" s="495"/>
      <c r="G80" s="519"/>
    </row>
    <row r="81" spans="1:13" x14ac:dyDescent="0.25">
      <c r="A81" s="2036" t="s">
        <v>949</v>
      </c>
      <c r="B81" s="2036" t="s">
        <v>961</v>
      </c>
      <c r="C81" s="489" t="s">
        <v>950</v>
      </c>
      <c r="D81" s="489" t="s">
        <v>14</v>
      </c>
      <c r="E81" s="489" t="s">
        <v>409</v>
      </c>
      <c r="F81" s="489" t="s">
        <v>962</v>
      </c>
      <c r="G81" s="2053" t="s">
        <v>7</v>
      </c>
    </row>
    <row r="82" spans="1:13" x14ac:dyDescent="0.25">
      <c r="A82" s="2036"/>
      <c r="B82" s="2036"/>
      <c r="C82" s="489" t="s">
        <v>951</v>
      </c>
      <c r="D82" s="489" t="s">
        <v>952</v>
      </c>
      <c r="E82" s="489" t="s">
        <v>953</v>
      </c>
      <c r="F82" s="489" t="s">
        <v>964</v>
      </c>
      <c r="G82" s="2054"/>
    </row>
    <row r="83" spans="1:13" x14ac:dyDescent="0.25">
      <c r="A83" s="520">
        <v>1</v>
      </c>
      <c r="B83" s="520" t="s">
        <v>979</v>
      </c>
      <c r="C83" s="2037" t="s">
        <v>966</v>
      </c>
      <c r="D83" s="514" t="e">
        <f>D64+D65+D66</f>
        <v>#REF!</v>
      </c>
      <c r="E83" s="514" t="e">
        <f>E64+E65+E66</f>
        <v>#REF!</v>
      </c>
      <c r="F83" s="491" t="e">
        <f>COS(ATAN(E83/D83))</f>
        <v>#REF!</v>
      </c>
      <c r="G83" s="2053" t="s">
        <v>980</v>
      </c>
    </row>
    <row r="84" spans="1:13" x14ac:dyDescent="0.25">
      <c r="A84" s="520">
        <v>2</v>
      </c>
      <c r="B84" s="520" t="s">
        <v>981</v>
      </c>
      <c r="C84" s="2038"/>
      <c r="D84" s="514"/>
      <c r="E84" s="514"/>
      <c r="F84" s="491"/>
      <c r="G84" s="2055"/>
    </row>
    <row r="85" spans="1:13" x14ac:dyDescent="0.25">
      <c r="A85" s="520">
        <v>3</v>
      </c>
      <c r="B85" s="520" t="s">
        <v>982</v>
      </c>
      <c r="C85" s="2038"/>
      <c r="D85" s="514"/>
      <c r="E85" s="514"/>
      <c r="F85" s="491"/>
      <c r="G85" s="2055"/>
    </row>
    <row r="86" spans="1:13" x14ac:dyDescent="0.25">
      <c r="A86" s="520">
        <v>4</v>
      </c>
      <c r="B86" s="520" t="s">
        <v>983</v>
      </c>
      <c r="C86" s="2038"/>
      <c r="D86" s="521"/>
      <c r="E86" s="521"/>
      <c r="F86" s="491"/>
      <c r="G86" s="2055"/>
    </row>
    <row r="87" spans="1:13" x14ac:dyDescent="0.25">
      <c r="A87" s="520">
        <v>5</v>
      </c>
      <c r="B87" s="520" t="s">
        <v>958</v>
      </c>
      <c r="C87" s="2039"/>
      <c r="D87" s="514" t="e">
        <f>SUM(D83:D86)</f>
        <v>#REF!</v>
      </c>
      <c r="E87" s="514" t="e">
        <f>SUM(E83:E86)</f>
        <v>#REF!</v>
      </c>
      <c r="F87" s="491" t="e">
        <f>COS(ATAN(E87/D87))</f>
        <v>#REF!</v>
      </c>
      <c r="G87" s="2054"/>
    </row>
    <row r="91" spans="1:13" x14ac:dyDescent="0.35">
      <c r="C91" s="397"/>
      <c r="D91" s="397"/>
      <c r="E91" s="397"/>
      <c r="F91" s="397"/>
    </row>
    <row r="92" spans="1:13" ht="18" customHeight="1" x14ac:dyDescent="0.35">
      <c r="A92" s="2056" t="s">
        <v>943</v>
      </c>
      <c r="B92" s="2057"/>
      <c r="C92" s="2056" t="s">
        <v>984</v>
      </c>
      <c r="D92" s="2057"/>
      <c r="E92" s="2056" t="s">
        <v>985</v>
      </c>
      <c r="F92" s="2057"/>
    </row>
    <row r="93" spans="1:13" ht="18" customHeight="1" x14ac:dyDescent="0.35">
      <c r="A93" s="2057"/>
      <c r="B93" s="2057"/>
      <c r="C93" s="2057"/>
      <c r="D93" s="2057"/>
      <c r="E93" s="2057"/>
      <c r="F93" s="2057"/>
    </row>
    <row r="94" spans="1:13" ht="18" customHeight="1" x14ac:dyDescent="0.35">
      <c r="A94" s="2057"/>
      <c r="B94" s="2057"/>
      <c r="C94" s="2057"/>
      <c r="D94" s="2057"/>
      <c r="E94" s="2057"/>
      <c r="F94" s="2057"/>
      <c r="L94" s="153"/>
      <c r="M94" s="153"/>
    </row>
    <row r="95" spans="1:13" ht="16.5" x14ac:dyDescent="0.35">
      <c r="C95" s="397"/>
      <c r="D95" s="522"/>
      <c r="E95" s="522"/>
      <c r="F95" s="522"/>
      <c r="L95" s="523"/>
      <c r="M95" s="523"/>
    </row>
    <row r="96" spans="1:13" ht="16.5" x14ac:dyDescent="0.35">
      <c r="C96" s="397"/>
      <c r="D96" s="522"/>
      <c r="E96" s="522"/>
      <c r="F96" s="522"/>
      <c r="L96" s="523"/>
      <c r="M96" s="523"/>
    </row>
    <row r="97" spans="2:15" ht="16.5" x14ac:dyDescent="0.35">
      <c r="C97" s="397"/>
      <c r="D97" s="522"/>
      <c r="E97" s="522"/>
      <c r="F97" s="522"/>
      <c r="J97" s="524"/>
      <c r="L97" s="523"/>
      <c r="M97" s="523"/>
    </row>
    <row r="98" spans="2:15" ht="16.5" x14ac:dyDescent="0.35">
      <c r="C98" s="397"/>
      <c r="D98" s="522"/>
      <c r="E98" s="522"/>
      <c r="F98" s="522"/>
      <c r="J98" s="524"/>
      <c r="L98" s="523"/>
      <c r="M98" s="523"/>
    </row>
    <row r="99" spans="2:15" ht="16.5" x14ac:dyDescent="0.35">
      <c r="C99" s="397"/>
      <c r="D99" s="522"/>
      <c r="E99" s="522"/>
      <c r="F99" s="522"/>
      <c r="J99" s="524"/>
      <c r="L99" s="523"/>
      <c r="M99" s="523"/>
    </row>
    <row r="100" spans="2:15" ht="16.5" x14ac:dyDescent="0.35">
      <c r="C100" s="397"/>
      <c r="D100" s="522"/>
      <c r="E100" s="522"/>
      <c r="F100" s="522"/>
      <c r="J100" s="524"/>
      <c r="L100" s="523"/>
      <c r="M100" s="523"/>
    </row>
    <row r="101" spans="2:15" x14ac:dyDescent="0.35">
      <c r="C101" s="397"/>
      <c r="D101" s="397"/>
      <c r="E101" s="397"/>
      <c r="F101" s="397"/>
      <c r="J101" s="524"/>
      <c r="L101" s="523"/>
      <c r="M101" s="523"/>
    </row>
    <row r="102" spans="2:15" x14ac:dyDescent="0.35">
      <c r="C102" s="397"/>
      <c r="D102" s="397"/>
      <c r="E102" s="397"/>
      <c r="F102" s="397"/>
      <c r="J102" s="525"/>
      <c r="L102" s="525"/>
      <c r="M102" s="526"/>
    </row>
    <row r="103" spans="2:15" x14ac:dyDescent="0.35">
      <c r="J103" s="524"/>
      <c r="K103" s="524"/>
      <c r="L103" s="524"/>
    </row>
    <row r="104" spans="2:15" x14ac:dyDescent="0.35">
      <c r="J104" s="524"/>
      <c r="K104" s="527"/>
      <c r="L104" s="153"/>
      <c r="M104" s="153"/>
    </row>
    <row r="105" spans="2:15" x14ac:dyDescent="0.35">
      <c r="J105" s="524"/>
      <c r="K105" s="527"/>
      <c r="L105" s="523"/>
      <c r="M105" s="523"/>
    </row>
    <row r="106" spans="2:15" ht="28.5" x14ac:dyDescent="0.35">
      <c r="C106" s="528"/>
      <c r="E106" s="528"/>
      <c r="L106" s="523"/>
      <c r="M106" s="523"/>
      <c r="O106" s="529"/>
    </row>
    <row r="107" spans="2:15" x14ac:dyDescent="0.35">
      <c r="L107" s="145"/>
    </row>
    <row r="108" spans="2:15" ht="25.5" customHeight="1" x14ac:dyDescent="0.35">
      <c r="E108" s="530"/>
      <c r="L108" s="145"/>
    </row>
    <row r="109" spans="2:15" ht="29.25" customHeight="1" x14ac:dyDescent="0.35">
      <c r="B109" s="528"/>
      <c r="C109" s="528"/>
      <c r="D109" s="531"/>
      <c r="E109" s="531"/>
      <c r="L109" s="145"/>
    </row>
    <row r="110" spans="2:15" x14ac:dyDescent="0.35">
      <c r="L110" s="145"/>
    </row>
    <row r="111" spans="2:15" x14ac:dyDescent="0.35">
      <c r="L111" s="145"/>
    </row>
    <row r="112" spans="2:15" x14ac:dyDescent="0.35">
      <c r="L112" s="145"/>
    </row>
    <row r="113" spans="1:27" ht="30" customHeight="1" x14ac:dyDescent="0.35"/>
    <row r="114" spans="1:27" ht="31.5" customHeight="1" x14ac:dyDescent="0.55000000000000004">
      <c r="A114" s="2058" t="s">
        <v>986</v>
      </c>
      <c r="B114" s="2058"/>
      <c r="C114" s="2058"/>
      <c r="D114" s="2058"/>
      <c r="E114" s="2058"/>
      <c r="F114" s="2058"/>
      <c r="G114" s="532"/>
      <c r="J114" s="144"/>
      <c r="K114" s="533" t="s">
        <v>987</v>
      </c>
      <c r="S114" s="400" t="s">
        <v>988</v>
      </c>
    </row>
    <row r="115" spans="1:27" ht="27.75" customHeight="1" x14ac:dyDescent="0.55000000000000004">
      <c r="A115" s="534"/>
      <c r="B115" s="534"/>
      <c r="C115" s="534"/>
      <c r="D115" s="534"/>
      <c r="E115" s="535"/>
      <c r="F115" s="536"/>
      <c r="G115" s="537"/>
      <c r="J115" s="538"/>
      <c r="K115" s="538"/>
      <c r="L115" s="538"/>
      <c r="M115" s="539" t="s">
        <v>989</v>
      </c>
      <c r="N115" s="540" t="e">
        <f>#REF!</f>
        <v>#REF!</v>
      </c>
      <c r="O115" s="539" t="s">
        <v>990</v>
      </c>
      <c r="P115" s="541" t="e">
        <f>K121-L121</f>
        <v>#REF!</v>
      </c>
      <c r="Q115" s="144" t="e">
        <f>N115-P115</f>
        <v>#REF!</v>
      </c>
    </row>
    <row r="116" spans="1:27" ht="28.5" customHeight="1" x14ac:dyDescent="0.55000000000000004">
      <c r="A116" s="2059" t="s">
        <v>991</v>
      </c>
      <c r="B116" s="2059"/>
      <c r="C116" s="2059"/>
      <c r="D116" s="2059"/>
      <c r="E116" s="542" t="e">
        <f>E4</f>
        <v>#REF!</v>
      </c>
      <c r="F116" s="534"/>
      <c r="K116" s="543"/>
      <c r="L116" s="144"/>
    </row>
    <row r="117" spans="1:27" s="153" customFormat="1" ht="49.5" hidden="1" x14ac:dyDescent="0.3">
      <c r="A117" s="2070" t="s">
        <v>992</v>
      </c>
      <c r="B117" s="544" t="s">
        <v>880</v>
      </c>
      <c r="C117" s="544" t="s">
        <v>993</v>
      </c>
      <c r="D117" s="544" t="s">
        <v>994</v>
      </c>
      <c r="E117" s="544" t="s">
        <v>883</v>
      </c>
      <c r="F117" s="544" t="s">
        <v>7</v>
      </c>
      <c r="G117" s="545"/>
      <c r="I117" s="456" t="s">
        <v>995</v>
      </c>
      <c r="J117" s="456" t="s">
        <v>996</v>
      </c>
      <c r="K117" s="456" t="s">
        <v>997</v>
      </c>
      <c r="L117" s="456" t="s">
        <v>998</v>
      </c>
      <c r="M117" s="546" t="s">
        <v>999</v>
      </c>
      <c r="N117" s="456" t="s">
        <v>1000</v>
      </c>
      <c r="O117" s="456" t="s">
        <v>1001</v>
      </c>
      <c r="Q117" s="456" t="s">
        <v>995</v>
      </c>
      <c r="R117" s="456" t="s">
        <v>996</v>
      </c>
      <c r="S117" s="456" t="s">
        <v>1002</v>
      </c>
      <c r="T117" s="456" t="s">
        <v>998</v>
      </c>
      <c r="U117" s="546" t="s">
        <v>999</v>
      </c>
      <c r="V117" s="456" t="s">
        <v>1000</v>
      </c>
      <c r="W117" s="456" t="s">
        <v>1001</v>
      </c>
      <c r="X117" s="2061" t="s">
        <v>1003</v>
      </c>
      <c r="Y117" s="2061"/>
    </row>
    <row r="118" spans="1:27" s="153" customFormat="1" ht="96" customHeight="1" x14ac:dyDescent="0.3">
      <c r="A118" s="2071"/>
      <c r="B118" s="547" t="s">
        <v>880</v>
      </c>
      <c r="C118" s="547" t="s">
        <v>881</v>
      </c>
      <c r="D118" s="547" t="s">
        <v>1004</v>
      </c>
      <c r="E118" s="547" t="s">
        <v>883</v>
      </c>
      <c r="F118" s="547" t="s">
        <v>884</v>
      </c>
      <c r="G118" s="545"/>
      <c r="I118" s="456"/>
      <c r="J118" s="456"/>
      <c r="K118" s="456"/>
      <c r="L118" s="456"/>
      <c r="M118" s="548"/>
      <c r="N118" s="456"/>
      <c r="O118" s="456"/>
      <c r="Q118" s="456"/>
      <c r="R118" s="456"/>
      <c r="S118" s="456"/>
      <c r="T118" s="456"/>
      <c r="U118" s="548"/>
      <c r="V118" s="456"/>
      <c r="W118" s="456"/>
      <c r="X118" s="549"/>
      <c r="Y118" s="550"/>
    </row>
    <row r="119" spans="1:27" s="153" customFormat="1" ht="21" customHeight="1" x14ac:dyDescent="0.3">
      <c r="A119" s="2072"/>
      <c r="B119" s="544" t="s">
        <v>894</v>
      </c>
      <c r="C119" s="544" t="s">
        <v>895</v>
      </c>
      <c r="D119" s="544" t="s">
        <v>896</v>
      </c>
      <c r="E119" s="544" t="s">
        <v>1005</v>
      </c>
      <c r="F119" s="544" t="s">
        <v>1006</v>
      </c>
      <c r="G119" s="545"/>
      <c r="I119" s="456" t="s">
        <v>1007</v>
      </c>
      <c r="J119" s="456" t="s">
        <v>1008</v>
      </c>
      <c r="K119" s="456" t="s">
        <v>1009</v>
      </c>
      <c r="L119" s="456" t="s">
        <v>1010</v>
      </c>
      <c r="M119" s="456" t="s">
        <v>1011</v>
      </c>
      <c r="N119" s="456" t="s">
        <v>1012</v>
      </c>
      <c r="O119" s="456" t="s">
        <v>1013</v>
      </c>
      <c r="Q119" s="456" t="s">
        <v>1007</v>
      </c>
      <c r="R119" s="456" t="s">
        <v>1008</v>
      </c>
      <c r="S119" s="456" t="s">
        <v>1009</v>
      </c>
      <c r="T119" s="456" t="s">
        <v>1010</v>
      </c>
      <c r="U119" s="456" t="s">
        <v>1011</v>
      </c>
      <c r="V119" s="456" t="s">
        <v>1012</v>
      </c>
      <c r="W119" s="456" t="s">
        <v>1013</v>
      </c>
      <c r="X119" s="2062" t="s">
        <v>1014</v>
      </c>
      <c r="Y119" s="2063"/>
    </row>
    <row r="120" spans="1:27" ht="36" customHeight="1" x14ac:dyDescent="0.25">
      <c r="A120" s="551">
        <v>1</v>
      </c>
      <c r="B120" s="551" t="s">
        <v>955</v>
      </c>
      <c r="C120" s="552" t="e">
        <f>#REF!-#REF!</f>
        <v>#REF!</v>
      </c>
      <c r="D120" s="551">
        <v>0.28860000000000002</v>
      </c>
      <c r="E120" s="553" t="e">
        <f>C120*D120</f>
        <v>#REF!</v>
      </c>
      <c r="F120" s="554"/>
      <c r="G120" s="555"/>
      <c r="I120" s="446">
        <v>1</v>
      </c>
      <c r="J120" s="446" t="s">
        <v>1015</v>
      </c>
      <c r="K120" s="556" t="e">
        <f>K7</f>
        <v>#REF!</v>
      </c>
      <c r="L120" s="557" t="e">
        <f>K120</f>
        <v>#REF!</v>
      </c>
      <c r="M120" s="558" t="e">
        <f>C120</f>
        <v>#REF!</v>
      </c>
      <c r="N120" s="559" t="e">
        <f t="shared" ref="N120:N125" si="4">L120-M120</f>
        <v>#REF!</v>
      </c>
      <c r="O120" s="446" t="s">
        <v>1016</v>
      </c>
      <c r="Q120" s="446">
        <v>1</v>
      </c>
      <c r="R120" s="446" t="s">
        <v>1015</v>
      </c>
      <c r="S120" s="424" t="e">
        <f t="shared" ref="S120:S125" si="5">S7</f>
        <v>#REF!</v>
      </c>
      <c r="T120" s="560" t="e">
        <f>L120*D120</f>
        <v>#REF!</v>
      </c>
      <c r="U120" s="561" t="e">
        <f>E120</f>
        <v>#REF!</v>
      </c>
      <c r="V120" s="562" t="e">
        <f t="shared" ref="V120:V125" si="6">T120-U120</f>
        <v>#REF!</v>
      </c>
      <c r="W120" s="446"/>
      <c r="X120" s="120"/>
      <c r="Y120" s="120"/>
      <c r="AA120" s="561"/>
    </row>
    <row r="121" spans="1:27" ht="28" x14ac:dyDescent="0.25">
      <c r="A121" s="551" t="s">
        <v>903</v>
      </c>
      <c r="B121" s="551" t="s">
        <v>956</v>
      </c>
      <c r="C121" s="563" t="e">
        <f>#REF!</f>
        <v>#REF!</v>
      </c>
      <c r="D121" s="551">
        <v>0.2944</v>
      </c>
      <c r="E121" s="553" t="e">
        <f>C121*D121</f>
        <v>#REF!</v>
      </c>
      <c r="F121" s="564"/>
      <c r="G121" s="565"/>
      <c r="I121" s="446">
        <v>2</v>
      </c>
      <c r="J121" s="446" t="s">
        <v>1017</v>
      </c>
      <c r="K121" s="556" t="e">
        <f>K8</f>
        <v>#REF!</v>
      </c>
      <c r="L121" s="566" t="e">
        <f>K8-N115</f>
        <v>#REF!</v>
      </c>
      <c r="M121" s="567" t="e">
        <f>C121</f>
        <v>#REF!</v>
      </c>
      <c r="N121" s="562" t="e">
        <f t="shared" si="4"/>
        <v>#REF!</v>
      </c>
      <c r="O121" s="446" t="s">
        <v>1018</v>
      </c>
      <c r="Q121" s="446">
        <v>2</v>
      </c>
      <c r="R121" s="446" t="s">
        <v>1017</v>
      </c>
      <c r="S121" s="424" t="e">
        <f t="shared" si="5"/>
        <v>#REF!</v>
      </c>
      <c r="T121" s="561" t="e">
        <f>L121*D121</f>
        <v>#REF!</v>
      </c>
      <c r="U121" s="561" t="e">
        <f>E121</f>
        <v>#REF!</v>
      </c>
      <c r="V121" s="561" t="e">
        <f t="shared" si="6"/>
        <v>#REF!</v>
      </c>
      <c r="W121" s="568"/>
      <c r="X121" s="134" t="s">
        <v>1019</v>
      </c>
      <c r="Y121" s="568" t="e">
        <f>T121+T122+T123</f>
        <v>#REF!</v>
      </c>
      <c r="AA121" s="561"/>
    </row>
    <row r="122" spans="1:27" ht="57" customHeight="1" x14ac:dyDescent="0.25">
      <c r="A122" s="551" t="s">
        <v>907</v>
      </c>
      <c r="B122" s="551" t="s">
        <v>1020</v>
      </c>
      <c r="C122" s="563" t="e">
        <f>#REF!</f>
        <v>#REF!</v>
      </c>
      <c r="D122" s="551">
        <v>0.2944</v>
      </c>
      <c r="E122" s="553" t="e">
        <f>C122*D122</f>
        <v>#REF!</v>
      </c>
      <c r="F122" s="564"/>
      <c r="G122" s="555"/>
      <c r="I122" s="446">
        <v>3</v>
      </c>
      <c r="J122" s="446" t="s">
        <v>1021</v>
      </c>
      <c r="K122" s="556" t="e">
        <f>K9</f>
        <v>#REF!</v>
      </c>
      <c r="L122" s="561" t="e">
        <f>K122</f>
        <v>#REF!</v>
      </c>
      <c r="M122" s="561" t="e">
        <f>C122</f>
        <v>#REF!</v>
      </c>
      <c r="N122" s="561" t="e">
        <f t="shared" si="4"/>
        <v>#REF!</v>
      </c>
      <c r="O122" s="446"/>
      <c r="Q122" s="446">
        <v>3</v>
      </c>
      <c r="R122" s="446" t="s">
        <v>1021</v>
      </c>
      <c r="S122" s="424" t="e">
        <f t="shared" si="5"/>
        <v>#REF!</v>
      </c>
      <c r="T122" s="561" t="e">
        <f>L122*D122</f>
        <v>#REF!</v>
      </c>
      <c r="U122" s="561" t="e">
        <f>E122</f>
        <v>#REF!</v>
      </c>
      <c r="V122" s="561" t="e">
        <f t="shared" si="6"/>
        <v>#REF!</v>
      </c>
      <c r="W122" s="446"/>
      <c r="X122" s="456" t="s">
        <v>1022</v>
      </c>
      <c r="Y122" s="568" t="e">
        <f>N120*D120</f>
        <v>#REF!</v>
      </c>
      <c r="AA122" s="561"/>
    </row>
    <row r="123" spans="1:27" ht="57" customHeight="1" x14ac:dyDescent="0.25">
      <c r="A123" s="551" t="s">
        <v>911</v>
      </c>
      <c r="B123" s="551" t="s">
        <v>1023</v>
      </c>
      <c r="C123" s="563" t="e">
        <f>C10</f>
        <v>#REF!</v>
      </c>
      <c r="D123" s="551">
        <v>0.2944</v>
      </c>
      <c r="E123" s="553" t="e">
        <f>C123*D123</f>
        <v>#REF!</v>
      </c>
      <c r="F123" s="552"/>
      <c r="G123" s="555"/>
      <c r="I123" s="446">
        <v>4</v>
      </c>
      <c r="J123" s="446" t="s">
        <v>1024</v>
      </c>
      <c r="K123" s="556" t="e">
        <f>K10</f>
        <v>#REF!</v>
      </c>
      <c r="L123" s="567" t="e">
        <f>C123</f>
        <v>#REF!</v>
      </c>
      <c r="M123" s="562" t="e">
        <f>C123</f>
        <v>#REF!</v>
      </c>
      <c r="N123" s="561" t="e">
        <f t="shared" si="4"/>
        <v>#REF!</v>
      </c>
      <c r="O123" s="446"/>
      <c r="Q123" s="446">
        <v>4</v>
      </c>
      <c r="R123" s="446" t="s">
        <v>1025</v>
      </c>
      <c r="S123" s="424" t="e">
        <f t="shared" si="5"/>
        <v>#REF!</v>
      </c>
      <c r="T123" s="424" t="e">
        <f>L123*D123</f>
        <v>#REF!</v>
      </c>
      <c r="U123" s="561" t="e">
        <f>E123</f>
        <v>#REF!</v>
      </c>
      <c r="V123" s="561" t="e">
        <f t="shared" si="6"/>
        <v>#REF!</v>
      </c>
      <c r="W123" s="446"/>
      <c r="X123" s="456" t="s">
        <v>1026</v>
      </c>
      <c r="Y123" s="568" t="e">
        <f>N121*D121</f>
        <v>#REF!</v>
      </c>
      <c r="AA123" s="561"/>
    </row>
    <row r="124" spans="1:27" ht="57" customHeight="1" x14ac:dyDescent="0.25">
      <c r="A124" s="551">
        <v>3</v>
      </c>
      <c r="B124" s="551" t="s">
        <v>915</v>
      </c>
      <c r="C124" s="563" t="e">
        <f>C123+C122+C121</f>
        <v>#REF!</v>
      </c>
      <c r="D124" s="551">
        <v>0.2944</v>
      </c>
      <c r="E124" s="553" t="e">
        <f>E123+E122+E121</f>
        <v>#REF!</v>
      </c>
      <c r="F124" s="564"/>
      <c r="G124" s="555"/>
      <c r="I124" s="446">
        <v>5</v>
      </c>
      <c r="J124" s="569" t="s">
        <v>1027</v>
      </c>
      <c r="K124" s="556" t="e">
        <f>K121+K122+K123</f>
        <v>#REF!</v>
      </c>
      <c r="L124" s="556" t="e">
        <f>L121+L122+L123</f>
        <v>#REF!</v>
      </c>
      <c r="M124" s="556" t="e">
        <f>M121+M122+M123</f>
        <v>#REF!</v>
      </c>
      <c r="N124" s="561" t="e">
        <f t="shared" si="4"/>
        <v>#REF!</v>
      </c>
      <c r="O124" s="446"/>
      <c r="Q124" s="446">
        <v>5</v>
      </c>
      <c r="R124" s="569" t="s">
        <v>1027</v>
      </c>
      <c r="S124" s="424" t="e">
        <f t="shared" si="5"/>
        <v>#REF!</v>
      </c>
      <c r="T124" s="561" t="e">
        <f>T121+T122+T123</f>
        <v>#REF!</v>
      </c>
      <c r="U124" s="561" t="e">
        <f>U121+U122+U123</f>
        <v>#REF!</v>
      </c>
      <c r="V124" s="561" t="e">
        <f t="shared" si="6"/>
        <v>#REF!</v>
      </c>
      <c r="W124" s="446"/>
      <c r="AA124" s="561"/>
    </row>
    <row r="125" spans="1:27" ht="29.9" customHeight="1" x14ac:dyDescent="0.25">
      <c r="A125" s="551">
        <v>4</v>
      </c>
      <c r="B125" s="570" t="s">
        <v>1028</v>
      </c>
      <c r="C125" s="552" t="e">
        <f>C124+C120</f>
        <v>#REF!</v>
      </c>
      <c r="D125" s="552"/>
      <c r="E125" s="553" t="e">
        <f>E124+E120</f>
        <v>#REF!</v>
      </c>
      <c r="F125" s="552"/>
      <c r="G125" s="571"/>
      <c r="I125" s="569">
        <v>6</v>
      </c>
      <c r="J125" s="569" t="s">
        <v>1029</v>
      </c>
      <c r="K125" s="557" t="e">
        <f>K120+K124</f>
        <v>#REF!</v>
      </c>
      <c r="L125" s="557" t="e">
        <f>L120+L124</f>
        <v>#REF!</v>
      </c>
      <c r="M125" s="557" t="e">
        <f>M120+M124</f>
        <v>#REF!</v>
      </c>
      <c r="N125" s="560" t="e">
        <f t="shared" si="4"/>
        <v>#REF!</v>
      </c>
      <c r="O125" s="446"/>
      <c r="Q125" s="569">
        <v>6</v>
      </c>
      <c r="R125" s="569" t="s">
        <v>1029</v>
      </c>
      <c r="S125" s="458" t="e">
        <f t="shared" si="5"/>
        <v>#REF!</v>
      </c>
      <c r="T125" s="560" t="e">
        <f>T120+T124</f>
        <v>#REF!</v>
      </c>
      <c r="U125" s="557" t="e">
        <f>U120+U124</f>
        <v>#REF!</v>
      </c>
      <c r="V125" s="560" t="e">
        <f t="shared" si="6"/>
        <v>#REF!</v>
      </c>
      <c r="W125" s="446"/>
      <c r="AA125" s="561"/>
    </row>
    <row r="126" spans="1:27" ht="25.15" customHeight="1" x14ac:dyDescent="0.25">
      <c r="A126" s="551">
        <v>5</v>
      </c>
      <c r="B126" s="2064" t="s">
        <v>1030</v>
      </c>
      <c r="C126" s="2064"/>
      <c r="D126" s="2064"/>
      <c r="E126" s="572">
        <v>1500000</v>
      </c>
      <c r="F126" s="552"/>
      <c r="G126" s="555"/>
      <c r="M126" s="145"/>
      <c r="U126" s="145"/>
      <c r="AA126" s="573"/>
    </row>
    <row r="127" spans="1:27" ht="25.15" customHeight="1" x14ac:dyDescent="0.35">
      <c r="A127" s="551">
        <v>6</v>
      </c>
      <c r="B127" s="2065" t="s">
        <v>1031</v>
      </c>
      <c r="C127" s="2066"/>
      <c r="D127" s="2067"/>
      <c r="E127" s="553" t="e">
        <f>E125-E126</f>
        <v>#REF!</v>
      </c>
      <c r="F127" s="552"/>
      <c r="I127" s="2068" t="s">
        <v>1032</v>
      </c>
      <c r="J127" s="2069"/>
      <c r="K127" s="574" t="e">
        <f>K120+K121+K122</f>
        <v>#REF!</v>
      </c>
      <c r="L127" s="575" t="e">
        <f>SUM(L120:L122)</f>
        <v>#REF!</v>
      </c>
      <c r="M127" s="575" t="e">
        <f>SUM(M120:M122)</f>
        <v>#REF!</v>
      </c>
      <c r="N127" s="576" t="e">
        <f>L127-M127</f>
        <v>#REF!</v>
      </c>
      <c r="O127" s="577"/>
      <c r="Q127" s="2068" t="s">
        <v>1032</v>
      </c>
      <c r="R127" s="2069"/>
      <c r="S127" s="576" t="e">
        <f>S120+S121+S122</f>
        <v>#REF!</v>
      </c>
      <c r="T127" s="576" t="e">
        <f>T120+T121+T122</f>
        <v>#REF!</v>
      </c>
      <c r="U127" s="576" t="e">
        <f>E124</f>
        <v>#REF!</v>
      </c>
      <c r="V127" s="576" t="e">
        <f>T127-U127</f>
        <v>#REF!</v>
      </c>
      <c r="W127" s="577"/>
      <c r="AA127" s="573"/>
    </row>
    <row r="128" spans="1:27" ht="19.399999999999999" customHeight="1" x14ac:dyDescent="0.35">
      <c r="A128" s="578"/>
      <c r="B128" s="579"/>
      <c r="C128" s="580"/>
      <c r="D128" s="104"/>
      <c r="E128" s="581"/>
      <c r="F128" s="582"/>
      <c r="I128" s="583"/>
      <c r="J128" s="583"/>
      <c r="K128" s="584"/>
      <c r="L128" s="585"/>
      <c r="M128" s="585"/>
      <c r="N128" s="586"/>
      <c r="O128" s="583"/>
      <c r="Q128" s="583"/>
      <c r="R128" s="583"/>
      <c r="S128" s="586"/>
      <c r="T128" s="586"/>
      <c r="U128" s="586"/>
      <c r="V128" s="586"/>
      <c r="W128" s="583"/>
      <c r="AA128" s="573"/>
    </row>
    <row r="129" spans="1:27" ht="34.15" customHeight="1" x14ac:dyDescent="0.35">
      <c r="A129" s="402"/>
      <c r="B129" s="402"/>
      <c r="C129" s="551" t="s">
        <v>1033</v>
      </c>
      <c r="D129" s="587" t="e">
        <f>C125</f>
        <v>#REF!</v>
      </c>
      <c r="E129" s="588"/>
      <c r="F129" s="589"/>
      <c r="AA129" s="573"/>
    </row>
    <row r="130" spans="1:27" ht="34.15" customHeight="1" x14ac:dyDescent="0.35">
      <c r="A130" s="402"/>
      <c r="B130" s="402"/>
      <c r="C130" s="551" t="s">
        <v>1034</v>
      </c>
      <c r="D130" s="587" t="e">
        <f>E127</f>
        <v>#REF!</v>
      </c>
      <c r="E130" s="402"/>
      <c r="F130" s="402"/>
      <c r="O130" s="145"/>
      <c r="T130" s="538"/>
      <c r="AA130" s="573"/>
    </row>
    <row r="131" spans="1:27" ht="27" customHeight="1" x14ac:dyDescent="0.35">
      <c r="A131" s="402"/>
      <c r="B131" s="402"/>
      <c r="C131" s="402"/>
      <c r="D131" s="402"/>
      <c r="E131" s="402"/>
      <c r="F131" s="588"/>
      <c r="M131" s="145"/>
    </row>
    <row r="132" spans="1:27" ht="28.5" customHeight="1" x14ac:dyDescent="0.35">
      <c r="A132" s="402"/>
      <c r="B132" s="402"/>
      <c r="C132" s="590"/>
      <c r="D132" s="591"/>
      <c r="E132" s="592"/>
      <c r="F132" s="589"/>
      <c r="U132" s="593"/>
    </row>
    <row r="133" spans="1:27" ht="14.25" customHeight="1" x14ac:dyDescent="0.35">
      <c r="A133" s="402"/>
      <c r="B133" s="402"/>
      <c r="C133" s="402"/>
      <c r="D133" s="402"/>
      <c r="E133" s="402"/>
      <c r="F133" s="402"/>
    </row>
    <row r="134" spans="1:27" ht="53.25" customHeight="1" x14ac:dyDescent="0.4">
      <c r="A134" s="2073" t="s">
        <v>1035</v>
      </c>
      <c r="B134" s="2073"/>
      <c r="C134" s="2073"/>
      <c r="D134" s="2073"/>
      <c r="E134" s="2073"/>
      <c r="F134" s="2073"/>
      <c r="G134" s="594"/>
      <c r="J134" s="595"/>
      <c r="K134" s="596" t="s">
        <v>1036</v>
      </c>
    </row>
    <row r="135" spans="1:27" ht="14.25" customHeight="1" x14ac:dyDescent="0.35"/>
    <row r="136" spans="1:27" ht="14.25" customHeight="1" x14ac:dyDescent="0.35"/>
    <row r="137" spans="1:27" ht="16.5" x14ac:dyDescent="0.45">
      <c r="A137" s="397"/>
      <c r="B137" s="397"/>
      <c r="C137" s="597"/>
      <c r="D137" s="598"/>
      <c r="E137" s="598"/>
      <c r="F137" s="397"/>
    </row>
    <row r="138" spans="1:27" ht="24.65" customHeight="1" x14ac:dyDescent="0.35">
      <c r="A138" s="397"/>
      <c r="B138" s="397"/>
      <c r="C138" s="397"/>
      <c r="D138" s="397"/>
      <c r="E138" s="397"/>
      <c r="F138" s="397"/>
    </row>
    <row r="139" spans="1:27" ht="18" customHeight="1" x14ac:dyDescent="0.35">
      <c r="A139" s="2056" t="s">
        <v>943</v>
      </c>
      <c r="B139" s="2057"/>
      <c r="C139" s="2056" t="s">
        <v>944</v>
      </c>
      <c r="D139" s="2057"/>
      <c r="E139" s="2056" t="s">
        <v>945</v>
      </c>
      <c r="F139" s="2056"/>
    </row>
    <row r="140" spans="1:27" ht="18" customHeight="1" x14ac:dyDescent="0.35">
      <c r="A140" s="2057"/>
      <c r="B140" s="2057"/>
      <c r="C140" s="2057"/>
      <c r="D140" s="2057"/>
      <c r="E140" s="2056"/>
      <c r="F140" s="2056"/>
    </row>
    <row r="141" spans="1:27" ht="56.15" customHeight="1" x14ac:dyDescent="0.35">
      <c r="A141" s="2057"/>
      <c r="B141" s="2057"/>
      <c r="C141" s="2057"/>
      <c r="D141" s="2057"/>
      <c r="E141" s="2056"/>
      <c r="F141" s="2056"/>
    </row>
    <row r="142" spans="1:27" ht="16.5" x14ac:dyDescent="0.35">
      <c r="A142" s="599"/>
      <c r="B142" s="522"/>
      <c r="C142" s="538"/>
      <c r="D142" s="593"/>
      <c r="E142" s="522"/>
      <c r="F142" s="397"/>
    </row>
    <row r="143" spans="1:27" ht="16.5" x14ac:dyDescent="0.35">
      <c r="A143" s="599"/>
      <c r="B143" s="522"/>
      <c r="C143" s="538"/>
      <c r="D143" s="593"/>
      <c r="E143" s="522"/>
      <c r="F143" s="397"/>
    </row>
    <row r="144" spans="1:27" ht="16.5" x14ac:dyDescent="0.35">
      <c r="A144" s="599"/>
      <c r="B144" s="522"/>
      <c r="C144" s="600"/>
      <c r="D144" s="593"/>
      <c r="E144" s="522"/>
      <c r="F144" s="397"/>
    </row>
    <row r="145" spans="1:6" ht="15.75" customHeight="1" x14ac:dyDescent="0.35">
      <c r="A145" s="599"/>
      <c r="B145" s="522"/>
      <c r="C145" s="593"/>
      <c r="D145" s="593"/>
      <c r="E145" s="522"/>
      <c r="F145" s="397"/>
    </row>
    <row r="146" spans="1:6" ht="15" customHeight="1" x14ac:dyDescent="0.35">
      <c r="A146" s="397"/>
      <c r="B146" s="522"/>
      <c r="E146" s="397"/>
      <c r="F146" s="397"/>
    </row>
    <row r="147" spans="1:6" ht="16.5" x14ac:dyDescent="0.35">
      <c r="A147" s="397"/>
      <c r="B147" s="522"/>
      <c r="E147" s="538"/>
      <c r="F147" s="397"/>
    </row>
    <row r="148" spans="1:6" ht="14.9" customHeight="1" x14ac:dyDescent="0.35">
      <c r="A148" s="397"/>
      <c r="B148" s="397"/>
      <c r="E148" s="397"/>
      <c r="F148" s="397"/>
    </row>
    <row r="149" spans="1:6" ht="16.5" x14ac:dyDescent="0.35">
      <c r="A149" s="397"/>
      <c r="B149" s="397"/>
      <c r="C149" s="522"/>
      <c r="D149" s="397"/>
      <c r="E149" s="397"/>
      <c r="F149" s="397"/>
    </row>
    <row r="150" spans="1:6" ht="16.5" customHeight="1" x14ac:dyDescent="0.35">
      <c r="A150" s="397"/>
      <c r="B150" s="397"/>
      <c r="C150" s="522"/>
      <c r="D150" s="397"/>
      <c r="E150" s="397"/>
      <c r="F150" s="397"/>
    </row>
    <row r="151" spans="1:6" x14ac:dyDescent="0.35">
      <c r="A151" s="397"/>
      <c r="B151" s="397"/>
      <c r="C151" s="397"/>
      <c r="D151" s="397"/>
      <c r="E151" s="397"/>
      <c r="F151" s="397"/>
    </row>
    <row r="152" spans="1:6" x14ac:dyDescent="0.35">
      <c r="A152" s="397"/>
      <c r="B152" s="397"/>
      <c r="C152" s="397"/>
      <c r="D152" s="397"/>
      <c r="E152" s="397"/>
      <c r="F152" s="397"/>
    </row>
    <row r="153" spans="1:6" ht="15" customHeight="1" x14ac:dyDescent="0.35">
      <c r="A153" s="397"/>
      <c r="B153" s="397"/>
      <c r="C153" s="397"/>
      <c r="D153" s="397"/>
      <c r="E153" s="397"/>
      <c r="F153" s="397"/>
    </row>
    <row r="154" spans="1:6" x14ac:dyDescent="0.35">
      <c r="A154" s="397"/>
      <c r="B154" s="397"/>
      <c r="C154" s="397"/>
      <c r="D154" s="397"/>
      <c r="E154" s="397"/>
      <c r="F154" s="397"/>
    </row>
    <row r="155" spans="1:6" ht="14.25" customHeight="1" x14ac:dyDescent="0.35">
      <c r="A155" s="397"/>
      <c r="B155" s="397"/>
      <c r="C155" s="397"/>
      <c r="D155" s="397"/>
      <c r="E155" s="397"/>
      <c r="F155" s="397"/>
    </row>
    <row r="160" spans="1:6" ht="18.75" customHeight="1" x14ac:dyDescent="0.35"/>
    <row r="167" spans="1:7" x14ac:dyDescent="0.35">
      <c r="C167" s="2060" t="s">
        <v>1037</v>
      </c>
      <c r="D167" s="2060"/>
    </row>
    <row r="168" spans="1:7" x14ac:dyDescent="0.35">
      <c r="A168" s="2060" t="s">
        <v>1038</v>
      </c>
      <c r="B168" s="2060"/>
      <c r="C168" s="2060"/>
      <c r="D168" s="2060"/>
      <c r="E168" s="2060"/>
      <c r="F168" s="2060"/>
      <c r="G168" s="532"/>
    </row>
    <row r="169" spans="1:7" x14ac:dyDescent="0.35">
      <c r="E169" s="601"/>
      <c r="F169" s="537"/>
      <c r="G169" s="537"/>
    </row>
    <row r="170" spans="1:7" x14ac:dyDescent="0.35">
      <c r="A170" s="2075" t="s">
        <v>1039</v>
      </c>
      <c r="B170" s="2075"/>
      <c r="C170" s="2075"/>
      <c r="D170" s="2075">
        <f>D283</f>
        <v>0</v>
      </c>
      <c r="E170" s="2075"/>
    </row>
    <row r="171" spans="1:7" ht="29" x14ac:dyDescent="0.35">
      <c r="A171" s="2037" t="s">
        <v>992</v>
      </c>
      <c r="B171" s="489" t="s">
        <v>880</v>
      </c>
      <c r="C171" s="489" t="s">
        <v>993</v>
      </c>
      <c r="D171" s="489" t="s">
        <v>994</v>
      </c>
      <c r="E171" s="489" t="s">
        <v>883</v>
      </c>
      <c r="F171" s="489" t="s">
        <v>1040</v>
      </c>
    </row>
    <row r="172" spans="1:7" ht="26.25" customHeight="1" x14ac:dyDescent="0.35">
      <c r="A172" s="2039"/>
      <c r="B172" s="489" t="s">
        <v>894</v>
      </c>
      <c r="C172" s="489" t="s">
        <v>895</v>
      </c>
      <c r="D172" s="489" t="s">
        <v>896</v>
      </c>
      <c r="E172" s="489" t="s">
        <v>1005</v>
      </c>
      <c r="F172" s="489" t="s">
        <v>1006</v>
      </c>
    </row>
    <row r="173" spans="1:7" x14ac:dyDescent="0.35">
      <c r="A173" s="489">
        <v>1</v>
      </c>
      <c r="B173" s="489" t="s">
        <v>955</v>
      </c>
      <c r="C173" s="490" t="e">
        <f>C120</f>
        <v>#REF!</v>
      </c>
      <c r="D173" s="489">
        <v>0.27679999999999999</v>
      </c>
      <c r="E173" s="490" t="e">
        <f>C173*D173</f>
        <v>#REF!</v>
      </c>
      <c r="F173" s="602" t="e">
        <f>K120</f>
        <v>#REF!</v>
      </c>
    </row>
    <row r="174" spans="1:7" x14ac:dyDescent="0.35">
      <c r="A174" s="489">
        <v>2</v>
      </c>
      <c r="B174" s="489" t="s">
        <v>956</v>
      </c>
      <c r="C174" s="490" t="e">
        <f>C121+C123</f>
        <v>#REF!</v>
      </c>
      <c r="D174" s="489">
        <v>0.27910000000000001</v>
      </c>
      <c r="E174" s="490" t="e">
        <f>C174*D174</f>
        <v>#REF!</v>
      </c>
      <c r="F174" s="514" t="e">
        <f>K121+K123</f>
        <v>#REF!</v>
      </c>
    </row>
    <row r="175" spans="1:7" ht="29" x14ac:dyDescent="0.35">
      <c r="A175" s="489">
        <v>3</v>
      </c>
      <c r="B175" s="489" t="s">
        <v>1020</v>
      </c>
      <c r="C175" s="490" t="e">
        <f>C122</f>
        <v>#REF!</v>
      </c>
      <c r="D175" s="489">
        <v>0.27910000000000001</v>
      </c>
      <c r="E175" s="490" t="e">
        <f>C175*D175</f>
        <v>#REF!</v>
      </c>
      <c r="F175" s="514" t="e">
        <f>K122</f>
        <v>#REF!</v>
      </c>
    </row>
    <row r="176" spans="1:7" x14ac:dyDescent="0.25">
      <c r="A176" s="489"/>
      <c r="B176" s="492" t="s">
        <v>958</v>
      </c>
      <c r="C176" s="490" t="e">
        <f>SUM(C173:C175)</f>
        <v>#REF!</v>
      </c>
      <c r="D176" s="490"/>
      <c r="E176" s="490" t="e">
        <f>SUM(E173:E175)</f>
        <v>#REF!</v>
      </c>
      <c r="F176" s="514" t="e">
        <f>SUM(F173:F175)</f>
        <v>#REF!</v>
      </c>
      <c r="G176" s="555"/>
    </row>
    <row r="180" spans="1:7" x14ac:dyDescent="0.35">
      <c r="B180" s="489" t="s">
        <v>1033</v>
      </c>
      <c r="C180" s="602" t="e">
        <f>C176</f>
        <v>#REF!</v>
      </c>
    </row>
    <row r="181" spans="1:7" x14ac:dyDescent="0.35">
      <c r="B181" s="489" t="s">
        <v>1041</v>
      </c>
      <c r="C181" s="603" t="e">
        <f>E176</f>
        <v>#REF!</v>
      </c>
    </row>
    <row r="183" spans="1:7" ht="29.15" customHeight="1" x14ac:dyDescent="0.35"/>
    <row r="184" spans="1:7" ht="29.15" customHeight="1" x14ac:dyDescent="0.35"/>
    <row r="185" spans="1:7" ht="29.15" customHeight="1" x14ac:dyDescent="0.25">
      <c r="A185" s="2076" t="s">
        <v>1042</v>
      </c>
      <c r="B185" s="2076"/>
      <c r="C185" s="2076"/>
      <c r="D185" s="2076"/>
      <c r="E185" s="2076"/>
      <c r="F185" s="2076"/>
      <c r="G185" s="594"/>
    </row>
    <row r="186" spans="1:7" ht="29.15" customHeight="1" x14ac:dyDescent="0.35"/>
    <row r="187" spans="1:7" ht="27" customHeight="1" x14ac:dyDescent="0.35"/>
    <row r="195" ht="27.75" customHeight="1" x14ac:dyDescent="0.35"/>
    <row r="211" spans="1:7" x14ac:dyDescent="0.35">
      <c r="A211" s="397"/>
      <c r="B211" s="397"/>
      <c r="C211" s="397"/>
      <c r="D211" s="397"/>
      <c r="E211" s="397"/>
      <c r="F211" s="397"/>
      <c r="G211" s="397"/>
    </row>
    <row r="212" spans="1:7" x14ac:dyDescent="0.35">
      <c r="A212" s="397"/>
      <c r="B212" s="151"/>
      <c r="C212" s="150"/>
      <c r="D212" s="148"/>
      <c r="E212" s="151"/>
      <c r="F212" s="110"/>
      <c r="G212" s="151"/>
    </row>
    <row r="213" spans="1:7" x14ac:dyDescent="0.35">
      <c r="A213" s="397"/>
      <c r="B213" s="111"/>
      <c r="C213" s="147"/>
      <c r="D213" s="148"/>
      <c r="E213" s="112"/>
      <c r="F213" s="110"/>
      <c r="G213" s="604"/>
    </row>
    <row r="214" spans="1:7" ht="33.75" customHeight="1" x14ac:dyDescent="0.35">
      <c r="A214" s="397"/>
      <c r="B214" s="111"/>
      <c r="C214" s="605"/>
      <c r="D214" s="605"/>
      <c r="E214" s="112"/>
      <c r="F214" s="606"/>
      <c r="G214" s="397"/>
    </row>
    <row r="215" spans="1:7" x14ac:dyDescent="0.35">
      <c r="A215" s="397"/>
      <c r="B215" s="111"/>
      <c r="C215" s="605"/>
      <c r="D215" s="605"/>
      <c r="E215" s="112"/>
      <c r="F215" s="606"/>
      <c r="G215" s="397"/>
    </row>
    <row r="216" spans="1:7" x14ac:dyDescent="0.35">
      <c r="A216" s="397"/>
      <c r="B216" s="599"/>
      <c r="C216" s="605"/>
      <c r="D216" s="605"/>
      <c r="E216" s="112"/>
      <c r="F216" s="555"/>
      <c r="G216" s="397"/>
    </row>
    <row r="217" spans="1:7" x14ac:dyDescent="0.35">
      <c r="A217" s="397"/>
      <c r="B217" s="397"/>
      <c r="C217" s="397"/>
      <c r="D217" s="397"/>
      <c r="E217" s="397"/>
      <c r="F217" s="397"/>
      <c r="G217" s="397"/>
    </row>
    <row r="237" spans="1:7" x14ac:dyDescent="0.35">
      <c r="A237" s="397"/>
      <c r="B237" s="397"/>
      <c r="C237" s="397"/>
      <c r="D237" s="397"/>
      <c r="E237" s="397"/>
      <c r="F237" s="397"/>
    </row>
    <row r="238" spans="1:7" x14ac:dyDescent="0.25">
      <c r="A238" s="2077"/>
      <c r="B238" s="2077"/>
      <c r="C238" s="2077"/>
      <c r="D238" s="607"/>
      <c r="E238" s="607"/>
      <c r="F238" s="608"/>
      <c r="G238" s="608"/>
    </row>
    <row r="239" spans="1:7" x14ac:dyDescent="0.25">
      <c r="A239" s="2078"/>
      <c r="B239" s="485"/>
      <c r="C239" s="485"/>
      <c r="D239" s="485"/>
      <c r="E239" s="485"/>
      <c r="F239" s="485"/>
      <c r="G239" s="485"/>
    </row>
    <row r="240" spans="1:7" x14ac:dyDescent="0.25">
      <c r="A240" s="2078"/>
      <c r="B240" s="485"/>
      <c r="C240" s="485"/>
      <c r="D240" s="485"/>
      <c r="E240" s="485"/>
      <c r="F240" s="485"/>
      <c r="G240" s="485"/>
    </row>
    <row r="241" spans="1:7" x14ac:dyDescent="0.25">
      <c r="A241" s="485"/>
      <c r="B241" s="485"/>
      <c r="C241" s="609"/>
      <c r="D241" s="485"/>
      <c r="E241" s="609"/>
      <c r="F241" s="609"/>
      <c r="G241" s="609"/>
    </row>
    <row r="242" spans="1:7" x14ac:dyDescent="0.25">
      <c r="A242" s="485"/>
      <c r="B242" s="485"/>
      <c r="C242" s="609"/>
      <c r="D242" s="485"/>
      <c r="E242" s="609"/>
      <c r="F242" s="609"/>
      <c r="G242" s="609"/>
    </row>
    <row r="243" spans="1:7" x14ac:dyDescent="0.25">
      <c r="A243" s="485"/>
      <c r="B243" s="485"/>
      <c r="C243" s="609"/>
      <c r="D243" s="485"/>
      <c r="E243" s="609"/>
      <c r="F243" s="609"/>
      <c r="G243" s="609"/>
    </row>
    <row r="244" spans="1:7" x14ac:dyDescent="0.25">
      <c r="A244" s="485"/>
      <c r="B244" s="610"/>
      <c r="C244" s="609"/>
      <c r="D244" s="609"/>
      <c r="E244" s="609"/>
      <c r="F244" s="609"/>
      <c r="G244" s="609"/>
    </row>
    <row r="245" spans="1:7" x14ac:dyDescent="0.25">
      <c r="A245" s="2078"/>
      <c r="B245" s="2078"/>
      <c r="C245" s="609"/>
      <c r="D245" s="611"/>
      <c r="E245" s="609"/>
      <c r="F245" s="609"/>
      <c r="G245" s="609"/>
    </row>
    <row r="246" spans="1:7" x14ac:dyDescent="0.35">
      <c r="A246" s="397"/>
      <c r="B246" s="397"/>
      <c r="C246" s="605"/>
      <c r="D246" s="397"/>
      <c r="E246" s="605"/>
      <c r="F246" s="605"/>
      <c r="G246" s="493"/>
    </row>
    <row r="247" spans="1:7" x14ac:dyDescent="0.35">
      <c r="A247" s="397"/>
      <c r="B247" s="397"/>
      <c r="C247" s="397"/>
      <c r="D247" s="397"/>
      <c r="E247" s="397"/>
      <c r="F247" s="397"/>
    </row>
    <row r="248" spans="1:7" x14ac:dyDescent="0.35">
      <c r="A248" s="397"/>
      <c r="B248" s="397"/>
      <c r="C248" s="397"/>
      <c r="D248" s="397"/>
      <c r="E248" s="397"/>
      <c r="F248" s="397"/>
    </row>
    <row r="249" spans="1:7" x14ac:dyDescent="0.35">
      <c r="A249" s="397"/>
      <c r="B249" s="397"/>
      <c r="C249" s="605"/>
      <c r="D249" s="397"/>
      <c r="E249" s="397"/>
      <c r="F249" s="397"/>
    </row>
    <row r="250" spans="1:7" x14ac:dyDescent="0.35">
      <c r="A250" s="397"/>
      <c r="B250" s="397"/>
      <c r="C250" s="605"/>
      <c r="D250" s="397"/>
      <c r="E250" s="397"/>
      <c r="F250" s="397"/>
    </row>
    <row r="251" spans="1:7" x14ac:dyDescent="0.35">
      <c r="A251" s="397"/>
      <c r="B251" s="397"/>
      <c r="C251" s="2079"/>
      <c r="D251" s="2079"/>
      <c r="E251" s="605"/>
      <c r="F251" s="397"/>
    </row>
    <row r="252" spans="1:7" x14ac:dyDescent="0.35">
      <c r="A252" s="397"/>
      <c r="B252" s="397"/>
      <c r="C252" s="397"/>
      <c r="D252" s="397"/>
      <c r="E252" s="397"/>
      <c r="F252" s="397"/>
    </row>
    <row r="253" spans="1:7" x14ac:dyDescent="0.35">
      <c r="A253" s="397"/>
      <c r="B253" s="397"/>
      <c r="C253" s="2079"/>
      <c r="D253" s="2079"/>
      <c r="E253" s="2079"/>
      <c r="F253" s="397"/>
    </row>
    <row r="254" spans="1:7" x14ac:dyDescent="0.35">
      <c r="A254" s="397"/>
      <c r="B254" s="397"/>
      <c r="C254" s="599"/>
      <c r="D254" s="599"/>
      <c r="E254" s="599"/>
      <c r="F254" s="397"/>
    </row>
    <row r="255" spans="1:7" x14ac:dyDescent="0.35">
      <c r="A255" s="397"/>
      <c r="B255" s="397"/>
      <c r="C255" s="599"/>
      <c r="D255" s="599"/>
      <c r="E255" s="599"/>
      <c r="F255" s="397"/>
    </row>
    <row r="256" spans="1:7" x14ac:dyDescent="0.35">
      <c r="A256" s="397"/>
      <c r="B256" s="397"/>
      <c r="C256" s="599"/>
      <c r="D256" s="599"/>
      <c r="E256" s="599"/>
      <c r="F256" s="397"/>
    </row>
    <row r="257" spans="1:7" x14ac:dyDescent="0.35">
      <c r="A257" s="397"/>
      <c r="B257" s="397"/>
      <c r="C257" s="599"/>
      <c r="D257" s="599"/>
      <c r="E257" s="599"/>
      <c r="F257" s="397"/>
    </row>
    <row r="258" spans="1:7" x14ac:dyDescent="0.35">
      <c r="A258" s="397"/>
      <c r="B258" s="397"/>
      <c r="C258" s="599"/>
      <c r="D258" s="599"/>
      <c r="E258" s="599"/>
      <c r="F258" s="397"/>
    </row>
    <row r="259" spans="1:7" x14ac:dyDescent="0.35">
      <c r="A259" s="397"/>
      <c r="B259" s="397"/>
      <c r="C259" s="599"/>
      <c r="D259" s="599"/>
      <c r="E259" s="599"/>
      <c r="F259" s="397"/>
    </row>
    <row r="260" spans="1:7" x14ac:dyDescent="0.35">
      <c r="A260" s="397"/>
      <c r="B260" s="397"/>
      <c r="C260" s="599"/>
      <c r="D260" s="599"/>
      <c r="E260" s="599"/>
      <c r="F260" s="397"/>
    </row>
    <row r="261" spans="1:7" x14ac:dyDescent="0.35">
      <c r="A261" s="397"/>
      <c r="B261" s="397"/>
      <c r="C261" s="599"/>
      <c r="D261" s="599"/>
      <c r="E261" s="599"/>
      <c r="F261" s="397"/>
    </row>
    <row r="262" spans="1:7" x14ac:dyDescent="0.35">
      <c r="A262" s="397"/>
      <c r="B262" s="612"/>
      <c r="C262" s="599"/>
      <c r="D262" s="599"/>
      <c r="E262" s="599"/>
      <c r="F262" s="397"/>
    </row>
    <row r="263" spans="1:7" x14ac:dyDescent="0.35">
      <c r="A263" s="397"/>
      <c r="B263" s="612"/>
      <c r="C263" s="599"/>
      <c r="D263" s="2074"/>
      <c r="E263" s="2074"/>
      <c r="F263" s="397"/>
    </row>
    <row r="264" spans="1:7" x14ac:dyDescent="0.35">
      <c r="A264" s="397"/>
      <c r="B264" s="612"/>
      <c r="C264" s="599"/>
      <c r="D264" s="2079"/>
      <c r="E264" s="2079"/>
      <c r="F264" s="397"/>
      <c r="G264" s="397"/>
    </row>
    <row r="265" spans="1:7" x14ac:dyDescent="0.35">
      <c r="A265" s="397"/>
      <c r="B265" s="612"/>
      <c r="C265" s="599"/>
      <c r="D265" s="2074"/>
      <c r="E265" s="2074"/>
      <c r="F265" s="605"/>
      <c r="G265" s="605"/>
    </row>
    <row r="266" spans="1:7" x14ac:dyDescent="0.35">
      <c r="A266" s="397"/>
      <c r="B266" s="612"/>
      <c r="C266" s="599"/>
      <c r="D266" s="2074"/>
      <c r="E266" s="2074"/>
      <c r="F266" s="397"/>
      <c r="G266" s="397"/>
    </row>
    <row r="267" spans="1:7" x14ac:dyDescent="0.35">
      <c r="A267" s="397"/>
      <c r="B267" s="612"/>
      <c r="C267" s="599"/>
      <c r="D267" s="599"/>
      <c r="E267" s="599"/>
      <c r="F267" s="397"/>
      <c r="G267" s="397"/>
    </row>
    <row r="268" spans="1:7" x14ac:dyDescent="0.35">
      <c r="A268" s="397"/>
      <c r="B268" s="397"/>
      <c r="C268" s="397"/>
      <c r="D268" s="397"/>
      <c r="E268" s="397"/>
      <c r="F268" s="397"/>
    </row>
    <row r="269" spans="1:7" x14ac:dyDescent="0.35">
      <c r="A269" s="397"/>
      <c r="B269" s="397"/>
      <c r="C269" s="2079"/>
      <c r="D269" s="2079"/>
      <c r="E269" s="2079"/>
      <c r="F269" s="613"/>
      <c r="G269" s="613"/>
    </row>
    <row r="270" spans="1:7" x14ac:dyDescent="0.35">
      <c r="A270" s="397"/>
      <c r="B270" s="397"/>
      <c r="C270" s="599"/>
      <c r="D270" s="599"/>
      <c r="E270" s="599"/>
      <c r="F270" s="397"/>
      <c r="G270" s="397"/>
    </row>
    <row r="271" spans="1:7" x14ac:dyDescent="0.35">
      <c r="A271" s="397"/>
      <c r="B271" s="397"/>
      <c r="C271" s="599"/>
      <c r="D271" s="599"/>
      <c r="E271" s="606"/>
      <c r="F271" s="397"/>
      <c r="G271" s="397"/>
    </row>
    <row r="272" spans="1:7" x14ac:dyDescent="0.35">
      <c r="A272" s="397"/>
      <c r="B272" s="397"/>
      <c r="C272" s="599"/>
      <c r="D272" s="606"/>
      <c r="E272" s="606"/>
      <c r="F272" s="397"/>
      <c r="G272" s="397"/>
    </row>
    <row r="273" spans="1:7" x14ac:dyDescent="0.35">
      <c r="A273" s="397"/>
      <c r="B273" s="397"/>
      <c r="C273" s="599"/>
      <c r="D273" s="606"/>
      <c r="E273" s="606"/>
      <c r="F273" s="397"/>
      <c r="G273" s="397"/>
    </row>
    <row r="274" spans="1:7" x14ac:dyDescent="0.35">
      <c r="A274" s="397"/>
      <c r="B274" s="397"/>
      <c r="C274" s="599"/>
      <c r="D274" s="599"/>
      <c r="E274" s="599"/>
      <c r="F274" s="397"/>
      <c r="G274" s="397"/>
    </row>
    <row r="275" spans="1:7" x14ac:dyDescent="0.35">
      <c r="A275" s="397"/>
      <c r="B275" s="397"/>
      <c r="C275" s="599"/>
      <c r="D275" s="599"/>
      <c r="E275" s="599"/>
      <c r="F275" s="397"/>
      <c r="G275" s="397"/>
    </row>
    <row r="276" spans="1:7" x14ac:dyDescent="0.35">
      <c r="A276" s="397"/>
      <c r="B276" s="397"/>
      <c r="C276" s="599"/>
      <c r="D276" s="599"/>
      <c r="E276" s="599"/>
      <c r="F276" s="612"/>
      <c r="G276" s="612"/>
    </row>
    <row r="277" spans="1:7" x14ac:dyDescent="0.35">
      <c r="A277" s="397"/>
      <c r="B277" s="397"/>
      <c r="C277" s="599"/>
      <c r="D277" s="599"/>
      <c r="E277" s="599"/>
      <c r="F277" s="612"/>
      <c r="G277" s="612"/>
    </row>
    <row r="278" spans="1:7" x14ac:dyDescent="0.35">
      <c r="A278" s="397"/>
      <c r="B278" s="397"/>
      <c r="C278" s="599"/>
      <c r="D278" s="599"/>
      <c r="E278" s="599"/>
      <c r="F278" s="612"/>
      <c r="G278" s="612"/>
    </row>
    <row r="279" spans="1:7" x14ac:dyDescent="0.35">
      <c r="A279" s="397"/>
      <c r="B279" s="612"/>
      <c r="C279" s="599"/>
      <c r="D279" s="606"/>
      <c r="E279" s="606"/>
      <c r="F279" s="397"/>
      <c r="G279" s="397"/>
    </row>
    <row r="280" spans="1:7" x14ac:dyDescent="0.35">
      <c r="A280" s="397"/>
      <c r="B280" s="612"/>
      <c r="C280" s="599"/>
      <c r="D280" s="606"/>
      <c r="E280" s="606"/>
      <c r="F280" s="397"/>
      <c r="G280" s="397"/>
    </row>
    <row r="281" spans="1:7" x14ac:dyDescent="0.35">
      <c r="A281" s="397"/>
      <c r="B281" s="612"/>
      <c r="C281" s="599"/>
      <c r="D281" s="599"/>
      <c r="E281" s="606"/>
      <c r="F281" s="397"/>
      <c r="G281" s="397"/>
    </row>
    <row r="282" spans="1:7" x14ac:dyDescent="0.35">
      <c r="A282" s="397"/>
      <c r="B282" s="612"/>
      <c r="C282" s="599"/>
      <c r="D282" s="2074"/>
      <c r="E282" s="2074"/>
      <c r="F282" s="397"/>
      <c r="G282" s="397"/>
    </row>
    <row r="283" spans="1:7" x14ac:dyDescent="0.35">
      <c r="A283" s="397"/>
      <c r="B283" s="612"/>
      <c r="C283" s="599"/>
      <c r="D283" s="2074"/>
      <c r="E283" s="2079"/>
      <c r="F283" s="605"/>
      <c r="G283" s="605"/>
    </row>
    <row r="284" spans="1:7" x14ac:dyDescent="0.35">
      <c r="A284" s="397"/>
      <c r="B284" s="612"/>
      <c r="C284" s="599"/>
      <c r="D284" s="2074"/>
      <c r="E284" s="2074"/>
      <c r="F284" s="397"/>
      <c r="G284" s="397"/>
    </row>
    <row r="285" spans="1:7" x14ac:dyDescent="0.35">
      <c r="A285" s="397"/>
      <c r="B285" s="612"/>
      <c r="C285" s="599"/>
      <c r="D285" s="606"/>
      <c r="E285" s="606"/>
      <c r="F285" s="605"/>
      <c r="G285" s="605"/>
    </row>
    <row r="286" spans="1:7" x14ac:dyDescent="0.35">
      <c r="A286" s="397"/>
      <c r="B286" s="2081"/>
      <c r="C286" s="599"/>
      <c r="D286" s="2074"/>
      <c r="E286" s="2074"/>
      <c r="F286" s="397"/>
      <c r="G286" s="397"/>
    </row>
    <row r="287" spans="1:7" x14ac:dyDescent="0.35">
      <c r="A287" s="397"/>
      <c r="B287" s="2081"/>
      <c r="C287" s="599"/>
      <c r="D287" s="2074"/>
      <c r="E287" s="2074"/>
      <c r="F287" s="605"/>
      <c r="G287" s="605"/>
    </row>
    <row r="288" spans="1:7" x14ac:dyDescent="0.35">
      <c r="A288" s="397"/>
      <c r="B288" s="612"/>
      <c r="C288" s="2079"/>
      <c r="D288" s="2079"/>
      <c r="E288" s="2079"/>
      <c r="F288" s="605"/>
      <c r="G288" s="605"/>
    </row>
    <row r="289" spans="1:6" x14ac:dyDescent="0.35">
      <c r="A289" s="397"/>
      <c r="B289" s="397"/>
      <c r="C289" s="397"/>
      <c r="D289" s="397"/>
      <c r="E289" s="397"/>
      <c r="F289" s="397"/>
    </row>
    <row r="290" spans="1:6" x14ac:dyDescent="0.35">
      <c r="A290" s="397"/>
      <c r="B290" s="397"/>
      <c r="C290" s="397"/>
      <c r="D290" s="397"/>
      <c r="E290" s="397"/>
      <c r="F290" s="397"/>
    </row>
    <row r="354" spans="2:7" x14ac:dyDescent="0.35">
      <c r="B354" s="2060" t="s">
        <v>1043</v>
      </c>
      <c r="C354" s="2060"/>
      <c r="D354" s="2060"/>
      <c r="E354" s="2060"/>
      <c r="F354" s="614"/>
      <c r="G354" s="614"/>
    </row>
    <row r="355" spans="2:7" x14ac:dyDescent="0.35">
      <c r="B355" s="2080" t="s">
        <v>1044</v>
      </c>
      <c r="C355" s="2080"/>
      <c r="D355" s="2080"/>
      <c r="E355" s="2080"/>
    </row>
    <row r="356" spans="2:7" x14ac:dyDescent="0.35">
      <c r="B356" s="2080"/>
      <c r="C356" s="2080"/>
      <c r="D356" s="2080"/>
      <c r="E356" s="2080"/>
    </row>
    <row r="358" spans="2:7" x14ac:dyDescent="0.35">
      <c r="B358" s="489" t="s">
        <v>880</v>
      </c>
      <c r="C358" s="489" t="s">
        <v>14</v>
      </c>
      <c r="D358" s="489" t="s">
        <v>409</v>
      </c>
      <c r="E358" s="489" t="s">
        <v>1045</v>
      </c>
    </row>
    <row r="359" spans="2:7" x14ac:dyDescent="0.35">
      <c r="B359" s="489" t="s">
        <v>1046</v>
      </c>
      <c r="C359" s="490" t="e">
        <f>#REF!</f>
        <v>#REF!</v>
      </c>
      <c r="D359" s="490" t="e">
        <f>#REF!</f>
        <v>#REF!</v>
      </c>
      <c r="E359" s="491" t="e">
        <f>COS(ATAN(D359/C359))</f>
        <v>#REF!</v>
      </c>
    </row>
    <row r="360" spans="2:7" x14ac:dyDescent="0.35">
      <c r="B360" s="489" t="s">
        <v>1047</v>
      </c>
      <c r="C360" s="490" t="e">
        <f>#REF!</f>
        <v>#REF!</v>
      </c>
      <c r="D360" s="490" t="e">
        <f>#REF!</f>
        <v>#REF!</v>
      </c>
      <c r="E360" s="491" t="e">
        <f>COS(ATAN(D360/C360))</f>
        <v>#REF!</v>
      </c>
    </row>
    <row r="361" spans="2:7" x14ac:dyDescent="0.35">
      <c r="B361" s="489" t="s">
        <v>1048</v>
      </c>
      <c r="C361" s="490" t="e">
        <f>#REF!</f>
        <v>#REF!</v>
      </c>
      <c r="D361" s="490" t="e">
        <f>#REF!</f>
        <v>#REF!</v>
      </c>
      <c r="E361" s="491" t="e">
        <f>COS(ATAN(D361/C361))</f>
        <v>#REF!</v>
      </c>
    </row>
    <row r="362" spans="2:7" x14ac:dyDescent="0.35">
      <c r="B362" s="520" t="s">
        <v>1049</v>
      </c>
      <c r="C362" s="490" t="e">
        <f>SUM(C359:C361)</f>
        <v>#REF!</v>
      </c>
      <c r="D362" s="490" t="e">
        <f>SUM(D359:D361)</f>
        <v>#REF!</v>
      </c>
      <c r="E362" s="491" t="e">
        <f>COS(ATAN(D362/C362))</f>
        <v>#REF!</v>
      </c>
    </row>
    <row r="365" spans="2:7" ht="23.25" customHeight="1" x14ac:dyDescent="0.35"/>
    <row r="368" spans="2:7" ht="51.75" customHeight="1" x14ac:dyDescent="0.35"/>
    <row r="369" ht="32.25" customHeight="1" x14ac:dyDescent="0.35"/>
    <row r="370" ht="32.25" customHeight="1" x14ac:dyDescent="0.35"/>
    <row r="371" ht="32.25" customHeight="1" x14ac:dyDescent="0.35"/>
    <row r="372" ht="32.25" customHeight="1" x14ac:dyDescent="0.35"/>
  </sheetData>
  <mergeCells count="76">
    <mergeCell ref="C288:E288"/>
    <mergeCell ref="B354:E354"/>
    <mergeCell ref="B355:E355"/>
    <mergeCell ref="B356:E356"/>
    <mergeCell ref="D266:E266"/>
    <mergeCell ref="C269:E269"/>
    <mergeCell ref="D282:E282"/>
    <mergeCell ref="D283:E283"/>
    <mergeCell ref="D284:E284"/>
    <mergeCell ref="B286:B287"/>
    <mergeCell ref="D286:E286"/>
    <mergeCell ref="D287:E287"/>
    <mergeCell ref="D265:E265"/>
    <mergeCell ref="A170:C170"/>
    <mergeCell ref="D170:E170"/>
    <mergeCell ref="A171:A172"/>
    <mergeCell ref="A185:F185"/>
    <mergeCell ref="A238:C238"/>
    <mergeCell ref="A239:A240"/>
    <mergeCell ref="A245:B245"/>
    <mergeCell ref="C251:D251"/>
    <mergeCell ref="C253:E253"/>
    <mergeCell ref="D263:E263"/>
    <mergeCell ref="D264:E264"/>
    <mergeCell ref="A168:F168"/>
    <mergeCell ref="X117:Y117"/>
    <mergeCell ref="X119:Y119"/>
    <mergeCell ref="B126:D126"/>
    <mergeCell ref="B127:D127"/>
    <mergeCell ref="I127:J127"/>
    <mergeCell ref="Q127:R127"/>
    <mergeCell ref="A117:A119"/>
    <mergeCell ref="A134:F134"/>
    <mergeCell ref="A139:B141"/>
    <mergeCell ref="C139:D141"/>
    <mergeCell ref="E139:F141"/>
    <mergeCell ref="C167:D167"/>
    <mergeCell ref="A92:B94"/>
    <mergeCell ref="C92:D94"/>
    <mergeCell ref="E92:F94"/>
    <mergeCell ref="A114:F114"/>
    <mergeCell ref="A116:D116"/>
    <mergeCell ref="A80:D80"/>
    <mergeCell ref="A81:A82"/>
    <mergeCell ref="B81:B82"/>
    <mergeCell ref="G81:G82"/>
    <mergeCell ref="C83:C87"/>
    <mergeCell ref="G83:G87"/>
    <mergeCell ref="F56:G56"/>
    <mergeCell ref="F57:G57"/>
    <mergeCell ref="A61:D61"/>
    <mergeCell ref="A62:A63"/>
    <mergeCell ref="B62:B63"/>
    <mergeCell ref="C64:C76"/>
    <mergeCell ref="G64:G66"/>
    <mergeCell ref="G67:G69"/>
    <mergeCell ref="G70:G72"/>
    <mergeCell ref="G73:G75"/>
    <mergeCell ref="F55:G55"/>
    <mergeCell ref="A23:F23"/>
    <mergeCell ref="A27:B29"/>
    <mergeCell ref="C27:D29"/>
    <mergeCell ref="E27:F29"/>
    <mergeCell ref="A49:G49"/>
    <mergeCell ref="A50:G50"/>
    <mergeCell ref="A51:D51"/>
    <mergeCell ref="F51:G52"/>
    <mergeCell ref="A52:A53"/>
    <mergeCell ref="F53:G53"/>
    <mergeCell ref="F54:G54"/>
    <mergeCell ref="A22:B22"/>
    <mergeCell ref="A2:F2"/>
    <mergeCell ref="A4:D4"/>
    <mergeCell ref="A5:A6"/>
    <mergeCell ref="B17:D17"/>
    <mergeCell ref="A20:F21"/>
  </mergeCells>
  <printOptions horizontalCentered="1"/>
  <pageMargins left="0.5" right="0.5" top="0.5" bottom="0.5" header="0" footer="0"/>
  <pageSetup paperSize="9" scale="75" fitToWidth="0" fitToHeight="0" orientation="portrait" r:id="rId1"/>
  <rowBreaks count="2" manualBreakCount="2">
    <brk id="112" max="16383" man="1"/>
    <brk id="155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537"/>
  <sheetViews>
    <sheetView topLeftCell="A45" zoomScale="66" zoomScaleNormal="66" workbookViewId="0">
      <selection activeCell="A1516" sqref="A1516:N1530"/>
    </sheetView>
  </sheetViews>
  <sheetFormatPr defaultRowHeight="14.5" x14ac:dyDescent="0.35"/>
  <cols>
    <col min="1" max="1" width="3.81640625" customWidth="1"/>
    <col min="2" max="2" width="33.7265625" customWidth="1"/>
    <col min="3" max="3" width="5.453125" customWidth="1"/>
    <col min="4" max="4" width="7" customWidth="1"/>
    <col min="5" max="5" width="17.1796875" customWidth="1"/>
    <col min="6" max="6" width="5.81640625" customWidth="1"/>
    <col min="7" max="8" width="14.7265625" customWidth="1"/>
    <col min="9" max="9" width="13.7265625" customWidth="1"/>
    <col min="10" max="10" width="11" customWidth="1"/>
    <col min="11" max="11" width="20.81640625" customWidth="1"/>
    <col min="12" max="12" width="14.54296875" customWidth="1"/>
    <col min="13" max="13" width="16" customWidth="1"/>
    <col min="14" max="14" width="16.453125" customWidth="1"/>
    <col min="15" max="15" width="13.81640625" customWidth="1"/>
  </cols>
  <sheetData>
    <row r="1" spans="1:15" x14ac:dyDescent="0.35">
      <c r="A1" s="620"/>
      <c r="B1" s="635"/>
      <c r="C1" s="632"/>
      <c r="D1" s="720"/>
      <c r="E1" s="632"/>
      <c r="F1" s="620"/>
      <c r="G1" s="620"/>
      <c r="H1" s="620"/>
      <c r="I1" s="620"/>
      <c r="J1" s="620"/>
      <c r="K1" s="702"/>
      <c r="L1" s="620"/>
      <c r="M1" s="620"/>
      <c r="N1" s="632"/>
      <c r="O1" s="620"/>
    </row>
    <row r="2" spans="1:15" x14ac:dyDescent="0.35">
      <c r="A2" s="620"/>
      <c r="B2" s="635"/>
      <c r="C2" s="632"/>
      <c r="D2" s="720"/>
      <c r="E2" s="632"/>
      <c r="F2" s="620"/>
      <c r="G2" s="620"/>
      <c r="H2" s="620"/>
      <c r="I2" s="620"/>
      <c r="J2" s="620"/>
      <c r="K2" s="702"/>
      <c r="L2" s="620"/>
      <c r="M2" s="620"/>
      <c r="N2" s="632"/>
      <c r="O2" s="620"/>
    </row>
    <row r="3" spans="1:15" ht="25" x14ac:dyDescent="0.35">
      <c r="A3" s="46"/>
      <c r="B3" s="2152"/>
      <c r="C3" s="2152"/>
      <c r="D3" s="2152"/>
      <c r="E3" s="2152"/>
      <c r="F3" s="2152"/>
      <c r="G3" s="2152"/>
      <c r="H3" s="2152"/>
      <c r="I3" s="2152"/>
      <c r="J3" s="2152"/>
      <c r="K3" s="2152"/>
      <c r="L3" s="2152"/>
      <c r="M3" s="2152"/>
      <c r="N3" s="75"/>
      <c r="O3" s="28"/>
    </row>
    <row r="4" spans="1:15" x14ac:dyDescent="0.35">
      <c r="A4" s="620"/>
      <c r="B4" s="635"/>
      <c r="C4" s="632"/>
      <c r="D4" s="720"/>
      <c r="E4" s="632"/>
      <c r="F4" s="620"/>
      <c r="G4" s="620"/>
      <c r="H4" s="620"/>
      <c r="I4" s="620"/>
      <c r="J4" s="620"/>
      <c r="K4" s="702"/>
      <c r="L4" s="620"/>
      <c r="M4" s="620"/>
      <c r="N4" s="632"/>
      <c r="O4" s="620"/>
    </row>
    <row r="5" spans="1:15" x14ac:dyDescent="0.35">
      <c r="A5" s="620"/>
      <c r="B5" s="635"/>
      <c r="C5" s="632"/>
      <c r="D5" s="720"/>
      <c r="E5" s="632"/>
      <c r="F5" s="620"/>
      <c r="G5" s="620"/>
      <c r="H5" s="620"/>
      <c r="I5" s="620"/>
      <c r="J5" s="620"/>
      <c r="K5" s="702"/>
      <c r="L5" s="620"/>
      <c r="M5" s="620"/>
      <c r="N5" s="632"/>
      <c r="O5" s="620"/>
    </row>
    <row r="6" spans="1:15" ht="25" x14ac:dyDescent="0.35">
      <c r="A6" s="2095" t="s">
        <v>1210</v>
      </c>
      <c r="B6" s="2095"/>
      <c r="C6" s="2095"/>
      <c r="D6" s="2095"/>
      <c r="E6" s="2095"/>
      <c r="F6" s="2095"/>
      <c r="G6" s="2095"/>
      <c r="H6" s="2095"/>
      <c r="I6" s="2095"/>
      <c r="J6" s="2095"/>
      <c r="K6" s="2095"/>
      <c r="L6" s="2095"/>
      <c r="M6" s="2095"/>
      <c r="N6" s="2095"/>
      <c r="O6" s="756" t="e">
        <f>#REF!</f>
        <v>#REF!</v>
      </c>
    </row>
    <row r="7" spans="1:15" ht="15.5" x14ac:dyDescent="0.35">
      <c r="A7" s="2096" t="s">
        <v>0</v>
      </c>
      <c r="B7" s="2098" t="s">
        <v>1</v>
      </c>
      <c r="C7" s="2100" t="s">
        <v>2</v>
      </c>
      <c r="D7" s="2101"/>
      <c r="E7" s="2102"/>
      <c r="F7" s="2103" t="s">
        <v>3</v>
      </c>
      <c r="G7" s="2100" t="s">
        <v>4</v>
      </c>
      <c r="H7" s="2102"/>
      <c r="I7" s="2085"/>
      <c r="J7" s="2103" t="s">
        <v>5</v>
      </c>
      <c r="K7" s="2100" t="s">
        <v>6</v>
      </c>
      <c r="L7" s="2102"/>
      <c r="M7" s="97" t="s">
        <v>1088</v>
      </c>
      <c r="N7" s="98"/>
      <c r="O7" s="2084" t="s">
        <v>7</v>
      </c>
    </row>
    <row r="8" spans="1:15" ht="15.5" x14ac:dyDescent="0.35">
      <c r="A8" s="2097"/>
      <c r="B8" s="2099"/>
      <c r="C8" s="2086" t="s">
        <v>1108</v>
      </c>
      <c r="D8" s="2087"/>
      <c r="E8" s="87" t="s">
        <v>9</v>
      </c>
      <c r="F8" s="2097"/>
      <c r="G8" s="2">
        <f>'NORTH-1'!$G$8</f>
        <v>44774</v>
      </c>
      <c r="H8" s="2">
        <f>'NORTH-1'!$H$8</f>
        <v>44805</v>
      </c>
      <c r="I8" s="1" t="s">
        <v>10</v>
      </c>
      <c r="J8" s="2097"/>
      <c r="K8" s="1" t="s">
        <v>11</v>
      </c>
      <c r="L8" s="1" t="s">
        <v>12</v>
      </c>
      <c r="M8" s="617" t="s">
        <v>33</v>
      </c>
      <c r="N8" s="76" t="s">
        <v>47</v>
      </c>
      <c r="O8" s="2085"/>
    </row>
    <row r="9" spans="1:15" ht="15.5" x14ac:dyDescent="0.35">
      <c r="A9" s="3">
        <v>1</v>
      </c>
      <c r="B9" s="88">
        <v>2</v>
      </c>
      <c r="C9" s="2088">
        <v>4</v>
      </c>
      <c r="D9" s="2089"/>
      <c r="E9" s="88">
        <v>5</v>
      </c>
      <c r="F9" s="3">
        <v>7</v>
      </c>
      <c r="G9" s="3">
        <v>8</v>
      </c>
      <c r="H9" s="3">
        <v>9</v>
      </c>
      <c r="I9" s="3" t="s">
        <v>13</v>
      </c>
      <c r="J9" s="3">
        <v>11</v>
      </c>
      <c r="K9" s="3" t="s">
        <v>19</v>
      </c>
      <c r="L9" s="3" t="s">
        <v>20</v>
      </c>
      <c r="M9" s="3">
        <v>14</v>
      </c>
      <c r="N9" s="77">
        <v>15</v>
      </c>
      <c r="O9" s="3">
        <v>16</v>
      </c>
    </row>
    <row r="10" spans="1:15" ht="15.5" x14ac:dyDescent="0.35">
      <c r="A10" s="11"/>
      <c r="B10" s="624" t="s">
        <v>1112</v>
      </c>
      <c r="C10" s="625"/>
      <c r="D10" s="625"/>
      <c r="E10" s="667"/>
      <c r="F10" s="625"/>
      <c r="G10" s="625"/>
      <c r="H10" s="625"/>
      <c r="I10" s="625"/>
      <c r="J10" s="625"/>
      <c r="K10" s="695"/>
      <c r="L10" s="625"/>
      <c r="M10" s="626"/>
      <c r="N10" s="627"/>
      <c r="O10" s="8"/>
    </row>
    <row r="11" spans="1:15" ht="15.5" x14ac:dyDescent="0.35">
      <c r="A11" s="631"/>
      <c r="B11" s="100" t="s">
        <v>557</v>
      </c>
      <c r="C11" s="52">
        <v>132</v>
      </c>
      <c r="D11" s="2105" t="s">
        <v>698</v>
      </c>
      <c r="E11" s="2149" t="s">
        <v>28</v>
      </c>
      <c r="F11" s="4">
        <v>1</v>
      </c>
      <c r="G11" s="5"/>
      <c r="H11" s="5"/>
      <c r="I11" s="5">
        <f>H11-G11</f>
        <v>0</v>
      </c>
      <c r="J11" s="616"/>
      <c r="K11" s="696">
        <v>66072960.000000022</v>
      </c>
      <c r="L11" s="7"/>
      <c r="M11" s="7"/>
      <c r="N11" s="78"/>
      <c r="O11" s="616"/>
    </row>
    <row r="12" spans="1:15" ht="15.5" x14ac:dyDescent="0.35">
      <c r="A12" s="631"/>
      <c r="B12" s="100" t="s">
        <v>556</v>
      </c>
      <c r="C12" s="52">
        <v>132</v>
      </c>
      <c r="D12" s="2106"/>
      <c r="E12" s="2150"/>
      <c r="F12" s="4">
        <v>1</v>
      </c>
      <c r="G12" s="5"/>
      <c r="H12" s="5"/>
      <c r="I12" s="5">
        <f>H12-G12</f>
        <v>0</v>
      </c>
      <c r="J12" s="616"/>
      <c r="K12" s="696">
        <v>49877760.000000127</v>
      </c>
      <c r="L12" s="16">
        <f>J12*I12*F12</f>
        <v>0</v>
      </c>
      <c r="M12" s="16"/>
      <c r="N12" s="79"/>
      <c r="O12" s="616"/>
    </row>
    <row r="13" spans="1:15" ht="15.5" x14ac:dyDescent="0.35">
      <c r="A13" s="631"/>
      <c r="B13" s="100" t="s">
        <v>2499</v>
      </c>
      <c r="C13" s="52">
        <v>132</v>
      </c>
      <c r="D13" s="2106"/>
      <c r="E13" s="615" t="s">
        <v>29</v>
      </c>
      <c r="F13" s="4">
        <v>1</v>
      </c>
      <c r="G13" s="5"/>
      <c r="H13" s="5"/>
      <c r="I13" s="5">
        <f>H13-G13</f>
        <v>0</v>
      </c>
      <c r="J13" s="616"/>
      <c r="K13" s="696">
        <v>0</v>
      </c>
      <c r="L13" s="7"/>
      <c r="M13" s="7"/>
      <c r="N13" s="78"/>
      <c r="O13" s="616"/>
    </row>
    <row r="14" spans="1:15" ht="15.5" x14ac:dyDescent="0.35">
      <c r="A14" s="631"/>
      <c r="B14" s="95"/>
      <c r="C14" s="89"/>
      <c r="D14" s="89"/>
      <c r="E14" s="89"/>
      <c r="F14" s="37"/>
      <c r="G14" s="37"/>
      <c r="H14" s="37"/>
      <c r="I14" s="2136" t="s">
        <v>236</v>
      </c>
      <c r="J14" s="2137"/>
      <c r="K14" s="698">
        <f>SUM(K11:K13)</f>
        <v>115950720.00000015</v>
      </c>
      <c r="L14" s="94">
        <f>SUM(L11:L13)</f>
        <v>0</v>
      </c>
      <c r="M14" s="18"/>
      <c r="N14" s="81"/>
      <c r="O14" s="616"/>
    </row>
    <row r="15" spans="1:15" ht="15.5" x14ac:dyDescent="0.35">
      <c r="A15" s="631"/>
      <c r="B15" s="95"/>
      <c r="C15" s="89"/>
      <c r="D15" s="89"/>
      <c r="E15" s="89"/>
      <c r="F15" s="37"/>
      <c r="G15" s="37"/>
      <c r="H15" s="37"/>
      <c r="I15" s="665"/>
      <c r="J15" s="665" t="s">
        <v>31</v>
      </c>
      <c r="K15" s="699">
        <f>K14-L14</f>
        <v>115950720.00000015</v>
      </c>
      <c r="L15" s="40"/>
      <c r="M15" s="41"/>
      <c r="N15" s="632"/>
      <c r="O15" s="616"/>
    </row>
    <row r="16" spans="1:15" ht="15.5" x14ac:dyDescent="0.35">
      <c r="A16" s="631"/>
      <c r="B16" s="624" t="s">
        <v>4638</v>
      </c>
      <c r="C16" s="625"/>
      <c r="D16" s="625"/>
      <c r="E16" s="625"/>
      <c r="F16" s="625"/>
      <c r="G16" s="625"/>
      <c r="H16" s="625"/>
      <c r="I16" s="625"/>
      <c r="J16" s="625"/>
      <c r="K16" s="695"/>
      <c r="L16" s="625"/>
      <c r="M16" s="626"/>
      <c r="N16" s="627"/>
      <c r="O16" s="616"/>
    </row>
    <row r="17" spans="1:15" ht="15.5" x14ac:dyDescent="0.35">
      <c r="A17" s="631"/>
      <c r="B17" s="100"/>
      <c r="C17" s="52"/>
      <c r="D17" s="2105"/>
      <c r="E17" s="2149"/>
      <c r="F17" s="4"/>
      <c r="G17" s="5"/>
      <c r="H17" s="5"/>
      <c r="I17" s="5">
        <f>H17-G17</f>
        <v>0</v>
      </c>
      <c r="J17" s="616"/>
      <c r="K17" s="696"/>
      <c r="L17" s="16"/>
      <c r="M17" s="16"/>
      <c r="N17" s="79"/>
      <c r="O17" s="616"/>
    </row>
    <row r="18" spans="1:15" ht="15.5" x14ac:dyDescent="0.35">
      <c r="A18" s="631"/>
      <c r="B18" s="100"/>
      <c r="C18" s="52"/>
      <c r="D18" s="2106"/>
      <c r="E18" s="2150"/>
      <c r="F18" s="4"/>
      <c r="G18" s="5"/>
      <c r="H18" s="5"/>
      <c r="I18" s="5">
        <f>H18-G18</f>
        <v>0</v>
      </c>
      <c r="J18" s="616"/>
      <c r="K18" s="696"/>
      <c r="L18" s="16"/>
      <c r="M18" s="16"/>
      <c r="N18" s="79"/>
      <c r="O18" s="616"/>
    </row>
    <row r="19" spans="1:15" ht="15.5" x14ac:dyDescent="0.35">
      <c r="A19" s="631"/>
      <c r="B19" s="100"/>
      <c r="C19" s="52"/>
      <c r="D19" s="2106"/>
      <c r="E19" s="2149"/>
      <c r="F19" s="4"/>
      <c r="G19" s="5"/>
      <c r="H19" s="5"/>
      <c r="I19" s="5">
        <f>H19-G19</f>
        <v>0</v>
      </c>
      <c r="J19" s="616"/>
      <c r="K19" s="696"/>
      <c r="L19" s="16"/>
      <c r="M19" s="16"/>
      <c r="N19" s="79"/>
      <c r="O19" s="616"/>
    </row>
    <row r="20" spans="1:15" ht="15.5" x14ac:dyDescent="0.35">
      <c r="A20" s="631"/>
      <c r="B20" s="100"/>
      <c r="C20" s="52"/>
      <c r="D20" s="2151"/>
      <c r="E20" s="2150"/>
      <c r="F20" s="4"/>
      <c r="G20" s="5"/>
      <c r="H20" s="5"/>
      <c r="I20" s="5">
        <f>H20-G20</f>
        <v>0</v>
      </c>
      <c r="J20" s="616"/>
      <c r="K20" s="697"/>
      <c r="L20" s="17"/>
      <c r="M20" s="17"/>
      <c r="N20" s="80"/>
      <c r="O20" s="616"/>
    </row>
    <row r="21" spans="1:15" ht="15.5" x14ac:dyDescent="0.35">
      <c r="A21" s="631"/>
      <c r="B21" s="95"/>
      <c r="C21" s="89"/>
      <c r="D21" s="89"/>
      <c r="E21" s="89"/>
      <c r="F21" s="37"/>
      <c r="G21" s="37"/>
      <c r="H21" s="37"/>
      <c r="I21" s="2136" t="s">
        <v>303</v>
      </c>
      <c r="J21" s="2137"/>
      <c r="K21" s="698">
        <f>SUM(K17:K20)</f>
        <v>0</v>
      </c>
      <c r="L21" s="94">
        <f>SUM(L17:L20)</f>
        <v>0</v>
      </c>
      <c r="M21" s="18"/>
      <c r="N21" s="81"/>
      <c r="O21" s="633"/>
    </row>
    <row r="22" spans="1:15" ht="15.5" x14ac:dyDescent="0.35">
      <c r="A22" s="631"/>
      <c r="B22" s="95"/>
      <c r="C22" s="89"/>
      <c r="D22" s="89"/>
      <c r="E22" s="89"/>
      <c r="F22" s="37"/>
      <c r="G22" s="37"/>
      <c r="H22" s="37"/>
      <c r="I22" s="2136" t="s">
        <v>31</v>
      </c>
      <c r="J22" s="2137"/>
      <c r="K22" s="699">
        <f>K15</f>
        <v>115950720.00000015</v>
      </c>
      <c r="L22" s="40"/>
      <c r="M22" s="42"/>
      <c r="N22" s="634"/>
      <c r="O22" s="633"/>
    </row>
    <row r="23" spans="1:15" ht="15.5" x14ac:dyDescent="0.35">
      <c r="A23" s="11"/>
      <c r="B23" s="647" t="s">
        <v>4639</v>
      </c>
      <c r="C23" s="648"/>
      <c r="D23" s="648"/>
      <c r="E23" s="648"/>
      <c r="F23" s="648"/>
      <c r="G23" s="648"/>
      <c r="H23" s="648"/>
      <c r="I23" s="648"/>
      <c r="J23" s="648"/>
      <c r="K23" s="700"/>
      <c r="L23" s="648"/>
      <c r="M23" s="651"/>
      <c r="N23" s="649"/>
      <c r="O23" s="8"/>
    </row>
    <row r="24" spans="1:15" ht="15.5" x14ac:dyDescent="0.35">
      <c r="A24" s="631"/>
      <c r="B24" s="100" t="s">
        <v>2500</v>
      </c>
      <c r="C24" s="52">
        <v>132</v>
      </c>
      <c r="D24" s="2138" t="s">
        <v>1083</v>
      </c>
      <c r="E24" s="615"/>
      <c r="F24" s="4"/>
      <c r="G24" s="5"/>
      <c r="H24" s="5"/>
      <c r="I24" s="5">
        <f>H24-G24</f>
        <v>0</v>
      </c>
      <c r="J24" s="616"/>
      <c r="K24" s="696"/>
      <c r="L24" s="16">
        <v>23893181.759999473</v>
      </c>
      <c r="M24" s="7"/>
      <c r="N24" s="78"/>
      <c r="O24" s="616"/>
    </row>
    <row r="25" spans="1:15" ht="15.5" x14ac:dyDescent="0.35">
      <c r="A25" s="631"/>
      <c r="B25" s="100" t="s">
        <v>2501</v>
      </c>
      <c r="C25" s="52">
        <v>132</v>
      </c>
      <c r="D25" s="2139"/>
      <c r="E25" s="615"/>
      <c r="F25" s="4"/>
      <c r="G25" s="5"/>
      <c r="H25" s="5"/>
      <c r="I25" s="5">
        <f>H25-G25</f>
        <v>0</v>
      </c>
      <c r="J25" s="616"/>
      <c r="K25" s="696"/>
      <c r="L25" s="16">
        <v>0</v>
      </c>
      <c r="M25" s="7"/>
      <c r="N25" s="78"/>
      <c r="O25" s="616"/>
    </row>
    <row r="26" spans="1:15" ht="15.5" x14ac:dyDescent="0.35">
      <c r="A26" s="631"/>
      <c r="B26" s="100" t="s">
        <v>2502</v>
      </c>
      <c r="C26" s="52">
        <v>132</v>
      </c>
      <c r="D26" s="2139"/>
      <c r="E26" s="615"/>
      <c r="F26" s="4"/>
      <c r="G26" s="5"/>
      <c r="H26" s="5"/>
      <c r="I26" s="5">
        <f>H26-G26</f>
        <v>0</v>
      </c>
      <c r="J26" s="616"/>
      <c r="K26" s="696"/>
      <c r="L26" s="16">
        <v>3360865</v>
      </c>
      <c r="M26" s="7"/>
      <c r="N26" s="78"/>
      <c r="O26" s="616"/>
    </row>
    <row r="27" spans="1:15" ht="15.5" x14ac:dyDescent="0.35">
      <c r="A27" s="631"/>
      <c r="B27" s="100" t="s">
        <v>2503</v>
      </c>
      <c r="C27" s="52">
        <v>132</v>
      </c>
      <c r="D27" s="2139"/>
      <c r="E27" s="615"/>
      <c r="F27" s="4"/>
      <c r="G27" s="5"/>
      <c r="H27" s="5"/>
      <c r="I27" s="5">
        <f>H27-G27</f>
        <v>0</v>
      </c>
      <c r="J27" s="616"/>
      <c r="K27" s="696"/>
      <c r="L27" s="16">
        <v>45927000</v>
      </c>
      <c r="M27" s="7"/>
      <c r="N27" s="78"/>
      <c r="O27" s="616"/>
    </row>
    <row r="28" spans="1:15" ht="15.5" x14ac:dyDescent="0.35">
      <c r="A28" s="631"/>
      <c r="B28" s="100" t="s">
        <v>2504</v>
      </c>
      <c r="C28" s="52">
        <v>132</v>
      </c>
      <c r="D28" s="2139"/>
      <c r="E28" s="615"/>
      <c r="F28" s="4"/>
      <c r="G28" s="5"/>
      <c r="H28" s="5"/>
      <c r="I28" s="5">
        <f>H28-G28</f>
        <v>0</v>
      </c>
      <c r="J28" s="616"/>
      <c r="K28" s="696"/>
      <c r="L28" s="16">
        <v>16814399.999999858</v>
      </c>
      <c r="M28" s="16"/>
      <c r="N28" s="79"/>
      <c r="O28" s="616"/>
    </row>
    <row r="29" spans="1:15" ht="15.5" x14ac:dyDescent="0.35">
      <c r="A29" s="631"/>
      <c r="B29" s="95"/>
      <c r="C29" s="89"/>
      <c r="D29" s="89"/>
      <c r="E29" s="89"/>
      <c r="F29" s="37"/>
      <c r="G29" s="37"/>
      <c r="H29" s="37"/>
      <c r="I29" s="37"/>
      <c r="J29" s="95" t="s">
        <v>279</v>
      </c>
      <c r="K29" s="699"/>
      <c r="L29" s="43">
        <f>SUM(L24:L28)</f>
        <v>89995446.759999335</v>
      </c>
      <c r="M29" s="633"/>
      <c r="N29" s="634"/>
      <c r="O29" s="616"/>
    </row>
    <row r="30" spans="1:15" ht="15.5" x14ac:dyDescent="0.35">
      <c r="A30" s="11"/>
      <c r="B30" s="647" t="s">
        <v>4637</v>
      </c>
      <c r="C30" s="648"/>
      <c r="D30" s="648"/>
      <c r="E30" s="648"/>
      <c r="F30" s="648"/>
      <c r="G30" s="648"/>
      <c r="H30" s="648"/>
      <c r="I30" s="648"/>
      <c r="J30" s="648"/>
      <c r="K30" s="700"/>
      <c r="L30" s="648"/>
      <c r="M30" s="651"/>
      <c r="N30" s="649"/>
      <c r="O30" s="8"/>
    </row>
    <row r="31" spans="1:15" ht="30" x14ac:dyDescent="0.35">
      <c r="A31" s="631">
        <v>9</v>
      </c>
      <c r="B31" s="100" t="s">
        <v>2505</v>
      </c>
      <c r="C31" s="52">
        <v>132</v>
      </c>
      <c r="D31" s="1774" t="s">
        <v>326</v>
      </c>
      <c r="E31" s="615" t="s">
        <v>2506</v>
      </c>
      <c r="F31" s="4">
        <v>1</v>
      </c>
      <c r="G31" s="5"/>
      <c r="H31" s="5"/>
      <c r="I31" s="5">
        <f>H31-G31</f>
        <v>0</v>
      </c>
      <c r="J31" s="616">
        <v>1000</v>
      </c>
      <c r="K31" s="696"/>
      <c r="L31" s="16">
        <v>12028000</v>
      </c>
      <c r="M31" s="16"/>
      <c r="N31" s="78"/>
      <c r="O31" s="616" t="s">
        <v>2507</v>
      </c>
    </row>
    <row r="32" spans="1:15" ht="30" x14ac:dyDescent="0.35">
      <c r="A32" s="631">
        <v>10</v>
      </c>
      <c r="B32" s="100" t="s">
        <v>2508</v>
      </c>
      <c r="C32" s="52">
        <v>132</v>
      </c>
      <c r="D32" s="1775" t="s">
        <v>326</v>
      </c>
      <c r="E32" s="615" t="s">
        <v>2509</v>
      </c>
      <c r="F32" s="4">
        <v>1</v>
      </c>
      <c r="G32" s="5">
        <v>155046</v>
      </c>
      <c r="H32" s="5">
        <v>168791</v>
      </c>
      <c r="I32" s="5">
        <f>H32-G32</f>
        <v>13745</v>
      </c>
      <c r="J32" s="616">
        <v>1000</v>
      </c>
      <c r="K32" s="696"/>
      <c r="L32" s="16">
        <f>SUM(I32*F32*J32)</f>
        <v>13745000</v>
      </c>
      <c r="M32" s="16"/>
      <c r="N32" s="78"/>
      <c r="O32" s="616">
        <f>L31+L32</f>
        <v>25773000</v>
      </c>
    </row>
    <row r="33" spans="1:15" ht="15.5" x14ac:dyDescent="0.35">
      <c r="A33" s="631"/>
      <c r="B33" s="95"/>
      <c r="C33" s="89"/>
      <c r="D33" s="89"/>
      <c r="E33" s="65"/>
      <c r="F33" s="65"/>
      <c r="G33" s="65"/>
      <c r="H33" s="65"/>
      <c r="I33" s="65"/>
      <c r="J33" s="95" t="s">
        <v>30</v>
      </c>
      <c r="K33" s="701"/>
      <c r="L33" s="43">
        <f>SUM(L31:L32)</f>
        <v>25773000</v>
      </c>
      <c r="M33" s="55"/>
      <c r="N33" s="78"/>
      <c r="O33" s="616"/>
    </row>
    <row r="34" spans="1:15" ht="15" thickBot="1" x14ac:dyDescent="0.4">
      <c r="A34" s="620"/>
      <c r="B34" s="635"/>
      <c r="C34" s="632"/>
      <c r="D34" s="720"/>
      <c r="K34" s="702"/>
      <c r="L34" s="620"/>
      <c r="M34" s="620"/>
      <c r="N34" s="632"/>
      <c r="O34" s="620"/>
    </row>
    <row r="35" spans="1:15" s="620" customFormat="1" x14ac:dyDescent="0.35">
      <c r="B35" s="2142" t="s">
        <v>1090</v>
      </c>
      <c r="C35" s="2143"/>
      <c r="D35" s="683" t="s">
        <v>14</v>
      </c>
      <c r="E35"/>
      <c r="F35" s="2144" t="s">
        <v>1091</v>
      </c>
      <c r="G35" s="2145"/>
      <c r="H35" s="2146"/>
      <c r="I35" s="683" t="s">
        <v>14</v>
      </c>
      <c r="K35" s="2147" t="s">
        <v>1092</v>
      </c>
      <c r="L35" s="2148"/>
      <c r="M35" s="684" t="s">
        <v>14</v>
      </c>
      <c r="N35" s="632"/>
    </row>
    <row r="36" spans="1:15" s="620" customFormat="1" x14ac:dyDescent="0.35">
      <c r="B36" s="2122" t="str">
        <f>B10</f>
        <v>RAMPURA 132 KV SIDE (TARIFF POINT)</v>
      </c>
      <c r="C36" s="2123"/>
      <c r="D36" s="689">
        <f>K15</f>
        <v>115950720.00000015</v>
      </c>
      <c r="E36"/>
      <c r="F36" s="2124" t="s">
        <v>1093</v>
      </c>
      <c r="G36" s="2125"/>
      <c r="H36" s="2126"/>
      <c r="I36" s="689">
        <f>L29</f>
        <v>89995446.759999335</v>
      </c>
      <c r="K36" s="2129" t="s">
        <v>4625</v>
      </c>
      <c r="L36" s="2130"/>
      <c r="M36" s="687">
        <f>I37</f>
        <v>25773000</v>
      </c>
      <c r="N36" s="632"/>
    </row>
    <row r="37" spans="1:15" s="620" customFormat="1" x14ac:dyDescent="0.35">
      <c r="B37" s="2122" t="s">
        <v>1116</v>
      </c>
      <c r="C37" s="2123"/>
      <c r="D37" s="689"/>
      <c r="E37"/>
      <c r="F37" s="2124" t="s">
        <v>4625</v>
      </c>
      <c r="G37" s="2125"/>
      <c r="H37" s="2126"/>
      <c r="I37" s="687">
        <f>L33</f>
        <v>25773000</v>
      </c>
      <c r="K37" s="2127" t="s">
        <v>2455</v>
      </c>
      <c r="L37" s="2128"/>
      <c r="M37" s="1908">
        <f>D41</f>
        <v>25802000</v>
      </c>
      <c r="N37" s="632"/>
    </row>
    <row r="38" spans="1:15" s="620" customFormat="1" x14ac:dyDescent="0.35">
      <c r="B38" s="2122" t="s">
        <v>1117</v>
      </c>
      <c r="C38" s="2123"/>
      <c r="D38" s="689"/>
      <c r="E38"/>
      <c r="F38" s="2124" t="s">
        <v>1089</v>
      </c>
      <c r="G38" s="2125"/>
      <c r="H38" s="2126"/>
      <c r="I38" s="689">
        <f>I36+I37</f>
        <v>115768446.75999933</v>
      </c>
      <c r="K38" s="2129" t="s">
        <v>4622</v>
      </c>
      <c r="L38" s="2130"/>
      <c r="M38" s="689">
        <f>M36-M37</f>
        <v>-29000</v>
      </c>
      <c r="N38" s="632"/>
    </row>
    <row r="39" spans="1:15" s="620" customFormat="1" ht="15" thickBot="1" x14ac:dyDescent="0.4">
      <c r="B39" s="2122" t="s">
        <v>1118</v>
      </c>
      <c r="C39" s="2123"/>
      <c r="D39" s="722"/>
      <c r="E39"/>
      <c r="F39" s="2131" t="s">
        <v>4626</v>
      </c>
      <c r="G39" s="2132"/>
      <c r="H39" s="2133"/>
      <c r="I39" s="689">
        <f>D40-I38</f>
        <v>182273.2400008142</v>
      </c>
      <c r="K39" s="2134" t="s">
        <v>285</v>
      </c>
      <c r="L39" s="2135"/>
      <c r="M39" s="1905">
        <f>M38/M36</f>
        <v>-1.125208551584992E-3</v>
      </c>
      <c r="N39" s="632"/>
    </row>
    <row r="40" spans="1:15" s="620" customFormat="1" ht="15" thickBot="1" x14ac:dyDescent="0.4">
      <c r="B40" s="2109" t="s">
        <v>4620</v>
      </c>
      <c r="C40" s="2110"/>
      <c r="D40" s="1435">
        <f>SUM(D36:D39)</f>
        <v>115950720.00000015</v>
      </c>
      <c r="E40"/>
      <c r="F40" s="2113" t="s">
        <v>2454</v>
      </c>
      <c r="G40" s="2114"/>
      <c r="H40" s="2115"/>
      <c r="I40" s="1904">
        <f>I39/I38</f>
        <v>1.5744638984289613E-3</v>
      </c>
      <c r="K40" s="702"/>
      <c r="N40" s="632"/>
    </row>
    <row r="41" spans="1:15" s="620" customFormat="1" x14ac:dyDescent="0.35">
      <c r="B41" s="2116" t="s">
        <v>4624</v>
      </c>
      <c r="C41" s="2117"/>
      <c r="D41" s="1908">
        <f>K54</f>
        <v>25802000</v>
      </c>
      <c r="E41"/>
      <c r="F41" s="791"/>
      <c r="G41"/>
      <c r="H41"/>
      <c r="I41"/>
      <c r="J41"/>
      <c r="K41" s="702"/>
      <c r="N41" s="632"/>
    </row>
    <row r="42" spans="1:15" s="620" customFormat="1" x14ac:dyDescent="0.35">
      <c r="B42" s="2118" t="s">
        <v>4627</v>
      </c>
      <c r="C42" s="2119"/>
      <c r="D42" s="1436">
        <f>D40-D41</f>
        <v>90148720.000000149</v>
      </c>
      <c r="E42"/>
      <c r="F42" s="791"/>
      <c r="G42"/>
      <c r="H42"/>
      <c r="I42"/>
      <c r="J42"/>
      <c r="K42" s="702"/>
      <c r="N42" s="632"/>
    </row>
    <row r="43" spans="1:15" s="620" customFormat="1" ht="15" thickBot="1" x14ac:dyDescent="0.4">
      <c r="B43" s="2120" t="str">
        <f>K39</f>
        <v>LOSS % IN =&gt;</v>
      </c>
      <c r="C43" s="2121"/>
      <c r="D43" s="1899">
        <f>D42/D36</f>
        <v>0.77747443051668874</v>
      </c>
      <c r="E43"/>
      <c r="F43" s="791"/>
      <c r="G43" s="678"/>
      <c r="H43" s="678"/>
      <c r="I43" s="678"/>
      <c r="J43" s="679"/>
      <c r="K43" s="702"/>
      <c r="N43" s="632"/>
    </row>
    <row r="44" spans="1:15" x14ac:dyDescent="0.35">
      <c r="A44" s="620"/>
      <c r="B44" s="635"/>
      <c r="C44" s="632"/>
      <c r="D44" s="720"/>
      <c r="G44" s="678"/>
      <c r="H44" s="678"/>
      <c r="I44" s="678"/>
      <c r="J44" s="679"/>
      <c r="K44" s="702"/>
      <c r="L44" s="620"/>
      <c r="M44" s="620"/>
      <c r="N44" s="632"/>
      <c r="O44" s="620"/>
    </row>
    <row r="45" spans="1:15" x14ac:dyDescent="0.35">
      <c r="A45" s="620"/>
      <c r="B45" s="635"/>
      <c r="C45" s="632"/>
      <c r="D45" s="720"/>
      <c r="G45" s="678"/>
      <c r="H45" s="678"/>
      <c r="I45" s="678"/>
      <c r="J45" s="679"/>
      <c r="K45" s="702"/>
      <c r="L45" s="620"/>
      <c r="M45" s="620"/>
      <c r="N45" s="632"/>
      <c r="O45" s="620"/>
    </row>
    <row r="46" spans="1:15" x14ac:dyDescent="0.35">
      <c r="A46" s="620"/>
      <c r="B46" s="635"/>
      <c r="C46" s="632"/>
      <c r="D46" s="720"/>
      <c r="E46" s="632"/>
      <c r="F46" s="620"/>
      <c r="G46" s="620"/>
      <c r="H46" s="620"/>
      <c r="I46" s="620"/>
      <c r="J46" s="620"/>
      <c r="K46" s="702"/>
      <c r="L46" s="620"/>
      <c r="M46" s="620"/>
      <c r="N46" s="632"/>
      <c r="O46" s="620"/>
    </row>
    <row r="47" spans="1:15" ht="25" x14ac:dyDescent="0.35">
      <c r="A47" s="2095" t="s">
        <v>1211</v>
      </c>
      <c r="B47" s="2095"/>
      <c r="C47" s="2095"/>
      <c r="D47" s="2095"/>
      <c r="E47" s="2095"/>
      <c r="F47" s="2095"/>
      <c r="G47" s="2095"/>
      <c r="H47" s="2095"/>
      <c r="I47" s="2095"/>
      <c r="J47" s="2095"/>
      <c r="K47" s="2095"/>
      <c r="L47" s="2095"/>
      <c r="M47" s="2095"/>
      <c r="N47" s="2095"/>
      <c r="O47" s="756" t="e">
        <f>$O$6</f>
        <v>#REF!</v>
      </c>
    </row>
    <row r="48" spans="1:15" ht="15.5" x14ac:dyDescent="0.35">
      <c r="A48" s="2096" t="s">
        <v>0</v>
      </c>
      <c r="B48" s="2098" t="s">
        <v>1</v>
      </c>
      <c r="C48" s="2100" t="s">
        <v>2</v>
      </c>
      <c r="D48" s="2101"/>
      <c r="E48" s="2102"/>
      <c r="F48" s="2103" t="s">
        <v>3</v>
      </c>
      <c r="G48" s="2100" t="s">
        <v>4</v>
      </c>
      <c r="H48" s="2102"/>
      <c r="I48" s="2085"/>
      <c r="J48" s="2103" t="s">
        <v>5</v>
      </c>
      <c r="K48" s="2100" t="s">
        <v>6</v>
      </c>
      <c r="L48" s="2085"/>
      <c r="M48" s="97" t="s">
        <v>32</v>
      </c>
      <c r="N48" s="98"/>
      <c r="O48" s="2084" t="s">
        <v>7</v>
      </c>
    </row>
    <row r="49" spans="1:15" ht="15.5" x14ac:dyDescent="0.35">
      <c r="A49" s="2111"/>
      <c r="B49" s="2112"/>
      <c r="C49" s="2086" t="s">
        <v>1108</v>
      </c>
      <c r="D49" s="2087"/>
      <c r="E49" s="675" t="s">
        <v>9</v>
      </c>
      <c r="F49" s="2111"/>
      <c r="G49" s="2">
        <f>'NORTH-1'!$G$8</f>
        <v>44774</v>
      </c>
      <c r="H49" s="2">
        <f>'NORTH-1'!$H$8</f>
        <v>44805</v>
      </c>
      <c r="I49" s="676" t="s">
        <v>10</v>
      </c>
      <c r="J49" s="2111"/>
      <c r="K49" s="676" t="s">
        <v>11</v>
      </c>
      <c r="L49" s="676" t="s">
        <v>12</v>
      </c>
      <c r="M49" s="715" t="s">
        <v>33</v>
      </c>
      <c r="N49" s="716" t="s">
        <v>47</v>
      </c>
      <c r="O49" s="2104"/>
    </row>
    <row r="50" spans="1:15" ht="15.5" x14ac:dyDescent="0.35">
      <c r="A50" s="717">
        <v>1</v>
      </c>
      <c r="B50" s="673">
        <v>2</v>
      </c>
      <c r="C50" s="2088">
        <v>4</v>
      </c>
      <c r="D50" s="2089"/>
      <c r="E50" s="673">
        <v>5</v>
      </c>
      <c r="F50" s="717">
        <v>7</v>
      </c>
      <c r="G50" s="717">
        <v>8</v>
      </c>
      <c r="H50" s="717">
        <v>9</v>
      </c>
      <c r="I50" s="717" t="s">
        <v>13</v>
      </c>
      <c r="J50" s="717">
        <v>11</v>
      </c>
      <c r="K50" s="717" t="s">
        <v>19</v>
      </c>
      <c r="L50" s="717" t="s">
        <v>20</v>
      </c>
      <c r="M50" s="717">
        <v>14</v>
      </c>
      <c r="N50" s="673">
        <v>15</v>
      </c>
      <c r="O50" s="717">
        <v>16</v>
      </c>
    </row>
    <row r="51" spans="1:15" ht="15.5" x14ac:dyDescent="0.35">
      <c r="A51" s="11"/>
      <c r="B51" s="624" t="s">
        <v>1100</v>
      </c>
      <c r="C51" s="625"/>
      <c r="D51" s="625"/>
      <c r="E51" s="625"/>
      <c r="F51" s="625"/>
      <c r="G51" s="625"/>
      <c r="H51" s="625"/>
      <c r="I51" s="625"/>
      <c r="J51" s="625"/>
      <c r="K51" s="695"/>
      <c r="L51" s="625"/>
      <c r="M51" s="626"/>
      <c r="N51" s="627"/>
      <c r="O51" s="8"/>
    </row>
    <row r="52" spans="1:15" ht="15.5" x14ac:dyDescent="0.35">
      <c r="A52" s="631">
        <v>1</v>
      </c>
      <c r="B52" s="100" t="s">
        <v>2510</v>
      </c>
      <c r="C52" s="52">
        <v>33</v>
      </c>
      <c r="D52" s="1770" t="s">
        <v>324</v>
      </c>
      <c r="E52" s="52" t="s">
        <v>2511</v>
      </c>
      <c r="F52" s="4">
        <v>1</v>
      </c>
      <c r="G52" s="5">
        <v>903356</v>
      </c>
      <c r="H52" s="5">
        <v>915384</v>
      </c>
      <c r="I52" s="5">
        <f>H52-G52</f>
        <v>12028</v>
      </c>
      <c r="J52" s="616">
        <v>1000</v>
      </c>
      <c r="K52" s="696">
        <f>J52*I52*F52</f>
        <v>12028000</v>
      </c>
      <c r="L52" s="7"/>
      <c r="M52" s="7"/>
      <c r="N52" s="78"/>
      <c r="O52" s="616" t="s">
        <v>2512</v>
      </c>
    </row>
    <row r="53" spans="1:15" ht="15.5" x14ac:dyDescent="0.35">
      <c r="A53" s="631">
        <v>8</v>
      </c>
      <c r="B53" s="100" t="s">
        <v>2513</v>
      </c>
      <c r="C53" s="52">
        <v>33</v>
      </c>
      <c r="D53" s="1771" t="s">
        <v>324</v>
      </c>
      <c r="E53" s="52" t="s">
        <v>2514</v>
      </c>
      <c r="F53" s="4">
        <v>1</v>
      </c>
      <c r="G53" s="5">
        <v>61841</v>
      </c>
      <c r="H53" s="5">
        <v>75615</v>
      </c>
      <c r="I53" s="5">
        <f>H53-G53</f>
        <v>13774</v>
      </c>
      <c r="J53" s="616">
        <v>1000</v>
      </c>
      <c r="K53" s="696">
        <f>F53*I53*J53</f>
        <v>13774000</v>
      </c>
      <c r="L53" s="7"/>
      <c r="M53" s="7"/>
      <c r="N53" s="78"/>
      <c r="O53" s="616"/>
    </row>
    <row r="54" spans="1:15" ht="15.5" x14ac:dyDescent="0.35">
      <c r="A54" s="631"/>
      <c r="B54" s="95"/>
      <c r="C54" s="89"/>
      <c r="D54" s="89"/>
      <c r="E54" s="89"/>
      <c r="F54" s="37"/>
      <c r="G54" s="37"/>
      <c r="H54" s="37"/>
      <c r="I54" s="37"/>
      <c r="J54" s="95" t="s">
        <v>30</v>
      </c>
      <c r="K54" s="1908">
        <f>SUM(K52:K53)</f>
        <v>25802000</v>
      </c>
      <c r="L54" s="40"/>
      <c r="M54" s="40">
        <f>SUM(M52:M53)</f>
        <v>0</v>
      </c>
      <c r="N54" s="78"/>
      <c r="O54" s="616"/>
    </row>
    <row r="55" spans="1:15" ht="15.5" x14ac:dyDescent="0.35">
      <c r="A55" s="631"/>
      <c r="B55" s="647" t="s">
        <v>1103</v>
      </c>
      <c r="C55" s="648"/>
      <c r="D55" s="648"/>
      <c r="E55" s="648"/>
      <c r="F55" s="648"/>
      <c r="G55" s="648"/>
      <c r="H55" s="648"/>
      <c r="I55" s="648"/>
      <c r="J55" s="648"/>
      <c r="K55" s="700"/>
      <c r="L55" s="648"/>
      <c r="M55" s="651"/>
      <c r="N55" s="649"/>
      <c r="O55" s="616"/>
    </row>
    <row r="56" spans="1:15" ht="15.5" x14ac:dyDescent="0.35">
      <c r="A56" s="631"/>
      <c r="B56" s="662" t="s">
        <v>1106</v>
      </c>
      <c r="C56" s="52"/>
      <c r="D56" s="1777" t="s">
        <v>1083</v>
      </c>
      <c r="E56" s="52"/>
      <c r="F56" s="4"/>
      <c r="G56" s="5"/>
      <c r="H56" s="5"/>
      <c r="I56" s="6"/>
      <c r="J56" s="616"/>
      <c r="K56" s="696"/>
      <c r="L56" s="7"/>
      <c r="M56" s="7"/>
      <c r="N56" s="78"/>
      <c r="O56" s="616"/>
    </row>
    <row r="57" spans="1:15" ht="15.5" x14ac:dyDescent="0.35">
      <c r="A57" s="11">
        <v>4</v>
      </c>
      <c r="B57" s="100" t="s">
        <v>2533</v>
      </c>
      <c r="C57" s="661">
        <v>33</v>
      </c>
      <c r="D57" s="1773" t="s">
        <v>324</v>
      </c>
      <c r="E57" s="674" t="s">
        <v>2534</v>
      </c>
      <c r="F57" s="4">
        <v>1</v>
      </c>
      <c r="G57" s="21">
        <v>202618</v>
      </c>
      <c r="H57" s="21">
        <v>202618</v>
      </c>
      <c r="I57" s="21">
        <f>H57-G57</f>
        <v>0</v>
      </c>
      <c r="J57" s="616">
        <v>2000</v>
      </c>
      <c r="K57" s="696"/>
      <c r="L57" s="22">
        <f>F57*I57*J57</f>
        <v>0</v>
      </c>
      <c r="M57" s="22"/>
      <c r="N57" s="82"/>
      <c r="O57" s="9"/>
    </row>
    <row r="58" spans="1:15" ht="15.5" x14ac:dyDescent="0.35">
      <c r="A58" s="631"/>
      <c r="B58" s="100"/>
      <c r="C58" s="661">
        <v>11</v>
      </c>
      <c r="D58" s="1773"/>
      <c r="E58" s="674" t="s">
        <v>2535</v>
      </c>
      <c r="F58" s="4">
        <v>1</v>
      </c>
      <c r="G58" s="1848">
        <v>5188.6000000000004</v>
      </c>
      <c r="H58" s="1848">
        <v>5795.2</v>
      </c>
      <c r="I58" s="21">
        <f>H58-G58</f>
        <v>606.59999999999945</v>
      </c>
      <c r="J58" s="616">
        <v>4444</v>
      </c>
      <c r="K58" s="696"/>
      <c r="L58" s="22">
        <f>F58*I58*J58</f>
        <v>2695730.3999999976</v>
      </c>
      <c r="M58" s="22"/>
      <c r="N58" s="82"/>
      <c r="O58" s="616" t="s">
        <v>2518</v>
      </c>
    </row>
    <row r="59" spans="1:15" ht="15.5" x14ac:dyDescent="0.35">
      <c r="A59" s="616">
        <v>7</v>
      </c>
      <c r="B59" s="100" t="s">
        <v>2536</v>
      </c>
      <c r="C59" s="661">
        <v>33</v>
      </c>
      <c r="D59" s="1773" t="s">
        <v>324</v>
      </c>
      <c r="E59" s="674" t="s">
        <v>2537</v>
      </c>
      <c r="F59" s="4">
        <v>1</v>
      </c>
      <c r="G59" s="21">
        <v>358080</v>
      </c>
      <c r="H59" s="21">
        <v>360340</v>
      </c>
      <c r="I59" s="21">
        <f>H59-G59</f>
        <v>2260</v>
      </c>
      <c r="J59" s="616">
        <v>2000</v>
      </c>
      <c r="K59" s="696"/>
      <c r="L59" s="22">
        <f>F59*I59*J59</f>
        <v>4520000</v>
      </c>
      <c r="M59" s="22"/>
      <c r="N59" s="82"/>
      <c r="O59" s="616" t="e">
        <f>((K66-L66)/K66)*100</f>
        <v>#DIV/0!</v>
      </c>
    </row>
    <row r="60" spans="1:15" ht="15" customHeight="1" x14ac:dyDescent="0.35">
      <c r="A60" s="616"/>
      <c r="B60" s="662" t="s">
        <v>1107</v>
      </c>
      <c r="C60" s="89"/>
      <c r="D60" s="1773"/>
      <c r="E60" s="89"/>
      <c r="F60" s="37"/>
      <c r="G60" s="37"/>
      <c r="H60" s="37"/>
      <c r="I60" s="37"/>
      <c r="J60" s="95" t="s">
        <v>30</v>
      </c>
      <c r="K60" s="696"/>
      <c r="L60" s="43">
        <f>SUM(L57:L59)</f>
        <v>7215730.3999999976</v>
      </c>
      <c r="M60" s="43">
        <f>SUM(M57:M59)</f>
        <v>0</v>
      </c>
      <c r="N60" s="83"/>
      <c r="O60" s="12"/>
    </row>
    <row r="61" spans="1:15" ht="15.5" x14ac:dyDescent="0.35">
      <c r="A61" s="636">
        <v>2</v>
      </c>
      <c r="B61" s="100" t="s">
        <v>2515</v>
      </c>
      <c r="C61" s="661">
        <v>33</v>
      </c>
      <c r="D61" s="1773" t="s">
        <v>324</v>
      </c>
      <c r="E61" s="674" t="s">
        <v>2516</v>
      </c>
      <c r="F61" s="4">
        <v>1</v>
      </c>
      <c r="G61" s="6"/>
      <c r="H61" s="6"/>
      <c r="I61" s="20">
        <f t="shared" ref="I61:I70" si="0">H61-G61</f>
        <v>0</v>
      </c>
      <c r="J61" s="616">
        <v>2000</v>
      </c>
      <c r="K61" s="703"/>
      <c r="L61" s="22">
        <f t="shared" ref="L61:L70" si="1">F61*I61*J61</f>
        <v>0</v>
      </c>
      <c r="M61" s="22"/>
      <c r="N61" s="82"/>
      <c r="O61" s="15" t="e">
        <f>((O57-L75)/O57)*100</f>
        <v>#DIV/0!</v>
      </c>
    </row>
    <row r="62" spans="1:15" ht="15.5" x14ac:dyDescent="0.35">
      <c r="A62" s="636"/>
      <c r="B62" s="100"/>
      <c r="C62" s="661">
        <v>33</v>
      </c>
      <c r="D62" s="1773"/>
      <c r="E62" s="691" t="s">
        <v>2517</v>
      </c>
      <c r="F62" s="4">
        <v>1</v>
      </c>
      <c r="G62" s="771">
        <v>2283.7600000000002</v>
      </c>
      <c r="H62" s="771">
        <v>2298.21</v>
      </c>
      <c r="I62" s="20">
        <f t="shared" si="0"/>
        <v>14.449999999999818</v>
      </c>
      <c r="J62" s="616">
        <v>270000</v>
      </c>
      <c r="K62" s="704"/>
      <c r="L62" s="22">
        <f t="shared" si="1"/>
        <v>3901499.9999999511</v>
      </c>
      <c r="M62" s="22"/>
      <c r="N62" s="82"/>
      <c r="O62" s="14" t="s">
        <v>2518</v>
      </c>
    </row>
    <row r="63" spans="1:15" ht="15.5" x14ac:dyDescent="0.35">
      <c r="A63" s="636">
        <v>3</v>
      </c>
      <c r="B63" s="100" t="s">
        <v>2519</v>
      </c>
      <c r="C63" s="661">
        <v>33</v>
      </c>
      <c r="D63" s="1773" t="s">
        <v>324</v>
      </c>
      <c r="E63" s="691" t="s">
        <v>2520</v>
      </c>
      <c r="F63" s="4">
        <v>1</v>
      </c>
      <c r="G63" s="6">
        <v>207821</v>
      </c>
      <c r="H63" s="6">
        <v>207821</v>
      </c>
      <c r="I63" s="20">
        <f t="shared" si="0"/>
        <v>0</v>
      </c>
      <c r="J63" s="616">
        <v>2000</v>
      </c>
      <c r="K63" s="704" t="s">
        <v>237</v>
      </c>
      <c r="L63" s="22">
        <f t="shared" si="1"/>
        <v>0</v>
      </c>
      <c r="M63" s="22"/>
      <c r="N63" s="82"/>
      <c r="O63" s="14"/>
    </row>
    <row r="64" spans="1:15" ht="15.5" x14ac:dyDescent="0.35">
      <c r="A64" s="636"/>
      <c r="B64" s="100"/>
      <c r="C64" s="661">
        <v>33</v>
      </c>
      <c r="D64" s="1773"/>
      <c r="E64" s="674">
        <v>38</v>
      </c>
      <c r="F64" s="4">
        <v>1</v>
      </c>
      <c r="G64" s="6">
        <v>198531008</v>
      </c>
      <c r="H64" s="6">
        <v>198531008</v>
      </c>
      <c r="I64" s="20">
        <f t="shared" si="0"/>
        <v>0</v>
      </c>
      <c r="J64" s="616">
        <v>1</v>
      </c>
      <c r="K64" s="704"/>
      <c r="L64" s="22">
        <f t="shared" si="1"/>
        <v>0</v>
      </c>
      <c r="M64" s="22"/>
      <c r="N64" s="82"/>
      <c r="O64" s="14" t="s">
        <v>2518</v>
      </c>
    </row>
    <row r="65" spans="1:15" ht="15.5" x14ac:dyDescent="0.35">
      <c r="A65" s="636">
        <v>5</v>
      </c>
      <c r="B65" s="100" t="s">
        <v>2521</v>
      </c>
      <c r="C65" s="661">
        <v>33</v>
      </c>
      <c r="D65" s="1773" t="s">
        <v>324</v>
      </c>
      <c r="E65" s="674" t="s">
        <v>2522</v>
      </c>
      <c r="F65" s="4">
        <v>1</v>
      </c>
      <c r="G65" s="6">
        <v>311310</v>
      </c>
      <c r="H65" s="6">
        <v>311310</v>
      </c>
      <c r="I65" s="20">
        <f t="shared" si="0"/>
        <v>0</v>
      </c>
      <c r="J65" s="616">
        <v>2000</v>
      </c>
      <c r="K65" s="703"/>
      <c r="L65" s="22">
        <f t="shared" si="1"/>
        <v>0</v>
      </c>
      <c r="M65" s="22"/>
      <c r="N65" s="82"/>
      <c r="O65" s="15"/>
    </row>
    <row r="66" spans="1:15" ht="15.5" x14ac:dyDescent="0.35">
      <c r="A66" s="636">
        <v>6</v>
      </c>
      <c r="B66" s="100" t="s">
        <v>2523</v>
      </c>
      <c r="C66" s="661">
        <v>33</v>
      </c>
      <c r="D66" s="1773" t="s">
        <v>324</v>
      </c>
      <c r="E66" s="674" t="s">
        <v>2524</v>
      </c>
      <c r="F66" s="4">
        <v>1</v>
      </c>
      <c r="G66" s="6">
        <v>273751</v>
      </c>
      <c r="H66" s="6">
        <v>274939</v>
      </c>
      <c r="I66" s="20">
        <f t="shared" si="0"/>
        <v>1188</v>
      </c>
      <c r="J66" s="616">
        <v>2000</v>
      </c>
      <c r="K66" s="704"/>
      <c r="L66" s="22">
        <f t="shared" si="1"/>
        <v>2376000</v>
      </c>
      <c r="M66" s="22"/>
      <c r="N66" s="82"/>
      <c r="O66" s="10" t="s">
        <v>2525</v>
      </c>
    </row>
    <row r="67" spans="1:15" ht="15.5" x14ac:dyDescent="0.35">
      <c r="A67" s="636">
        <v>9</v>
      </c>
      <c r="B67" s="100" t="s">
        <v>2526</v>
      </c>
      <c r="C67" s="661">
        <v>33</v>
      </c>
      <c r="D67" s="1773" t="s">
        <v>324</v>
      </c>
      <c r="E67" s="674" t="s">
        <v>2527</v>
      </c>
      <c r="F67" s="4">
        <v>1</v>
      </c>
      <c r="G67" s="6">
        <v>249154</v>
      </c>
      <c r="H67" s="6">
        <v>251401</v>
      </c>
      <c r="I67" s="20">
        <f t="shared" si="0"/>
        <v>2247</v>
      </c>
      <c r="J67" s="616">
        <v>2000</v>
      </c>
      <c r="K67" s="703"/>
      <c r="L67" s="22">
        <f t="shared" si="1"/>
        <v>4494000</v>
      </c>
      <c r="M67" s="22"/>
      <c r="N67" s="82"/>
      <c r="O67" s="13"/>
    </row>
    <row r="68" spans="1:15" ht="47.25" customHeight="1" x14ac:dyDescent="0.35">
      <c r="A68" s="636">
        <v>10</v>
      </c>
      <c r="B68" s="101" t="s">
        <v>2528</v>
      </c>
      <c r="C68" s="661">
        <v>33</v>
      </c>
      <c r="D68" s="1773" t="s">
        <v>324</v>
      </c>
      <c r="E68" s="674" t="s">
        <v>2529</v>
      </c>
      <c r="F68" s="4">
        <v>1</v>
      </c>
      <c r="G68" s="6">
        <v>525397</v>
      </c>
      <c r="H68" s="6">
        <v>525397</v>
      </c>
      <c r="I68" s="20">
        <f t="shared" si="0"/>
        <v>0</v>
      </c>
      <c r="J68" s="616">
        <v>2000</v>
      </c>
      <c r="K68" s="705"/>
      <c r="L68" s="22">
        <f t="shared" si="1"/>
        <v>0</v>
      </c>
      <c r="M68" s="22"/>
      <c r="N68" s="82"/>
      <c r="O68" s="30"/>
    </row>
    <row r="69" spans="1:15" ht="15.5" x14ac:dyDescent="0.35">
      <c r="A69" s="636">
        <v>11</v>
      </c>
      <c r="B69" s="100" t="s">
        <v>2530</v>
      </c>
      <c r="C69" s="661">
        <v>33</v>
      </c>
      <c r="D69" s="1773" t="s">
        <v>324</v>
      </c>
      <c r="E69" s="674" t="s">
        <v>2531</v>
      </c>
      <c r="F69" s="4">
        <v>1</v>
      </c>
      <c r="G69" s="6">
        <v>267757</v>
      </c>
      <c r="H69" s="6">
        <v>268674</v>
      </c>
      <c r="I69" s="20">
        <f t="shared" si="0"/>
        <v>917</v>
      </c>
      <c r="J69" s="616">
        <v>2000</v>
      </c>
      <c r="K69" s="696"/>
      <c r="L69" s="22">
        <f t="shared" si="1"/>
        <v>1834000</v>
      </c>
      <c r="M69" s="22"/>
      <c r="N69" s="82"/>
      <c r="O69" s="616"/>
    </row>
    <row r="70" spans="1:15" ht="47.25" customHeight="1" x14ac:dyDescent="0.35">
      <c r="A70" s="636">
        <v>12</v>
      </c>
      <c r="B70" s="101" t="s">
        <v>2532</v>
      </c>
      <c r="C70" s="661">
        <v>33</v>
      </c>
      <c r="D70" s="1773" t="s">
        <v>324</v>
      </c>
      <c r="E70" s="674">
        <v>80379618</v>
      </c>
      <c r="F70" s="4">
        <v>1</v>
      </c>
      <c r="G70" s="6">
        <v>17936</v>
      </c>
      <c r="H70" s="6">
        <v>18217</v>
      </c>
      <c r="I70" s="20">
        <f t="shared" si="0"/>
        <v>281</v>
      </c>
      <c r="J70" s="616">
        <v>2000</v>
      </c>
      <c r="K70" s="705"/>
      <c r="L70" s="22">
        <f t="shared" si="1"/>
        <v>562000</v>
      </c>
      <c r="M70" s="22"/>
      <c r="N70" s="82"/>
      <c r="O70" s="13"/>
    </row>
    <row r="71" spans="1:15" ht="15.5" x14ac:dyDescent="0.35">
      <c r="A71" s="636"/>
      <c r="B71" s="96"/>
      <c r="C71" s="90"/>
      <c r="D71" s="90"/>
      <c r="E71" s="90"/>
      <c r="F71" s="38"/>
      <c r="G71" s="38"/>
      <c r="H71" s="38"/>
      <c r="I71" s="38"/>
      <c r="J71" s="95" t="s">
        <v>30</v>
      </c>
      <c r="K71" s="696"/>
      <c r="L71" s="43">
        <f>SUM(L61:L70)</f>
        <v>13167499.999999952</v>
      </c>
      <c r="M71" s="43">
        <f>SUM(M61:M70)</f>
        <v>0</v>
      </c>
      <c r="N71" s="83"/>
      <c r="O71" s="13"/>
    </row>
    <row r="72" spans="1:15" ht="20" x14ac:dyDescent="0.35">
      <c r="A72" s="636"/>
      <c r="B72" s="96"/>
      <c r="C72" s="90"/>
      <c r="D72" s="90"/>
      <c r="E72" s="90"/>
      <c r="F72" s="38"/>
      <c r="G72" s="38"/>
      <c r="H72" s="38"/>
      <c r="I72" s="2107" t="s">
        <v>44</v>
      </c>
      <c r="J72" s="2108"/>
      <c r="K72" s="698">
        <f>K54</f>
        <v>25802000</v>
      </c>
      <c r="L72" s="44">
        <f>L60+L71</f>
        <v>20383230.39999995</v>
      </c>
      <c r="M72" s="44">
        <f>M71+M60</f>
        <v>0</v>
      </c>
      <c r="N72" s="1908">
        <f>(M72-L72)/L72*100</f>
        <v>-100</v>
      </c>
      <c r="O72" s="29"/>
    </row>
    <row r="73" spans="1:15" x14ac:dyDescent="0.35">
      <c r="A73" s="620"/>
      <c r="B73" s="635"/>
      <c r="C73" s="632"/>
      <c r="D73" s="720"/>
      <c r="K73" s="702"/>
      <c r="L73" s="620"/>
      <c r="M73" s="620"/>
      <c r="N73" s="632"/>
      <c r="O73" s="620"/>
    </row>
    <row r="74" spans="1:15" ht="15" x14ac:dyDescent="0.35">
      <c r="A74" s="620"/>
      <c r="D74" s="725"/>
      <c r="G74" s="2092" t="s">
        <v>1096</v>
      </c>
      <c r="H74" s="2092"/>
      <c r="I74" s="2092"/>
      <c r="J74" s="677" t="s">
        <v>14</v>
      </c>
      <c r="K74" s="69" t="s">
        <v>1098</v>
      </c>
      <c r="L74" s="620"/>
      <c r="M74" s="620"/>
      <c r="N74" s="632"/>
      <c r="O74" s="620"/>
    </row>
    <row r="75" spans="1:15" ht="17.5" x14ac:dyDescent="0.35">
      <c r="A75" s="620"/>
      <c r="D75" s="725"/>
      <c r="G75" s="2093" t="s">
        <v>1071</v>
      </c>
      <c r="H75" s="2093"/>
      <c r="I75" s="2093"/>
      <c r="J75" s="692">
        <f>M60</f>
        <v>0</v>
      </c>
      <c r="K75" s="70">
        <v>6.933634163553025</v>
      </c>
      <c r="L75" s="620"/>
      <c r="M75" s="620"/>
      <c r="N75" s="632"/>
      <c r="O75" s="620"/>
    </row>
    <row r="76" spans="1:15" ht="17.5" x14ac:dyDescent="0.35">
      <c r="A76" s="620"/>
      <c r="D76" s="725"/>
      <c r="G76" s="2093" t="s">
        <v>206</v>
      </c>
      <c r="H76" s="2093"/>
      <c r="I76" s="2093"/>
      <c r="J76" s="692">
        <f>M61+M62+M63</f>
        <v>0</v>
      </c>
      <c r="K76" s="70">
        <v>-0.33769527905653496</v>
      </c>
      <c r="L76" s="620"/>
      <c r="M76" s="620"/>
      <c r="N76" s="632"/>
      <c r="O76" s="620"/>
    </row>
    <row r="77" spans="1:15" ht="17.5" x14ac:dyDescent="0.35">
      <c r="A77" s="620"/>
      <c r="D77" s="725"/>
      <c r="G77" s="2093" t="s">
        <v>207</v>
      </c>
      <c r="H77" s="2093"/>
      <c r="I77" s="2093"/>
      <c r="J77" s="692">
        <f>M64+M65</f>
        <v>0</v>
      </c>
      <c r="K77" s="70"/>
      <c r="L77" s="620"/>
      <c r="M77" s="620"/>
      <c r="N77" s="632"/>
      <c r="O77" s="620"/>
    </row>
    <row r="78" spans="1:15" ht="17.5" x14ac:dyDescent="0.35">
      <c r="A78" s="620"/>
      <c r="D78" s="725"/>
      <c r="G78" s="2093" t="s">
        <v>208</v>
      </c>
      <c r="H78" s="2093"/>
      <c r="I78" s="2093"/>
      <c r="J78" s="692">
        <f>M66</f>
        <v>0</v>
      </c>
      <c r="K78" s="70">
        <v>0.58957194954853154</v>
      </c>
      <c r="L78" s="620"/>
      <c r="M78" s="620"/>
      <c r="N78" s="632"/>
      <c r="O78" s="620"/>
    </row>
    <row r="79" spans="1:15" ht="17.5" x14ac:dyDescent="0.35">
      <c r="A79" s="620"/>
      <c r="B79" s="635"/>
      <c r="C79" s="632"/>
      <c r="D79" s="720"/>
      <c r="G79" s="2093" t="s">
        <v>209</v>
      </c>
      <c r="H79" s="2093"/>
      <c r="I79" s="2093"/>
      <c r="J79" s="692">
        <f>M67</f>
        <v>0</v>
      </c>
      <c r="K79" s="70"/>
      <c r="L79" s="620"/>
      <c r="M79" s="620"/>
      <c r="N79" s="632"/>
      <c r="O79" s="620"/>
    </row>
    <row r="80" spans="1:15" ht="17.5" x14ac:dyDescent="0.35">
      <c r="A80" s="620"/>
      <c r="B80" s="635"/>
      <c r="C80" s="632"/>
      <c r="D80" s="720"/>
      <c r="G80" s="2093" t="s">
        <v>40</v>
      </c>
      <c r="H80" s="2093"/>
      <c r="I80" s="2093"/>
      <c r="J80" s="692">
        <f>M68+M69</f>
        <v>0</v>
      </c>
      <c r="K80" s="70">
        <v>2.4391608198671739</v>
      </c>
      <c r="L80" s="620"/>
      <c r="M80" s="620"/>
      <c r="N80" s="632"/>
      <c r="O80" s="620"/>
    </row>
    <row r="81" spans="1:15" x14ac:dyDescent="0.35">
      <c r="A81" s="620"/>
      <c r="B81" s="635"/>
      <c r="C81" s="632"/>
      <c r="D81" s="720"/>
      <c r="G81" s="2094" t="s">
        <v>42</v>
      </c>
      <c r="H81" s="2094"/>
      <c r="I81" s="2094"/>
      <c r="J81" s="693">
        <f>M70</f>
        <v>0</v>
      </c>
      <c r="K81" s="694" t="s">
        <v>1097</v>
      </c>
      <c r="L81" s="620"/>
      <c r="M81" s="620"/>
      <c r="N81" s="632"/>
      <c r="O81" s="620"/>
    </row>
    <row r="82" spans="1:15" ht="18" thickBot="1" x14ac:dyDescent="0.4">
      <c r="A82" s="620"/>
      <c r="B82" s="635"/>
      <c r="C82" s="632"/>
      <c r="D82" s="720"/>
      <c r="E82" s="632"/>
      <c r="F82" s="620"/>
      <c r="G82" s="2093" t="s">
        <v>41</v>
      </c>
      <c r="H82" s="2093"/>
      <c r="I82" s="2093"/>
      <c r="J82" s="692" t="e">
        <f>#REF!</f>
        <v>#REF!</v>
      </c>
      <c r="K82" s="681">
        <v>1.4463055987403735</v>
      </c>
      <c r="L82" s="620"/>
      <c r="M82" s="620"/>
      <c r="N82" s="632"/>
      <c r="O82" s="620"/>
    </row>
    <row r="83" spans="1:15" ht="20.5" thickBot="1" x14ac:dyDescent="0.4">
      <c r="A83" s="620"/>
      <c r="B83" s="635"/>
      <c r="C83" s="632"/>
      <c r="D83" s="720"/>
      <c r="E83" s="632"/>
      <c r="F83" s="620"/>
      <c r="G83" s="620"/>
      <c r="H83" s="620"/>
      <c r="I83" s="642" t="s">
        <v>210</v>
      </c>
      <c r="J83" s="680" t="e">
        <f>SUM(J75:J82)</f>
        <v>#REF!</v>
      </c>
      <c r="K83" s="682" t="e">
        <f>J83-M72</f>
        <v>#REF!</v>
      </c>
      <c r="L83" s="620"/>
      <c r="M83" s="620"/>
      <c r="N83" s="632"/>
      <c r="O83" s="620"/>
    </row>
    <row r="84" spans="1:15" x14ac:dyDescent="0.35">
      <c r="A84" s="620"/>
      <c r="B84" s="635"/>
      <c r="C84" s="632"/>
      <c r="D84" s="720"/>
      <c r="E84" s="632"/>
      <c r="F84" s="620"/>
      <c r="G84" s="620"/>
      <c r="H84" s="620"/>
      <c r="I84" s="620"/>
      <c r="J84" s="620"/>
      <c r="K84" s="702"/>
      <c r="L84" s="620"/>
      <c r="M84" s="620"/>
      <c r="N84" s="632"/>
      <c r="O84" s="620"/>
    </row>
    <row r="85" spans="1:15" ht="25" x14ac:dyDescent="0.35">
      <c r="A85" s="2095" t="s">
        <v>1212</v>
      </c>
      <c r="B85" s="2095"/>
      <c r="C85" s="2095"/>
      <c r="D85" s="2095"/>
      <c r="E85" s="2095"/>
      <c r="F85" s="2095"/>
      <c r="G85" s="2095"/>
      <c r="H85" s="2095"/>
      <c r="I85" s="2095"/>
      <c r="J85" s="2095"/>
      <c r="K85" s="2095"/>
      <c r="L85" s="2095"/>
      <c r="M85" s="2095"/>
      <c r="N85" s="2095"/>
      <c r="O85" s="756" t="e">
        <f>$O$6</f>
        <v>#REF!</v>
      </c>
    </row>
    <row r="86" spans="1:15" ht="15.5" x14ac:dyDescent="0.35">
      <c r="A86" s="2096" t="s">
        <v>0</v>
      </c>
      <c r="B86" s="2098" t="s">
        <v>1</v>
      </c>
      <c r="C86" s="2100" t="s">
        <v>2</v>
      </c>
      <c r="D86" s="2101"/>
      <c r="E86" s="2102"/>
      <c r="F86" s="2103" t="s">
        <v>3</v>
      </c>
      <c r="G86" s="2100" t="s">
        <v>4</v>
      </c>
      <c r="H86" s="2102"/>
      <c r="I86" s="2085"/>
      <c r="J86" s="2103" t="s">
        <v>5</v>
      </c>
      <c r="K86" s="2100" t="s">
        <v>6</v>
      </c>
      <c r="L86" s="2085"/>
      <c r="M86" s="97" t="s">
        <v>32</v>
      </c>
      <c r="N86" s="98"/>
      <c r="O86" s="2084" t="s">
        <v>7</v>
      </c>
    </row>
    <row r="87" spans="1:15" ht="15.5" x14ac:dyDescent="0.35">
      <c r="A87" s="2097"/>
      <c r="B87" s="2099"/>
      <c r="C87" s="2086" t="s">
        <v>1108</v>
      </c>
      <c r="D87" s="2087"/>
      <c r="E87" s="87" t="s">
        <v>9</v>
      </c>
      <c r="F87" s="2097"/>
      <c r="G87" s="2">
        <f>'NORTH-1'!$G$8</f>
        <v>44774</v>
      </c>
      <c r="H87" s="2">
        <f>'NORTH-1'!$H$8</f>
        <v>44805</v>
      </c>
      <c r="I87" s="1" t="s">
        <v>10</v>
      </c>
      <c r="J87" s="2097"/>
      <c r="K87" s="1" t="s">
        <v>11</v>
      </c>
      <c r="L87" s="1" t="s">
        <v>12</v>
      </c>
      <c r="M87" s="617" t="s">
        <v>33</v>
      </c>
      <c r="N87" s="76" t="s">
        <v>47</v>
      </c>
      <c r="O87" s="2085"/>
    </row>
    <row r="88" spans="1:15" ht="15.5" x14ac:dyDescent="0.35">
      <c r="A88" s="3">
        <v>1</v>
      </c>
      <c r="B88" s="88">
        <v>2</v>
      </c>
      <c r="C88" s="2088">
        <v>4</v>
      </c>
      <c r="D88" s="2089"/>
      <c r="E88" s="88">
        <v>5</v>
      </c>
      <c r="F88" s="3">
        <v>7</v>
      </c>
      <c r="G88" s="3">
        <v>8</v>
      </c>
      <c r="H88" s="3">
        <v>9</v>
      </c>
      <c r="I88" s="3" t="s">
        <v>13</v>
      </c>
      <c r="J88" s="3">
        <v>11</v>
      </c>
      <c r="K88" s="3" t="s">
        <v>19</v>
      </c>
      <c r="L88" s="3" t="s">
        <v>20</v>
      </c>
      <c r="M88" s="3">
        <v>14</v>
      </c>
      <c r="N88" s="77">
        <v>15</v>
      </c>
      <c r="O88" s="3">
        <v>16</v>
      </c>
    </row>
    <row r="89" spans="1:15" ht="15" x14ac:dyDescent="0.35">
      <c r="A89" s="636"/>
      <c r="B89" s="624" t="s">
        <v>1104</v>
      </c>
      <c r="C89" s="625"/>
      <c r="D89" s="625"/>
      <c r="E89" s="625"/>
      <c r="F89" s="625"/>
      <c r="G89" s="625"/>
      <c r="H89" s="625"/>
      <c r="I89" s="625"/>
      <c r="J89" s="625"/>
      <c r="K89" s="695"/>
      <c r="L89" s="625"/>
      <c r="M89" s="626"/>
      <c r="N89" s="627"/>
      <c r="O89" s="12"/>
    </row>
    <row r="90" spans="1:15" ht="30" x14ac:dyDescent="0.35">
      <c r="A90" s="616">
        <v>8</v>
      </c>
      <c r="B90" s="100" t="s">
        <v>2538</v>
      </c>
      <c r="C90" s="73">
        <v>11</v>
      </c>
      <c r="D90" s="1779" t="s">
        <v>339</v>
      </c>
      <c r="E90" s="52">
        <v>6604357</v>
      </c>
      <c r="F90" s="32">
        <v>1</v>
      </c>
      <c r="G90" s="5">
        <v>5128.05</v>
      </c>
      <c r="H90" s="5">
        <v>5156.4399999999996</v>
      </c>
      <c r="I90" s="21">
        <f>H90-G90</f>
        <v>28.389999999999418</v>
      </c>
      <c r="J90" s="616">
        <v>160000</v>
      </c>
      <c r="K90" s="707">
        <f>F90*I90*J90</f>
        <v>4542399.9999999069</v>
      </c>
      <c r="L90" s="22"/>
      <c r="M90" s="22"/>
      <c r="N90" s="83"/>
      <c r="O90" s="12">
        <f>SUM(L83:L89)</f>
        <v>0</v>
      </c>
    </row>
    <row r="91" spans="1:15" ht="30" x14ac:dyDescent="0.35">
      <c r="A91" s="616">
        <v>9</v>
      </c>
      <c r="B91" s="100" t="s">
        <v>2539</v>
      </c>
      <c r="C91" s="73">
        <v>11</v>
      </c>
      <c r="D91" s="1780" t="s">
        <v>339</v>
      </c>
      <c r="E91" s="52" t="s">
        <v>2535</v>
      </c>
      <c r="F91" s="32">
        <v>1</v>
      </c>
      <c r="G91" s="5">
        <v>5188.6000000000004</v>
      </c>
      <c r="H91" s="5">
        <v>5795.2</v>
      </c>
      <c r="I91" s="21">
        <f>H91-G91</f>
        <v>606.59999999999945</v>
      </c>
      <c r="J91" s="616">
        <v>4444</v>
      </c>
      <c r="K91" s="707">
        <f>F91*I91*J91</f>
        <v>2695730.3999999976</v>
      </c>
      <c r="L91" s="22"/>
      <c r="M91" s="22"/>
      <c r="N91" s="83"/>
      <c r="O91" s="12" t="s">
        <v>2540</v>
      </c>
    </row>
    <row r="92" spans="1:15" ht="15" x14ac:dyDescent="0.35">
      <c r="A92" s="636"/>
      <c r="B92" s="96"/>
      <c r="C92" s="90"/>
      <c r="D92" s="90"/>
      <c r="E92" s="90"/>
      <c r="F92" s="38"/>
      <c r="G92" s="38"/>
      <c r="H92" s="38"/>
      <c r="I92" s="38"/>
      <c r="J92" s="96" t="s">
        <v>30</v>
      </c>
      <c r="K92" s="708">
        <f>SUM(K90:K91)</f>
        <v>7238130.3999999044</v>
      </c>
      <c r="L92" s="43"/>
      <c r="M92" s="43">
        <f>SUM(M90:M91)</f>
        <v>0</v>
      </c>
      <c r="N92" s="83"/>
      <c r="O92" s="12"/>
    </row>
    <row r="93" spans="1:15" ht="15.5" x14ac:dyDescent="0.35">
      <c r="A93" s="631"/>
      <c r="B93" s="647" t="s">
        <v>1105</v>
      </c>
      <c r="C93" s="648"/>
      <c r="D93" s="648"/>
      <c r="E93" s="648"/>
      <c r="F93" s="648"/>
      <c r="G93" s="648"/>
      <c r="H93" s="648"/>
      <c r="I93" s="648"/>
      <c r="J93" s="648"/>
      <c r="K93" s="700"/>
      <c r="L93" s="648"/>
      <c r="M93" s="651"/>
      <c r="N93" s="649"/>
      <c r="O93" s="616"/>
    </row>
    <row r="94" spans="1:15" ht="25.5" customHeight="1" x14ac:dyDescent="0.35">
      <c r="A94" s="631">
        <v>1</v>
      </c>
      <c r="B94" s="100" t="s">
        <v>2541</v>
      </c>
      <c r="C94" s="73">
        <v>11</v>
      </c>
      <c r="D94" s="1781"/>
      <c r="E94" s="52" t="s">
        <v>2542</v>
      </c>
      <c r="F94" s="32">
        <v>1</v>
      </c>
      <c r="G94" s="6">
        <v>64881885</v>
      </c>
      <c r="H94" s="6">
        <v>65836895</v>
      </c>
      <c r="I94" s="20">
        <f t="shared" ref="I94:I108" si="2">H94-G94</f>
        <v>955010</v>
      </c>
      <c r="J94" s="616">
        <v>1</v>
      </c>
      <c r="K94" s="703"/>
      <c r="L94" s="22">
        <f t="shared" ref="L94:L108" si="3">F94*I94*J94</f>
        <v>955010</v>
      </c>
      <c r="M94" s="22"/>
      <c r="N94" s="72" t="s">
        <v>98</v>
      </c>
      <c r="O94" s="15"/>
    </row>
    <row r="95" spans="1:15" ht="25.5" customHeight="1" x14ac:dyDescent="0.35">
      <c r="A95" s="631">
        <v>2</v>
      </c>
      <c r="B95" s="100" t="s">
        <v>2543</v>
      </c>
      <c r="C95" s="73">
        <v>11</v>
      </c>
      <c r="D95" s="1782"/>
      <c r="E95" s="52" t="s">
        <v>2544</v>
      </c>
      <c r="F95" s="32">
        <v>1</v>
      </c>
      <c r="G95" s="6"/>
      <c r="H95" s="6"/>
      <c r="I95" s="20">
        <f t="shared" si="2"/>
        <v>0</v>
      </c>
      <c r="J95" s="616">
        <v>1</v>
      </c>
      <c r="K95" s="703"/>
      <c r="L95" s="22">
        <f t="shared" si="3"/>
        <v>0</v>
      </c>
      <c r="M95" s="22"/>
      <c r="N95" s="72" t="s">
        <v>98</v>
      </c>
      <c r="O95" s="15"/>
    </row>
    <row r="96" spans="1:15" ht="25.5" customHeight="1" x14ac:dyDescent="0.35">
      <c r="A96" s="631">
        <v>3</v>
      </c>
      <c r="B96" s="100" t="s">
        <v>2545</v>
      </c>
      <c r="C96" s="73">
        <v>11</v>
      </c>
      <c r="D96" s="1782"/>
      <c r="E96" s="52" t="s">
        <v>2546</v>
      </c>
      <c r="F96" s="32">
        <v>1</v>
      </c>
      <c r="G96" s="6">
        <v>71093467</v>
      </c>
      <c r="H96" s="6">
        <v>71801567</v>
      </c>
      <c r="I96" s="20">
        <f t="shared" si="2"/>
        <v>708100</v>
      </c>
      <c r="J96" s="616">
        <v>1</v>
      </c>
      <c r="K96" s="703"/>
      <c r="L96" s="22">
        <f t="shared" si="3"/>
        <v>708100</v>
      </c>
      <c r="M96" s="22"/>
      <c r="N96" s="72" t="s">
        <v>98</v>
      </c>
      <c r="O96" s="15"/>
    </row>
    <row r="97" spans="1:15" ht="25.5" customHeight="1" x14ac:dyDescent="0.35">
      <c r="A97" s="631">
        <v>4</v>
      </c>
      <c r="B97" s="100" t="s">
        <v>2547</v>
      </c>
      <c r="C97" s="73">
        <v>11</v>
      </c>
      <c r="D97" s="1782"/>
      <c r="E97" s="52" t="s">
        <v>2548</v>
      </c>
      <c r="F97" s="32">
        <v>1</v>
      </c>
      <c r="G97" s="6">
        <v>3901575</v>
      </c>
      <c r="H97" s="6">
        <v>4885786</v>
      </c>
      <c r="I97" s="20">
        <f t="shared" si="2"/>
        <v>984211</v>
      </c>
      <c r="J97" s="616">
        <v>1</v>
      </c>
      <c r="K97" s="703"/>
      <c r="L97" s="22">
        <f t="shared" si="3"/>
        <v>984211</v>
      </c>
      <c r="M97" s="22"/>
      <c r="N97" s="72" t="s">
        <v>98</v>
      </c>
      <c r="O97" s="15"/>
    </row>
    <row r="98" spans="1:15" ht="25.5" customHeight="1" x14ac:dyDescent="0.35">
      <c r="A98" s="631">
        <v>5</v>
      </c>
      <c r="B98" s="100" t="s">
        <v>2549</v>
      </c>
      <c r="C98" s="73">
        <v>11</v>
      </c>
      <c r="D98" s="1782"/>
      <c r="E98" s="52" t="s">
        <v>2550</v>
      </c>
      <c r="F98" s="32">
        <v>1</v>
      </c>
      <c r="G98" s="6">
        <v>13777280</v>
      </c>
      <c r="H98" s="6">
        <v>15078883</v>
      </c>
      <c r="I98" s="20">
        <f t="shared" si="2"/>
        <v>1301603</v>
      </c>
      <c r="J98" s="616">
        <v>1</v>
      </c>
      <c r="K98" s="703"/>
      <c r="L98" s="22">
        <f t="shared" si="3"/>
        <v>1301603</v>
      </c>
      <c r="M98" s="22"/>
      <c r="N98" s="72" t="s">
        <v>98</v>
      </c>
      <c r="O98" s="15"/>
    </row>
    <row r="99" spans="1:15" ht="25.5" customHeight="1" x14ac:dyDescent="0.35">
      <c r="A99" s="631">
        <v>6</v>
      </c>
      <c r="B99" s="100" t="s">
        <v>2551</v>
      </c>
      <c r="C99" s="73">
        <v>11</v>
      </c>
      <c r="D99" s="1782"/>
      <c r="E99" s="52" t="s">
        <v>2552</v>
      </c>
      <c r="F99" s="32">
        <v>1</v>
      </c>
      <c r="G99" s="6">
        <v>80547349</v>
      </c>
      <c r="H99" s="6">
        <v>81066568</v>
      </c>
      <c r="I99" s="20">
        <f t="shared" si="2"/>
        <v>519219</v>
      </c>
      <c r="J99" s="616">
        <v>1</v>
      </c>
      <c r="K99" s="703"/>
      <c r="L99" s="22">
        <f t="shared" si="3"/>
        <v>519219</v>
      </c>
      <c r="M99" s="22"/>
      <c r="N99" s="72" t="s">
        <v>98</v>
      </c>
      <c r="O99" s="15"/>
    </row>
    <row r="100" spans="1:15" ht="25.5" customHeight="1" x14ac:dyDescent="0.35">
      <c r="A100" s="631">
        <v>7</v>
      </c>
      <c r="B100" s="100" t="s">
        <v>2553</v>
      </c>
      <c r="C100" s="73">
        <v>11</v>
      </c>
      <c r="D100" s="1782"/>
      <c r="E100" s="52" t="s">
        <v>2554</v>
      </c>
      <c r="F100" s="32">
        <v>1</v>
      </c>
      <c r="G100" s="6">
        <v>368.6</v>
      </c>
      <c r="H100" s="6">
        <v>415.5</v>
      </c>
      <c r="I100" s="20">
        <f t="shared" si="2"/>
        <v>46.899999999999977</v>
      </c>
      <c r="J100" s="616">
        <v>1000</v>
      </c>
      <c r="K100" s="703"/>
      <c r="L100" s="22">
        <f t="shared" si="3"/>
        <v>46899.999999999978</v>
      </c>
      <c r="M100" s="22"/>
      <c r="N100" s="72" t="s">
        <v>98</v>
      </c>
      <c r="O100" s="15"/>
    </row>
    <row r="101" spans="1:15" ht="25.5" customHeight="1" x14ac:dyDescent="0.35">
      <c r="A101" s="631">
        <v>10</v>
      </c>
      <c r="B101" s="100" t="s">
        <v>2556</v>
      </c>
      <c r="C101" s="73">
        <v>11</v>
      </c>
      <c r="D101" s="1782"/>
      <c r="E101" s="52" t="s">
        <v>2557</v>
      </c>
      <c r="F101" s="32">
        <v>1</v>
      </c>
      <c r="G101" s="6">
        <v>7502559</v>
      </c>
      <c r="H101" s="6">
        <v>7521984</v>
      </c>
      <c r="I101" s="20">
        <f t="shared" si="2"/>
        <v>19425</v>
      </c>
      <c r="J101" s="616">
        <v>1</v>
      </c>
      <c r="K101" s="703"/>
      <c r="L101" s="22">
        <f t="shared" si="3"/>
        <v>19425</v>
      </c>
      <c r="M101" s="22"/>
      <c r="N101" s="72" t="s">
        <v>98</v>
      </c>
      <c r="O101" s="15"/>
    </row>
    <row r="102" spans="1:15" ht="25.5" customHeight="1" x14ac:dyDescent="0.35">
      <c r="A102" s="631">
        <v>11</v>
      </c>
      <c r="B102" s="100" t="s">
        <v>2558</v>
      </c>
      <c r="C102" s="73">
        <v>11</v>
      </c>
      <c r="D102" s="1782"/>
      <c r="E102" s="52" t="s">
        <v>2559</v>
      </c>
      <c r="F102" s="32">
        <v>1</v>
      </c>
      <c r="G102" s="6">
        <v>15171631</v>
      </c>
      <c r="H102" s="6">
        <v>16393104</v>
      </c>
      <c r="I102" s="20">
        <f t="shared" si="2"/>
        <v>1221473</v>
      </c>
      <c r="J102" s="616">
        <v>1</v>
      </c>
      <c r="K102" s="703"/>
      <c r="L102" s="22">
        <f t="shared" si="3"/>
        <v>1221473</v>
      </c>
      <c r="M102" s="22"/>
      <c r="N102" s="72" t="s">
        <v>98</v>
      </c>
      <c r="O102" s="15"/>
    </row>
    <row r="103" spans="1:15" ht="25.5" customHeight="1" x14ac:dyDescent="0.35">
      <c r="A103" s="631">
        <v>12</v>
      </c>
      <c r="B103" s="100" t="s">
        <v>2560</v>
      </c>
      <c r="C103" s="73">
        <v>11</v>
      </c>
      <c r="D103" s="1782"/>
      <c r="E103" s="52" t="s">
        <v>2561</v>
      </c>
      <c r="F103" s="32">
        <v>1</v>
      </c>
      <c r="G103" s="6">
        <v>68478771</v>
      </c>
      <c r="H103" s="6">
        <v>69948871</v>
      </c>
      <c r="I103" s="20">
        <f t="shared" si="2"/>
        <v>1470100</v>
      </c>
      <c r="J103" s="616">
        <v>1</v>
      </c>
      <c r="K103" s="703"/>
      <c r="L103" s="22">
        <f t="shared" si="3"/>
        <v>1470100</v>
      </c>
      <c r="M103" s="22"/>
      <c r="N103" s="72" t="s">
        <v>98</v>
      </c>
      <c r="O103" s="15"/>
    </row>
    <row r="104" spans="1:15" ht="25.5" customHeight="1" x14ac:dyDescent="0.35">
      <c r="A104" s="631">
        <v>13</v>
      </c>
      <c r="B104" s="100" t="s">
        <v>2543</v>
      </c>
      <c r="C104" s="73">
        <v>11</v>
      </c>
      <c r="D104" s="1782"/>
      <c r="E104" s="52" t="s">
        <v>2562</v>
      </c>
      <c r="F104" s="32">
        <v>1</v>
      </c>
      <c r="G104" s="6"/>
      <c r="H104" s="6"/>
      <c r="I104" s="20">
        <f t="shared" si="2"/>
        <v>0</v>
      </c>
      <c r="J104" s="616">
        <v>1</v>
      </c>
      <c r="K104" s="703"/>
      <c r="L104" s="22">
        <f t="shared" si="3"/>
        <v>0</v>
      </c>
      <c r="M104" s="22"/>
      <c r="N104" s="72"/>
      <c r="O104" s="15"/>
    </row>
    <row r="105" spans="1:15" ht="25.5" customHeight="1" x14ac:dyDescent="0.35">
      <c r="A105" s="631">
        <v>14</v>
      </c>
      <c r="B105" s="100" t="s">
        <v>2543</v>
      </c>
      <c r="C105" s="73">
        <v>11</v>
      </c>
      <c r="D105" s="1782"/>
      <c r="E105" s="52" t="s">
        <v>2506</v>
      </c>
      <c r="F105" s="32"/>
      <c r="G105" s="6"/>
      <c r="H105" s="6"/>
      <c r="I105" s="20"/>
      <c r="J105" s="616">
        <v>1</v>
      </c>
      <c r="K105" s="703"/>
      <c r="L105" s="22">
        <f t="shared" si="3"/>
        <v>0</v>
      </c>
      <c r="M105" s="22"/>
      <c r="N105" s="72"/>
      <c r="O105" s="15"/>
    </row>
    <row r="106" spans="1:15" ht="25.5" customHeight="1" x14ac:dyDescent="0.35">
      <c r="A106" s="631">
        <v>15</v>
      </c>
      <c r="B106" s="100" t="s">
        <v>2543</v>
      </c>
      <c r="C106" s="73">
        <v>11</v>
      </c>
      <c r="D106" s="1782"/>
      <c r="E106" s="52" t="s">
        <v>2563</v>
      </c>
      <c r="F106" s="32">
        <v>1</v>
      </c>
      <c r="G106" s="6"/>
      <c r="H106" s="6"/>
      <c r="I106" s="20">
        <f t="shared" si="2"/>
        <v>0</v>
      </c>
      <c r="J106" s="616">
        <v>1</v>
      </c>
      <c r="K106" s="703"/>
      <c r="L106" s="22">
        <f t="shared" si="3"/>
        <v>0</v>
      </c>
      <c r="M106" s="22"/>
      <c r="N106" s="72"/>
      <c r="O106" s="15"/>
    </row>
    <row r="107" spans="1:15" ht="25.5" customHeight="1" x14ac:dyDescent="0.35">
      <c r="A107" s="631">
        <v>16</v>
      </c>
      <c r="B107" s="100" t="s">
        <v>2543</v>
      </c>
      <c r="C107" s="73">
        <v>11</v>
      </c>
      <c r="D107" s="1782"/>
      <c r="E107" s="52" t="s">
        <v>2564</v>
      </c>
      <c r="F107" s="32">
        <v>1</v>
      </c>
      <c r="G107" s="6"/>
      <c r="H107" s="6"/>
      <c r="I107" s="20">
        <f t="shared" si="2"/>
        <v>0</v>
      </c>
      <c r="J107" s="616">
        <v>1</v>
      </c>
      <c r="K107" s="703"/>
      <c r="L107" s="22">
        <f t="shared" si="3"/>
        <v>0</v>
      </c>
      <c r="M107" s="22"/>
      <c r="N107" s="72"/>
      <c r="O107" s="15"/>
    </row>
    <row r="108" spans="1:15" ht="25.5" customHeight="1" x14ac:dyDescent="0.35">
      <c r="A108" s="631">
        <v>17</v>
      </c>
      <c r="B108" s="101" t="s">
        <v>2543</v>
      </c>
      <c r="C108" s="73">
        <v>11</v>
      </c>
      <c r="D108" s="1782"/>
      <c r="E108" s="52" t="s">
        <v>2506</v>
      </c>
      <c r="F108" s="32"/>
      <c r="G108" s="6"/>
      <c r="H108" s="6"/>
      <c r="I108" s="20">
        <f t="shared" si="2"/>
        <v>0</v>
      </c>
      <c r="J108" s="616">
        <v>1</v>
      </c>
      <c r="K108" s="703"/>
      <c r="L108" s="22">
        <f t="shared" si="3"/>
        <v>0</v>
      </c>
      <c r="M108" s="22"/>
      <c r="N108" s="72"/>
      <c r="O108" s="15"/>
    </row>
    <row r="109" spans="1:15" ht="25.5" customHeight="1" x14ac:dyDescent="0.35">
      <c r="A109" s="633">
        <v>13</v>
      </c>
      <c r="B109" s="100" t="s">
        <v>305</v>
      </c>
      <c r="C109" s="74">
        <v>0.4</v>
      </c>
      <c r="D109" s="1783"/>
      <c r="E109" s="52">
        <v>6603506</v>
      </c>
      <c r="F109" s="32">
        <v>1</v>
      </c>
      <c r="G109" s="6"/>
      <c r="H109" s="6"/>
      <c r="I109" s="20"/>
      <c r="J109" s="616">
        <v>1</v>
      </c>
      <c r="K109" s="705"/>
      <c r="L109" s="22">
        <f>J109*I109*F109</f>
        <v>0</v>
      </c>
      <c r="M109" s="22"/>
      <c r="N109" s="72" t="s">
        <v>98</v>
      </c>
      <c r="O109" s="13"/>
    </row>
    <row r="110" spans="1:15" ht="20" x14ac:dyDescent="0.35">
      <c r="A110" s="636"/>
      <c r="B110" s="96"/>
      <c r="C110" s="90"/>
      <c r="D110" s="90"/>
      <c r="E110" s="90"/>
      <c r="F110" s="38"/>
      <c r="G110" s="38"/>
      <c r="H110" s="38"/>
      <c r="I110" s="38"/>
      <c r="J110" s="96" t="s">
        <v>30</v>
      </c>
      <c r="K110" s="708">
        <f>K92</f>
        <v>7238130.3999999044</v>
      </c>
      <c r="L110" s="43">
        <f>SUM(L94:L109)</f>
        <v>7226041</v>
      </c>
      <c r="M110" s="43">
        <f>SUM(M94:M109)</f>
        <v>0</v>
      </c>
      <c r="N110" s="84">
        <f>(M110-L110)/L110*100</f>
        <v>-100</v>
      </c>
      <c r="O110" s="13"/>
    </row>
    <row r="111" spans="1:15" x14ac:dyDescent="0.35">
      <c r="D111" s="725"/>
      <c r="K111" s="34"/>
    </row>
    <row r="112" spans="1:15" ht="15" x14ac:dyDescent="0.35">
      <c r="A112" s="620"/>
      <c r="B112" s="635"/>
      <c r="C112" s="632"/>
      <c r="D112" s="720"/>
      <c r="G112" s="2092" t="s">
        <v>1099</v>
      </c>
      <c r="H112" s="2092"/>
      <c r="I112" s="2092"/>
      <c r="J112" s="677" t="s">
        <v>14</v>
      </c>
      <c r="K112" s="702"/>
      <c r="L112" s="620"/>
      <c r="M112" s="620"/>
      <c r="N112" s="632"/>
      <c r="O112" s="620"/>
    </row>
    <row r="113" spans="1:15" ht="15.5" x14ac:dyDescent="0.35">
      <c r="A113" s="620"/>
      <c r="B113" s="635"/>
      <c r="C113" s="632"/>
      <c r="D113" s="720"/>
      <c r="G113" s="2082" t="s">
        <v>232</v>
      </c>
      <c r="H113" s="2082"/>
      <c r="I113" s="2082"/>
      <c r="J113" s="643" t="e">
        <f>M100+M104+M106+M107+M108+#REF!+#REF!+#REF!+#REF!</f>
        <v>#REF!</v>
      </c>
      <c r="K113" s="702"/>
      <c r="L113" s="620"/>
      <c r="M113" s="620"/>
      <c r="N113" s="632"/>
      <c r="O113" s="620" t="s">
        <v>237</v>
      </c>
    </row>
    <row r="114" spans="1:15" ht="15.5" x14ac:dyDescent="0.35">
      <c r="A114" s="620"/>
      <c r="B114" s="635"/>
      <c r="C114" s="632"/>
      <c r="D114" s="720"/>
      <c r="G114" s="2082" t="s">
        <v>233</v>
      </c>
      <c r="H114" s="2082"/>
      <c r="I114" s="2082"/>
      <c r="J114" s="643" t="e">
        <f>M95+M96+M97+M101+M102+M103+#REF!+#REF!+#REF!</f>
        <v>#REF!</v>
      </c>
      <c r="K114" s="702"/>
      <c r="L114" s="620"/>
      <c r="M114" s="620"/>
      <c r="N114" s="632"/>
      <c r="O114" s="620"/>
    </row>
    <row r="115" spans="1:15" ht="15.5" x14ac:dyDescent="0.35">
      <c r="A115" s="620"/>
      <c r="B115" s="635"/>
      <c r="C115" s="632"/>
      <c r="D115" s="720"/>
      <c r="G115" s="2082" t="s">
        <v>234</v>
      </c>
      <c r="H115" s="2082"/>
      <c r="I115" s="2082"/>
      <c r="J115" s="643" t="e">
        <f>#REF!</f>
        <v>#REF!</v>
      </c>
      <c r="K115" s="702"/>
      <c r="L115" s="620"/>
      <c r="M115" s="620"/>
      <c r="N115" s="632"/>
      <c r="O115" s="620"/>
    </row>
    <row r="116" spans="1:15" ht="16" thickBot="1" x14ac:dyDescent="0.4">
      <c r="A116" s="620"/>
      <c r="B116" s="635"/>
      <c r="C116" s="632"/>
      <c r="D116" s="720"/>
      <c r="G116" s="2082" t="s">
        <v>235</v>
      </c>
      <c r="H116" s="2082"/>
      <c r="I116" s="2082"/>
      <c r="J116" s="643" t="e">
        <f>M94+M98+M99+M105+#REF!+#REF!+#REF!+#REF!+M109</f>
        <v>#REF!</v>
      </c>
      <c r="K116" s="702"/>
      <c r="L116" s="620"/>
      <c r="M116" s="620"/>
      <c r="N116" s="632"/>
      <c r="O116" s="620"/>
    </row>
    <row r="117" spans="1:15" ht="20.5" thickBot="1" x14ac:dyDescent="0.4">
      <c r="A117" s="620"/>
      <c r="B117" s="635"/>
      <c r="C117" s="632"/>
      <c r="D117" s="720"/>
      <c r="G117" s="2083" t="s">
        <v>210</v>
      </c>
      <c r="H117" s="2083"/>
      <c r="I117" s="2083"/>
      <c r="J117" s="714" t="e">
        <f>SUM(J113:J116)</f>
        <v>#REF!</v>
      </c>
      <c r="K117" s="682" t="e">
        <f>J117-M110</f>
        <v>#REF!</v>
      </c>
      <c r="L117" s="620"/>
      <c r="M117" s="620"/>
      <c r="N117" s="632"/>
      <c r="O117" s="620"/>
    </row>
    <row r="118" spans="1:15" x14ac:dyDescent="0.35">
      <c r="A118" s="620"/>
      <c r="B118" s="635"/>
      <c r="C118" s="632"/>
      <c r="D118" s="720"/>
      <c r="E118" s="632"/>
      <c r="F118" s="620"/>
      <c r="G118" s="620"/>
      <c r="H118" s="620"/>
      <c r="I118" s="620"/>
      <c r="J118" s="620"/>
      <c r="K118" s="702"/>
      <c r="L118" s="620"/>
      <c r="M118" s="620"/>
      <c r="N118" s="632"/>
      <c r="O118" s="620"/>
    </row>
    <row r="119" spans="1:15" x14ac:dyDescent="0.35">
      <c r="A119" s="620"/>
      <c r="B119" s="635"/>
      <c r="C119" s="632"/>
      <c r="D119" s="720"/>
      <c r="E119" s="632"/>
      <c r="F119" s="620"/>
      <c r="G119" s="620"/>
      <c r="H119" s="620"/>
      <c r="I119" s="620"/>
      <c r="J119" s="620"/>
      <c r="K119" s="702"/>
      <c r="L119" s="620"/>
      <c r="M119" s="620"/>
      <c r="N119" s="632"/>
      <c r="O119" s="620"/>
    </row>
    <row r="120" spans="1:15" x14ac:dyDescent="0.35">
      <c r="A120" s="620"/>
      <c r="B120" s="635"/>
      <c r="C120" s="632"/>
      <c r="D120" s="720"/>
      <c r="E120" s="632"/>
      <c r="F120" s="620"/>
      <c r="G120" s="620"/>
      <c r="H120" s="620"/>
      <c r="I120" s="620"/>
      <c r="J120" s="620"/>
      <c r="K120" s="702"/>
      <c r="L120" s="620"/>
      <c r="M120" s="620"/>
      <c r="N120" s="632"/>
      <c r="O120" s="620"/>
    </row>
    <row r="121" spans="1:15" x14ac:dyDescent="0.35">
      <c r="A121" s="620"/>
      <c r="B121" s="635"/>
      <c r="C121" s="632"/>
      <c r="D121" s="720"/>
      <c r="E121" s="632"/>
      <c r="F121" s="620"/>
      <c r="G121" s="620"/>
      <c r="H121" s="620"/>
      <c r="I121" s="620"/>
      <c r="J121" s="620"/>
      <c r="K121" s="702"/>
      <c r="L121" s="620"/>
      <c r="M121" s="620"/>
      <c r="N121" s="632"/>
      <c r="O121" s="620"/>
    </row>
    <row r="122" spans="1:15" x14ac:dyDescent="0.35">
      <c r="A122" s="620"/>
      <c r="B122" s="635"/>
      <c r="C122" s="632"/>
      <c r="D122" s="720"/>
      <c r="E122" s="632"/>
      <c r="F122" s="620"/>
      <c r="G122" s="620"/>
      <c r="H122" s="620"/>
      <c r="I122" s="620"/>
      <c r="J122" s="620"/>
      <c r="K122" s="702"/>
      <c r="L122" s="620"/>
      <c r="M122" s="620"/>
      <c r="N122" s="632"/>
      <c r="O122" s="620"/>
    </row>
    <row r="123" spans="1:15" x14ac:dyDescent="0.35">
      <c r="A123" s="620"/>
      <c r="B123" s="632"/>
      <c r="C123" s="632"/>
      <c r="D123" s="720"/>
      <c r="E123" s="632"/>
      <c r="F123" s="620"/>
      <c r="G123" s="620"/>
      <c r="H123" s="620"/>
      <c r="I123" s="620"/>
      <c r="J123" s="620"/>
      <c r="K123" s="702"/>
      <c r="L123" s="620"/>
      <c r="M123" s="620"/>
      <c r="N123" s="632"/>
      <c r="O123" s="620"/>
    </row>
    <row r="124" spans="1:15" x14ac:dyDescent="0.35">
      <c r="A124" s="620"/>
      <c r="B124" s="632"/>
      <c r="C124" s="632"/>
      <c r="D124" s="720"/>
      <c r="E124" s="632"/>
      <c r="F124" s="620"/>
      <c r="G124" s="620"/>
      <c r="H124" s="620"/>
      <c r="I124" s="620"/>
      <c r="J124" s="620"/>
      <c r="K124" s="702"/>
      <c r="L124" s="620"/>
      <c r="M124" s="620"/>
      <c r="N124" s="632"/>
      <c r="O124" s="620"/>
    </row>
    <row r="125" spans="1:15" x14ac:dyDescent="0.35">
      <c r="A125" s="620"/>
      <c r="B125" s="635"/>
      <c r="C125" s="632"/>
      <c r="D125" s="720"/>
      <c r="E125" s="632"/>
      <c r="F125" s="620"/>
      <c r="G125" s="620"/>
      <c r="H125" s="620"/>
      <c r="I125" s="620"/>
      <c r="J125" s="620"/>
      <c r="K125" s="702"/>
      <c r="L125" s="620"/>
      <c r="M125" s="620"/>
      <c r="N125" s="632"/>
      <c r="O125" s="620"/>
    </row>
    <row r="126" spans="1:15" x14ac:dyDescent="0.35">
      <c r="A126" s="620"/>
      <c r="B126" s="635"/>
      <c r="C126" s="632"/>
      <c r="D126" s="720"/>
      <c r="E126" s="632"/>
      <c r="F126" s="620"/>
      <c r="G126" s="620"/>
      <c r="H126" s="620"/>
      <c r="I126" s="620"/>
      <c r="J126" s="620"/>
      <c r="K126" s="702"/>
      <c r="L126" s="620"/>
      <c r="M126" s="620"/>
      <c r="N126" s="632"/>
      <c r="O126" s="620"/>
    </row>
    <row r="127" spans="1:15" x14ac:dyDescent="0.35">
      <c r="A127" s="620"/>
      <c r="B127" s="635"/>
      <c r="C127" s="632"/>
      <c r="D127" s="720"/>
      <c r="E127" s="632"/>
      <c r="F127" s="620"/>
      <c r="G127" s="620"/>
      <c r="H127" s="620"/>
      <c r="I127" s="620"/>
      <c r="J127" s="620"/>
      <c r="K127" s="702"/>
      <c r="L127" s="620"/>
      <c r="M127" s="620"/>
      <c r="N127" s="632"/>
      <c r="O127" s="620"/>
    </row>
    <row r="128" spans="1:15" ht="25" x14ac:dyDescent="0.35">
      <c r="A128" s="28"/>
      <c r="B128" s="2152"/>
      <c r="C128" s="2152"/>
      <c r="D128" s="2152"/>
      <c r="E128" s="2152"/>
      <c r="F128" s="2152"/>
      <c r="G128" s="2152"/>
      <c r="H128" s="2152"/>
      <c r="I128" s="2152"/>
      <c r="J128" s="2152"/>
      <c r="K128" s="2152"/>
      <c r="L128" s="2152"/>
      <c r="M128" s="2152"/>
      <c r="N128" s="632"/>
      <c r="O128" s="620"/>
    </row>
    <row r="129" spans="1:15" x14ac:dyDescent="0.35">
      <c r="A129" s="620"/>
      <c r="B129" s="635"/>
      <c r="C129" s="632"/>
      <c r="D129" s="720"/>
      <c r="E129" s="632"/>
      <c r="F129" s="620"/>
      <c r="G129" s="620"/>
      <c r="H129" s="620"/>
      <c r="I129" s="620"/>
      <c r="J129" s="620"/>
      <c r="K129" s="702"/>
      <c r="L129" s="620"/>
      <c r="M129" s="620"/>
      <c r="N129" s="632"/>
      <c r="O129" s="620"/>
    </row>
    <row r="130" spans="1:15" x14ac:dyDescent="0.35">
      <c r="A130" s="620"/>
      <c r="B130" s="635"/>
      <c r="C130" s="632"/>
      <c r="D130" s="720"/>
      <c r="E130" s="632"/>
      <c r="F130" s="620"/>
      <c r="G130" s="620"/>
      <c r="H130" s="620"/>
      <c r="I130" s="620"/>
      <c r="J130" s="620"/>
      <c r="K130" s="702"/>
      <c r="L130" s="620"/>
      <c r="M130" s="620"/>
      <c r="N130" s="632"/>
      <c r="O130" s="620"/>
    </row>
    <row r="131" spans="1:15" ht="25" x14ac:dyDescent="0.35">
      <c r="A131" s="2095" t="s">
        <v>1213</v>
      </c>
      <c r="B131" s="2095"/>
      <c r="C131" s="2095"/>
      <c r="D131" s="2095"/>
      <c r="E131" s="2095"/>
      <c r="F131" s="2095"/>
      <c r="G131" s="2095"/>
      <c r="H131" s="2095"/>
      <c r="I131" s="2095"/>
      <c r="J131" s="2095"/>
      <c r="K131" s="2095"/>
      <c r="L131" s="2095"/>
      <c r="M131" s="2095"/>
      <c r="N131" s="2095"/>
      <c r="O131" s="756" t="e">
        <f>$O$6</f>
        <v>#REF!</v>
      </c>
    </row>
    <row r="132" spans="1:15" ht="15.5" x14ac:dyDescent="0.35">
      <c r="A132" s="2096" t="s">
        <v>0</v>
      </c>
      <c r="B132" s="2098" t="s">
        <v>1</v>
      </c>
      <c r="C132" s="2100" t="s">
        <v>2</v>
      </c>
      <c r="D132" s="2101"/>
      <c r="E132" s="2102"/>
      <c r="F132" s="2103" t="s">
        <v>3</v>
      </c>
      <c r="G132" s="2100" t="s">
        <v>4</v>
      </c>
      <c r="H132" s="2102"/>
      <c r="I132" s="2085"/>
      <c r="J132" s="2103" t="s">
        <v>5</v>
      </c>
      <c r="K132" s="2100" t="s">
        <v>6</v>
      </c>
      <c r="L132" s="2085"/>
      <c r="M132" s="97" t="s">
        <v>32</v>
      </c>
      <c r="N132" s="98"/>
      <c r="O132" s="2084" t="s">
        <v>7</v>
      </c>
    </row>
    <row r="133" spans="1:15" ht="15.5" x14ac:dyDescent="0.35">
      <c r="A133" s="2097"/>
      <c r="B133" s="2099"/>
      <c r="C133" s="2086" t="s">
        <v>1108</v>
      </c>
      <c r="D133" s="2087"/>
      <c r="E133" s="87" t="s">
        <v>9</v>
      </c>
      <c r="F133" s="2097"/>
      <c r="G133" s="2">
        <f>'NORTH-1'!$G$8</f>
        <v>44774</v>
      </c>
      <c r="H133" s="2">
        <f>'NORTH-1'!$H$8</f>
        <v>44805</v>
      </c>
      <c r="I133" s="1" t="s">
        <v>10</v>
      </c>
      <c r="J133" s="2097"/>
      <c r="K133" s="1" t="s">
        <v>11</v>
      </c>
      <c r="L133" s="1" t="s">
        <v>12</v>
      </c>
      <c r="M133" s="617" t="s">
        <v>33</v>
      </c>
      <c r="N133" s="76" t="s">
        <v>47</v>
      </c>
      <c r="O133" s="2085"/>
    </row>
    <row r="134" spans="1:15" ht="15.5" x14ac:dyDescent="0.35">
      <c r="A134" s="3">
        <v>1</v>
      </c>
      <c r="B134" s="88">
        <v>2</v>
      </c>
      <c r="C134" s="2088">
        <v>4</v>
      </c>
      <c r="D134" s="2089"/>
      <c r="E134" s="88">
        <v>5</v>
      </c>
      <c r="F134" s="3">
        <v>7</v>
      </c>
      <c r="G134" s="3">
        <v>8</v>
      </c>
      <c r="H134" s="3">
        <v>9</v>
      </c>
      <c r="I134" s="3" t="s">
        <v>13</v>
      </c>
      <c r="J134" s="3">
        <v>11</v>
      </c>
      <c r="K134" s="3" t="s">
        <v>19</v>
      </c>
      <c r="L134" s="3" t="s">
        <v>20</v>
      </c>
      <c r="M134" s="3">
        <v>14</v>
      </c>
      <c r="N134" s="77">
        <v>15</v>
      </c>
      <c r="O134" s="3">
        <v>16</v>
      </c>
    </row>
    <row r="135" spans="1:15" ht="15.5" x14ac:dyDescent="0.35">
      <c r="A135" s="631"/>
      <c r="B135" s="624" t="s">
        <v>1100</v>
      </c>
      <c r="C135" s="625"/>
      <c r="D135" s="625"/>
      <c r="E135" s="625"/>
      <c r="F135" s="625"/>
      <c r="G135" s="625"/>
      <c r="H135" s="625"/>
      <c r="I135" s="625"/>
      <c r="J135" s="625"/>
      <c r="K135" s="695"/>
      <c r="L135" s="625"/>
      <c r="M135" s="626"/>
      <c r="N135" s="627"/>
      <c r="O135" s="616"/>
    </row>
    <row r="136" spans="1:15" ht="15.5" x14ac:dyDescent="0.35">
      <c r="A136" s="11">
        <v>1</v>
      </c>
      <c r="B136" s="100" t="s">
        <v>2565</v>
      </c>
      <c r="C136" s="52">
        <v>33</v>
      </c>
      <c r="D136" s="1770" t="s">
        <v>339</v>
      </c>
      <c r="E136" s="52" t="s">
        <v>2516</v>
      </c>
      <c r="F136" s="4">
        <v>1</v>
      </c>
      <c r="G136" s="21">
        <v>0</v>
      </c>
      <c r="H136" s="21">
        <v>0</v>
      </c>
      <c r="I136" s="21">
        <f>H136-G136</f>
        <v>0</v>
      </c>
      <c r="J136" s="616">
        <v>2000</v>
      </c>
      <c r="K136" s="696">
        <f>F136*I136*J136</f>
        <v>0</v>
      </c>
      <c r="L136" s="22"/>
      <c r="M136" s="22"/>
      <c r="N136" s="82"/>
      <c r="O136" s="9"/>
    </row>
    <row r="137" spans="1:15" ht="15.5" x14ac:dyDescent="0.35">
      <c r="A137" s="631">
        <v>2</v>
      </c>
      <c r="B137" s="100" t="s">
        <v>2566</v>
      </c>
      <c r="C137" s="52">
        <v>33</v>
      </c>
      <c r="D137" s="1772" t="s">
        <v>339</v>
      </c>
      <c r="E137" s="52" t="s">
        <v>2531</v>
      </c>
      <c r="F137" s="4">
        <v>1</v>
      </c>
      <c r="G137" s="21">
        <v>267757</v>
      </c>
      <c r="H137" s="21">
        <v>268674</v>
      </c>
      <c r="I137" s="21">
        <f>H137-G137</f>
        <v>917</v>
      </c>
      <c r="J137" s="616">
        <v>2000</v>
      </c>
      <c r="K137" s="696">
        <f>F137*I137*J137</f>
        <v>1834000</v>
      </c>
      <c r="L137" s="22"/>
      <c r="M137" s="22"/>
      <c r="N137" s="82"/>
      <c r="O137" s="616"/>
    </row>
    <row r="138" spans="1:15" ht="15.5" x14ac:dyDescent="0.35">
      <c r="A138" s="631"/>
      <c r="B138" s="102"/>
      <c r="C138" s="91"/>
      <c r="D138" s="726"/>
      <c r="E138" s="91"/>
      <c r="F138" s="47"/>
      <c r="G138" s="48"/>
      <c r="H138" s="48"/>
      <c r="I138" s="48"/>
      <c r="J138" s="96" t="s">
        <v>30</v>
      </c>
      <c r="K138" s="43">
        <f>SUM(K136:K137)</f>
        <v>1834000</v>
      </c>
      <c r="L138" s="43">
        <f>SUM(L136:L137)</f>
        <v>0</v>
      </c>
      <c r="M138" s="43">
        <f>SUM(M136:M137)</f>
        <v>0</v>
      </c>
      <c r="N138" s="646"/>
      <c r="O138" s="616"/>
    </row>
    <row r="139" spans="1:15" ht="15.5" x14ac:dyDescent="0.35">
      <c r="A139" s="616"/>
      <c r="B139" s="624" t="s">
        <v>1113</v>
      </c>
      <c r="C139" s="625"/>
      <c r="D139" s="625"/>
      <c r="E139" s="625"/>
      <c r="F139" s="625"/>
      <c r="G139" s="625"/>
      <c r="H139" s="625"/>
      <c r="I139" s="625"/>
      <c r="J139" s="732"/>
      <c r="K139" s="733"/>
      <c r="L139" s="734"/>
      <c r="M139" s="734"/>
      <c r="N139" s="627"/>
      <c r="O139" s="12"/>
    </row>
    <row r="140" spans="1:15" ht="15.5" x14ac:dyDescent="0.35">
      <c r="A140" s="616">
        <v>3</v>
      </c>
      <c r="B140" s="100" t="s">
        <v>2567</v>
      </c>
      <c r="C140" s="52">
        <v>33</v>
      </c>
      <c r="D140" s="1770" t="s">
        <v>339</v>
      </c>
      <c r="E140" s="52" t="s">
        <v>2517</v>
      </c>
      <c r="F140" s="4">
        <v>1</v>
      </c>
      <c r="G140" s="21">
        <v>2283.7600000000002</v>
      </c>
      <c r="H140" s="21">
        <v>2298.21</v>
      </c>
      <c r="I140" s="20">
        <f>H140-G140</f>
        <v>14.449999999999818</v>
      </c>
      <c r="J140" s="616">
        <v>270000</v>
      </c>
      <c r="K140" s="696">
        <f>F140*I140*J140</f>
        <v>3901499.9999999511</v>
      </c>
      <c r="L140" s="22"/>
      <c r="M140" s="22"/>
      <c r="N140" s="82"/>
      <c r="O140" s="12">
        <f>L139+L141</f>
        <v>0</v>
      </c>
    </row>
    <row r="141" spans="1:15" ht="15.5" x14ac:dyDescent="0.35">
      <c r="A141" s="616">
        <v>6</v>
      </c>
      <c r="B141" s="100" t="s">
        <v>2568</v>
      </c>
      <c r="C141" s="52">
        <v>33</v>
      </c>
      <c r="D141" s="1771" t="s">
        <v>339</v>
      </c>
      <c r="E141" s="52" t="s">
        <v>2569</v>
      </c>
      <c r="F141" s="4">
        <v>1</v>
      </c>
      <c r="G141" s="21">
        <v>2027.22</v>
      </c>
      <c r="H141" s="21">
        <v>2035.31</v>
      </c>
      <c r="I141" s="20">
        <f>H141-G141</f>
        <v>8.0899999999999181</v>
      </c>
      <c r="J141" s="616">
        <v>270000</v>
      </c>
      <c r="K141" s="696">
        <f>F141*I141*J141</f>
        <v>2184299.9999999781</v>
      </c>
      <c r="L141" s="22"/>
      <c r="M141" s="22"/>
      <c r="N141" s="82"/>
      <c r="O141" s="12" t="s">
        <v>2570</v>
      </c>
    </row>
    <row r="142" spans="1:15" ht="15.5" x14ac:dyDescent="0.35">
      <c r="A142" s="616"/>
      <c r="B142" s="102"/>
      <c r="C142" s="91"/>
      <c r="D142" s="726"/>
      <c r="E142" s="91"/>
      <c r="F142" s="47"/>
      <c r="G142" s="48"/>
      <c r="H142" s="48"/>
      <c r="I142" s="36"/>
      <c r="J142" s="96" t="s">
        <v>30</v>
      </c>
      <c r="K142" s="43">
        <f>SUM(K140:K141)</f>
        <v>6085799.9999999292</v>
      </c>
      <c r="L142" s="43">
        <f>SUM(L140:L141)</f>
        <v>0</v>
      </c>
      <c r="M142" s="43">
        <f>SUM(M140:M141)</f>
        <v>0</v>
      </c>
      <c r="N142" s="85"/>
      <c r="O142" s="12"/>
    </row>
    <row r="143" spans="1:15" ht="15.5" x14ac:dyDescent="0.35">
      <c r="A143" s="616"/>
      <c r="B143" s="647" t="s">
        <v>1114</v>
      </c>
      <c r="C143" s="648"/>
      <c r="D143" s="648"/>
      <c r="E143" s="648"/>
      <c r="F143" s="648"/>
      <c r="G143" s="648"/>
      <c r="H143" s="648"/>
      <c r="I143" s="648"/>
      <c r="J143" s="648"/>
      <c r="K143" s="700"/>
      <c r="L143" s="648"/>
      <c r="M143" s="651"/>
      <c r="N143" s="649"/>
      <c r="O143" s="8"/>
    </row>
    <row r="144" spans="1:15" ht="15.5" x14ac:dyDescent="0.35">
      <c r="A144" s="616">
        <v>1</v>
      </c>
      <c r="B144" s="100" t="s">
        <v>2571</v>
      </c>
      <c r="C144" s="52">
        <v>33</v>
      </c>
      <c r="D144" s="2138" t="s">
        <v>339</v>
      </c>
      <c r="E144" s="615"/>
      <c r="F144" s="4">
        <v>1</v>
      </c>
      <c r="G144" s="5"/>
      <c r="H144" s="5"/>
      <c r="I144" s="5">
        <f>H144-G144</f>
        <v>0</v>
      </c>
      <c r="J144" s="616">
        <v>600</v>
      </c>
      <c r="K144" s="696">
        <f>F144*I144*J144</f>
        <v>0</v>
      </c>
      <c r="L144" s="16"/>
      <c r="M144" s="7"/>
      <c r="N144" s="78"/>
      <c r="O144" s="616" t="e">
        <f>(K150-L150)/K150*100</f>
        <v>#DIV/0!</v>
      </c>
    </row>
    <row r="145" spans="1:15" ht="15.5" x14ac:dyDescent="0.35">
      <c r="A145" s="616"/>
      <c r="B145" s="100"/>
      <c r="C145" s="52">
        <v>33</v>
      </c>
      <c r="D145" s="2139" t="s">
        <v>326</v>
      </c>
      <c r="E145" s="615"/>
      <c r="F145" s="4">
        <v>1</v>
      </c>
      <c r="G145" s="5">
        <v>441129</v>
      </c>
      <c r="H145" s="5">
        <v>443929</v>
      </c>
      <c r="I145" s="5">
        <f>H145-G145</f>
        <v>2800</v>
      </c>
      <c r="J145" s="616">
        <v>600</v>
      </c>
      <c r="K145" s="696"/>
      <c r="L145" s="696">
        <f>F145*I145*J145</f>
        <v>1680000</v>
      </c>
      <c r="M145" s="16"/>
      <c r="N145" s="79"/>
      <c r="O145" s="616"/>
    </row>
    <row r="146" spans="1:15" ht="15.5" x14ac:dyDescent="0.35">
      <c r="A146" s="616"/>
      <c r="B146" s="95"/>
      <c r="C146" s="89"/>
      <c r="D146" s="89"/>
      <c r="E146" s="89"/>
      <c r="F146" s="37"/>
      <c r="G146" s="37"/>
      <c r="H146" s="37"/>
      <c r="I146" s="37"/>
      <c r="J146" s="95" t="s">
        <v>279</v>
      </c>
      <c r="K146" s="699"/>
      <c r="L146" s="43">
        <f>SUM(L144:L145)</f>
        <v>1680000</v>
      </c>
      <c r="M146" s="633"/>
      <c r="N146" s="634"/>
      <c r="O146" s="616"/>
    </row>
    <row r="147" spans="1:15" ht="15.5" x14ac:dyDescent="0.35">
      <c r="A147" s="616"/>
      <c r="B147" s="102"/>
      <c r="C147" s="91"/>
      <c r="D147" s="726"/>
      <c r="E147" s="91"/>
      <c r="F147" s="47"/>
      <c r="G147" s="48"/>
      <c r="H147" s="48"/>
      <c r="I147" s="36"/>
      <c r="J147" s="96"/>
      <c r="K147" s="706"/>
      <c r="L147" s="43"/>
      <c r="M147" s="43"/>
      <c r="N147" s="85"/>
      <c r="O147" s="12"/>
    </row>
    <row r="148" spans="1:15" ht="15.5" x14ac:dyDescent="0.35">
      <c r="A148" s="636"/>
      <c r="B148" s="647" t="s">
        <v>1110</v>
      </c>
      <c r="C148" s="648"/>
      <c r="D148" s="648"/>
      <c r="E148" s="648"/>
      <c r="F148" s="648"/>
      <c r="G148" s="648"/>
      <c r="H148" s="648"/>
      <c r="I148" s="648"/>
      <c r="J148" s="50"/>
      <c r="K148" s="710"/>
      <c r="L148" s="51"/>
      <c r="M148" s="51"/>
      <c r="N148" s="649"/>
      <c r="O148" s="12"/>
    </row>
    <row r="149" spans="1:15" ht="30" x14ac:dyDescent="0.35">
      <c r="A149" s="616">
        <v>4</v>
      </c>
      <c r="B149" s="100" t="s">
        <v>2572</v>
      </c>
      <c r="C149" s="52">
        <v>33</v>
      </c>
      <c r="D149" s="1774" t="s">
        <v>326</v>
      </c>
      <c r="E149" s="52" t="s">
        <v>2573</v>
      </c>
      <c r="F149" s="4">
        <v>1</v>
      </c>
      <c r="G149" s="21">
        <v>2803.48</v>
      </c>
      <c r="H149" s="21">
        <v>2818.38</v>
      </c>
      <c r="I149" s="21">
        <f>H149-G149</f>
        <v>14.900000000000091</v>
      </c>
      <c r="J149" s="31">
        <v>180000</v>
      </c>
      <c r="K149" s="707"/>
      <c r="L149" s="22">
        <f>F149*I149*J149</f>
        <v>2682000.0000000163</v>
      </c>
      <c r="M149" s="22"/>
      <c r="N149" s="83"/>
      <c r="O149" s="12">
        <f>K148-O148</f>
        <v>0</v>
      </c>
    </row>
    <row r="150" spans="1:15" ht="30" x14ac:dyDescent="0.35">
      <c r="A150" s="616">
        <v>5</v>
      </c>
      <c r="B150" s="100" t="s">
        <v>2574</v>
      </c>
      <c r="C150" s="52">
        <v>33</v>
      </c>
      <c r="D150" s="1776" t="s">
        <v>326</v>
      </c>
      <c r="E150" s="52" t="s">
        <v>2575</v>
      </c>
      <c r="F150" s="4">
        <v>1</v>
      </c>
      <c r="G150" s="21">
        <v>2225.39</v>
      </c>
      <c r="H150" s="21">
        <v>2238.3000000000002</v>
      </c>
      <c r="I150" s="21">
        <f>H150-G150</f>
        <v>12.910000000000309</v>
      </c>
      <c r="J150" s="31">
        <v>180000</v>
      </c>
      <c r="K150" s="707"/>
      <c r="L150" s="22">
        <f>F150*I150*J150</f>
        <v>2323800.0000000559</v>
      </c>
      <c r="M150" s="22"/>
      <c r="N150" s="83"/>
      <c r="O150" s="12" t="e">
        <f>(K151-L146-L170)/K151*100</f>
        <v>#DIV/0!</v>
      </c>
    </row>
    <row r="151" spans="1:15" ht="15" x14ac:dyDescent="0.35">
      <c r="A151" s="636"/>
      <c r="B151" s="96"/>
      <c r="C151" s="90"/>
      <c r="D151" s="90"/>
      <c r="E151" s="90"/>
      <c r="F151" s="38"/>
      <c r="G151" s="38"/>
      <c r="H151" s="38"/>
      <c r="I151" s="38"/>
      <c r="J151" s="96" t="s">
        <v>30</v>
      </c>
      <c r="K151" s="708"/>
      <c r="L151" s="43">
        <f>SUM(L149:L150)</f>
        <v>5005800.0000000726</v>
      </c>
      <c r="M151" s="43">
        <f>SUM(M149:M150)</f>
        <v>0</v>
      </c>
      <c r="N151" s="650">
        <f>(M151-L151)/L151*100</f>
        <v>-100</v>
      </c>
      <c r="O151" s="12"/>
    </row>
    <row r="152" spans="1:15" ht="15.5" thickBot="1" x14ac:dyDescent="0.4">
      <c r="A152" s="702"/>
      <c r="B152" s="736"/>
      <c r="C152" s="92"/>
      <c r="D152" s="92"/>
      <c r="E152" s="92"/>
      <c r="F152" s="737"/>
      <c r="G152" s="737"/>
      <c r="H152" s="737"/>
      <c r="I152" s="737"/>
      <c r="J152" s="736"/>
      <c r="K152" s="738"/>
      <c r="L152" s="739"/>
      <c r="M152" s="739"/>
      <c r="N152" s="646"/>
      <c r="O152" s="740"/>
    </row>
    <row r="153" spans="1:15" ht="15" x14ac:dyDescent="0.35">
      <c r="A153" s="702"/>
      <c r="B153" s="2142" t="s">
        <v>1090</v>
      </c>
      <c r="C153" s="2143"/>
      <c r="D153" s="683" t="s">
        <v>14</v>
      </c>
      <c r="F153" s="2144" t="s">
        <v>1091</v>
      </c>
      <c r="G153" s="2145"/>
      <c r="H153" s="2146"/>
      <c r="I153" s="683" t="s">
        <v>14</v>
      </c>
      <c r="J153" s="620"/>
      <c r="K153" s="2147" t="s">
        <v>1092</v>
      </c>
      <c r="L153" s="2148"/>
      <c r="M153" s="684" t="s">
        <v>14</v>
      </c>
      <c r="N153" s="646"/>
      <c r="O153" s="740"/>
    </row>
    <row r="154" spans="1:15" ht="15" x14ac:dyDescent="0.35">
      <c r="A154" s="702"/>
      <c r="B154" s="2122" t="str">
        <f>B135</f>
        <v>MOGBAZAR 33 KV SIDE</v>
      </c>
      <c r="C154" s="2123"/>
      <c r="D154" s="689">
        <f>K138</f>
        <v>1834000</v>
      </c>
      <c r="F154" s="2124" t="s">
        <v>1093</v>
      </c>
      <c r="G154" s="2125"/>
      <c r="H154" s="2126"/>
      <c r="I154" s="685">
        <f>L146</f>
        <v>1680000</v>
      </c>
      <c r="J154" s="620"/>
      <c r="K154" s="2160" t="str">
        <f>F155</f>
        <v>MOGBAZAR T&amp;T 33 KV NET IMPORT</v>
      </c>
      <c r="L154" s="2161"/>
      <c r="M154" s="687">
        <f>I155</f>
        <v>4405799.9999999292</v>
      </c>
      <c r="N154" s="646"/>
      <c r="O154" s="740"/>
    </row>
    <row r="155" spans="1:15" ht="15" x14ac:dyDescent="0.35">
      <c r="A155" s="702"/>
      <c r="B155" s="2122" t="s">
        <v>1116</v>
      </c>
      <c r="C155" s="2123"/>
      <c r="D155" s="741"/>
      <c r="F155" s="2124" t="s">
        <v>1119</v>
      </c>
      <c r="G155" s="2125"/>
      <c r="H155" s="2126"/>
      <c r="I155" s="685">
        <f>K142-I154</f>
        <v>4405799.9999999292</v>
      </c>
      <c r="J155" s="620"/>
      <c r="K155" s="2162" t="s">
        <v>1120</v>
      </c>
      <c r="L155" s="2163"/>
      <c r="M155" s="685">
        <f>M187</f>
        <v>0</v>
      </c>
      <c r="N155" s="646"/>
      <c r="O155" s="740"/>
    </row>
    <row r="156" spans="1:15" ht="15" x14ac:dyDescent="0.35">
      <c r="A156" s="702"/>
      <c r="B156" s="2122" t="s">
        <v>1117</v>
      </c>
      <c r="C156" s="2123"/>
      <c r="D156" s="721"/>
      <c r="F156" s="2124" t="s">
        <v>1089</v>
      </c>
      <c r="G156" s="2125"/>
      <c r="H156" s="2126"/>
      <c r="I156" s="685">
        <f>I154+I155</f>
        <v>6085799.9999999292</v>
      </c>
      <c r="J156" s="620"/>
      <c r="K156" s="2127" t="s">
        <v>284</v>
      </c>
      <c r="L156" s="2128"/>
      <c r="M156" s="685">
        <f>M154-M155</f>
        <v>4405799.9999999292</v>
      </c>
      <c r="N156" s="646"/>
      <c r="O156" s="740"/>
    </row>
    <row r="157" spans="1:15" ht="16" thickBot="1" x14ac:dyDescent="0.4">
      <c r="A157" s="702"/>
      <c r="B157" s="2122" t="s">
        <v>1118</v>
      </c>
      <c r="C157" s="2123"/>
      <c r="D157" s="722"/>
      <c r="F157" s="2113" t="s">
        <v>1102</v>
      </c>
      <c r="G157" s="2114"/>
      <c r="H157" s="2115"/>
      <c r="I157" s="690">
        <f>(D158-I156)/I156</f>
        <v>-0.69864274212099953</v>
      </c>
      <c r="J157" s="620"/>
      <c r="K157" s="2134" t="s">
        <v>285</v>
      </c>
      <c r="L157" s="2135"/>
      <c r="M157" s="688">
        <f>M156/M154</f>
        <v>1</v>
      </c>
      <c r="N157" s="646"/>
      <c r="O157" s="740"/>
    </row>
    <row r="158" spans="1:15" ht="15.5" thickBot="1" x14ac:dyDescent="0.4">
      <c r="A158" s="702"/>
      <c r="B158" s="2158" t="s">
        <v>1082</v>
      </c>
      <c r="C158" s="2159"/>
      <c r="D158" s="686">
        <f>SUM(D154:D156)</f>
        <v>1834000</v>
      </c>
      <c r="F158" s="620"/>
      <c r="G158" s="620"/>
      <c r="H158" s="620"/>
      <c r="I158" s="620"/>
      <c r="J158" s="620"/>
      <c r="K158" s="702"/>
      <c r="L158" s="620"/>
      <c r="M158" s="620"/>
      <c r="N158" s="646"/>
      <c r="O158" s="740"/>
    </row>
    <row r="159" spans="1:15" ht="15" x14ac:dyDescent="0.35">
      <c r="A159" s="702"/>
      <c r="B159" s="736"/>
      <c r="C159" s="92"/>
      <c r="D159" s="92"/>
      <c r="E159" s="92"/>
      <c r="F159" s="737"/>
      <c r="G159" s="737"/>
      <c r="H159" s="737"/>
      <c r="I159" s="737"/>
      <c r="J159" s="736"/>
      <c r="K159" s="738"/>
      <c r="L159" s="739"/>
      <c r="M159" s="739"/>
      <c r="N159" s="646"/>
      <c r="O159" s="740"/>
    </row>
    <row r="160" spans="1:15" x14ac:dyDescent="0.35">
      <c r="A160" s="620"/>
      <c r="B160" s="632"/>
      <c r="C160" s="620"/>
      <c r="D160" s="728"/>
      <c r="E160" s="620"/>
      <c r="F160" s="620"/>
      <c r="G160" s="620"/>
      <c r="H160" s="620"/>
      <c r="I160" s="620"/>
      <c r="J160" s="620"/>
      <c r="K160" s="702"/>
      <c r="L160" s="620"/>
      <c r="M160" s="620"/>
      <c r="N160" s="620"/>
      <c r="O160" s="620"/>
    </row>
    <row r="161" spans="1:15" x14ac:dyDescent="0.35">
      <c r="A161" s="620"/>
      <c r="B161" s="632"/>
      <c r="C161" s="620"/>
      <c r="D161" s="728"/>
      <c r="E161" s="620"/>
      <c r="F161" s="620"/>
      <c r="G161" s="620"/>
      <c r="H161" s="620"/>
      <c r="I161" s="620"/>
      <c r="J161" s="620"/>
      <c r="K161" s="702"/>
      <c r="L161" s="620"/>
      <c r="M161" s="620"/>
      <c r="N161" s="620"/>
      <c r="O161" s="620"/>
    </row>
    <row r="162" spans="1:15" ht="25" x14ac:dyDescent="0.35">
      <c r="A162" s="2095" t="s">
        <v>1214</v>
      </c>
      <c r="B162" s="2095"/>
      <c r="C162" s="2095"/>
      <c r="D162" s="2095"/>
      <c r="E162" s="2095"/>
      <c r="F162" s="2095"/>
      <c r="G162" s="2095"/>
      <c r="H162" s="2095"/>
      <c r="I162" s="2095"/>
      <c r="J162" s="2095"/>
      <c r="K162" s="2095"/>
      <c r="L162" s="2095"/>
      <c r="M162" s="2095"/>
      <c r="N162" s="2095"/>
      <c r="O162" s="756" t="e">
        <f>$O$6</f>
        <v>#REF!</v>
      </c>
    </row>
    <row r="163" spans="1:15" ht="15.5" x14ac:dyDescent="0.35">
      <c r="A163" s="2096" t="s">
        <v>0</v>
      </c>
      <c r="B163" s="2098" t="s">
        <v>1</v>
      </c>
      <c r="C163" s="2100" t="s">
        <v>2</v>
      </c>
      <c r="D163" s="2101"/>
      <c r="E163" s="2102"/>
      <c r="F163" s="2103" t="s">
        <v>3</v>
      </c>
      <c r="G163" s="2100" t="s">
        <v>4</v>
      </c>
      <c r="H163" s="2102"/>
      <c r="I163" s="2085"/>
      <c r="J163" s="2103" t="s">
        <v>5</v>
      </c>
      <c r="K163" s="2100" t="s">
        <v>6</v>
      </c>
      <c r="L163" s="2085"/>
      <c r="M163" s="97" t="s">
        <v>32</v>
      </c>
      <c r="N163" s="98"/>
      <c r="O163" s="2084" t="s">
        <v>7</v>
      </c>
    </row>
    <row r="164" spans="1:15" ht="15.5" x14ac:dyDescent="0.35">
      <c r="A164" s="2097"/>
      <c r="B164" s="2099"/>
      <c r="C164" s="2086" t="s">
        <v>1108</v>
      </c>
      <c r="D164" s="2087"/>
      <c r="E164" s="87" t="s">
        <v>9</v>
      </c>
      <c r="F164" s="2097"/>
      <c r="G164" s="2">
        <f>'NORTH-1'!$G$8</f>
        <v>44774</v>
      </c>
      <c r="H164" s="2">
        <f>'NORTH-1'!$H$8</f>
        <v>44805</v>
      </c>
      <c r="I164" s="1" t="s">
        <v>10</v>
      </c>
      <c r="J164" s="2097"/>
      <c r="K164" s="1" t="s">
        <v>11</v>
      </c>
      <c r="L164" s="1" t="s">
        <v>12</v>
      </c>
      <c r="M164" s="617" t="s">
        <v>33</v>
      </c>
      <c r="N164" s="76" t="s">
        <v>47</v>
      </c>
      <c r="O164" s="2085"/>
    </row>
    <row r="165" spans="1:15" ht="15.5" x14ac:dyDescent="0.35">
      <c r="A165" s="3">
        <v>1</v>
      </c>
      <c r="B165" s="88">
        <v>2</v>
      </c>
      <c r="C165" s="2088">
        <v>4</v>
      </c>
      <c r="D165" s="2089"/>
      <c r="E165" s="88">
        <v>5</v>
      </c>
      <c r="F165" s="3">
        <v>7</v>
      </c>
      <c r="G165" s="3">
        <v>8</v>
      </c>
      <c r="H165" s="3">
        <v>9</v>
      </c>
      <c r="I165" s="3" t="s">
        <v>13</v>
      </c>
      <c r="J165" s="3">
        <v>11</v>
      </c>
      <c r="K165" s="3" t="s">
        <v>19</v>
      </c>
      <c r="L165" s="3" t="s">
        <v>20</v>
      </c>
      <c r="M165" s="3">
        <v>14</v>
      </c>
      <c r="N165" s="77">
        <v>15</v>
      </c>
      <c r="O165" s="3">
        <v>16</v>
      </c>
    </row>
    <row r="166" spans="1:15" ht="15.5" x14ac:dyDescent="0.35">
      <c r="A166" s="631"/>
      <c r="B166" s="624" t="s">
        <v>4674</v>
      </c>
      <c r="C166" s="625"/>
      <c r="D166" s="625"/>
      <c r="E166" s="625"/>
      <c r="F166" s="625"/>
      <c r="G166" s="625"/>
      <c r="H166" s="625"/>
      <c r="I166" s="625"/>
      <c r="J166" s="625"/>
      <c r="K166" s="695"/>
      <c r="L166" s="625"/>
      <c r="M166" s="626"/>
      <c r="N166" s="627"/>
      <c r="O166" s="616"/>
    </row>
    <row r="167" spans="1:15" ht="15.5" x14ac:dyDescent="0.35">
      <c r="A167" s="631">
        <v>13</v>
      </c>
      <c r="B167" s="100" t="s">
        <v>2576</v>
      </c>
      <c r="C167" s="52">
        <v>11</v>
      </c>
      <c r="D167" s="1770" t="s">
        <v>339</v>
      </c>
      <c r="E167" s="52" t="s">
        <v>2577</v>
      </c>
      <c r="F167" s="4">
        <v>1</v>
      </c>
      <c r="G167" s="21">
        <v>3170.31</v>
      </c>
      <c r="H167" s="21">
        <v>3195.21</v>
      </c>
      <c r="I167" s="21">
        <f>H167-G167</f>
        <v>24.900000000000091</v>
      </c>
      <c r="J167" s="616">
        <v>160000</v>
      </c>
      <c r="K167" s="696">
        <f>F167*I167*J167</f>
        <v>3984000.0000000144</v>
      </c>
      <c r="L167" s="22"/>
      <c r="M167" s="22"/>
      <c r="N167" s="82"/>
      <c r="O167" s="616">
        <f>SUM(L160:L166)</f>
        <v>0</v>
      </c>
    </row>
    <row r="168" spans="1:15" ht="15.5" x14ac:dyDescent="0.35">
      <c r="A168" s="631">
        <v>14</v>
      </c>
      <c r="B168" s="100" t="s">
        <v>2578</v>
      </c>
      <c r="C168" s="52">
        <v>11</v>
      </c>
      <c r="D168" s="1772" t="s">
        <v>339</v>
      </c>
      <c r="E168" s="52" t="s">
        <v>2579</v>
      </c>
      <c r="F168" s="4">
        <v>1</v>
      </c>
      <c r="G168" s="21">
        <v>2494.9499999999998</v>
      </c>
      <c r="H168" s="21">
        <v>2507.8000000000002</v>
      </c>
      <c r="I168" s="21">
        <f>H168-G168</f>
        <v>12.850000000000364</v>
      </c>
      <c r="J168" s="616">
        <v>160000</v>
      </c>
      <c r="K168" s="696">
        <f>F168*I168*J168</f>
        <v>2056000.0000000582</v>
      </c>
      <c r="L168" s="22"/>
      <c r="M168" s="22"/>
      <c r="N168" s="82"/>
      <c r="O168" s="616"/>
    </row>
    <row r="169" spans="1:15" ht="15.5" x14ac:dyDescent="0.35">
      <c r="A169" s="631"/>
      <c r="B169" s="102"/>
      <c r="C169" s="91"/>
      <c r="D169" s="726"/>
      <c r="E169" s="91"/>
      <c r="F169" s="47"/>
      <c r="G169" s="48"/>
      <c r="H169" s="48"/>
      <c r="I169" s="48"/>
      <c r="J169" s="39" t="s">
        <v>30</v>
      </c>
      <c r="K169" s="708">
        <f>SUM(K167:K168)</f>
        <v>6040000.0000000726</v>
      </c>
      <c r="L169" s="49"/>
      <c r="M169" s="43">
        <f>SUM(M167:M168)</f>
        <v>0</v>
      </c>
      <c r="N169" s="85"/>
      <c r="O169" s="616"/>
    </row>
    <row r="170" spans="1:15" ht="15.5" x14ac:dyDescent="0.35">
      <c r="A170" s="631"/>
      <c r="B170" s="647" t="s">
        <v>4674</v>
      </c>
      <c r="C170" s="648"/>
      <c r="D170" s="648"/>
      <c r="E170" s="648"/>
      <c r="F170" s="648"/>
      <c r="G170" s="648"/>
      <c r="H170" s="648"/>
      <c r="I170" s="648"/>
      <c r="J170" s="50"/>
      <c r="K170" s="710"/>
      <c r="L170" s="51"/>
      <c r="M170" s="51"/>
      <c r="N170" s="649"/>
      <c r="O170" s="616"/>
    </row>
    <row r="171" spans="1:15" ht="15" customHeight="1" x14ac:dyDescent="0.35">
      <c r="A171" s="631">
        <v>6</v>
      </c>
      <c r="B171" s="100" t="s">
        <v>2580</v>
      </c>
      <c r="C171" s="73">
        <v>11</v>
      </c>
      <c r="D171" s="1781"/>
      <c r="E171" s="52" t="s">
        <v>2581</v>
      </c>
      <c r="F171" s="32">
        <v>1</v>
      </c>
      <c r="G171" s="6">
        <v>1587.67</v>
      </c>
      <c r="H171" s="6">
        <v>1597.99</v>
      </c>
      <c r="I171" s="20">
        <f t="shared" ref="I171:I186" si="4">H171-G171</f>
        <v>10.319999999999936</v>
      </c>
      <c r="J171" s="616">
        <v>60000</v>
      </c>
      <c r="K171" s="703"/>
      <c r="L171" s="22">
        <f t="shared" ref="L171:L183" si="5">F171*I171*J171</f>
        <v>619199.99999999616</v>
      </c>
      <c r="M171" s="22"/>
      <c r="N171" s="72" t="s">
        <v>88</v>
      </c>
      <c r="O171" s="15"/>
    </row>
    <row r="172" spans="1:15" ht="15" customHeight="1" x14ac:dyDescent="0.35">
      <c r="A172" s="631">
        <v>7</v>
      </c>
      <c r="B172" s="100" t="s">
        <v>2582</v>
      </c>
      <c r="C172" s="73">
        <v>11</v>
      </c>
      <c r="D172" s="1782"/>
      <c r="E172" s="52" t="s">
        <v>2583</v>
      </c>
      <c r="F172" s="32">
        <v>1</v>
      </c>
      <c r="G172" s="6">
        <v>2365.4899999999998</v>
      </c>
      <c r="H172" s="6">
        <v>2366.33</v>
      </c>
      <c r="I172" s="20">
        <f t="shared" si="4"/>
        <v>0.84000000000014552</v>
      </c>
      <c r="J172" s="616">
        <v>60000</v>
      </c>
      <c r="K172" s="703"/>
      <c r="L172" s="22">
        <f t="shared" si="5"/>
        <v>50400.000000008731</v>
      </c>
      <c r="M172" s="22"/>
      <c r="N172" s="72" t="s">
        <v>88</v>
      </c>
      <c r="O172" s="15"/>
    </row>
    <row r="173" spans="1:15" ht="15" customHeight="1" x14ac:dyDescent="0.35">
      <c r="A173" s="631">
        <v>8</v>
      </c>
      <c r="B173" s="100" t="s">
        <v>2585</v>
      </c>
      <c r="C173" s="73">
        <v>11</v>
      </c>
      <c r="D173" s="1782"/>
      <c r="E173" s="52" t="s">
        <v>2586</v>
      </c>
      <c r="F173" s="32">
        <v>1</v>
      </c>
      <c r="G173" s="6">
        <v>2947.68</v>
      </c>
      <c r="H173" s="6">
        <v>2969.56</v>
      </c>
      <c r="I173" s="20">
        <f t="shared" si="4"/>
        <v>21.880000000000109</v>
      </c>
      <c r="J173" s="616">
        <v>60000</v>
      </c>
      <c r="K173" s="703"/>
      <c r="L173" s="22">
        <f t="shared" si="5"/>
        <v>1312800.0000000065</v>
      </c>
      <c r="M173" s="22"/>
      <c r="N173" s="72" t="s">
        <v>88</v>
      </c>
      <c r="O173" s="15"/>
    </row>
    <row r="174" spans="1:15" ht="15" customHeight="1" x14ac:dyDescent="0.35">
      <c r="A174" s="631">
        <v>9</v>
      </c>
      <c r="B174" s="100" t="s">
        <v>2587</v>
      </c>
      <c r="C174" s="73">
        <v>11</v>
      </c>
      <c r="D174" s="1782"/>
      <c r="E174" s="52" t="s">
        <v>2588</v>
      </c>
      <c r="F174" s="32">
        <v>1</v>
      </c>
      <c r="G174" s="6">
        <v>1581.61</v>
      </c>
      <c r="H174" s="6">
        <v>1589.85</v>
      </c>
      <c r="I174" s="20">
        <f t="shared" si="4"/>
        <v>8.2400000000000091</v>
      </c>
      <c r="J174" s="616">
        <v>60000</v>
      </c>
      <c r="K174" s="703"/>
      <c r="L174" s="22">
        <f t="shared" si="5"/>
        <v>494400.00000000052</v>
      </c>
      <c r="M174" s="22"/>
      <c r="N174" s="72" t="s">
        <v>88</v>
      </c>
      <c r="O174" s="15"/>
    </row>
    <row r="175" spans="1:15" ht="15" customHeight="1" x14ac:dyDescent="0.35">
      <c r="A175" s="631">
        <v>10</v>
      </c>
      <c r="B175" s="100" t="s">
        <v>2589</v>
      </c>
      <c r="C175" s="73">
        <v>11</v>
      </c>
      <c r="D175" s="1782"/>
      <c r="E175" s="52" t="s">
        <v>2590</v>
      </c>
      <c r="F175" s="32">
        <v>1</v>
      </c>
      <c r="G175" s="6">
        <v>83703</v>
      </c>
      <c r="H175" s="6">
        <v>85904</v>
      </c>
      <c r="I175" s="20">
        <f t="shared" si="4"/>
        <v>2201</v>
      </c>
      <c r="J175" s="616">
        <v>60</v>
      </c>
      <c r="K175" s="703"/>
      <c r="L175" s="22">
        <f t="shared" si="5"/>
        <v>132060</v>
      </c>
      <c r="M175" s="22"/>
      <c r="N175" s="72" t="s">
        <v>88</v>
      </c>
      <c r="O175" s="15"/>
    </row>
    <row r="176" spans="1:15" ht="15" customHeight="1" x14ac:dyDescent="0.35">
      <c r="A176" s="631">
        <v>11</v>
      </c>
      <c r="B176" s="100" t="s">
        <v>2591</v>
      </c>
      <c r="C176" s="73">
        <v>11</v>
      </c>
      <c r="D176" s="1782"/>
      <c r="E176" s="52" t="s">
        <v>2593</v>
      </c>
      <c r="F176" s="32">
        <v>1</v>
      </c>
      <c r="G176" s="6">
        <v>4382</v>
      </c>
      <c r="H176" s="6">
        <v>4382</v>
      </c>
      <c r="I176" s="20">
        <f t="shared" si="4"/>
        <v>0</v>
      </c>
      <c r="J176" s="616">
        <v>60</v>
      </c>
      <c r="K176" s="703"/>
      <c r="L176" s="22">
        <f t="shared" si="5"/>
        <v>0</v>
      </c>
      <c r="M176" s="22"/>
      <c r="N176" s="72" t="s">
        <v>88</v>
      </c>
      <c r="O176" s="15"/>
    </row>
    <row r="177" spans="1:15" ht="15" customHeight="1" x14ac:dyDescent="0.35">
      <c r="A177" s="631">
        <v>12</v>
      </c>
      <c r="B177" s="100" t="s">
        <v>2594</v>
      </c>
      <c r="C177" s="73">
        <v>11</v>
      </c>
      <c r="D177" s="1782"/>
      <c r="E177" s="52" t="s">
        <v>2595</v>
      </c>
      <c r="F177" s="32">
        <v>1</v>
      </c>
      <c r="G177" s="6">
        <v>30895</v>
      </c>
      <c r="H177" s="6">
        <v>31996</v>
      </c>
      <c r="I177" s="20">
        <f t="shared" si="4"/>
        <v>1101</v>
      </c>
      <c r="J177" s="616">
        <v>60</v>
      </c>
      <c r="K177" s="703"/>
      <c r="L177" s="22">
        <f t="shared" si="5"/>
        <v>66060</v>
      </c>
      <c r="M177" s="22"/>
      <c r="N177" s="72" t="s">
        <v>88</v>
      </c>
      <c r="O177" s="15"/>
    </row>
    <row r="178" spans="1:15" ht="15" customHeight="1" x14ac:dyDescent="0.35">
      <c r="A178" s="631">
        <v>15</v>
      </c>
      <c r="B178" s="100" t="s">
        <v>2596</v>
      </c>
      <c r="C178" s="73">
        <v>11</v>
      </c>
      <c r="D178" s="1782"/>
      <c r="E178" s="52" t="s">
        <v>2597</v>
      </c>
      <c r="F178" s="32">
        <v>1</v>
      </c>
      <c r="G178" s="6">
        <v>293.8</v>
      </c>
      <c r="H178" s="6">
        <v>296.3</v>
      </c>
      <c r="I178" s="20">
        <f t="shared" si="4"/>
        <v>2.5</v>
      </c>
      <c r="J178" s="616">
        <v>60000</v>
      </c>
      <c r="K178" s="703"/>
      <c r="L178" s="22">
        <f t="shared" si="5"/>
        <v>150000</v>
      </c>
      <c r="M178" s="22"/>
      <c r="N178" s="72" t="s">
        <v>88</v>
      </c>
      <c r="O178" s="15"/>
    </row>
    <row r="179" spans="1:15" ht="15" customHeight="1" x14ac:dyDescent="0.35">
      <c r="A179" s="631">
        <v>16</v>
      </c>
      <c r="B179" s="100" t="s">
        <v>2598</v>
      </c>
      <c r="C179" s="73">
        <v>11</v>
      </c>
      <c r="D179" s="1782"/>
      <c r="E179" s="52" t="s">
        <v>2599</v>
      </c>
      <c r="F179" s="32">
        <v>1</v>
      </c>
      <c r="G179" s="6">
        <v>348.89</v>
      </c>
      <c r="H179" s="6">
        <v>350.51</v>
      </c>
      <c r="I179" s="20">
        <f t="shared" si="4"/>
        <v>1.6200000000000045</v>
      </c>
      <c r="J179" s="616">
        <v>60000</v>
      </c>
      <c r="K179" s="703"/>
      <c r="L179" s="22">
        <f t="shared" si="5"/>
        <v>97200.000000000276</v>
      </c>
      <c r="M179" s="22"/>
      <c r="N179" s="72" t="s">
        <v>111</v>
      </c>
      <c r="O179" s="15"/>
    </row>
    <row r="180" spans="1:15" ht="15" customHeight="1" x14ac:dyDescent="0.35">
      <c r="A180" s="631">
        <v>17</v>
      </c>
      <c r="B180" s="100" t="s">
        <v>2600</v>
      </c>
      <c r="C180" s="73">
        <v>11</v>
      </c>
      <c r="D180" s="1782"/>
      <c r="E180" s="52" t="s">
        <v>2601</v>
      </c>
      <c r="F180" s="32">
        <v>1</v>
      </c>
      <c r="G180" s="6">
        <v>3309.87</v>
      </c>
      <c r="H180" s="6">
        <v>3314</v>
      </c>
      <c r="I180" s="20">
        <f t="shared" si="4"/>
        <v>4.1300000000001091</v>
      </c>
      <c r="J180" s="616">
        <v>60000</v>
      </c>
      <c r="K180" s="703"/>
      <c r="L180" s="22">
        <f t="shared" si="5"/>
        <v>247800.00000000655</v>
      </c>
      <c r="M180" s="22"/>
      <c r="N180" s="72" t="s">
        <v>88</v>
      </c>
      <c r="O180" s="15"/>
    </row>
    <row r="181" spans="1:15" ht="15" customHeight="1" x14ac:dyDescent="0.35">
      <c r="A181" s="631">
        <v>18</v>
      </c>
      <c r="B181" s="100" t="s">
        <v>2602</v>
      </c>
      <c r="C181" s="73">
        <v>11</v>
      </c>
      <c r="D181" s="1782"/>
      <c r="E181" s="52" t="s">
        <v>2603</v>
      </c>
      <c r="F181" s="32">
        <v>1</v>
      </c>
      <c r="G181" s="6">
        <v>1356.58</v>
      </c>
      <c r="H181" s="6">
        <v>1359.21</v>
      </c>
      <c r="I181" s="20">
        <f t="shared" si="4"/>
        <v>2.6300000000001091</v>
      </c>
      <c r="J181" s="616">
        <v>60000</v>
      </c>
      <c r="K181" s="703"/>
      <c r="L181" s="22">
        <f t="shared" si="5"/>
        <v>157800.00000000655</v>
      </c>
      <c r="M181" s="22"/>
      <c r="N181" s="72" t="s">
        <v>88</v>
      </c>
      <c r="O181" s="15"/>
    </row>
    <row r="182" spans="1:15" ht="15" customHeight="1" x14ac:dyDescent="0.35">
      <c r="A182" s="631">
        <v>19</v>
      </c>
      <c r="B182" s="100" t="s">
        <v>2604</v>
      </c>
      <c r="C182" s="73">
        <v>11</v>
      </c>
      <c r="D182" s="1782"/>
      <c r="E182" s="52" t="s">
        <v>2605</v>
      </c>
      <c r="F182" s="32">
        <v>1</v>
      </c>
      <c r="G182" s="6">
        <v>342865</v>
      </c>
      <c r="H182" s="6">
        <v>344722</v>
      </c>
      <c r="I182" s="20">
        <f t="shared" si="4"/>
        <v>1857</v>
      </c>
      <c r="J182" s="616">
        <v>60</v>
      </c>
      <c r="K182" s="703"/>
      <c r="L182" s="22">
        <f t="shared" si="5"/>
        <v>111420</v>
      </c>
      <c r="M182" s="22"/>
      <c r="N182" s="72" t="s">
        <v>88</v>
      </c>
      <c r="O182" s="15"/>
    </row>
    <row r="183" spans="1:15" ht="15" customHeight="1" x14ac:dyDescent="0.35">
      <c r="A183" s="631">
        <v>20</v>
      </c>
      <c r="B183" s="100" t="s">
        <v>2606</v>
      </c>
      <c r="C183" s="73">
        <v>11</v>
      </c>
      <c r="D183" s="1782"/>
      <c r="E183" s="52" t="s">
        <v>2607</v>
      </c>
      <c r="F183" s="32">
        <v>1</v>
      </c>
      <c r="G183" s="6">
        <v>511</v>
      </c>
      <c r="H183" s="6">
        <v>520</v>
      </c>
      <c r="I183" s="20">
        <f t="shared" si="4"/>
        <v>9</v>
      </c>
      <c r="J183" s="616">
        <v>60000</v>
      </c>
      <c r="K183" s="703"/>
      <c r="L183" s="22">
        <f t="shared" si="5"/>
        <v>540000</v>
      </c>
      <c r="M183" s="22"/>
      <c r="N183" s="72" t="s">
        <v>88</v>
      </c>
      <c r="O183" s="15"/>
    </row>
    <row r="184" spans="1:15" ht="15" customHeight="1" x14ac:dyDescent="0.35">
      <c r="A184" s="631">
        <v>21</v>
      </c>
      <c r="B184" s="100" t="s">
        <v>2608</v>
      </c>
      <c r="C184" s="73">
        <v>11</v>
      </c>
      <c r="D184" s="1782"/>
      <c r="E184" s="52" t="s">
        <v>2609</v>
      </c>
      <c r="F184" s="32">
        <v>1</v>
      </c>
      <c r="G184" s="6">
        <v>44960</v>
      </c>
      <c r="H184" s="6">
        <v>44960</v>
      </c>
      <c r="I184" s="20">
        <f t="shared" si="4"/>
        <v>0</v>
      </c>
      <c r="J184" s="616">
        <v>60</v>
      </c>
      <c r="K184" s="703"/>
      <c r="L184" s="22">
        <f>F184*I184*J184</f>
        <v>0</v>
      </c>
      <c r="M184" s="22"/>
      <c r="N184" s="72" t="s">
        <v>88</v>
      </c>
      <c r="O184" s="15"/>
    </row>
    <row r="185" spans="1:15" ht="15" customHeight="1" x14ac:dyDescent="0.35">
      <c r="A185" s="631">
        <v>22</v>
      </c>
      <c r="B185" s="100" t="s">
        <v>2610</v>
      </c>
      <c r="C185" s="73">
        <v>11</v>
      </c>
      <c r="D185" s="1782"/>
      <c r="E185" s="52" t="s">
        <v>2611</v>
      </c>
      <c r="F185" s="32">
        <v>1</v>
      </c>
      <c r="G185" s="6">
        <v>4.09</v>
      </c>
      <c r="H185" s="6">
        <v>4.09</v>
      </c>
      <c r="I185" s="20">
        <f t="shared" si="4"/>
        <v>0</v>
      </c>
      <c r="J185" s="616">
        <v>60000</v>
      </c>
      <c r="K185" s="703"/>
      <c r="L185" s="22">
        <f>F185*I185*J185</f>
        <v>0</v>
      </c>
      <c r="M185" s="22"/>
      <c r="N185" s="72" t="s">
        <v>88</v>
      </c>
      <c r="O185" s="15"/>
    </row>
    <row r="186" spans="1:15" ht="15.5" x14ac:dyDescent="0.35">
      <c r="A186" s="631">
        <v>23</v>
      </c>
      <c r="B186" s="100" t="s">
        <v>2612</v>
      </c>
      <c r="C186" s="73">
        <v>0.4</v>
      </c>
      <c r="D186" s="1783"/>
      <c r="E186" s="52" t="s">
        <v>2613</v>
      </c>
      <c r="F186" s="32">
        <v>1</v>
      </c>
      <c r="G186" s="6">
        <v>380344</v>
      </c>
      <c r="H186" s="6">
        <v>383194</v>
      </c>
      <c r="I186" s="20">
        <f t="shared" si="4"/>
        <v>2850</v>
      </c>
      <c r="J186" s="616">
        <v>1</v>
      </c>
      <c r="K186" s="703"/>
      <c r="L186" s="22">
        <f>F186*I186*J186</f>
        <v>2850</v>
      </c>
      <c r="M186" s="22"/>
      <c r="N186" s="72" t="s">
        <v>88</v>
      </c>
      <c r="O186" s="15"/>
    </row>
    <row r="187" spans="1:15" ht="28" x14ac:dyDescent="0.35">
      <c r="A187" s="636"/>
      <c r="B187" s="96"/>
      <c r="C187" s="90"/>
      <c r="D187" s="90"/>
      <c r="E187" s="90"/>
      <c r="F187" s="38"/>
      <c r="G187" s="38"/>
      <c r="H187" s="38"/>
      <c r="I187" s="38"/>
      <c r="J187" s="53" t="s">
        <v>44</v>
      </c>
      <c r="K187" s="43">
        <f>K169</f>
        <v>6040000.0000000726</v>
      </c>
      <c r="L187" s="43">
        <f>SUM(L171:L186)</f>
        <v>3981990.0000000256</v>
      </c>
      <c r="M187" s="43">
        <f>SUM(M171:M186)</f>
        <v>0</v>
      </c>
      <c r="N187" s="84">
        <f>(M187-L187)/L187*100</f>
        <v>-100</v>
      </c>
      <c r="O187" s="29"/>
    </row>
    <row r="189" spans="1:15" ht="15" x14ac:dyDescent="0.35">
      <c r="A189" s="620"/>
      <c r="B189" s="635"/>
      <c r="C189" s="632"/>
      <c r="D189" s="720"/>
      <c r="F189" s="2092" t="s">
        <v>1099</v>
      </c>
      <c r="G189" s="2092"/>
      <c r="H189" s="2092"/>
      <c r="I189" s="677" t="s">
        <v>14</v>
      </c>
      <c r="J189" s="620"/>
      <c r="K189" s="702"/>
      <c r="L189" s="620"/>
      <c r="M189" s="620"/>
      <c r="N189" s="632"/>
      <c r="O189" s="620"/>
    </row>
    <row r="190" spans="1:15" ht="15.5" x14ac:dyDescent="0.35">
      <c r="A190" s="620"/>
      <c r="B190" s="635"/>
      <c r="C190" s="632"/>
      <c r="D190" s="720"/>
      <c r="F190" s="2153" t="s">
        <v>232</v>
      </c>
      <c r="G190" s="2154"/>
      <c r="H190" s="2155"/>
      <c r="I190" s="643">
        <f>SUM(M171:M177,M180)</f>
        <v>0</v>
      </c>
      <c r="J190" s="620"/>
      <c r="K190" s="702"/>
      <c r="L190" s="620"/>
      <c r="M190" s="620"/>
      <c r="N190" s="632"/>
      <c r="O190" s="620" t="s">
        <v>237</v>
      </c>
    </row>
    <row r="191" spans="1:15" ht="15.5" x14ac:dyDescent="0.35">
      <c r="A191" s="620"/>
      <c r="B191" s="635"/>
      <c r="C191" s="632"/>
      <c r="D191" s="720"/>
      <c r="F191" s="2153" t="s">
        <v>268</v>
      </c>
      <c r="G191" s="2154"/>
      <c r="H191" s="2155"/>
      <c r="I191" s="643">
        <f>SUM(M178:M179,M181,M183,M184,M186)</f>
        <v>0</v>
      </c>
      <c r="J191" s="620"/>
      <c r="K191" s="702"/>
      <c r="L191" s="620"/>
      <c r="M191" s="620"/>
      <c r="N191" s="632"/>
      <c r="O191" s="620"/>
    </row>
    <row r="192" spans="1:15" ht="16" thickBot="1" x14ac:dyDescent="0.4">
      <c r="A192" s="620"/>
      <c r="B192" s="635"/>
      <c r="C192" s="632"/>
      <c r="D192" s="720"/>
      <c r="F192" s="2153" t="s">
        <v>269</v>
      </c>
      <c r="G192" s="2154"/>
      <c r="H192" s="2155"/>
      <c r="I192" s="643">
        <f>SUM(M182,M185)</f>
        <v>0</v>
      </c>
      <c r="J192" s="620"/>
      <c r="K192" s="702"/>
      <c r="L192" s="620"/>
      <c r="M192" s="620"/>
      <c r="N192" s="632"/>
      <c r="O192" s="620"/>
    </row>
    <row r="193" spans="1:15" ht="20.5" thickBot="1" x14ac:dyDescent="0.4">
      <c r="A193" s="620"/>
      <c r="B193" s="635"/>
      <c r="C193" s="632"/>
      <c r="D193" s="720"/>
      <c r="E193" s="632"/>
      <c r="F193" s="2156" t="s">
        <v>210</v>
      </c>
      <c r="G193" s="2156"/>
      <c r="H193" s="2156"/>
      <c r="I193" s="656">
        <f>SUM(I190:I192)</f>
        <v>0</v>
      </c>
      <c r="J193" s="682">
        <f>I193-M187</f>
        <v>0</v>
      </c>
      <c r="K193" s="702"/>
      <c r="L193" s="620"/>
      <c r="M193" s="620"/>
      <c r="N193" s="632"/>
      <c r="O193" s="620"/>
    </row>
    <row r="199" spans="1:15" x14ac:dyDescent="0.35">
      <c r="A199" s="620"/>
      <c r="B199" s="635"/>
      <c r="C199" s="632"/>
      <c r="D199" s="720"/>
      <c r="E199" s="632"/>
      <c r="F199" s="620"/>
      <c r="G199" s="620"/>
      <c r="H199" s="620"/>
      <c r="I199" s="620"/>
      <c r="J199" s="620"/>
      <c r="K199" s="702"/>
      <c r="L199" s="620"/>
      <c r="M199" s="620"/>
      <c r="N199" s="632"/>
      <c r="O199" s="620"/>
    </row>
    <row r="200" spans="1:15" x14ac:dyDescent="0.35">
      <c r="A200" s="620"/>
      <c r="B200" s="635"/>
      <c r="C200" s="632"/>
      <c r="D200" s="720"/>
      <c r="E200" s="632"/>
      <c r="F200" s="620"/>
      <c r="G200" s="620"/>
      <c r="H200" s="620"/>
      <c r="I200" s="620"/>
      <c r="J200" s="620"/>
      <c r="K200" s="702"/>
      <c r="L200" s="620"/>
      <c r="M200" s="620"/>
      <c r="N200" s="632"/>
      <c r="O200" s="620"/>
    </row>
    <row r="201" spans="1:15" ht="25" x14ac:dyDescent="0.35">
      <c r="A201" s="46"/>
      <c r="B201" s="2152"/>
      <c r="C201" s="2152"/>
      <c r="D201" s="2152"/>
      <c r="E201" s="2152"/>
      <c r="F201" s="2152"/>
      <c r="G201" s="2152"/>
      <c r="H201" s="2152"/>
      <c r="I201" s="2152"/>
      <c r="J201" s="2152"/>
      <c r="K201" s="2152"/>
      <c r="L201" s="2152"/>
      <c r="M201" s="2152"/>
      <c r="N201" s="75"/>
      <c r="O201" s="28"/>
    </row>
    <row r="202" spans="1:15" x14ac:dyDescent="0.35">
      <c r="A202" s="620"/>
      <c r="B202" s="635"/>
      <c r="C202" s="632"/>
      <c r="D202" s="720"/>
      <c r="E202" s="632"/>
      <c r="F202" s="620"/>
      <c r="G202" s="620"/>
      <c r="H202" s="620"/>
      <c r="I202" s="620"/>
      <c r="J202" s="620"/>
      <c r="K202" s="702"/>
      <c r="L202" s="620"/>
      <c r="M202" s="620"/>
      <c r="N202" s="632"/>
      <c r="O202" s="620"/>
    </row>
    <row r="203" spans="1:15" x14ac:dyDescent="0.35">
      <c r="A203" s="620"/>
      <c r="B203" s="635"/>
      <c r="C203" s="632"/>
      <c r="D203" s="720"/>
      <c r="E203" s="632"/>
      <c r="F203" s="620"/>
      <c r="G203" s="620"/>
      <c r="H203" s="620"/>
      <c r="I203" s="620"/>
      <c r="J203" s="620"/>
      <c r="K203" s="702"/>
      <c r="L203" s="620"/>
      <c r="M203" s="620"/>
      <c r="N203" s="632"/>
      <c r="O203" s="620"/>
    </row>
    <row r="204" spans="1:15" ht="25" x14ac:dyDescent="0.35">
      <c r="A204" s="2095" t="s">
        <v>1300</v>
      </c>
      <c r="B204" s="2095"/>
      <c r="C204" s="2095"/>
      <c r="D204" s="2095"/>
      <c r="E204" s="2095"/>
      <c r="F204" s="2095"/>
      <c r="G204" s="2095"/>
      <c r="H204" s="2095"/>
      <c r="I204" s="2095"/>
      <c r="J204" s="2095"/>
      <c r="K204" s="2095"/>
      <c r="L204" s="2095"/>
      <c r="M204" s="2095"/>
      <c r="N204" s="2095"/>
      <c r="O204" s="756" t="e">
        <f>#REF!</f>
        <v>#REF!</v>
      </c>
    </row>
    <row r="205" spans="1:15" ht="15.5" x14ac:dyDescent="0.35">
      <c r="A205" s="2096" t="s">
        <v>0</v>
      </c>
      <c r="B205" s="2098" t="s">
        <v>1</v>
      </c>
      <c r="C205" s="2100" t="s">
        <v>2</v>
      </c>
      <c r="D205" s="2101"/>
      <c r="E205" s="2102"/>
      <c r="F205" s="2103" t="s">
        <v>3</v>
      </c>
      <c r="G205" s="2100" t="s">
        <v>4</v>
      </c>
      <c r="H205" s="2102"/>
      <c r="I205" s="2085"/>
      <c r="J205" s="2103" t="s">
        <v>5</v>
      </c>
      <c r="K205" s="2100" t="s">
        <v>6</v>
      </c>
      <c r="L205" s="2102"/>
      <c r="M205" s="97" t="s">
        <v>1088</v>
      </c>
      <c r="N205" s="98"/>
      <c r="O205" s="2084" t="s">
        <v>7</v>
      </c>
    </row>
    <row r="206" spans="1:15" ht="15.5" x14ac:dyDescent="0.35">
      <c r="A206" s="2097"/>
      <c r="B206" s="2099"/>
      <c r="C206" s="2086" t="s">
        <v>1108</v>
      </c>
      <c r="D206" s="2087"/>
      <c r="E206" s="87" t="s">
        <v>9</v>
      </c>
      <c r="F206" s="2097"/>
      <c r="G206" s="2">
        <f>'NORTH-1'!$G$8</f>
        <v>44774</v>
      </c>
      <c r="H206" s="2">
        <f>'NORTH-1'!$H$8</f>
        <v>44805</v>
      </c>
      <c r="I206" s="1" t="s">
        <v>10</v>
      </c>
      <c r="J206" s="2097"/>
      <c r="K206" s="1" t="s">
        <v>11</v>
      </c>
      <c r="L206" s="1" t="s">
        <v>12</v>
      </c>
      <c r="M206" s="617" t="s">
        <v>33</v>
      </c>
      <c r="N206" s="76" t="s">
        <v>47</v>
      </c>
      <c r="O206" s="2085"/>
    </row>
    <row r="207" spans="1:15" ht="15.5" x14ac:dyDescent="0.35">
      <c r="A207" s="3">
        <v>1</v>
      </c>
      <c r="B207" s="88">
        <v>2</v>
      </c>
      <c r="C207" s="2088">
        <v>4</v>
      </c>
      <c r="D207" s="2089"/>
      <c r="E207" s="88">
        <v>5</v>
      </c>
      <c r="F207" s="3">
        <v>7</v>
      </c>
      <c r="G207" s="3">
        <v>8</v>
      </c>
      <c r="H207" s="3">
        <v>9</v>
      </c>
      <c r="I207" s="3" t="s">
        <v>13</v>
      </c>
      <c r="J207" s="3">
        <v>11</v>
      </c>
      <c r="K207" s="3" t="s">
        <v>19</v>
      </c>
      <c r="L207" s="3" t="s">
        <v>20</v>
      </c>
      <c r="M207" s="3">
        <v>14</v>
      </c>
      <c r="N207" s="77">
        <v>15</v>
      </c>
      <c r="O207" s="3">
        <v>16</v>
      </c>
    </row>
    <row r="208" spans="1:15" ht="15.5" x14ac:dyDescent="0.35">
      <c r="A208" s="11"/>
      <c r="B208" s="624" t="s">
        <v>1112</v>
      </c>
      <c r="C208" s="625"/>
      <c r="D208" s="625"/>
      <c r="E208" s="667"/>
      <c r="F208" s="625"/>
      <c r="G208" s="625"/>
      <c r="H208" s="625"/>
      <c r="I208" s="625"/>
      <c r="J208" s="625"/>
      <c r="K208" s="695"/>
      <c r="L208" s="625"/>
      <c r="M208" s="626"/>
      <c r="N208" s="627"/>
      <c r="O208" s="8"/>
    </row>
    <row r="209" spans="1:15" ht="23.25" customHeight="1" x14ac:dyDescent="0.35">
      <c r="A209" s="631">
        <v>1</v>
      </c>
      <c r="B209" s="100" t="s">
        <v>2614</v>
      </c>
      <c r="C209" s="52">
        <v>132</v>
      </c>
      <c r="D209" s="2105" t="s">
        <v>698</v>
      </c>
      <c r="E209" s="2149" t="s">
        <v>2615</v>
      </c>
      <c r="F209" s="4">
        <v>1</v>
      </c>
      <c r="G209" s="5">
        <v>1746.2</v>
      </c>
      <c r="H209" s="5">
        <v>1752.31</v>
      </c>
      <c r="I209" s="5">
        <f>H209-G209</f>
        <v>6.1099999999999</v>
      </c>
      <c r="J209" s="616">
        <v>1440000</v>
      </c>
      <c r="K209" s="696">
        <f>I209*F209*J209</f>
        <v>8798399.9999998566</v>
      </c>
      <c r="L209" s="7"/>
      <c r="M209" s="7"/>
      <c r="N209" s="78"/>
      <c r="O209" s="616"/>
    </row>
    <row r="210" spans="1:15" ht="23.25" customHeight="1" x14ac:dyDescent="0.35">
      <c r="A210" s="631">
        <v>2</v>
      </c>
      <c r="B210" s="100" t="s">
        <v>2616</v>
      </c>
      <c r="C210" s="52">
        <v>132</v>
      </c>
      <c r="D210" s="2106"/>
      <c r="E210" s="2150" t="s">
        <v>2617</v>
      </c>
      <c r="F210" s="4">
        <v>1</v>
      </c>
      <c r="G210" s="5">
        <v>1571.07</v>
      </c>
      <c r="H210" s="5">
        <v>1576.63</v>
      </c>
      <c r="I210" s="5">
        <f>H210-G210</f>
        <v>5.5600000000001728</v>
      </c>
      <c r="J210" s="616">
        <v>720000</v>
      </c>
      <c r="K210" s="696">
        <f>I210*F210*J210</f>
        <v>4003200.0000001243</v>
      </c>
      <c r="L210" s="16"/>
      <c r="M210" s="16"/>
      <c r="N210" s="79"/>
      <c r="O210" s="616"/>
    </row>
    <row r="211" spans="1:15" ht="15.5" x14ac:dyDescent="0.35">
      <c r="A211" s="631"/>
      <c r="B211" s="95"/>
      <c r="C211" s="89"/>
      <c r="D211" s="89"/>
      <c r="E211" s="89"/>
      <c r="F211" s="37"/>
      <c r="G211" s="37"/>
      <c r="H211" s="37"/>
      <c r="I211" s="2136" t="s">
        <v>236</v>
      </c>
      <c r="J211" s="2137"/>
      <c r="K211" s="698">
        <f>SUM(K209:K210)</f>
        <v>12801599.999999981</v>
      </c>
      <c r="L211" s="94">
        <f>SUM(L209:L210)</f>
        <v>0</v>
      </c>
      <c r="M211" s="18"/>
      <c r="N211" s="81"/>
      <c r="O211" s="616"/>
    </row>
    <row r="212" spans="1:15" ht="15.5" x14ac:dyDescent="0.35">
      <c r="A212" s="631"/>
      <c r="B212" s="95"/>
      <c r="C212" s="89"/>
      <c r="D212" s="89"/>
      <c r="E212" s="89"/>
      <c r="F212" s="37"/>
      <c r="G212" s="37"/>
      <c r="H212" s="37"/>
      <c r="I212" s="665"/>
      <c r="J212" s="665" t="s">
        <v>31</v>
      </c>
      <c r="K212" s="699">
        <f>K211-L211</f>
        <v>12801599.999999981</v>
      </c>
      <c r="L212" s="40"/>
      <c r="M212" s="41"/>
      <c r="N212" s="632"/>
      <c r="O212" s="616"/>
    </row>
    <row r="213" spans="1:15" ht="15.5" x14ac:dyDescent="0.35">
      <c r="A213" s="631"/>
      <c r="B213" s="624" t="s">
        <v>1111</v>
      </c>
      <c r="C213" s="625"/>
      <c r="D213" s="625"/>
      <c r="E213" s="625"/>
      <c r="F213" s="625"/>
      <c r="G213" s="625"/>
      <c r="H213" s="625"/>
      <c r="I213" s="625"/>
      <c r="J213" s="625"/>
      <c r="K213" s="695"/>
      <c r="L213" s="625"/>
      <c r="M213" s="626"/>
      <c r="N213" s="627"/>
      <c r="O213" s="616"/>
    </row>
    <row r="214" spans="1:15" ht="15.5" x14ac:dyDescent="0.35">
      <c r="A214" s="631">
        <v>4</v>
      </c>
      <c r="B214" s="100" t="s">
        <v>2618</v>
      </c>
      <c r="C214" s="52">
        <v>132</v>
      </c>
      <c r="D214" s="735" t="s">
        <v>2619</v>
      </c>
      <c r="E214" s="2149">
        <v>41812909527</v>
      </c>
      <c r="F214" s="4">
        <v>1</v>
      </c>
      <c r="G214" s="5">
        <v>223.95</v>
      </c>
      <c r="H214" s="5">
        <v>231.3</v>
      </c>
      <c r="I214" s="5">
        <f>H214-G214</f>
        <v>7.3500000000000227</v>
      </c>
      <c r="J214" s="616">
        <v>1200000</v>
      </c>
      <c r="K214" s="696">
        <f>I214*F214*J214</f>
        <v>8820000.0000000279</v>
      </c>
      <c r="L214" s="16"/>
      <c r="M214" s="16"/>
      <c r="N214" s="79"/>
      <c r="O214" s="616"/>
    </row>
    <row r="215" spans="1:15" ht="15.5" x14ac:dyDescent="0.35">
      <c r="A215" s="631"/>
      <c r="B215" s="100"/>
      <c r="C215" s="52">
        <v>132</v>
      </c>
      <c r="D215" s="735" t="s">
        <v>2620</v>
      </c>
      <c r="E215" s="2150">
        <v>41812909575</v>
      </c>
      <c r="F215" s="4">
        <v>1</v>
      </c>
      <c r="G215" s="5">
        <v>224.01</v>
      </c>
      <c r="H215" s="5">
        <v>231.35</v>
      </c>
      <c r="I215" s="5">
        <f>H215-G215</f>
        <v>7.3400000000000034</v>
      </c>
      <c r="J215" s="616">
        <v>1200000</v>
      </c>
      <c r="K215" s="696">
        <f>I215*F215*J215</f>
        <v>8808000.0000000037</v>
      </c>
      <c r="L215" s="16"/>
      <c r="M215" s="16"/>
      <c r="N215" s="79"/>
      <c r="O215" s="616"/>
    </row>
    <row r="216" spans="1:15" ht="15.5" x14ac:dyDescent="0.35">
      <c r="A216" s="631">
        <v>5</v>
      </c>
      <c r="B216" s="100" t="s">
        <v>2621</v>
      </c>
      <c r="C216" s="52">
        <v>132</v>
      </c>
      <c r="D216" s="735" t="s">
        <v>2619</v>
      </c>
      <c r="E216" s="2149">
        <v>41812909512</v>
      </c>
      <c r="F216" s="4">
        <v>1</v>
      </c>
      <c r="G216" s="5">
        <v>61.12</v>
      </c>
      <c r="H216" s="5">
        <v>67.8</v>
      </c>
      <c r="I216" s="5">
        <f>H216-G216</f>
        <v>6.68</v>
      </c>
      <c r="J216" s="616">
        <v>1200000</v>
      </c>
      <c r="K216" s="696">
        <f>I216*F216*J216</f>
        <v>8016000</v>
      </c>
      <c r="L216" s="16"/>
      <c r="M216" s="16"/>
      <c r="N216" s="79"/>
      <c r="O216" s="616"/>
    </row>
    <row r="217" spans="1:15" ht="15.5" x14ac:dyDescent="0.35">
      <c r="A217" s="631"/>
      <c r="B217" s="100"/>
      <c r="C217" s="52">
        <v>132</v>
      </c>
      <c r="D217" s="735" t="s">
        <v>2620</v>
      </c>
      <c r="E217" s="2150">
        <v>41812909591</v>
      </c>
      <c r="F217" s="4">
        <v>1</v>
      </c>
      <c r="G217" s="5">
        <v>61.14</v>
      </c>
      <c r="H217" s="5">
        <v>67.819999999999993</v>
      </c>
      <c r="I217" s="5">
        <f>H217-G217</f>
        <v>6.6799999999999926</v>
      </c>
      <c r="J217" s="616">
        <v>1200000</v>
      </c>
      <c r="K217" s="697">
        <f>I217*F217*J217</f>
        <v>8015999.9999999907</v>
      </c>
      <c r="L217" s="17"/>
      <c r="M217" s="17"/>
      <c r="N217" s="80"/>
      <c r="O217" s="616"/>
    </row>
    <row r="218" spans="1:15" ht="15.5" x14ac:dyDescent="0.35">
      <c r="A218" s="631"/>
      <c r="B218" s="95"/>
      <c r="C218" s="89"/>
      <c r="D218" s="89"/>
      <c r="E218" s="89"/>
      <c r="F218" s="37"/>
      <c r="G218" s="37"/>
      <c r="H218" s="37"/>
      <c r="I218" s="2136" t="s">
        <v>303</v>
      </c>
      <c r="J218" s="2137"/>
      <c r="K218" s="698">
        <f>K216+K214</f>
        <v>16836000.00000003</v>
      </c>
      <c r="L218" s="94">
        <f>SUM(L214:L217)</f>
        <v>0</v>
      </c>
      <c r="M218" s="18"/>
      <c r="N218" s="81"/>
      <c r="O218" s="633"/>
    </row>
    <row r="219" spans="1:15" ht="15.5" x14ac:dyDescent="0.35">
      <c r="A219" s="631"/>
      <c r="B219" s="95"/>
      <c r="C219" s="89"/>
      <c r="D219" s="89"/>
      <c r="E219" s="89"/>
      <c r="F219" s="37"/>
      <c r="G219" s="37"/>
      <c r="H219" s="37"/>
      <c r="I219" s="2136" t="s">
        <v>31</v>
      </c>
      <c r="J219" s="2137"/>
      <c r="K219" s="699">
        <f>K218-L218</f>
        <v>16836000.00000003</v>
      </c>
      <c r="L219" s="40"/>
      <c r="M219" s="42"/>
      <c r="N219" s="634"/>
      <c r="O219" s="633"/>
    </row>
    <row r="220" spans="1:15" ht="15.5" x14ac:dyDescent="0.35">
      <c r="A220" s="11"/>
      <c r="B220" s="647" t="s">
        <v>1115</v>
      </c>
      <c r="C220" s="648"/>
      <c r="D220" s="648"/>
      <c r="E220" s="648"/>
      <c r="F220" s="648"/>
      <c r="G220" s="648"/>
      <c r="H220" s="648"/>
      <c r="I220" s="648"/>
      <c r="J220" s="648"/>
      <c r="K220" s="700"/>
      <c r="L220" s="648"/>
      <c r="M220" s="651"/>
      <c r="N220" s="649"/>
      <c r="O220" s="8"/>
    </row>
    <row r="221" spans="1:15" ht="15.5" x14ac:dyDescent="0.35">
      <c r="A221" s="631">
        <v>3</v>
      </c>
      <c r="B221" s="100" t="s">
        <v>2626</v>
      </c>
      <c r="C221" s="52">
        <v>132</v>
      </c>
      <c r="D221" s="1748" t="s">
        <v>2623</v>
      </c>
      <c r="E221" s="615">
        <v>41812909556</v>
      </c>
      <c r="F221" s="4">
        <v>1</v>
      </c>
      <c r="G221" s="5">
        <v>22.56</v>
      </c>
      <c r="H221" s="5">
        <v>23.93</v>
      </c>
      <c r="I221" s="5">
        <f>H221-G221</f>
        <v>1.370000000000001</v>
      </c>
      <c r="J221" s="616">
        <v>1200000</v>
      </c>
      <c r="K221" s="696"/>
      <c r="L221" s="16">
        <f>I221*F221*J221</f>
        <v>1644000.0000000012</v>
      </c>
      <c r="M221" s="7"/>
      <c r="N221" s="78"/>
      <c r="O221" s="616"/>
    </row>
    <row r="222" spans="1:15" ht="15.5" x14ac:dyDescent="0.35">
      <c r="A222" s="631"/>
      <c r="B222" s="100"/>
      <c r="C222" s="52">
        <v>132</v>
      </c>
      <c r="D222" s="1748" t="s">
        <v>2624</v>
      </c>
      <c r="E222" s="615">
        <v>41812909570</v>
      </c>
      <c r="F222" s="4">
        <v>1</v>
      </c>
      <c r="G222" s="5">
        <v>22.57</v>
      </c>
      <c r="H222" s="5">
        <v>23.91</v>
      </c>
      <c r="I222" s="5">
        <f>H222-G222</f>
        <v>1.3399999999999999</v>
      </c>
      <c r="J222" s="616">
        <v>1200000</v>
      </c>
      <c r="K222" s="696"/>
      <c r="L222" s="16">
        <f>I222*F222*J222</f>
        <v>1607999.9999999998</v>
      </c>
      <c r="M222" s="7"/>
      <c r="N222" s="78"/>
      <c r="O222" s="616"/>
    </row>
    <row r="223" spans="1:15" ht="15.5" x14ac:dyDescent="0.35">
      <c r="A223" s="631">
        <v>7</v>
      </c>
      <c r="B223" s="100" t="s">
        <v>2627</v>
      </c>
      <c r="C223" s="52">
        <v>132</v>
      </c>
      <c r="D223" s="1748" t="s">
        <v>2623</v>
      </c>
      <c r="E223" s="615">
        <v>41812909559</v>
      </c>
      <c r="F223" s="4">
        <v>1</v>
      </c>
      <c r="G223" s="5">
        <v>64.61</v>
      </c>
      <c r="H223" s="5">
        <v>66.430000000000007</v>
      </c>
      <c r="I223" s="5">
        <f>H223-G223</f>
        <v>1.8200000000000074</v>
      </c>
      <c r="J223" s="616">
        <v>1200000</v>
      </c>
      <c r="K223" s="696"/>
      <c r="L223" s="16">
        <f>I223*F223*J223</f>
        <v>2184000.0000000088</v>
      </c>
      <c r="M223" s="7"/>
      <c r="N223" s="78"/>
      <c r="O223" s="616"/>
    </row>
    <row r="224" spans="1:15" ht="15.5" x14ac:dyDescent="0.35">
      <c r="A224" s="631"/>
      <c r="B224" s="100"/>
      <c r="C224" s="52">
        <v>132</v>
      </c>
      <c r="D224" s="1748" t="s">
        <v>2624</v>
      </c>
      <c r="E224" s="615">
        <v>41812909569</v>
      </c>
      <c r="F224" s="4">
        <v>1</v>
      </c>
      <c r="G224" s="5">
        <v>64.61</v>
      </c>
      <c r="H224" s="5">
        <v>66.430000000000007</v>
      </c>
      <c r="I224" s="5">
        <f>H224-G224</f>
        <v>1.8200000000000074</v>
      </c>
      <c r="J224" s="616">
        <v>1200000</v>
      </c>
      <c r="K224" s="696"/>
      <c r="L224" s="16">
        <f>I224*F224*J224</f>
        <v>2184000.0000000088</v>
      </c>
      <c r="M224" s="16"/>
      <c r="N224" s="79"/>
      <c r="O224" s="616" t="s">
        <v>2628</v>
      </c>
    </row>
    <row r="225" spans="1:15" ht="15.5" x14ac:dyDescent="0.35">
      <c r="A225" s="631"/>
      <c r="B225" s="95"/>
      <c r="C225" s="89"/>
      <c r="D225" s="1846"/>
      <c r="E225" s="89"/>
      <c r="F225" s="37"/>
      <c r="G225" s="37"/>
      <c r="H225" s="37"/>
      <c r="I225" s="37"/>
      <c r="J225" s="95" t="s">
        <v>279</v>
      </c>
      <c r="K225" s="699"/>
      <c r="L225" s="43">
        <f>L223+L221</f>
        <v>3828000.0000000102</v>
      </c>
      <c r="M225" s="633"/>
      <c r="N225" s="634"/>
      <c r="O225" s="616"/>
    </row>
    <row r="226" spans="1:15" ht="15.5" x14ac:dyDescent="0.35">
      <c r="A226" s="11"/>
      <c r="B226" s="647" t="s">
        <v>1101</v>
      </c>
      <c r="C226" s="648"/>
      <c r="D226" s="648"/>
      <c r="E226" s="648"/>
      <c r="F226" s="648"/>
      <c r="G226" s="648"/>
      <c r="H226" s="648"/>
      <c r="I226" s="648"/>
      <c r="J226" s="648"/>
      <c r="K226" s="700"/>
      <c r="L226" s="648"/>
      <c r="M226" s="651"/>
      <c r="N226" s="649"/>
      <c r="O226" s="8"/>
    </row>
    <row r="227" spans="1:15" ht="30" x14ac:dyDescent="0.35">
      <c r="A227" s="631">
        <v>2</v>
      </c>
      <c r="B227" s="100" t="s">
        <v>2622</v>
      </c>
      <c r="C227" s="52">
        <v>132</v>
      </c>
      <c r="D227" s="1847" t="s">
        <v>2623</v>
      </c>
      <c r="E227" s="674">
        <v>41812909509</v>
      </c>
      <c r="F227" s="4">
        <v>1</v>
      </c>
      <c r="G227" s="6">
        <v>129.80000000000001</v>
      </c>
      <c r="H227" s="6">
        <v>135.78</v>
      </c>
      <c r="I227" s="20">
        <f>H227-G227</f>
        <v>5.9799999999999898</v>
      </c>
      <c r="J227" s="616">
        <v>1200000</v>
      </c>
      <c r="K227" s="703"/>
      <c r="L227" s="22">
        <f>I227*F227*J227</f>
        <v>7175999.9999999879</v>
      </c>
      <c r="M227" s="22"/>
      <c r="N227" s="78"/>
      <c r="O227" s="616"/>
    </row>
    <row r="228" spans="1:15" ht="30" x14ac:dyDescent="0.35">
      <c r="A228" s="631"/>
      <c r="B228" s="100"/>
      <c r="C228" s="52">
        <v>132</v>
      </c>
      <c r="D228" s="1847" t="s">
        <v>2624</v>
      </c>
      <c r="E228" s="691">
        <v>41812909594</v>
      </c>
      <c r="F228" s="4">
        <v>1</v>
      </c>
      <c r="G228" s="6">
        <v>129.80000000000001</v>
      </c>
      <c r="H228" s="6">
        <v>135.78</v>
      </c>
      <c r="I228" s="20">
        <f>H228-G228</f>
        <v>5.9799999999999898</v>
      </c>
      <c r="J228" s="616">
        <v>1200000</v>
      </c>
      <c r="K228" s="704"/>
      <c r="L228" s="22">
        <f>I228*F228*J228</f>
        <v>7175999.9999999879</v>
      </c>
      <c r="M228" s="22"/>
      <c r="N228" s="78"/>
      <c r="O228" s="616"/>
    </row>
    <row r="229" spans="1:15" ht="30" x14ac:dyDescent="0.35">
      <c r="A229" s="631">
        <v>6</v>
      </c>
      <c r="B229" s="100" t="s">
        <v>2625</v>
      </c>
      <c r="C229" s="52">
        <v>132</v>
      </c>
      <c r="D229" s="1847" t="s">
        <v>2623</v>
      </c>
      <c r="E229" s="691">
        <v>41812909508</v>
      </c>
      <c r="F229" s="4">
        <v>1</v>
      </c>
      <c r="G229" s="6">
        <v>68.11</v>
      </c>
      <c r="H229" s="6">
        <v>72.97</v>
      </c>
      <c r="I229" s="20">
        <f>H229-G229</f>
        <v>4.8599999999999994</v>
      </c>
      <c r="J229" s="616">
        <v>1200000</v>
      </c>
      <c r="K229" s="704"/>
      <c r="L229" s="22">
        <f>I229*F229*J229</f>
        <v>5831999.9999999991</v>
      </c>
      <c r="M229" s="22"/>
      <c r="N229" s="78"/>
      <c r="O229" s="616"/>
    </row>
    <row r="230" spans="1:15" ht="30" x14ac:dyDescent="0.35">
      <c r="A230" s="631"/>
      <c r="B230" s="100"/>
      <c r="C230" s="52">
        <v>132</v>
      </c>
      <c r="D230" s="1847" t="s">
        <v>2624</v>
      </c>
      <c r="E230" s="674">
        <v>41812909592</v>
      </c>
      <c r="F230" s="4">
        <v>1</v>
      </c>
      <c r="G230" s="6">
        <v>68.09</v>
      </c>
      <c r="H230" s="6">
        <v>72.95</v>
      </c>
      <c r="I230" s="20">
        <f>H230-G230</f>
        <v>4.8599999999999994</v>
      </c>
      <c r="J230" s="616">
        <v>1200000</v>
      </c>
      <c r="K230" s="704"/>
      <c r="L230" s="22">
        <f>I230*F230*J230</f>
        <v>5831999.9999999991</v>
      </c>
      <c r="M230" s="22"/>
      <c r="N230" s="78"/>
      <c r="O230" s="616"/>
    </row>
    <row r="231" spans="1:15" ht="15.5" x14ac:dyDescent="0.35">
      <c r="A231" s="631"/>
      <c r="B231" s="95"/>
      <c r="C231" s="89"/>
      <c r="D231" s="89"/>
      <c r="E231" s="65"/>
      <c r="F231" s="65"/>
      <c r="G231" s="65"/>
      <c r="H231" s="65"/>
      <c r="I231" s="65"/>
      <c r="J231" s="95" t="s">
        <v>30</v>
      </c>
      <c r="K231" s="701"/>
      <c r="L231" s="43">
        <f>L229+L227</f>
        <v>13007999.999999987</v>
      </c>
      <c r="M231" s="55"/>
      <c r="N231" s="78"/>
      <c r="O231" s="616"/>
    </row>
    <row r="232" spans="1:15" ht="15" thickBot="1" x14ac:dyDescent="0.4">
      <c r="A232" s="620"/>
      <c r="B232" s="635"/>
      <c r="C232" s="632"/>
      <c r="D232" s="720"/>
      <c r="K232" s="702"/>
      <c r="L232" s="620"/>
      <c r="M232" s="620"/>
      <c r="N232" s="632"/>
      <c r="O232" s="620"/>
    </row>
    <row r="233" spans="1:15" s="620" customFormat="1" x14ac:dyDescent="0.35">
      <c r="B233" s="2142" t="s">
        <v>1090</v>
      </c>
      <c r="C233" s="2143"/>
      <c r="D233" s="683" t="s">
        <v>14</v>
      </c>
      <c r="E233"/>
      <c r="F233" s="2144" t="s">
        <v>1091</v>
      </c>
      <c r="G233" s="2145"/>
      <c r="H233" s="2146"/>
      <c r="I233" s="683" t="s">
        <v>14</v>
      </c>
      <c r="K233" s="2147" t="s">
        <v>1092</v>
      </c>
      <c r="L233" s="2148"/>
      <c r="M233" s="684" t="s">
        <v>14</v>
      </c>
      <c r="N233" s="632"/>
    </row>
    <row r="234" spans="1:15" s="620" customFormat="1" x14ac:dyDescent="0.35">
      <c r="B234" s="2122" t="str">
        <f>B208</f>
        <v>RAMPURA 132 KV SIDE (TARIFF POINT)</v>
      </c>
      <c r="C234" s="2123"/>
      <c r="D234" s="689">
        <f>K212</f>
        <v>12801599.999999981</v>
      </c>
      <c r="E234"/>
      <c r="F234" s="2124" t="s">
        <v>1093</v>
      </c>
      <c r="G234" s="2125"/>
      <c r="H234" s="2126"/>
      <c r="I234" s="689">
        <f>L225</f>
        <v>3828000.0000000102</v>
      </c>
      <c r="K234" s="2129" t="s">
        <v>4625</v>
      </c>
      <c r="L234" s="2130"/>
      <c r="M234" s="687">
        <f>I235</f>
        <v>13007999.999999987</v>
      </c>
      <c r="N234" s="632"/>
    </row>
    <row r="235" spans="1:15" s="620" customFormat="1" x14ac:dyDescent="0.35">
      <c r="B235" s="2122" t="s">
        <v>1116</v>
      </c>
      <c r="C235" s="2123"/>
      <c r="D235" s="689"/>
      <c r="E235"/>
      <c r="F235" s="2124" t="s">
        <v>4625</v>
      </c>
      <c r="G235" s="2125"/>
      <c r="H235" s="2126"/>
      <c r="I235" s="687">
        <f>L231</f>
        <v>13007999.999999987</v>
      </c>
      <c r="K235" s="2127" t="s">
        <v>2455</v>
      </c>
      <c r="L235" s="2128"/>
      <c r="M235" s="1908">
        <f>D239</f>
        <v>12887999.999999983</v>
      </c>
      <c r="N235" s="632"/>
    </row>
    <row r="236" spans="1:15" s="620" customFormat="1" x14ac:dyDescent="0.35">
      <c r="B236" s="2122" t="s">
        <v>1117</v>
      </c>
      <c r="C236" s="2123"/>
      <c r="D236" s="689"/>
      <c r="E236"/>
      <c r="F236" s="2124" t="s">
        <v>1089</v>
      </c>
      <c r="G236" s="2125"/>
      <c r="H236" s="2126"/>
      <c r="I236" s="689">
        <f>I234+I235</f>
        <v>16835999.999999996</v>
      </c>
      <c r="K236" s="2129" t="s">
        <v>4622</v>
      </c>
      <c r="L236" s="2130"/>
      <c r="M236" s="689">
        <f>M234-M235</f>
        <v>120000.00000000373</v>
      </c>
      <c r="N236" s="632"/>
    </row>
    <row r="237" spans="1:15" s="620" customFormat="1" ht="15" thickBot="1" x14ac:dyDescent="0.4">
      <c r="B237" s="2122" t="s">
        <v>1118</v>
      </c>
      <c r="C237" s="2123"/>
      <c r="D237" s="722"/>
      <c r="E237"/>
      <c r="F237" s="2131" t="s">
        <v>4626</v>
      </c>
      <c r="G237" s="2132"/>
      <c r="H237" s="2133"/>
      <c r="I237" s="689">
        <f>D238-I236</f>
        <v>-4034400.0000000149</v>
      </c>
      <c r="K237" s="2134" t="s">
        <v>285</v>
      </c>
      <c r="L237" s="2135"/>
      <c r="M237" s="1905">
        <f>M236/M234</f>
        <v>9.2250922509228041E-3</v>
      </c>
      <c r="N237" s="632"/>
    </row>
    <row r="238" spans="1:15" s="620" customFormat="1" ht="15" thickBot="1" x14ac:dyDescent="0.4">
      <c r="B238" s="2109" t="s">
        <v>4620</v>
      </c>
      <c r="C238" s="2110"/>
      <c r="D238" s="1435">
        <f>SUM(D234:D237)</f>
        <v>12801599.999999981</v>
      </c>
      <c r="E238"/>
      <c r="F238" s="2113" t="s">
        <v>2454</v>
      </c>
      <c r="G238" s="2114"/>
      <c r="H238" s="2115"/>
      <c r="I238" s="1904">
        <f>I237/I236</f>
        <v>-0.23962936564504728</v>
      </c>
      <c r="K238" s="702"/>
      <c r="N238" s="632"/>
    </row>
    <row r="239" spans="1:15" s="620" customFormat="1" x14ac:dyDescent="0.35">
      <c r="B239" s="2116" t="s">
        <v>4624</v>
      </c>
      <c r="C239" s="2117"/>
      <c r="D239" s="1908">
        <f>K254</f>
        <v>12887999.999999983</v>
      </c>
      <c r="E239"/>
      <c r="F239" s="791"/>
      <c r="G239"/>
      <c r="H239"/>
      <c r="I239"/>
      <c r="J239"/>
      <c r="K239" s="702"/>
      <c r="N239" s="632"/>
    </row>
    <row r="240" spans="1:15" s="620" customFormat="1" x14ac:dyDescent="0.35">
      <c r="B240" s="2118" t="s">
        <v>4627</v>
      </c>
      <c r="C240" s="2119"/>
      <c r="D240" s="1436">
        <f>D238-D239</f>
        <v>-86400.000000001863</v>
      </c>
      <c r="E240"/>
      <c r="F240" s="791"/>
      <c r="G240"/>
      <c r="H240"/>
      <c r="I240"/>
      <c r="J240"/>
      <c r="K240" s="702"/>
      <c r="N240" s="632"/>
    </row>
    <row r="241" spans="1:15" s="620" customFormat="1" ht="15" thickBot="1" x14ac:dyDescent="0.4">
      <c r="B241" s="2120" t="str">
        <f>K237</f>
        <v>LOSS % IN =&gt;</v>
      </c>
      <c r="C241" s="2121"/>
      <c r="D241" s="1899">
        <f>D240/D234</f>
        <v>-6.7491563554557231E-3</v>
      </c>
      <c r="E241"/>
      <c r="F241" s="791"/>
      <c r="G241" s="678"/>
      <c r="H241" s="678"/>
      <c r="I241" s="678"/>
      <c r="J241" s="679"/>
      <c r="K241" s="702"/>
      <c r="N241" s="632"/>
    </row>
    <row r="242" spans="1:15" x14ac:dyDescent="0.35">
      <c r="A242" s="620"/>
      <c r="B242" s="635"/>
      <c r="C242" s="632"/>
      <c r="D242" s="720"/>
      <c r="G242" s="678"/>
      <c r="H242" s="678"/>
      <c r="I242" s="678"/>
      <c r="J242" s="679"/>
      <c r="K242" s="702"/>
      <c r="L242" s="620"/>
      <c r="M242" s="620"/>
      <c r="N242" s="632"/>
      <c r="O242" s="620"/>
    </row>
    <row r="243" spans="1:15" x14ac:dyDescent="0.35">
      <c r="A243" s="620"/>
      <c r="B243" s="635"/>
      <c r="C243" s="632"/>
      <c r="D243" s="720"/>
      <c r="G243" s="678"/>
      <c r="H243" s="678"/>
      <c r="I243" s="678"/>
      <c r="J243" s="679"/>
      <c r="K243" s="702"/>
      <c r="L243" s="620"/>
      <c r="M243" s="620"/>
      <c r="N243" s="632"/>
      <c r="O243" s="620"/>
    </row>
    <row r="244" spans="1:15" x14ac:dyDescent="0.35">
      <c r="A244" s="620"/>
      <c r="B244" s="635"/>
      <c r="C244" s="632"/>
      <c r="D244" s="720"/>
      <c r="E244" s="632"/>
      <c r="F244" s="620"/>
      <c r="G244" s="620"/>
      <c r="H244" s="620"/>
      <c r="I244" s="620"/>
      <c r="J244" s="620"/>
      <c r="K244" s="702"/>
      <c r="L244" s="620"/>
      <c r="M244" s="620"/>
      <c r="N244" s="632"/>
      <c r="O244" s="620"/>
    </row>
    <row r="245" spans="1:15" ht="25" x14ac:dyDescent="0.35">
      <c r="A245" s="2095" t="s">
        <v>1301</v>
      </c>
      <c r="B245" s="2095"/>
      <c r="C245" s="2095"/>
      <c r="D245" s="2095"/>
      <c r="E245" s="2095"/>
      <c r="F245" s="2095"/>
      <c r="G245" s="2095"/>
      <c r="H245" s="2095"/>
      <c r="I245" s="2095"/>
      <c r="J245" s="2095"/>
      <c r="K245" s="2095"/>
      <c r="L245" s="2095"/>
      <c r="M245" s="2095"/>
      <c r="N245" s="2095"/>
      <c r="O245" s="756" t="e">
        <f>$O$6</f>
        <v>#REF!</v>
      </c>
    </row>
    <row r="246" spans="1:15" ht="15.5" x14ac:dyDescent="0.35">
      <c r="A246" s="2096" t="s">
        <v>0</v>
      </c>
      <c r="B246" s="2098" t="s">
        <v>1</v>
      </c>
      <c r="C246" s="2100" t="s">
        <v>2</v>
      </c>
      <c r="D246" s="2101"/>
      <c r="E246" s="2102"/>
      <c r="F246" s="2103" t="s">
        <v>3</v>
      </c>
      <c r="G246" s="2100" t="s">
        <v>4</v>
      </c>
      <c r="H246" s="2102"/>
      <c r="I246" s="2085"/>
      <c r="J246" s="2103" t="s">
        <v>5</v>
      </c>
      <c r="K246" s="2100" t="s">
        <v>6</v>
      </c>
      <c r="L246" s="2085"/>
      <c r="M246" s="97" t="s">
        <v>32</v>
      </c>
      <c r="N246" s="98"/>
      <c r="O246" s="2084" t="s">
        <v>7</v>
      </c>
    </row>
    <row r="247" spans="1:15" ht="15.5" x14ac:dyDescent="0.35">
      <c r="A247" s="2111"/>
      <c r="B247" s="2112"/>
      <c r="C247" s="2086" t="s">
        <v>1108</v>
      </c>
      <c r="D247" s="2087"/>
      <c r="E247" s="675" t="s">
        <v>9</v>
      </c>
      <c r="F247" s="2111"/>
      <c r="G247" s="2">
        <f>'NORTH-1'!$G$8</f>
        <v>44774</v>
      </c>
      <c r="H247" s="2">
        <f>'NORTH-1'!$H$8</f>
        <v>44805</v>
      </c>
      <c r="I247" s="676" t="s">
        <v>10</v>
      </c>
      <c r="J247" s="2111"/>
      <c r="K247" s="676" t="s">
        <v>11</v>
      </c>
      <c r="L247" s="676" t="s">
        <v>12</v>
      </c>
      <c r="M247" s="715" t="s">
        <v>33</v>
      </c>
      <c r="N247" s="716" t="s">
        <v>47</v>
      </c>
      <c r="O247" s="2104"/>
    </row>
    <row r="248" spans="1:15" ht="15.5" x14ac:dyDescent="0.35">
      <c r="A248" s="717">
        <v>1</v>
      </c>
      <c r="B248" s="673">
        <v>2</v>
      </c>
      <c r="C248" s="2088">
        <v>4</v>
      </c>
      <c r="D248" s="2089"/>
      <c r="E248" s="673">
        <v>5</v>
      </c>
      <c r="F248" s="717">
        <v>7</v>
      </c>
      <c r="G248" s="717">
        <v>8</v>
      </c>
      <c r="H248" s="717">
        <v>9</v>
      </c>
      <c r="I248" s="717" t="s">
        <v>13</v>
      </c>
      <c r="J248" s="717">
        <v>11</v>
      </c>
      <c r="K248" s="717" t="s">
        <v>19</v>
      </c>
      <c r="L248" s="717" t="s">
        <v>20</v>
      </c>
      <c r="M248" s="717">
        <v>14</v>
      </c>
      <c r="N248" s="673">
        <v>15</v>
      </c>
      <c r="O248" s="717">
        <v>16</v>
      </c>
    </row>
    <row r="249" spans="1:15" ht="15.5" x14ac:dyDescent="0.35">
      <c r="A249" s="11"/>
      <c r="B249" s="624" t="s">
        <v>1100</v>
      </c>
      <c r="C249" s="625"/>
      <c r="D249" s="625"/>
      <c r="E249" s="625"/>
      <c r="F249" s="625"/>
      <c r="G249" s="625"/>
      <c r="H249" s="625"/>
      <c r="I249" s="625"/>
      <c r="J249" s="625"/>
      <c r="K249" s="695"/>
      <c r="L249" s="625"/>
      <c r="M249" s="626"/>
      <c r="N249" s="627"/>
      <c r="O249" s="8"/>
    </row>
    <row r="250" spans="1:15" ht="15.5" x14ac:dyDescent="0.35">
      <c r="A250" s="631">
        <v>15</v>
      </c>
      <c r="B250" s="100" t="s">
        <v>2629</v>
      </c>
      <c r="C250" s="52">
        <v>33</v>
      </c>
      <c r="D250" s="735" t="s">
        <v>1650</v>
      </c>
      <c r="E250" s="52">
        <v>41812909543</v>
      </c>
      <c r="F250" s="4">
        <v>1</v>
      </c>
      <c r="G250" s="5">
        <v>214.55</v>
      </c>
      <c r="H250" s="5">
        <v>224.45</v>
      </c>
      <c r="I250" s="5">
        <f>H250-G250</f>
        <v>9.8999999999999773</v>
      </c>
      <c r="J250" s="616">
        <v>720000</v>
      </c>
      <c r="K250" s="696">
        <f>I250*F250*J250</f>
        <v>7127999.9999999832</v>
      </c>
      <c r="L250" s="7"/>
      <c r="M250" s="7"/>
      <c r="N250" s="78"/>
      <c r="O250" s="616" t="s">
        <v>2540</v>
      </c>
    </row>
    <row r="251" spans="1:15" ht="15.5" x14ac:dyDescent="0.35">
      <c r="A251" s="631"/>
      <c r="B251" s="100"/>
      <c r="C251" s="52">
        <v>33</v>
      </c>
      <c r="D251" s="735" t="s">
        <v>1651</v>
      </c>
      <c r="E251" s="52">
        <v>41812909617</v>
      </c>
      <c r="F251" s="4">
        <v>1</v>
      </c>
      <c r="G251" s="5">
        <v>214.7</v>
      </c>
      <c r="H251" s="5">
        <v>224.61</v>
      </c>
      <c r="I251" s="5">
        <f>H251-G251</f>
        <v>9.910000000000025</v>
      </c>
      <c r="J251" s="616">
        <v>720000</v>
      </c>
      <c r="K251" s="696">
        <f>I251*F251*J251</f>
        <v>7135200.0000000177</v>
      </c>
      <c r="L251" s="7"/>
      <c r="M251" s="7"/>
      <c r="N251" s="78"/>
      <c r="O251" s="616" t="e">
        <f>L240+L242+L244+L246+L248</f>
        <v>#VALUE!</v>
      </c>
    </row>
    <row r="252" spans="1:15" ht="15.5" x14ac:dyDescent="0.35">
      <c r="A252" s="631">
        <v>16</v>
      </c>
      <c r="B252" s="100" t="s">
        <v>2630</v>
      </c>
      <c r="C252" s="52">
        <v>33</v>
      </c>
      <c r="D252" s="735" t="s">
        <v>1650</v>
      </c>
      <c r="E252" s="52">
        <v>41812909468</v>
      </c>
      <c r="F252" s="4">
        <v>1</v>
      </c>
      <c r="G252" s="5">
        <v>112.21</v>
      </c>
      <c r="H252" s="5">
        <v>120.21</v>
      </c>
      <c r="I252" s="5">
        <f>H252-G252</f>
        <v>8</v>
      </c>
      <c r="J252" s="616">
        <v>720000</v>
      </c>
      <c r="K252" s="696">
        <f>I252*F252*J252</f>
        <v>5760000</v>
      </c>
      <c r="L252" s="7"/>
      <c r="M252" s="7"/>
      <c r="N252" s="78"/>
      <c r="O252" s="616" t="s">
        <v>2555</v>
      </c>
    </row>
    <row r="253" spans="1:15" ht="15.5" x14ac:dyDescent="0.35">
      <c r="A253" s="631"/>
      <c r="B253" s="100"/>
      <c r="C253" s="52">
        <v>33</v>
      </c>
      <c r="D253" s="735" t="s">
        <v>1651</v>
      </c>
      <c r="E253" s="52">
        <v>41812909600</v>
      </c>
      <c r="F253" s="4">
        <v>1</v>
      </c>
      <c r="G253" s="5">
        <v>112.19</v>
      </c>
      <c r="H253" s="5">
        <v>120.19</v>
      </c>
      <c r="I253" s="5">
        <f>H253-G253</f>
        <v>8</v>
      </c>
      <c r="J253" s="616">
        <v>720000</v>
      </c>
      <c r="K253" s="696">
        <f>I253*F253*J253</f>
        <v>5760000</v>
      </c>
      <c r="L253" s="7"/>
      <c r="M253" s="7"/>
      <c r="N253" s="78"/>
      <c r="O253" s="616">
        <f>L254+L256+L258+L260+L262</f>
        <v>3758400.0000000009</v>
      </c>
    </row>
    <row r="254" spans="1:15" ht="15.5" x14ac:dyDescent="0.35">
      <c r="A254" s="631"/>
      <c r="B254" s="95"/>
      <c r="C254" s="89"/>
      <c r="D254" s="89"/>
      <c r="E254" s="89"/>
      <c r="F254" s="37"/>
      <c r="G254" s="37"/>
      <c r="H254" s="37"/>
      <c r="I254" s="37"/>
      <c r="J254" s="95" t="s">
        <v>30</v>
      </c>
      <c r="K254" s="1908">
        <f>K252+K250</f>
        <v>12887999.999999983</v>
      </c>
      <c r="L254" s="40"/>
      <c r="M254" s="40">
        <f>SUM(M250:M253)</f>
        <v>0</v>
      </c>
      <c r="N254" s="78"/>
      <c r="O254" s="616"/>
    </row>
    <row r="255" spans="1:15" ht="15.5" x14ac:dyDescent="0.35">
      <c r="A255" s="631"/>
      <c r="B255" s="647" t="s">
        <v>1103</v>
      </c>
      <c r="C255" s="648"/>
      <c r="D255" s="648"/>
      <c r="E255" s="648"/>
      <c r="F255" s="648"/>
      <c r="G255" s="648"/>
      <c r="H255" s="648"/>
      <c r="I255" s="648"/>
      <c r="J255" s="648"/>
      <c r="K255" s="700"/>
      <c r="L255" s="648"/>
      <c r="M255" s="651"/>
      <c r="N255" s="649"/>
      <c r="O255" s="616"/>
    </row>
    <row r="256" spans="1:15" ht="15.5" x14ac:dyDescent="0.35">
      <c r="A256" s="631"/>
      <c r="B256" s="662" t="s">
        <v>1106</v>
      </c>
      <c r="C256" s="52"/>
      <c r="D256" s="1777" t="s">
        <v>1083</v>
      </c>
      <c r="E256" s="52"/>
      <c r="F256" s="4"/>
      <c r="G256" s="5"/>
      <c r="H256" s="5"/>
      <c r="I256" s="6"/>
      <c r="J256" s="616"/>
      <c r="K256" s="696"/>
      <c r="L256" s="7"/>
      <c r="M256" s="7"/>
      <c r="N256" s="78"/>
      <c r="O256" s="616"/>
    </row>
    <row r="257" spans="1:15" ht="15.5" x14ac:dyDescent="0.35">
      <c r="A257" s="11">
        <v>14</v>
      </c>
      <c r="B257" s="100" t="s">
        <v>2639</v>
      </c>
      <c r="C257" s="661">
        <v>33</v>
      </c>
      <c r="D257" s="1748" t="s">
        <v>1650</v>
      </c>
      <c r="E257" s="674">
        <v>41812909546</v>
      </c>
      <c r="F257" s="4">
        <v>1</v>
      </c>
      <c r="G257" s="21">
        <v>63.26</v>
      </c>
      <c r="H257" s="21">
        <v>67.47</v>
      </c>
      <c r="I257" s="21">
        <f>H257-G257</f>
        <v>4.2100000000000009</v>
      </c>
      <c r="J257" s="616">
        <v>240000</v>
      </c>
      <c r="K257" s="696"/>
      <c r="L257" s="22">
        <f>I257*F257*J257</f>
        <v>1010400.0000000002</v>
      </c>
      <c r="M257" s="22"/>
      <c r="N257" s="82"/>
      <c r="O257" s="9"/>
    </row>
    <row r="258" spans="1:15" ht="15.5" x14ac:dyDescent="0.35">
      <c r="A258" s="631"/>
      <c r="B258" s="100"/>
      <c r="C258" s="661">
        <v>33</v>
      </c>
      <c r="D258" s="1748" t="s">
        <v>1651</v>
      </c>
      <c r="E258" s="674">
        <v>41812909616</v>
      </c>
      <c r="F258" s="4">
        <v>1</v>
      </c>
      <c r="G258" s="21">
        <v>63.24</v>
      </c>
      <c r="H258" s="21">
        <v>67.44</v>
      </c>
      <c r="I258" s="21">
        <f>H258-G258</f>
        <v>4.1999999999999957</v>
      </c>
      <c r="J258" s="616">
        <v>240000</v>
      </c>
      <c r="K258" s="696"/>
      <c r="L258" s="22">
        <f>I258*F258*J258</f>
        <v>1007999.999999999</v>
      </c>
      <c r="M258" s="22"/>
      <c r="N258" s="82"/>
      <c r="O258" s="616"/>
    </row>
    <row r="259" spans="1:15" ht="15.5" x14ac:dyDescent="0.35">
      <c r="A259" s="616">
        <v>17</v>
      </c>
      <c r="B259" s="100" t="s">
        <v>2640</v>
      </c>
      <c r="C259" s="661">
        <v>33</v>
      </c>
      <c r="D259" s="1748" t="s">
        <v>1650</v>
      </c>
      <c r="E259" s="674">
        <v>41812909482</v>
      </c>
      <c r="F259" s="4">
        <v>1</v>
      </c>
      <c r="G259" s="21">
        <v>118.59</v>
      </c>
      <c r="H259" s="21">
        <v>130.04</v>
      </c>
      <c r="I259" s="21">
        <f>H259-G259</f>
        <v>11.449999999999989</v>
      </c>
      <c r="J259" s="616">
        <v>240000</v>
      </c>
      <c r="K259" s="696"/>
      <c r="L259" s="22">
        <f>I259*F259*J259</f>
        <v>2747999.9999999972</v>
      </c>
      <c r="M259" s="22"/>
      <c r="N259" s="82"/>
      <c r="O259" s="616"/>
    </row>
    <row r="260" spans="1:15" ht="15.5" x14ac:dyDescent="0.35">
      <c r="A260" s="616"/>
      <c r="B260" s="100"/>
      <c r="C260" s="661">
        <v>33</v>
      </c>
      <c r="D260" s="1748" t="s">
        <v>1651</v>
      </c>
      <c r="E260" s="674">
        <v>42003953371</v>
      </c>
      <c r="F260" s="4">
        <v>1</v>
      </c>
      <c r="G260" s="21">
        <v>118.62</v>
      </c>
      <c r="H260" s="21">
        <v>130.08000000000001</v>
      </c>
      <c r="I260" s="21">
        <f>H260-G260</f>
        <v>11.460000000000008</v>
      </c>
      <c r="J260" s="616">
        <v>240000</v>
      </c>
      <c r="K260" s="696"/>
      <c r="L260" s="22">
        <f>I260*F260*J260</f>
        <v>2750400.0000000019</v>
      </c>
      <c r="M260" s="22"/>
      <c r="N260" s="82"/>
      <c r="O260" s="12"/>
    </row>
    <row r="261" spans="1:15" ht="15.5" x14ac:dyDescent="0.35">
      <c r="A261" s="616"/>
      <c r="B261" s="662" t="s">
        <v>1107</v>
      </c>
      <c r="C261" s="89"/>
      <c r="D261" s="1773"/>
      <c r="E261" s="89"/>
      <c r="F261" s="37"/>
      <c r="G261" s="37"/>
      <c r="H261" s="37"/>
      <c r="I261" s="37"/>
      <c r="J261" s="95" t="s">
        <v>30</v>
      </c>
      <c r="K261" s="696"/>
      <c r="L261" s="43">
        <f>L259+L257</f>
        <v>3758399.9999999972</v>
      </c>
      <c r="M261" s="43">
        <f>SUM(M257:M260)</f>
        <v>0</v>
      </c>
      <c r="N261" s="83"/>
      <c r="O261" s="12"/>
    </row>
    <row r="262" spans="1:15" ht="15.5" x14ac:dyDescent="0.35">
      <c r="A262" s="636">
        <v>10</v>
      </c>
      <c r="B262" s="100" t="s">
        <v>2631</v>
      </c>
      <c r="C262" s="661">
        <v>33</v>
      </c>
      <c r="D262" s="1748" t="s">
        <v>1650</v>
      </c>
      <c r="E262" s="674">
        <v>41812909466</v>
      </c>
      <c r="F262" s="4">
        <v>1</v>
      </c>
      <c r="G262" s="6">
        <v>0.02</v>
      </c>
      <c r="H262" s="6">
        <v>0.02</v>
      </c>
      <c r="I262" s="20">
        <f t="shared" ref="I262:I277" si="6">H262-G262</f>
        <v>0</v>
      </c>
      <c r="J262" s="616">
        <v>360000</v>
      </c>
      <c r="K262" s="703"/>
      <c r="L262" s="22">
        <f t="shared" ref="L262:L277" si="7">I262*F262*J262</f>
        <v>0</v>
      </c>
      <c r="M262" s="22"/>
      <c r="N262" s="82"/>
      <c r="O262" s="15"/>
    </row>
    <row r="263" spans="1:15" ht="15.5" x14ac:dyDescent="0.35">
      <c r="A263" s="636"/>
      <c r="B263" s="100"/>
      <c r="C263" s="661">
        <v>33</v>
      </c>
      <c r="D263" s="727" t="s">
        <v>1651</v>
      </c>
      <c r="E263" s="674">
        <v>41812909599</v>
      </c>
      <c r="F263" s="4">
        <v>1</v>
      </c>
      <c r="G263" s="6">
        <v>0.02</v>
      </c>
      <c r="H263" s="6">
        <v>0.02</v>
      </c>
      <c r="I263" s="20">
        <f t="shared" si="6"/>
        <v>0</v>
      </c>
      <c r="J263" s="616">
        <v>360000</v>
      </c>
      <c r="K263" s="703"/>
      <c r="L263" s="22">
        <f t="shared" si="7"/>
        <v>0</v>
      </c>
      <c r="M263" s="22"/>
      <c r="N263" s="82"/>
      <c r="O263" s="15"/>
    </row>
    <row r="264" spans="1:15" ht="15.5" x14ac:dyDescent="0.35">
      <c r="A264" s="636">
        <v>11</v>
      </c>
      <c r="B264" s="100" t="s">
        <v>2632</v>
      </c>
      <c r="C264" s="661">
        <v>33</v>
      </c>
      <c r="D264" s="1748" t="s">
        <v>1650</v>
      </c>
      <c r="E264" s="674">
        <v>41812909467</v>
      </c>
      <c r="F264" s="4">
        <v>1</v>
      </c>
      <c r="G264" s="6">
        <v>0.03</v>
      </c>
      <c r="H264" s="6">
        <v>0.03</v>
      </c>
      <c r="I264" s="20">
        <f t="shared" si="6"/>
        <v>0</v>
      </c>
      <c r="J264" s="616">
        <v>360000</v>
      </c>
      <c r="K264" s="703"/>
      <c r="L264" s="22">
        <f t="shared" si="7"/>
        <v>0</v>
      </c>
      <c r="M264" s="22"/>
      <c r="N264" s="82"/>
      <c r="O264" s="15"/>
    </row>
    <row r="265" spans="1:15" ht="15.5" x14ac:dyDescent="0.35">
      <c r="A265" s="636"/>
      <c r="B265" s="100"/>
      <c r="C265" s="661">
        <v>33</v>
      </c>
      <c r="D265" s="727" t="s">
        <v>1651</v>
      </c>
      <c r="E265" s="674">
        <v>41812909601</v>
      </c>
      <c r="F265" s="4">
        <v>1</v>
      </c>
      <c r="G265" s="6">
        <v>0.03</v>
      </c>
      <c r="H265" s="6">
        <v>0.03</v>
      </c>
      <c r="I265" s="20">
        <f t="shared" si="6"/>
        <v>0</v>
      </c>
      <c r="J265" s="616">
        <v>360000</v>
      </c>
      <c r="K265" s="703"/>
      <c r="L265" s="22">
        <f t="shared" si="7"/>
        <v>0</v>
      </c>
      <c r="M265" s="22"/>
      <c r="N265" s="82"/>
      <c r="O265" s="15" t="s">
        <v>2570</v>
      </c>
    </row>
    <row r="266" spans="1:15" ht="15.5" x14ac:dyDescent="0.35">
      <c r="A266" s="636">
        <v>12</v>
      </c>
      <c r="B266" s="100" t="s">
        <v>2633</v>
      </c>
      <c r="C266" s="661">
        <v>33</v>
      </c>
      <c r="D266" s="1748" t="s">
        <v>1650</v>
      </c>
      <c r="E266" s="674">
        <v>41812909463</v>
      </c>
      <c r="F266" s="4">
        <v>1</v>
      </c>
      <c r="G266" s="6">
        <v>291.24</v>
      </c>
      <c r="H266" s="6">
        <v>302.44</v>
      </c>
      <c r="I266" s="20">
        <f t="shared" si="6"/>
        <v>11.199999999999989</v>
      </c>
      <c r="J266" s="616">
        <v>360000</v>
      </c>
      <c r="K266" s="703"/>
      <c r="L266" s="22">
        <f t="shared" si="7"/>
        <v>4031999.9999999958</v>
      </c>
      <c r="M266" s="22"/>
      <c r="N266" s="82"/>
      <c r="O266" s="15" t="e">
        <f>(K261-L255-L287)/K261*100</f>
        <v>#DIV/0!</v>
      </c>
    </row>
    <row r="267" spans="1:15" ht="15.5" x14ac:dyDescent="0.35">
      <c r="A267" s="636"/>
      <c r="B267" s="100"/>
      <c r="C267" s="661">
        <v>33</v>
      </c>
      <c r="D267" s="727" t="s">
        <v>1651</v>
      </c>
      <c r="E267" s="674">
        <v>41812909610</v>
      </c>
      <c r="F267" s="4">
        <v>1</v>
      </c>
      <c r="G267" s="6">
        <v>291.35000000000002</v>
      </c>
      <c r="H267" s="6">
        <v>302.55</v>
      </c>
      <c r="I267" s="20">
        <f t="shared" si="6"/>
        <v>11.199999999999989</v>
      </c>
      <c r="J267" s="616">
        <v>360000</v>
      </c>
      <c r="K267" s="703"/>
      <c r="L267" s="22">
        <f t="shared" si="7"/>
        <v>4031999.9999999958</v>
      </c>
      <c r="M267" s="22"/>
      <c r="N267" s="82"/>
      <c r="O267" s="15"/>
    </row>
    <row r="268" spans="1:15" ht="15.5" x14ac:dyDescent="0.35">
      <c r="A268" s="636">
        <v>13</v>
      </c>
      <c r="B268" s="100" t="s">
        <v>2634</v>
      </c>
      <c r="C268" s="661">
        <v>33</v>
      </c>
      <c r="D268" s="1748" t="s">
        <v>1650</v>
      </c>
      <c r="E268" s="691">
        <v>41812909530</v>
      </c>
      <c r="F268" s="4">
        <v>1</v>
      </c>
      <c r="G268" s="6">
        <v>120.18</v>
      </c>
      <c r="H268" s="6">
        <v>125.99</v>
      </c>
      <c r="I268" s="20">
        <f t="shared" si="6"/>
        <v>5.8099999999999881</v>
      </c>
      <c r="J268" s="616">
        <v>360000</v>
      </c>
      <c r="K268" s="704"/>
      <c r="L268" s="22">
        <f t="shared" si="7"/>
        <v>2091599.9999999958</v>
      </c>
      <c r="M268" s="22"/>
      <c r="N268" s="82"/>
      <c r="O268" s="14" t="s">
        <v>2584</v>
      </c>
    </row>
    <row r="269" spans="1:15" ht="15.5" x14ac:dyDescent="0.35">
      <c r="A269" s="636"/>
      <c r="B269" s="100"/>
      <c r="C269" s="661">
        <v>33</v>
      </c>
      <c r="D269" s="727" t="s">
        <v>1651</v>
      </c>
      <c r="E269" s="691">
        <v>41812909595</v>
      </c>
      <c r="F269" s="4">
        <v>1</v>
      </c>
      <c r="G269" s="6">
        <v>120.22</v>
      </c>
      <c r="H269" s="6">
        <v>126.04</v>
      </c>
      <c r="I269" s="20">
        <f t="shared" si="6"/>
        <v>5.8200000000000074</v>
      </c>
      <c r="J269" s="616">
        <v>360000</v>
      </c>
      <c r="K269" s="704"/>
      <c r="L269" s="22">
        <f t="shared" si="7"/>
        <v>2095200.0000000026</v>
      </c>
      <c r="M269" s="22"/>
      <c r="N269" s="82"/>
      <c r="O269" s="14">
        <f>(K287-L287)/K287*100</f>
        <v>100</v>
      </c>
    </row>
    <row r="270" spans="1:15" ht="15.5" x14ac:dyDescent="0.35">
      <c r="A270" s="636">
        <v>18</v>
      </c>
      <c r="B270" s="100" t="s">
        <v>2635</v>
      </c>
      <c r="C270" s="661">
        <v>33</v>
      </c>
      <c r="D270" s="1748" t="s">
        <v>1650</v>
      </c>
      <c r="E270" s="674">
        <v>41812909552</v>
      </c>
      <c r="F270" s="4">
        <v>1</v>
      </c>
      <c r="G270" s="6">
        <v>30.88</v>
      </c>
      <c r="H270" s="6">
        <v>33.01</v>
      </c>
      <c r="I270" s="20">
        <f t="shared" si="6"/>
        <v>2.129999999999999</v>
      </c>
      <c r="J270" s="616">
        <v>360000</v>
      </c>
      <c r="K270" s="704"/>
      <c r="L270" s="22">
        <f t="shared" si="7"/>
        <v>766799.99999999965</v>
      </c>
      <c r="M270" s="22"/>
      <c r="N270" s="82"/>
      <c r="O270" s="14"/>
    </row>
    <row r="271" spans="1:15" ht="15.5" x14ac:dyDescent="0.35">
      <c r="A271" s="636"/>
      <c r="B271" s="100"/>
      <c r="C271" s="661">
        <v>33</v>
      </c>
      <c r="D271" s="727" t="s">
        <v>1651</v>
      </c>
      <c r="E271" s="674">
        <v>41621865733</v>
      </c>
      <c r="F271" s="4">
        <v>1</v>
      </c>
      <c r="G271" s="6">
        <v>30.89</v>
      </c>
      <c r="H271" s="6">
        <v>33.020000000000003</v>
      </c>
      <c r="I271" s="20">
        <f t="shared" si="6"/>
        <v>2.1300000000000026</v>
      </c>
      <c r="J271" s="616">
        <v>360000</v>
      </c>
      <c r="K271" s="703"/>
      <c r="L271" s="22">
        <f t="shared" si="7"/>
        <v>766800.00000000093</v>
      </c>
      <c r="M271" s="22"/>
      <c r="N271" s="82"/>
      <c r="O271" s="15"/>
    </row>
    <row r="272" spans="1:15" ht="15.5" x14ac:dyDescent="0.35">
      <c r="A272" s="636">
        <v>19</v>
      </c>
      <c r="B272" s="100" t="s">
        <v>2636</v>
      </c>
      <c r="C272" s="661">
        <v>33</v>
      </c>
      <c r="D272" s="1748" t="s">
        <v>1650</v>
      </c>
      <c r="E272" s="674">
        <v>42003953363</v>
      </c>
      <c r="F272" s="4">
        <v>1</v>
      </c>
      <c r="G272" s="6">
        <v>90.17</v>
      </c>
      <c r="H272" s="6">
        <v>96.42</v>
      </c>
      <c r="I272" s="20">
        <f t="shared" si="6"/>
        <v>6.25</v>
      </c>
      <c r="J272" s="616">
        <v>360000</v>
      </c>
      <c r="K272" s="704"/>
      <c r="L272" s="22">
        <f t="shared" si="7"/>
        <v>2250000</v>
      </c>
      <c r="M272" s="22"/>
      <c r="N272" s="82"/>
      <c r="O272" s="10"/>
    </row>
    <row r="273" spans="1:15" ht="15.5" x14ac:dyDescent="0.35">
      <c r="A273" s="636"/>
      <c r="B273" s="100"/>
      <c r="C273" s="661">
        <v>33</v>
      </c>
      <c r="D273" s="727" t="s">
        <v>1651</v>
      </c>
      <c r="E273" s="674">
        <v>41812909598</v>
      </c>
      <c r="F273" s="4">
        <v>1</v>
      </c>
      <c r="G273" s="6">
        <v>90.14</v>
      </c>
      <c r="H273" s="6">
        <v>96.39</v>
      </c>
      <c r="I273" s="20">
        <f t="shared" si="6"/>
        <v>6.25</v>
      </c>
      <c r="J273" s="616">
        <v>360000</v>
      </c>
      <c r="K273" s="703"/>
      <c r="L273" s="22">
        <f t="shared" si="7"/>
        <v>2250000</v>
      </c>
      <c r="M273" s="22"/>
      <c r="N273" s="82"/>
      <c r="O273" s="13"/>
    </row>
    <row r="274" spans="1:15" ht="19.5" customHeight="1" x14ac:dyDescent="0.35">
      <c r="A274" s="636">
        <v>20</v>
      </c>
      <c r="B274" s="101" t="s">
        <v>2637</v>
      </c>
      <c r="C274" s="661">
        <v>33</v>
      </c>
      <c r="D274" s="1748" t="s">
        <v>1650</v>
      </c>
      <c r="E274" s="674">
        <v>41812909469</v>
      </c>
      <c r="F274" s="4">
        <v>1</v>
      </c>
      <c r="G274" s="6">
        <v>0.02</v>
      </c>
      <c r="H274" s="6">
        <v>0.02</v>
      </c>
      <c r="I274" s="20">
        <f t="shared" si="6"/>
        <v>0</v>
      </c>
      <c r="J274" s="616">
        <v>360000</v>
      </c>
      <c r="K274" s="705"/>
      <c r="L274" s="22">
        <f t="shared" si="7"/>
        <v>0</v>
      </c>
      <c r="M274" s="22"/>
      <c r="N274" s="82"/>
      <c r="O274" s="30"/>
    </row>
    <row r="275" spans="1:15" ht="15.5" x14ac:dyDescent="0.35">
      <c r="A275" s="636"/>
      <c r="B275" s="100"/>
      <c r="C275" s="661">
        <v>33</v>
      </c>
      <c r="D275" s="727" t="s">
        <v>1651</v>
      </c>
      <c r="E275" s="674">
        <v>41812909597</v>
      </c>
      <c r="F275" s="4">
        <v>1</v>
      </c>
      <c r="G275" s="6">
        <v>0.02</v>
      </c>
      <c r="H275" s="6">
        <v>0.02</v>
      </c>
      <c r="I275" s="20">
        <f t="shared" si="6"/>
        <v>0</v>
      </c>
      <c r="J275" s="616">
        <v>360000</v>
      </c>
      <c r="K275" s="696"/>
      <c r="L275" s="22">
        <f t="shared" si="7"/>
        <v>0</v>
      </c>
      <c r="M275" s="22"/>
      <c r="N275" s="82"/>
      <c r="O275" s="616"/>
    </row>
    <row r="276" spans="1:15" ht="15.5" x14ac:dyDescent="0.35">
      <c r="A276" s="636">
        <v>21</v>
      </c>
      <c r="B276" s="101" t="s">
        <v>2638</v>
      </c>
      <c r="C276" s="661">
        <v>33</v>
      </c>
      <c r="D276" s="1748" t="s">
        <v>1650</v>
      </c>
      <c r="E276" s="674">
        <v>41812909478</v>
      </c>
      <c r="F276" s="4">
        <v>1</v>
      </c>
      <c r="G276" s="6">
        <v>0.02</v>
      </c>
      <c r="H276" s="6">
        <v>0.02</v>
      </c>
      <c r="I276" s="20">
        <f t="shared" si="6"/>
        <v>0</v>
      </c>
      <c r="J276" s="616">
        <v>360000</v>
      </c>
      <c r="K276" s="705"/>
      <c r="L276" s="22">
        <f t="shared" si="7"/>
        <v>0</v>
      </c>
      <c r="M276" s="22"/>
      <c r="N276" s="82"/>
      <c r="O276" s="13"/>
    </row>
    <row r="277" spans="1:15" ht="15.5" x14ac:dyDescent="0.35">
      <c r="A277" s="636"/>
      <c r="B277" s="100"/>
      <c r="C277" s="661">
        <v>33</v>
      </c>
      <c r="D277" s="727" t="s">
        <v>1651</v>
      </c>
      <c r="E277" s="674">
        <v>41812909620</v>
      </c>
      <c r="F277" s="4">
        <v>1</v>
      </c>
      <c r="G277" s="6">
        <v>0.02</v>
      </c>
      <c r="H277" s="6">
        <v>0.02</v>
      </c>
      <c r="I277" s="20">
        <f t="shared" si="6"/>
        <v>0</v>
      </c>
      <c r="J277" s="616">
        <v>360000</v>
      </c>
      <c r="K277" s="696"/>
      <c r="L277" s="22">
        <f t="shared" si="7"/>
        <v>0</v>
      </c>
      <c r="M277" s="22"/>
      <c r="N277" s="82"/>
      <c r="O277" s="616"/>
    </row>
    <row r="278" spans="1:15" ht="15.5" x14ac:dyDescent="0.35">
      <c r="A278" s="636"/>
      <c r="B278" s="96"/>
      <c r="C278" s="90"/>
      <c r="D278" s="90"/>
      <c r="E278" s="90"/>
      <c r="F278" s="38"/>
      <c r="G278" s="38"/>
      <c r="H278" s="38"/>
      <c r="I278" s="38"/>
      <c r="J278" s="95" t="s">
        <v>30</v>
      </c>
      <c r="K278" s="696"/>
      <c r="L278" s="43">
        <f>L276+L274+L272+L270+L268+L266+L264+L262</f>
        <v>9140399.9999999907</v>
      </c>
      <c r="M278" s="43">
        <f>SUM(M262:M277)</f>
        <v>0</v>
      </c>
      <c r="N278" s="83"/>
      <c r="O278" s="13"/>
    </row>
    <row r="279" spans="1:15" ht="20" x14ac:dyDescent="0.35">
      <c r="A279" s="636"/>
      <c r="B279" s="96"/>
      <c r="C279" s="90"/>
      <c r="D279" s="90"/>
      <c r="E279" s="90"/>
      <c r="F279" s="38"/>
      <c r="G279" s="38"/>
      <c r="H279" s="38"/>
      <c r="I279" s="2107" t="s">
        <v>44</v>
      </c>
      <c r="J279" s="2108"/>
      <c r="K279" s="698">
        <f>K254</f>
        <v>12887999.999999983</v>
      </c>
      <c r="L279" s="44">
        <f>L261+L278</f>
        <v>12898799.999999989</v>
      </c>
      <c r="M279" s="44">
        <f>M278+M261</f>
        <v>0</v>
      </c>
      <c r="N279" s="84">
        <f>(M279-L279)/L279*100</f>
        <v>-100</v>
      </c>
      <c r="O279" s="29"/>
    </row>
    <row r="280" spans="1:15" x14ac:dyDescent="0.35">
      <c r="A280" s="620"/>
      <c r="B280" s="635"/>
      <c r="C280" s="632"/>
      <c r="D280" s="720"/>
      <c r="K280" s="702"/>
      <c r="L280" s="620"/>
      <c r="M280" s="620"/>
      <c r="N280" s="632"/>
      <c r="O280" s="620"/>
    </row>
    <row r="281" spans="1:15" ht="15" x14ac:dyDescent="0.35">
      <c r="A281" s="620"/>
      <c r="D281" s="725"/>
      <c r="G281" s="2092" t="s">
        <v>1096</v>
      </c>
      <c r="H281" s="2092"/>
      <c r="I281" s="2092"/>
      <c r="J281" s="677" t="s">
        <v>14</v>
      </c>
      <c r="K281" s="69" t="s">
        <v>1098</v>
      </c>
      <c r="L281" s="620"/>
      <c r="M281" s="620"/>
      <c r="N281" s="632"/>
      <c r="O281" s="620"/>
    </row>
    <row r="282" spans="1:15" ht="17.5" x14ac:dyDescent="0.35">
      <c r="A282" s="620"/>
      <c r="D282" s="725"/>
      <c r="G282" s="2093" t="s">
        <v>1071</v>
      </c>
      <c r="H282" s="2093"/>
      <c r="I282" s="2093"/>
      <c r="J282" s="692">
        <f>M261</f>
        <v>0</v>
      </c>
      <c r="K282" s="70">
        <v>6.933634163553025</v>
      </c>
      <c r="L282" s="620"/>
      <c r="M282" s="620"/>
      <c r="N282" s="632"/>
      <c r="O282" s="620"/>
    </row>
    <row r="283" spans="1:15" ht="17.5" x14ac:dyDescent="0.35">
      <c r="A283" s="620"/>
      <c r="D283" s="725"/>
      <c r="G283" s="2093" t="s">
        <v>206</v>
      </c>
      <c r="H283" s="2093"/>
      <c r="I283" s="2093"/>
      <c r="J283" s="692">
        <f>M262+M268+M269</f>
        <v>0</v>
      </c>
      <c r="K283" s="70">
        <v>-0.33769527905653496</v>
      </c>
      <c r="L283" s="620"/>
      <c r="M283" s="620"/>
      <c r="N283" s="632"/>
      <c r="O283" s="620"/>
    </row>
    <row r="284" spans="1:15" ht="17.5" x14ac:dyDescent="0.35">
      <c r="A284" s="620"/>
      <c r="D284" s="725"/>
      <c r="G284" s="2093" t="s">
        <v>207</v>
      </c>
      <c r="H284" s="2093"/>
      <c r="I284" s="2093"/>
      <c r="J284" s="692">
        <f>M270+M271</f>
        <v>0</v>
      </c>
      <c r="K284" s="70"/>
      <c r="L284" s="620"/>
      <c r="M284" s="620"/>
      <c r="N284" s="632"/>
      <c r="O284" s="620"/>
    </row>
    <row r="285" spans="1:15" ht="17.5" x14ac:dyDescent="0.35">
      <c r="A285" s="620"/>
      <c r="D285" s="725"/>
      <c r="G285" s="2093" t="s">
        <v>208</v>
      </c>
      <c r="H285" s="2093"/>
      <c r="I285" s="2093"/>
      <c r="J285" s="692">
        <f>M272</f>
        <v>0</v>
      </c>
      <c r="K285" s="70">
        <v>0.58957194954853154</v>
      </c>
      <c r="L285" s="620"/>
      <c r="M285" s="620"/>
      <c r="N285" s="632"/>
      <c r="O285" s="620"/>
    </row>
    <row r="286" spans="1:15" ht="17.5" x14ac:dyDescent="0.35">
      <c r="A286" s="620"/>
      <c r="B286" s="635"/>
      <c r="C286" s="632"/>
      <c r="D286" s="720"/>
      <c r="G286" s="2093" t="s">
        <v>209</v>
      </c>
      <c r="H286" s="2093"/>
      <c r="I286" s="2093"/>
      <c r="J286" s="692">
        <f>M273</f>
        <v>0</v>
      </c>
      <c r="K286" s="70"/>
      <c r="L286" s="620"/>
      <c r="M286" s="620"/>
      <c r="N286" s="632"/>
      <c r="O286" s="620"/>
    </row>
    <row r="287" spans="1:15" ht="17.5" x14ac:dyDescent="0.35">
      <c r="A287" s="620"/>
      <c r="B287" s="635"/>
      <c r="C287" s="632"/>
      <c r="D287" s="720"/>
      <c r="G287" s="2093" t="s">
        <v>40</v>
      </c>
      <c r="H287" s="2093"/>
      <c r="I287" s="2093"/>
      <c r="J287" s="692">
        <f>M274+M275</f>
        <v>0</v>
      </c>
      <c r="K287" s="70">
        <v>2.4391608198671739</v>
      </c>
      <c r="L287" s="620"/>
      <c r="M287" s="620"/>
      <c r="N287" s="632"/>
      <c r="O287" s="620"/>
    </row>
    <row r="288" spans="1:15" x14ac:dyDescent="0.35">
      <c r="A288" s="620"/>
      <c r="B288" s="635"/>
      <c r="C288" s="632"/>
      <c r="D288" s="720"/>
      <c r="G288" s="2094" t="s">
        <v>42</v>
      </c>
      <c r="H288" s="2094"/>
      <c r="I288" s="2094"/>
      <c r="J288" s="693">
        <f>M276</f>
        <v>0</v>
      </c>
      <c r="K288" s="694" t="s">
        <v>1097</v>
      </c>
      <c r="L288" s="620"/>
      <c r="M288" s="620"/>
      <c r="N288" s="632"/>
      <c r="O288" s="620"/>
    </row>
    <row r="289" spans="1:15" ht="18" thickBot="1" x14ac:dyDescent="0.4">
      <c r="A289" s="620"/>
      <c r="B289" s="635"/>
      <c r="C289" s="632"/>
      <c r="D289" s="720"/>
      <c r="E289" s="632"/>
      <c r="F289" s="620"/>
      <c r="G289" s="2093" t="s">
        <v>41</v>
      </c>
      <c r="H289" s="2093"/>
      <c r="I289" s="2093"/>
      <c r="J289" s="692">
        <f>M277</f>
        <v>0</v>
      </c>
      <c r="K289" s="681">
        <v>1.4463055987403735</v>
      </c>
      <c r="L289" s="620"/>
      <c r="M289" s="620"/>
      <c r="N289" s="632"/>
      <c r="O289" s="620"/>
    </row>
    <row r="290" spans="1:15" ht="20.5" thickBot="1" x14ac:dyDescent="0.4">
      <c r="A290" s="620"/>
      <c r="B290" s="635"/>
      <c r="C290" s="632"/>
      <c r="D290" s="720"/>
      <c r="E290" s="632"/>
      <c r="F290" s="620"/>
      <c r="G290" s="620"/>
      <c r="H290" s="620"/>
      <c r="I290" s="642" t="s">
        <v>210</v>
      </c>
      <c r="J290" s="680">
        <f>SUM(J282:J289)</f>
        <v>0</v>
      </c>
      <c r="K290" s="682">
        <f>J290-M279</f>
        <v>0</v>
      </c>
      <c r="L290" s="620"/>
      <c r="M290" s="620"/>
      <c r="N290" s="632"/>
      <c r="O290" s="620"/>
    </row>
    <row r="291" spans="1:15" x14ac:dyDescent="0.35">
      <c r="A291" s="620"/>
      <c r="B291" s="635"/>
      <c r="C291" s="632"/>
      <c r="D291" s="720"/>
      <c r="E291" s="632"/>
      <c r="F291" s="620"/>
      <c r="G291" s="620"/>
      <c r="H291" s="620"/>
      <c r="I291" s="620"/>
      <c r="J291" s="620"/>
      <c r="K291" s="702"/>
      <c r="L291" s="620"/>
      <c r="M291" s="620"/>
      <c r="N291" s="632"/>
      <c r="O291" s="620"/>
    </row>
    <row r="292" spans="1:15" ht="25" x14ac:dyDescent="0.35">
      <c r="A292" s="2095" t="s">
        <v>1302</v>
      </c>
      <c r="B292" s="2095"/>
      <c r="C292" s="2095"/>
      <c r="D292" s="2095"/>
      <c r="E292" s="2095"/>
      <c r="F292" s="2095"/>
      <c r="G292" s="2095"/>
      <c r="H292" s="2095"/>
      <c r="I292" s="2095"/>
      <c r="J292" s="2095"/>
      <c r="K292" s="2095"/>
      <c r="L292" s="2095"/>
      <c r="M292" s="2095"/>
      <c r="N292" s="2095"/>
      <c r="O292" s="756" t="e">
        <f>$O$6</f>
        <v>#REF!</v>
      </c>
    </row>
    <row r="293" spans="1:15" ht="15.5" x14ac:dyDescent="0.35">
      <c r="A293" s="2096" t="s">
        <v>0</v>
      </c>
      <c r="B293" s="2098" t="s">
        <v>1</v>
      </c>
      <c r="C293" s="2100" t="s">
        <v>2</v>
      </c>
      <c r="D293" s="2101"/>
      <c r="E293" s="2102"/>
      <c r="F293" s="2103" t="s">
        <v>3</v>
      </c>
      <c r="G293" s="2100" t="s">
        <v>4</v>
      </c>
      <c r="H293" s="2102"/>
      <c r="I293" s="2085"/>
      <c r="J293" s="2103" t="s">
        <v>5</v>
      </c>
      <c r="K293" s="2100" t="s">
        <v>6</v>
      </c>
      <c r="L293" s="2085"/>
      <c r="M293" s="97" t="s">
        <v>32</v>
      </c>
      <c r="N293" s="98"/>
      <c r="O293" s="2084" t="s">
        <v>7</v>
      </c>
    </row>
    <row r="294" spans="1:15" ht="15.5" x14ac:dyDescent="0.35">
      <c r="A294" s="2097"/>
      <c r="B294" s="2099"/>
      <c r="C294" s="2086" t="s">
        <v>1108</v>
      </c>
      <c r="D294" s="2087"/>
      <c r="E294" s="87" t="s">
        <v>9</v>
      </c>
      <c r="F294" s="2097"/>
      <c r="G294" s="2">
        <f>'NORTH-1'!$G$8</f>
        <v>44774</v>
      </c>
      <c r="H294" s="2">
        <f>'NORTH-1'!$H$8</f>
        <v>44805</v>
      </c>
      <c r="I294" s="1" t="s">
        <v>10</v>
      </c>
      <c r="J294" s="2097"/>
      <c r="K294" s="1" t="s">
        <v>11</v>
      </c>
      <c r="L294" s="1" t="s">
        <v>12</v>
      </c>
      <c r="M294" s="617" t="s">
        <v>33</v>
      </c>
      <c r="N294" s="76" t="s">
        <v>47</v>
      </c>
      <c r="O294" s="2085"/>
    </row>
    <row r="295" spans="1:15" ht="15.5" x14ac:dyDescent="0.35">
      <c r="A295" s="3">
        <v>1</v>
      </c>
      <c r="B295" s="88">
        <v>2</v>
      </c>
      <c r="C295" s="2088">
        <v>4</v>
      </c>
      <c r="D295" s="2089"/>
      <c r="E295" s="88">
        <v>5</v>
      </c>
      <c r="F295" s="3">
        <v>7</v>
      </c>
      <c r="G295" s="3">
        <v>8</v>
      </c>
      <c r="H295" s="3">
        <v>9</v>
      </c>
      <c r="I295" s="3" t="s">
        <v>13</v>
      </c>
      <c r="J295" s="3">
        <v>11</v>
      </c>
      <c r="K295" s="3" t="s">
        <v>19</v>
      </c>
      <c r="L295" s="3" t="s">
        <v>20</v>
      </c>
      <c r="M295" s="3">
        <v>14</v>
      </c>
      <c r="N295" s="77">
        <v>15</v>
      </c>
      <c r="O295" s="3">
        <v>16</v>
      </c>
    </row>
    <row r="296" spans="1:15" ht="15" x14ac:dyDescent="0.35">
      <c r="A296" s="636"/>
      <c r="B296" s="624" t="s">
        <v>1104</v>
      </c>
      <c r="C296" s="625"/>
      <c r="D296" s="625"/>
      <c r="E296" s="625"/>
      <c r="F296" s="625"/>
      <c r="G296" s="625"/>
      <c r="H296" s="625"/>
      <c r="I296" s="625"/>
      <c r="J296" s="625"/>
      <c r="K296" s="695"/>
      <c r="L296" s="625"/>
      <c r="M296" s="626"/>
      <c r="N296" s="627"/>
      <c r="O296" s="12"/>
    </row>
    <row r="297" spans="1:15" ht="15.5" x14ac:dyDescent="0.35">
      <c r="A297" s="616">
        <v>1</v>
      </c>
      <c r="B297" s="100" t="s">
        <v>2641</v>
      </c>
      <c r="C297" s="73">
        <v>11</v>
      </c>
      <c r="D297" s="1779"/>
      <c r="E297" s="52">
        <v>41812909493</v>
      </c>
      <c r="F297" s="32">
        <v>1</v>
      </c>
      <c r="G297" s="5">
        <v>60.26</v>
      </c>
      <c r="H297" s="5">
        <v>64.25</v>
      </c>
      <c r="I297" s="21">
        <f>H297-G297</f>
        <v>3.990000000000002</v>
      </c>
      <c r="J297" s="616">
        <v>250000</v>
      </c>
      <c r="K297" s="707">
        <f>I297*F297*J297</f>
        <v>997500.00000000047</v>
      </c>
      <c r="L297" s="22"/>
      <c r="M297" s="22"/>
      <c r="N297" s="83"/>
      <c r="O297" s="12"/>
    </row>
    <row r="298" spans="1:15" ht="15.5" x14ac:dyDescent="0.35">
      <c r="A298" s="616">
        <v>18</v>
      </c>
      <c r="B298" s="100" t="s">
        <v>2642</v>
      </c>
      <c r="C298" s="73">
        <v>11</v>
      </c>
      <c r="D298" s="1780"/>
      <c r="E298" s="52">
        <v>41812909496</v>
      </c>
      <c r="F298" s="32">
        <v>1</v>
      </c>
      <c r="G298" s="5">
        <v>113.45</v>
      </c>
      <c r="H298" s="5">
        <v>124.35</v>
      </c>
      <c r="I298" s="21">
        <f>H298-G298</f>
        <v>10.899999999999991</v>
      </c>
      <c r="J298" s="616">
        <v>250000</v>
      </c>
      <c r="K298" s="707">
        <f>I298*F298*J298</f>
        <v>2724999.9999999977</v>
      </c>
      <c r="L298" s="22"/>
      <c r="M298" s="22"/>
      <c r="N298" s="83"/>
      <c r="O298" s="12"/>
    </row>
    <row r="299" spans="1:15" ht="15" x14ac:dyDescent="0.35">
      <c r="A299" s="636"/>
      <c r="B299" s="96"/>
      <c r="C299" s="90"/>
      <c r="D299" s="90"/>
      <c r="E299" s="90"/>
      <c r="F299" s="38"/>
      <c r="G299" s="38"/>
      <c r="H299" s="38"/>
      <c r="I299" s="38"/>
      <c r="J299" s="96" t="s">
        <v>30</v>
      </c>
      <c r="K299" s="708">
        <f>SUM(K297:K298)</f>
        <v>3722499.9999999981</v>
      </c>
      <c r="L299" s="43"/>
      <c r="M299" s="43">
        <f>SUM(M297:M298)</f>
        <v>0</v>
      </c>
      <c r="N299" s="83"/>
      <c r="O299" s="12"/>
    </row>
    <row r="300" spans="1:15" ht="15.5" x14ac:dyDescent="0.35">
      <c r="A300" s="631"/>
      <c r="B300" s="647" t="s">
        <v>1105</v>
      </c>
      <c r="C300" s="648"/>
      <c r="D300" s="648"/>
      <c r="E300" s="648"/>
      <c r="F300" s="648"/>
      <c r="G300" s="648"/>
      <c r="H300" s="648"/>
      <c r="I300" s="648"/>
      <c r="J300" s="648"/>
      <c r="K300" s="700"/>
      <c r="L300" s="648"/>
      <c r="M300" s="651"/>
      <c r="N300" s="649"/>
      <c r="O300" s="616"/>
    </row>
    <row r="301" spans="1:15" ht="18" customHeight="1" x14ac:dyDescent="0.35">
      <c r="A301" s="631">
        <v>2</v>
      </c>
      <c r="B301" s="100" t="s">
        <v>2644</v>
      </c>
      <c r="C301" s="73">
        <v>11</v>
      </c>
      <c r="D301" s="1845"/>
      <c r="E301" s="52">
        <v>41812909492</v>
      </c>
      <c r="F301" s="32">
        <v>1</v>
      </c>
      <c r="G301" s="6">
        <v>83.99</v>
      </c>
      <c r="H301" s="6">
        <v>89.58</v>
      </c>
      <c r="I301" s="20">
        <f t="shared" ref="I301:I316" si="8">H301-G301</f>
        <v>5.5900000000000034</v>
      </c>
      <c r="J301" s="616">
        <v>60000</v>
      </c>
      <c r="K301" s="703"/>
      <c r="L301" s="22">
        <f t="shared" ref="L301:L317" si="9">I301*F301*J301</f>
        <v>335400.00000000023</v>
      </c>
      <c r="M301" s="22"/>
      <c r="N301" s="72" t="s">
        <v>88</v>
      </c>
      <c r="O301" s="15"/>
    </row>
    <row r="302" spans="1:15" ht="18" customHeight="1" x14ac:dyDescent="0.35">
      <c r="A302" s="631">
        <v>3</v>
      </c>
      <c r="B302" s="100" t="s">
        <v>2645</v>
      </c>
      <c r="C302" s="73">
        <v>11</v>
      </c>
      <c r="D302" s="1845"/>
      <c r="E302" s="52">
        <v>41812909500</v>
      </c>
      <c r="F302" s="32">
        <v>1</v>
      </c>
      <c r="G302" s="6">
        <v>0.01</v>
      </c>
      <c r="H302" s="6">
        <v>0.01</v>
      </c>
      <c r="I302" s="20">
        <f t="shared" si="8"/>
        <v>0</v>
      </c>
      <c r="J302" s="616">
        <v>60000</v>
      </c>
      <c r="K302" s="703"/>
      <c r="L302" s="22">
        <f t="shared" si="9"/>
        <v>0</v>
      </c>
      <c r="M302" s="22"/>
      <c r="N302" s="72"/>
      <c r="O302" s="15"/>
    </row>
    <row r="303" spans="1:15" ht="18" customHeight="1" x14ac:dyDescent="0.35">
      <c r="A303" s="631">
        <v>4</v>
      </c>
      <c r="B303" s="100" t="s">
        <v>2646</v>
      </c>
      <c r="C303" s="73">
        <v>11</v>
      </c>
      <c r="D303" s="1845"/>
      <c r="E303" s="52">
        <v>41812909499</v>
      </c>
      <c r="F303" s="32">
        <v>1</v>
      </c>
      <c r="G303" s="6">
        <v>145.78</v>
      </c>
      <c r="H303" s="6">
        <v>155.41</v>
      </c>
      <c r="I303" s="20">
        <f t="shared" si="8"/>
        <v>9.6299999999999955</v>
      </c>
      <c r="J303" s="616">
        <v>60000</v>
      </c>
      <c r="K303" s="703"/>
      <c r="L303" s="22">
        <f t="shared" si="9"/>
        <v>577799.99999999977</v>
      </c>
      <c r="M303" s="22"/>
      <c r="N303" s="72" t="s">
        <v>101</v>
      </c>
      <c r="O303" s="15"/>
    </row>
    <row r="304" spans="1:15" ht="18" customHeight="1" x14ac:dyDescent="0.35">
      <c r="A304" s="631">
        <v>5</v>
      </c>
      <c r="B304" s="100" t="s">
        <v>2647</v>
      </c>
      <c r="C304" s="73">
        <v>11</v>
      </c>
      <c r="D304" s="1845"/>
      <c r="E304" s="52">
        <v>41812909517</v>
      </c>
      <c r="F304" s="32">
        <v>1</v>
      </c>
      <c r="G304" s="6">
        <v>20.45</v>
      </c>
      <c r="H304" s="6">
        <v>21.83</v>
      </c>
      <c r="I304" s="20">
        <f t="shared" si="8"/>
        <v>1.379999999999999</v>
      </c>
      <c r="J304" s="616">
        <v>60000</v>
      </c>
      <c r="K304" s="703"/>
      <c r="L304" s="22">
        <f t="shared" si="9"/>
        <v>82799.999999999942</v>
      </c>
      <c r="M304" s="22"/>
      <c r="N304" s="72" t="s">
        <v>88</v>
      </c>
      <c r="O304" s="15"/>
    </row>
    <row r="305" spans="1:15" ht="18" customHeight="1" x14ac:dyDescent="0.35">
      <c r="A305" s="631">
        <v>6</v>
      </c>
      <c r="B305" s="100" t="s">
        <v>2648</v>
      </c>
      <c r="C305" s="73">
        <v>11</v>
      </c>
      <c r="D305" s="1845"/>
      <c r="E305" s="52">
        <v>41812909518</v>
      </c>
      <c r="F305" s="32">
        <v>1</v>
      </c>
      <c r="G305" s="6">
        <v>0.04</v>
      </c>
      <c r="H305" s="6">
        <v>0.04</v>
      </c>
      <c r="I305" s="20">
        <v>0.02</v>
      </c>
      <c r="J305" s="616">
        <v>60000</v>
      </c>
      <c r="K305" s="703"/>
      <c r="L305" s="22">
        <f t="shared" si="9"/>
        <v>1200</v>
      </c>
      <c r="M305" s="22"/>
      <c r="N305" s="72" t="s">
        <v>97</v>
      </c>
      <c r="O305" s="15"/>
    </row>
    <row r="306" spans="1:15" ht="18" customHeight="1" x14ac:dyDescent="0.35">
      <c r="A306" s="631">
        <v>7</v>
      </c>
      <c r="B306" s="100" t="s">
        <v>2649</v>
      </c>
      <c r="C306" s="73">
        <v>11</v>
      </c>
      <c r="D306" s="1845"/>
      <c r="E306" s="52">
        <v>41812909485</v>
      </c>
      <c r="F306" s="32">
        <v>1</v>
      </c>
      <c r="G306" s="6">
        <v>0.02</v>
      </c>
      <c r="H306" s="6">
        <v>0.02</v>
      </c>
      <c r="I306" s="20">
        <f t="shared" si="8"/>
        <v>0</v>
      </c>
      <c r="J306" s="616">
        <v>60000</v>
      </c>
      <c r="K306" s="703"/>
      <c r="L306" s="22">
        <f t="shared" si="9"/>
        <v>0</v>
      </c>
      <c r="M306" s="22"/>
      <c r="N306" s="72"/>
      <c r="O306" s="15"/>
    </row>
    <row r="307" spans="1:15" ht="18" customHeight="1" x14ac:dyDescent="0.35">
      <c r="A307" s="631">
        <v>8</v>
      </c>
      <c r="B307" s="100" t="s">
        <v>2650</v>
      </c>
      <c r="C307" s="73">
        <v>11</v>
      </c>
      <c r="D307" s="1845"/>
      <c r="E307" s="52">
        <v>41812909484</v>
      </c>
      <c r="F307" s="32">
        <v>1</v>
      </c>
      <c r="G307" s="6">
        <v>7.0000000000000007E-2</v>
      </c>
      <c r="H307" s="6">
        <v>7.0000000000000007E-2</v>
      </c>
      <c r="I307" s="20">
        <f t="shared" si="8"/>
        <v>0</v>
      </c>
      <c r="J307" s="616">
        <v>60000</v>
      </c>
      <c r="K307" s="703"/>
      <c r="L307" s="22">
        <f t="shared" si="9"/>
        <v>0</v>
      </c>
      <c r="M307" s="22"/>
      <c r="N307" s="72"/>
      <c r="O307" s="15"/>
    </row>
    <row r="308" spans="1:15" ht="18" customHeight="1" x14ac:dyDescent="0.35">
      <c r="A308" s="631">
        <v>9</v>
      </c>
      <c r="B308" s="100" t="s">
        <v>2651</v>
      </c>
      <c r="C308" s="73">
        <v>11</v>
      </c>
      <c r="D308" s="1845"/>
      <c r="E308" s="52">
        <v>41812909551</v>
      </c>
      <c r="F308" s="32">
        <v>1</v>
      </c>
      <c r="G308" s="6">
        <v>0.02</v>
      </c>
      <c r="H308" s="6">
        <v>0.02</v>
      </c>
      <c r="I308" s="20">
        <f t="shared" si="8"/>
        <v>0</v>
      </c>
      <c r="J308" s="616">
        <v>60000</v>
      </c>
      <c r="K308" s="703"/>
      <c r="L308" s="22">
        <f t="shared" si="9"/>
        <v>0</v>
      </c>
      <c r="M308" s="22"/>
      <c r="N308" s="72"/>
      <c r="O308" s="15"/>
    </row>
    <row r="309" spans="1:15" ht="18" customHeight="1" x14ac:dyDescent="0.35">
      <c r="A309" s="631">
        <v>10</v>
      </c>
      <c r="B309" s="100" t="s">
        <v>2652</v>
      </c>
      <c r="C309" s="73">
        <v>11</v>
      </c>
      <c r="D309" s="1845"/>
      <c r="E309" s="52">
        <v>41812909475</v>
      </c>
      <c r="F309" s="32">
        <v>1</v>
      </c>
      <c r="G309" s="6">
        <v>0.01</v>
      </c>
      <c r="H309" s="6">
        <v>0.01</v>
      </c>
      <c r="I309" s="20">
        <f t="shared" si="8"/>
        <v>0</v>
      </c>
      <c r="J309" s="616">
        <v>60000</v>
      </c>
      <c r="K309" s="703"/>
      <c r="L309" s="22">
        <f t="shared" si="9"/>
        <v>0</v>
      </c>
      <c r="M309" s="22"/>
      <c r="N309" s="72"/>
      <c r="O309" s="15"/>
    </row>
    <row r="310" spans="1:15" ht="18" customHeight="1" x14ac:dyDescent="0.35">
      <c r="A310" s="631">
        <v>11</v>
      </c>
      <c r="B310" s="100" t="s">
        <v>2653</v>
      </c>
      <c r="C310" s="73">
        <v>11</v>
      </c>
      <c r="D310" s="1845"/>
      <c r="E310" s="52">
        <v>41812909549</v>
      </c>
      <c r="F310" s="32">
        <v>1</v>
      </c>
      <c r="G310" s="6">
        <v>0.02</v>
      </c>
      <c r="H310" s="6">
        <v>0.02</v>
      </c>
      <c r="I310" s="20">
        <f t="shared" si="8"/>
        <v>0</v>
      </c>
      <c r="J310" s="616">
        <v>60000</v>
      </c>
      <c r="K310" s="703"/>
      <c r="L310" s="22">
        <f t="shared" si="9"/>
        <v>0</v>
      </c>
      <c r="M310" s="22"/>
      <c r="N310" s="72"/>
      <c r="O310" s="15"/>
    </row>
    <row r="311" spans="1:15" ht="18" customHeight="1" x14ac:dyDescent="0.35">
      <c r="A311" s="631">
        <v>12</v>
      </c>
      <c r="B311" s="100" t="s">
        <v>2654</v>
      </c>
      <c r="C311" s="73">
        <v>11</v>
      </c>
      <c r="D311" s="1845"/>
      <c r="E311" s="52">
        <v>41812909550</v>
      </c>
      <c r="F311" s="32">
        <v>1</v>
      </c>
      <c r="G311" s="6">
        <v>0.01</v>
      </c>
      <c r="H311" s="6">
        <v>0.01</v>
      </c>
      <c r="I311" s="20">
        <f t="shared" si="8"/>
        <v>0</v>
      </c>
      <c r="J311" s="616">
        <v>60000</v>
      </c>
      <c r="K311" s="703"/>
      <c r="L311" s="22">
        <f t="shared" si="9"/>
        <v>0</v>
      </c>
      <c r="M311" s="22"/>
      <c r="N311" s="72"/>
      <c r="O311" s="15"/>
    </row>
    <row r="312" spans="1:15" ht="18" customHeight="1" x14ac:dyDescent="0.35">
      <c r="A312" s="631">
        <v>13</v>
      </c>
      <c r="B312" s="100" t="s">
        <v>2655</v>
      </c>
      <c r="C312" s="73">
        <v>11</v>
      </c>
      <c r="D312" s="1845"/>
      <c r="E312" s="52">
        <v>41812909473</v>
      </c>
      <c r="F312" s="32">
        <v>1</v>
      </c>
      <c r="G312" s="6">
        <v>249.75</v>
      </c>
      <c r="H312" s="6">
        <v>270.45</v>
      </c>
      <c r="I312" s="20">
        <f t="shared" si="8"/>
        <v>20.699999999999989</v>
      </c>
      <c r="J312" s="616">
        <v>60000</v>
      </c>
      <c r="K312" s="703"/>
      <c r="L312" s="22">
        <f t="shared" si="9"/>
        <v>1241999.9999999993</v>
      </c>
      <c r="M312" s="22"/>
      <c r="N312" s="72" t="s">
        <v>88</v>
      </c>
      <c r="O312" s="15"/>
    </row>
    <row r="313" spans="1:15" ht="18" customHeight="1" x14ac:dyDescent="0.35">
      <c r="A313" s="631">
        <v>14</v>
      </c>
      <c r="B313" s="100" t="s">
        <v>2656</v>
      </c>
      <c r="C313" s="73">
        <v>11</v>
      </c>
      <c r="D313" s="1845"/>
      <c r="E313" s="52">
        <v>41812909588</v>
      </c>
      <c r="F313" s="32">
        <v>1</v>
      </c>
      <c r="G313" s="6">
        <v>0.01</v>
      </c>
      <c r="H313" s="6">
        <v>0.01</v>
      </c>
      <c r="I313" s="20">
        <f t="shared" si="8"/>
        <v>0</v>
      </c>
      <c r="J313" s="616">
        <v>60000</v>
      </c>
      <c r="K313" s="703"/>
      <c r="L313" s="22">
        <f t="shared" si="9"/>
        <v>0</v>
      </c>
      <c r="M313" s="22"/>
      <c r="N313" s="72"/>
      <c r="O313" s="15"/>
    </row>
    <row r="314" spans="1:15" ht="18" customHeight="1" x14ac:dyDescent="0.35">
      <c r="A314" s="631">
        <v>15</v>
      </c>
      <c r="B314" s="100" t="s">
        <v>2657</v>
      </c>
      <c r="C314" s="73">
        <v>11</v>
      </c>
      <c r="D314" s="1845"/>
      <c r="E314" s="52">
        <v>41812909514</v>
      </c>
      <c r="F314" s="32">
        <v>1</v>
      </c>
      <c r="G314" s="6">
        <v>99.71</v>
      </c>
      <c r="H314" s="6">
        <v>106.64</v>
      </c>
      <c r="I314" s="20">
        <f t="shared" si="8"/>
        <v>6.9300000000000068</v>
      </c>
      <c r="J314" s="616">
        <v>60000</v>
      </c>
      <c r="K314" s="703"/>
      <c r="L314" s="22">
        <f t="shared" si="9"/>
        <v>415800.00000000041</v>
      </c>
      <c r="M314" s="22"/>
      <c r="N314" s="72" t="s">
        <v>88</v>
      </c>
      <c r="O314" s="15"/>
    </row>
    <row r="315" spans="1:15" ht="18" customHeight="1" x14ac:dyDescent="0.35">
      <c r="A315" s="631">
        <v>16</v>
      </c>
      <c r="B315" s="100" t="s">
        <v>2658</v>
      </c>
      <c r="C315" s="73">
        <v>11</v>
      </c>
      <c r="D315" s="1845"/>
      <c r="E315" s="52">
        <v>41812909516</v>
      </c>
      <c r="F315" s="32">
        <v>1</v>
      </c>
      <c r="G315" s="6">
        <v>73.55</v>
      </c>
      <c r="H315" s="6">
        <v>79.599999999999994</v>
      </c>
      <c r="I315" s="20">
        <f t="shared" si="8"/>
        <v>6.0499999999999972</v>
      </c>
      <c r="J315" s="616">
        <v>60000</v>
      </c>
      <c r="K315" s="703"/>
      <c r="L315" s="22">
        <f t="shared" si="9"/>
        <v>362999.99999999983</v>
      </c>
      <c r="M315" s="22"/>
      <c r="N315" s="72" t="s">
        <v>88</v>
      </c>
      <c r="O315" s="15"/>
    </row>
    <row r="316" spans="1:15" ht="18" customHeight="1" x14ac:dyDescent="0.35">
      <c r="A316" s="631">
        <v>17</v>
      </c>
      <c r="B316" s="101" t="s">
        <v>2659</v>
      </c>
      <c r="C316" s="73">
        <v>11</v>
      </c>
      <c r="D316" s="1845"/>
      <c r="E316" s="52">
        <v>41812909497</v>
      </c>
      <c r="F316" s="32">
        <v>1</v>
      </c>
      <c r="G316" s="6">
        <v>50.01</v>
      </c>
      <c r="H316" s="6">
        <v>61.94</v>
      </c>
      <c r="I316" s="20">
        <f t="shared" si="8"/>
        <v>11.93</v>
      </c>
      <c r="J316" s="616">
        <v>60000</v>
      </c>
      <c r="K316" s="703"/>
      <c r="L316" s="22">
        <f t="shared" si="9"/>
        <v>715800</v>
      </c>
      <c r="M316" s="22"/>
      <c r="N316" s="72" t="s">
        <v>101</v>
      </c>
      <c r="O316" s="15"/>
    </row>
    <row r="317" spans="1:15" ht="18" customHeight="1" x14ac:dyDescent="0.35">
      <c r="A317" s="631">
        <v>22</v>
      </c>
      <c r="B317" s="100" t="s">
        <v>2643</v>
      </c>
      <c r="C317" s="73">
        <v>0.4</v>
      </c>
      <c r="D317" s="1782"/>
      <c r="E317" s="52">
        <v>41901920686</v>
      </c>
      <c r="F317" s="32">
        <v>1</v>
      </c>
      <c r="G317" s="6">
        <v>607.04</v>
      </c>
      <c r="H317" s="6">
        <v>653.52</v>
      </c>
      <c r="I317" s="20">
        <f>H317-G317</f>
        <v>46.480000000000018</v>
      </c>
      <c r="J317" s="616">
        <v>1</v>
      </c>
      <c r="K317" s="703"/>
      <c r="L317" s="22">
        <f t="shared" si="9"/>
        <v>46.480000000000018</v>
      </c>
      <c r="M317" s="22"/>
      <c r="N317" s="72"/>
      <c r="O317" s="15"/>
    </row>
    <row r="318" spans="1:15" ht="20" x14ac:dyDescent="0.35">
      <c r="A318" s="636"/>
      <c r="B318" s="96"/>
      <c r="C318" s="90"/>
      <c r="D318" s="90"/>
      <c r="E318" s="90"/>
      <c r="F318" s="38"/>
      <c r="G318" s="38"/>
      <c r="H318" s="38"/>
      <c r="I318" s="38"/>
      <c r="J318" s="96" t="s">
        <v>30</v>
      </c>
      <c r="K318" s="708">
        <f>K299</f>
        <v>3722499.9999999981</v>
      </c>
      <c r="L318" s="43">
        <f>SUM(L301:L317)</f>
        <v>3733846.4799999995</v>
      </c>
      <c r="M318" s="43">
        <f>SUM(M301:M317)</f>
        <v>0</v>
      </c>
      <c r="N318" s="84">
        <f>(M318-L318)/L318*100</f>
        <v>-100</v>
      </c>
      <c r="O318" s="13"/>
    </row>
    <row r="319" spans="1:15" x14ac:dyDescent="0.35">
      <c r="D319" s="725"/>
      <c r="K319" s="34"/>
    </row>
    <row r="320" spans="1:15" ht="15" x14ac:dyDescent="0.35">
      <c r="A320" s="620"/>
      <c r="B320" s="635"/>
      <c r="C320" s="632"/>
      <c r="D320" s="720"/>
      <c r="G320" s="2092" t="s">
        <v>1099</v>
      </c>
      <c r="H320" s="2092"/>
      <c r="I320" s="2092"/>
      <c r="J320" s="677" t="s">
        <v>14</v>
      </c>
      <c r="K320" s="702"/>
      <c r="L320" s="620"/>
      <c r="M320" s="620"/>
      <c r="N320" s="632"/>
      <c r="O320" s="620"/>
    </row>
    <row r="321" spans="1:15" ht="15.5" x14ac:dyDescent="0.35">
      <c r="A321" s="620"/>
      <c r="B321" s="635"/>
      <c r="C321" s="632"/>
      <c r="D321" s="720"/>
      <c r="G321" s="2082" t="s">
        <v>232</v>
      </c>
      <c r="H321" s="2082"/>
      <c r="I321" s="2082"/>
      <c r="J321" s="643" t="e">
        <f>M307+M311+M314+M315+M316+#REF!+#REF!+#REF!+#REF!</f>
        <v>#REF!</v>
      </c>
      <c r="K321" s="702"/>
      <c r="L321" s="620"/>
      <c r="M321" s="620"/>
      <c r="N321" s="632"/>
      <c r="O321" s="620" t="s">
        <v>237</v>
      </c>
    </row>
    <row r="322" spans="1:15" ht="15.5" x14ac:dyDescent="0.35">
      <c r="A322" s="620"/>
      <c r="B322" s="635"/>
      <c r="C322" s="632"/>
      <c r="D322" s="720"/>
      <c r="G322" s="2082" t="s">
        <v>233</v>
      </c>
      <c r="H322" s="2082"/>
      <c r="I322" s="2082"/>
      <c r="J322" s="643" t="e">
        <f>M302+M303+M304+M308+M309+M310+#REF!+#REF!+#REF!</f>
        <v>#REF!</v>
      </c>
      <c r="K322" s="702"/>
      <c r="L322" s="620"/>
      <c r="M322" s="620"/>
      <c r="N322" s="632"/>
      <c r="O322" s="620"/>
    </row>
    <row r="323" spans="1:15" ht="15.5" x14ac:dyDescent="0.35">
      <c r="A323" s="620"/>
      <c r="B323" s="635"/>
      <c r="C323" s="632"/>
      <c r="D323" s="720"/>
      <c r="G323" s="2082" t="s">
        <v>234</v>
      </c>
      <c r="H323" s="2082"/>
      <c r="I323" s="2082"/>
      <c r="J323" s="643" t="e">
        <f>#REF!</f>
        <v>#REF!</v>
      </c>
      <c r="K323" s="702"/>
      <c r="L323" s="620"/>
      <c r="M323" s="620"/>
      <c r="N323" s="632"/>
      <c r="O323" s="620"/>
    </row>
    <row r="324" spans="1:15" ht="16" thickBot="1" x14ac:dyDescent="0.4">
      <c r="A324" s="620"/>
      <c r="B324" s="635"/>
      <c r="C324" s="632"/>
      <c r="D324" s="720"/>
      <c r="G324" s="2082" t="s">
        <v>235</v>
      </c>
      <c r="H324" s="2082"/>
      <c r="I324" s="2082"/>
      <c r="J324" s="643" t="e">
        <f>M301+M305+M306+M313+M317+#REF!+#REF!+#REF!+#REF!</f>
        <v>#REF!</v>
      </c>
      <c r="K324" s="702"/>
      <c r="L324" s="620"/>
      <c r="M324" s="620"/>
      <c r="N324" s="632"/>
      <c r="O324" s="620"/>
    </row>
    <row r="325" spans="1:15" ht="20.5" thickBot="1" x14ac:dyDescent="0.4">
      <c r="A325" s="620"/>
      <c r="B325" s="635"/>
      <c r="C325" s="632"/>
      <c r="D325" s="720"/>
      <c r="G325" s="2083" t="s">
        <v>210</v>
      </c>
      <c r="H325" s="2083"/>
      <c r="I325" s="2083"/>
      <c r="J325" s="714" t="e">
        <f>SUM(J321:J324)</f>
        <v>#REF!</v>
      </c>
      <c r="K325" s="682" t="e">
        <f>J325-M318</f>
        <v>#REF!</v>
      </c>
      <c r="L325" s="620"/>
      <c r="M325" s="620"/>
      <c r="N325" s="632"/>
      <c r="O325" s="620"/>
    </row>
    <row r="327" spans="1:15" x14ac:dyDescent="0.35">
      <c r="A327" s="620"/>
      <c r="B327" s="635"/>
      <c r="C327" s="632"/>
      <c r="D327" s="720"/>
      <c r="E327" s="632"/>
      <c r="F327" s="620"/>
      <c r="G327" s="620"/>
      <c r="H327" s="620"/>
      <c r="I327" s="620"/>
      <c r="J327" s="620"/>
      <c r="K327" s="702"/>
      <c r="L327" s="620"/>
      <c r="M327" s="620"/>
      <c r="N327" s="632"/>
      <c r="O327" s="620"/>
    </row>
    <row r="328" spans="1:15" x14ac:dyDescent="0.35">
      <c r="A328" s="620"/>
      <c r="B328" s="635"/>
      <c r="C328" s="632"/>
      <c r="D328" s="720"/>
      <c r="E328" s="632"/>
      <c r="F328" s="620"/>
      <c r="G328" s="620"/>
      <c r="H328" s="620"/>
      <c r="I328" s="620"/>
      <c r="J328" s="620"/>
      <c r="K328" s="702"/>
      <c r="L328" s="620"/>
      <c r="M328" s="620"/>
      <c r="N328" s="632"/>
      <c r="O328" s="620"/>
    </row>
    <row r="329" spans="1:15" x14ac:dyDescent="0.35">
      <c r="A329" s="620"/>
      <c r="B329" s="635"/>
      <c r="C329" s="632"/>
      <c r="D329" s="720"/>
      <c r="E329" s="632"/>
      <c r="F329" s="620"/>
      <c r="G329" s="620"/>
      <c r="H329" s="620"/>
      <c r="I329" s="620"/>
      <c r="J329" s="620"/>
      <c r="K329" s="702"/>
      <c r="L329" s="620"/>
      <c r="M329" s="620"/>
      <c r="N329" s="632"/>
      <c r="O329" s="620"/>
    </row>
    <row r="330" spans="1:15" x14ac:dyDescent="0.35">
      <c r="A330" s="620"/>
      <c r="B330" s="635"/>
      <c r="C330" s="632"/>
      <c r="D330" s="720"/>
      <c r="E330" s="632"/>
      <c r="F330" s="620"/>
      <c r="G330" s="620"/>
      <c r="H330" s="620"/>
      <c r="I330" s="620"/>
      <c r="J330" s="620"/>
      <c r="K330" s="702"/>
      <c r="L330" s="620"/>
      <c r="M330" s="620"/>
      <c r="N330" s="632"/>
      <c r="O330" s="620"/>
    </row>
    <row r="331" spans="1:15" x14ac:dyDescent="0.35">
      <c r="A331" s="620"/>
      <c r="B331" s="635"/>
      <c r="C331" s="632"/>
      <c r="D331" s="720"/>
      <c r="E331" s="632"/>
      <c r="F331" s="620"/>
      <c r="G331" s="620"/>
      <c r="H331" s="620"/>
      <c r="I331" s="620"/>
      <c r="J331" s="620"/>
      <c r="K331" s="702"/>
      <c r="L331" s="620"/>
      <c r="M331" s="620"/>
      <c r="N331" s="632"/>
      <c r="O331" s="620"/>
    </row>
    <row r="332" spans="1:15" x14ac:dyDescent="0.35">
      <c r="A332" s="620"/>
      <c r="B332" s="632"/>
      <c r="C332" s="632"/>
      <c r="D332" s="720"/>
      <c r="E332" s="632"/>
      <c r="F332" s="620"/>
      <c r="G332" s="620"/>
      <c r="H332" s="620"/>
      <c r="I332" s="620"/>
      <c r="J332" s="620"/>
      <c r="K332" s="702"/>
      <c r="L332" s="620"/>
      <c r="M332" s="620"/>
      <c r="N332" s="632"/>
      <c r="O332" s="620"/>
    </row>
    <row r="333" spans="1:15" x14ac:dyDescent="0.35">
      <c r="A333" s="620"/>
      <c r="B333" s="632"/>
      <c r="C333" s="632"/>
      <c r="D333" s="720"/>
      <c r="E333" s="632"/>
      <c r="F333" s="620"/>
      <c r="G333" s="620"/>
      <c r="H333" s="620"/>
      <c r="I333" s="620"/>
      <c r="J333" s="620"/>
      <c r="K333" s="702"/>
      <c r="L333" s="620"/>
      <c r="M333" s="620"/>
      <c r="N333" s="632"/>
      <c r="O333" s="620"/>
    </row>
    <row r="334" spans="1:15" x14ac:dyDescent="0.35">
      <c r="A334" s="620"/>
      <c r="B334" s="635"/>
      <c r="C334" s="632"/>
      <c r="D334" s="720"/>
      <c r="E334" s="632"/>
      <c r="F334" s="620"/>
      <c r="G334" s="620"/>
      <c r="H334" s="620"/>
      <c r="I334" s="620"/>
      <c r="J334" s="620"/>
      <c r="K334" s="702"/>
      <c r="L334" s="620"/>
      <c r="M334" s="620"/>
      <c r="N334" s="632"/>
      <c r="O334" s="620"/>
    </row>
    <row r="335" spans="1:15" x14ac:dyDescent="0.35">
      <c r="A335" s="620"/>
      <c r="B335" s="635"/>
      <c r="C335" s="632"/>
      <c r="D335" s="720"/>
      <c r="E335" s="632"/>
      <c r="F335" s="620"/>
      <c r="G335" s="620"/>
      <c r="H335" s="620"/>
      <c r="I335" s="620"/>
      <c r="J335" s="620"/>
      <c r="K335" s="702"/>
      <c r="L335" s="620"/>
      <c r="M335" s="620"/>
      <c r="N335" s="632"/>
      <c r="O335" s="620"/>
    </row>
    <row r="336" spans="1:15" x14ac:dyDescent="0.35">
      <c r="A336" s="620"/>
      <c r="B336" s="635"/>
      <c r="C336" s="632"/>
      <c r="D336" s="720"/>
      <c r="E336" s="632"/>
      <c r="F336" s="620"/>
      <c r="G336" s="620"/>
      <c r="H336" s="620"/>
      <c r="I336" s="620"/>
      <c r="J336" s="620"/>
      <c r="K336" s="702"/>
      <c r="L336" s="620"/>
      <c r="M336" s="620"/>
      <c r="N336" s="632"/>
      <c r="O336" s="620"/>
    </row>
    <row r="337" spans="1:15" ht="25" x14ac:dyDescent="0.35">
      <c r="A337" s="28"/>
      <c r="B337" s="2152"/>
      <c r="C337" s="2152"/>
      <c r="D337" s="2152"/>
      <c r="E337" s="2152"/>
      <c r="F337" s="2152"/>
      <c r="G337" s="2152"/>
      <c r="H337" s="2152"/>
      <c r="I337" s="2152"/>
      <c r="J337" s="2152"/>
      <c r="K337" s="2152"/>
      <c r="L337" s="2152"/>
      <c r="M337" s="2152"/>
      <c r="N337" s="632"/>
      <c r="O337" s="620"/>
    </row>
    <row r="338" spans="1:15" x14ac:dyDescent="0.35">
      <c r="A338" s="620"/>
      <c r="B338" s="635"/>
      <c r="C338" s="632"/>
      <c r="D338" s="720"/>
      <c r="E338" s="632"/>
      <c r="F338" s="620"/>
      <c r="G338" s="620"/>
      <c r="H338" s="620"/>
      <c r="I338" s="620"/>
      <c r="J338" s="620"/>
      <c r="K338" s="702"/>
      <c r="L338" s="620"/>
      <c r="M338" s="620"/>
      <c r="N338" s="632"/>
      <c r="O338" s="620"/>
    </row>
    <row r="339" spans="1:15" x14ac:dyDescent="0.35">
      <c r="A339" s="620"/>
      <c r="B339" s="635"/>
      <c r="C339" s="632"/>
      <c r="D339" s="720"/>
      <c r="E339" s="632"/>
      <c r="F339" s="620"/>
      <c r="G339" s="620"/>
      <c r="H339" s="620"/>
      <c r="I339" s="620"/>
      <c r="J339" s="620"/>
      <c r="K339" s="702"/>
      <c r="L339" s="620"/>
      <c r="M339" s="620"/>
      <c r="N339" s="632"/>
      <c r="O339" s="620"/>
    </row>
    <row r="340" spans="1:15" ht="25" x14ac:dyDescent="0.35">
      <c r="A340" s="2095" t="s">
        <v>1303</v>
      </c>
      <c r="B340" s="2095"/>
      <c r="C340" s="2095"/>
      <c r="D340" s="2095"/>
      <c r="E340" s="2095"/>
      <c r="F340" s="2095"/>
      <c r="G340" s="2095"/>
      <c r="H340" s="2095"/>
      <c r="I340" s="2095"/>
      <c r="J340" s="2095"/>
      <c r="K340" s="2095"/>
      <c r="L340" s="2095"/>
      <c r="M340" s="2095"/>
      <c r="N340" s="2095"/>
      <c r="O340" s="756" t="e">
        <f>$O$6</f>
        <v>#REF!</v>
      </c>
    </row>
    <row r="341" spans="1:15" ht="15.5" x14ac:dyDescent="0.35">
      <c r="A341" s="2096" t="s">
        <v>0</v>
      </c>
      <c r="B341" s="2098" t="s">
        <v>1</v>
      </c>
      <c r="C341" s="2100" t="s">
        <v>2</v>
      </c>
      <c r="D341" s="2101"/>
      <c r="E341" s="2102"/>
      <c r="F341" s="2103" t="s">
        <v>3</v>
      </c>
      <c r="G341" s="2100" t="s">
        <v>4</v>
      </c>
      <c r="H341" s="2102"/>
      <c r="I341" s="2085"/>
      <c r="J341" s="2103" t="s">
        <v>5</v>
      </c>
      <c r="K341" s="2100" t="s">
        <v>6</v>
      </c>
      <c r="L341" s="2085"/>
      <c r="M341" s="97" t="s">
        <v>32</v>
      </c>
      <c r="N341" s="98"/>
      <c r="O341" s="2084" t="s">
        <v>7</v>
      </c>
    </row>
    <row r="342" spans="1:15" ht="15.5" x14ac:dyDescent="0.35">
      <c r="A342" s="2097"/>
      <c r="B342" s="2099"/>
      <c r="C342" s="2086" t="s">
        <v>1108</v>
      </c>
      <c r="D342" s="2087"/>
      <c r="E342" s="87" t="s">
        <v>9</v>
      </c>
      <c r="F342" s="2097"/>
      <c r="G342" s="2">
        <f>'NORTH-1'!$G$8</f>
        <v>44774</v>
      </c>
      <c r="H342" s="2">
        <f>'NORTH-1'!$H$8</f>
        <v>44805</v>
      </c>
      <c r="I342" s="1" t="s">
        <v>10</v>
      </c>
      <c r="J342" s="2097"/>
      <c r="K342" s="1" t="s">
        <v>11</v>
      </c>
      <c r="L342" s="1" t="s">
        <v>12</v>
      </c>
      <c r="M342" s="617" t="s">
        <v>33</v>
      </c>
      <c r="N342" s="76" t="s">
        <v>47</v>
      </c>
      <c r="O342" s="2085"/>
    </row>
    <row r="343" spans="1:15" ht="15.5" x14ac:dyDescent="0.35">
      <c r="A343" s="3">
        <v>1</v>
      </c>
      <c r="B343" s="88">
        <v>2</v>
      </c>
      <c r="C343" s="2088">
        <v>4</v>
      </c>
      <c r="D343" s="2089"/>
      <c r="E343" s="88">
        <v>5</v>
      </c>
      <c r="F343" s="3">
        <v>7</v>
      </c>
      <c r="G343" s="3">
        <v>8</v>
      </c>
      <c r="H343" s="3">
        <v>9</v>
      </c>
      <c r="I343" s="3" t="s">
        <v>13</v>
      </c>
      <c r="J343" s="3">
        <v>11</v>
      </c>
      <c r="K343" s="3" t="s">
        <v>19</v>
      </c>
      <c r="L343" s="3" t="s">
        <v>20</v>
      </c>
      <c r="M343" s="3">
        <v>14</v>
      </c>
      <c r="N343" s="77">
        <v>15</v>
      </c>
      <c r="O343" s="3">
        <v>16</v>
      </c>
    </row>
    <row r="344" spans="1:15" ht="15.5" x14ac:dyDescent="0.35">
      <c r="A344" s="631"/>
      <c r="B344" s="624" t="s">
        <v>1100</v>
      </c>
      <c r="C344" s="625"/>
      <c r="D344" s="625"/>
      <c r="E344" s="625"/>
      <c r="F344" s="625"/>
      <c r="G344" s="625"/>
      <c r="H344" s="625"/>
      <c r="I344" s="625"/>
      <c r="J344" s="625"/>
      <c r="K344" s="695"/>
      <c r="L344" s="625"/>
      <c r="M344" s="626"/>
      <c r="N344" s="627"/>
      <c r="O344" s="616"/>
    </row>
    <row r="345" spans="1:15" ht="15.5" x14ac:dyDescent="0.35">
      <c r="A345" s="11">
        <v>1</v>
      </c>
      <c r="B345" s="100" t="s">
        <v>2660</v>
      </c>
      <c r="C345" s="52">
        <v>33</v>
      </c>
      <c r="D345" s="1770" t="s">
        <v>339</v>
      </c>
      <c r="E345" s="52" t="s">
        <v>2661</v>
      </c>
      <c r="F345" s="4">
        <v>1</v>
      </c>
      <c r="G345" s="21">
        <v>58472.3</v>
      </c>
      <c r="H345" s="21">
        <v>58472.3</v>
      </c>
      <c r="I345" s="21">
        <f t="shared" ref="I345:I350" si="10">H345-G345</f>
        <v>0</v>
      </c>
      <c r="J345" s="616">
        <v>270</v>
      </c>
      <c r="K345" s="696">
        <f>I345*F345*J345</f>
        <v>0</v>
      </c>
      <c r="L345" s="22"/>
      <c r="M345" s="22"/>
      <c r="N345" s="82"/>
      <c r="O345" s="9"/>
    </row>
    <row r="346" spans="1:15" ht="15.5" x14ac:dyDescent="0.35">
      <c r="A346" s="11"/>
      <c r="B346" s="100"/>
      <c r="C346" s="52">
        <v>33</v>
      </c>
      <c r="D346" s="1771" t="s">
        <v>326</v>
      </c>
      <c r="E346" s="52" t="s">
        <v>2661</v>
      </c>
      <c r="F346" s="4">
        <v>1</v>
      </c>
      <c r="G346" s="21"/>
      <c r="H346" s="21"/>
      <c r="I346" s="21">
        <f t="shared" si="10"/>
        <v>0</v>
      </c>
      <c r="J346" s="616">
        <v>270</v>
      </c>
      <c r="K346" s="696"/>
      <c r="L346" s="22">
        <f>I346*F346*J346</f>
        <v>0</v>
      </c>
      <c r="M346" s="22"/>
      <c r="N346" s="82"/>
      <c r="O346" s="9" t="s">
        <v>2662</v>
      </c>
    </row>
    <row r="347" spans="1:15" ht="15.5" x14ac:dyDescent="0.35">
      <c r="A347" s="11">
        <v>2</v>
      </c>
      <c r="B347" s="100" t="s">
        <v>2663</v>
      </c>
      <c r="C347" s="52">
        <v>33</v>
      </c>
      <c r="D347" s="1771" t="s">
        <v>339</v>
      </c>
      <c r="E347" s="52">
        <v>41812909463</v>
      </c>
      <c r="F347" s="4">
        <v>1</v>
      </c>
      <c r="G347" s="21">
        <v>291.24</v>
      </c>
      <c r="H347" s="21">
        <v>302.44</v>
      </c>
      <c r="I347" s="21">
        <f t="shared" si="10"/>
        <v>11.199999999999989</v>
      </c>
      <c r="J347" s="616">
        <v>360000</v>
      </c>
      <c r="K347" s="696">
        <f>I347*F347*J347</f>
        <v>4031999.9999999958</v>
      </c>
      <c r="L347" s="22"/>
      <c r="M347" s="22"/>
      <c r="N347" s="82"/>
      <c r="O347" s="9">
        <f>(K351-K361)/K351*100</f>
        <v>100</v>
      </c>
    </row>
    <row r="348" spans="1:15" ht="15.5" x14ac:dyDescent="0.35">
      <c r="A348" s="11">
        <v>3</v>
      </c>
      <c r="B348" s="100" t="s">
        <v>2664</v>
      </c>
      <c r="C348" s="52">
        <v>33</v>
      </c>
      <c r="D348" s="1771" t="s">
        <v>339</v>
      </c>
      <c r="E348" s="52">
        <v>41812909363</v>
      </c>
      <c r="F348" s="4">
        <v>1</v>
      </c>
      <c r="G348" s="21">
        <v>90.17</v>
      </c>
      <c r="H348" s="21">
        <v>96.42</v>
      </c>
      <c r="I348" s="21">
        <f t="shared" si="10"/>
        <v>6.25</v>
      </c>
      <c r="J348" s="616">
        <v>360000</v>
      </c>
      <c r="K348" s="696">
        <f>I348*F348*J348</f>
        <v>2250000</v>
      </c>
      <c r="L348" s="22"/>
      <c r="M348" s="22"/>
      <c r="N348" s="82"/>
      <c r="O348" s="9"/>
    </row>
    <row r="349" spans="1:15" ht="15.5" x14ac:dyDescent="0.35">
      <c r="A349" s="11">
        <v>4</v>
      </c>
      <c r="B349" s="100" t="s">
        <v>2665</v>
      </c>
      <c r="C349" s="52">
        <v>33</v>
      </c>
      <c r="D349" s="1771" t="s">
        <v>339</v>
      </c>
      <c r="E349" s="52"/>
      <c r="F349" s="4">
        <v>1</v>
      </c>
      <c r="G349" s="21"/>
      <c r="H349" s="21"/>
      <c r="I349" s="21">
        <f t="shared" si="10"/>
        <v>0</v>
      </c>
      <c r="J349" s="616"/>
      <c r="K349" s="696">
        <f>I349*F349*J349</f>
        <v>0</v>
      </c>
      <c r="L349" s="22"/>
      <c r="M349" s="22"/>
      <c r="N349" s="82"/>
      <c r="O349" s="9"/>
    </row>
    <row r="350" spans="1:15" ht="15.5" x14ac:dyDescent="0.35">
      <c r="A350" s="631"/>
      <c r="B350" s="100"/>
      <c r="C350" s="52">
        <v>33</v>
      </c>
      <c r="D350" s="1772" t="s">
        <v>326</v>
      </c>
      <c r="E350" s="52"/>
      <c r="F350" s="4">
        <v>1</v>
      </c>
      <c r="G350" s="21"/>
      <c r="H350" s="21"/>
      <c r="I350" s="21">
        <f t="shared" si="10"/>
        <v>0</v>
      </c>
      <c r="J350" s="616"/>
      <c r="K350" s="696"/>
      <c r="L350" s="22">
        <f>I350*F350*J350</f>
        <v>0</v>
      </c>
      <c r="M350" s="22"/>
      <c r="N350" s="82"/>
      <c r="O350" s="616"/>
    </row>
    <row r="351" spans="1:15" ht="15.5" x14ac:dyDescent="0.35">
      <c r="A351" s="631"/>
      <c r="B351" s="102"/>
      <c r="C351" s="91"/>
      <c r="D351" s="726"/>
      <c r="E351" s="91"/>
      <c r="F351" s="47"/>
      <c r="G351" s="48"/>
      <c r="H351" s="48"/>
      <c r="I351" s="48"/>
      <c r="J351" s="96" t="s">
        <v>30</v>
      </c>
      <c r="K351" s="43">
        <f>SUM(K345:K350)</f>
        <v>6281999.9999999963</v>
      </c>
      <c r="L351" s="43">
        <f>SUM(L345:L350)</f>
        <v>0</v>
      </c>
      <c r="M351" s="43">
        <f>SUM(M345:M350)</f>
        <v>0</v>
      </c>
      <c r="N351" s="646"/>
      <c r="O351" s="616"/>
    </row>
    <row r="352" spans="1:15" ht="15.5" x14ac:dyDescent="0.35">
      <c r="A352" s="616"/>
      <c r="B352" s="624" t="s">
        <v>1113</v>
      </c>
      <c r="C352" s="625"/>
      <c r="D352" s="625"/>
      <c r="E352" s="625"/>
      <c r="F352" s="625"/>
      <c r="G352" s="625"/>
      <c r="H352" s="625"/>
      <c r="I352" s="625"/>
      <c r="J352" s="732"/>
      <c r="K352" s="733"/>
      <c r="L352" s="734"/>
      <c r="M352" s="734"/>
      <c r="N352" s="627"/>
      <c r="O352" s="12"/>
    </row>
    <row r="353" spans="1:15" ht="15.5" x14ac:dyDescent="0.35">
      <c r="A353" s="616">
        <v>5</v>
      </c>
      <c r="B353" s="100" t="s">
        <v>2666</v>
      </c>
      <c r="C353" s="52">
        <v>33</v>
      </c>
      <c r="D353" s="1770" t="s">
        <v>339</v>
      </c>
      <c r="E353" s="52" t="s">
        <v>2667</v>
      </c>
      <c r="F353" s="4">
        <v>1</v>
      </c>
      <c r="G353" s="21">
        <v>15736.93</v>
      </c>
      <c r="H353" s="21">
        <v>15736.93</v>
      </c>
      <c r="I353" s="20">
        <f t="shared" ref="I353:I358" si="11">H353-G353</f>
        <v>0</v>
      </c>
      <c r="J353" s="616">
        <v>1000</v>
      </c>
      <c r="K353" s="696">
        <f>I353*F353*J353</f>
        <v>0</v>
      </c>
      <c r="L353" s="22"/>
      <c r="M353" s="22"/>
      <c r="N353" s="82"/>
      <c r="O353" s="12" t="e">
        <f>(K362-L385)/K362*100</f>
        <v>#DIV/0!</v>
      </c>
    </row>
    <row r="354" spans="1:15" ht="15.5" x14ac:dyDescent="0.35">
      <c r="A354" s="616"/>
      <c r="B354" s="100"/>
      <c r="C354" s="52">
        <v>33</v>
      </c>
      <c r="D354" s="1771" t="s">
        <v>326</v>
      </c>
      <c r="E354" s="52" t="s">
        <v>2667</v>
      </c>
      <c r="F354" s="4">
        <v>1</v>
      </c>
      <c r="G354" s="21"/>
      <c r="H354" s="21"/>
      <c r="I354" s="20">
        <f t="shared" si="11"/>
        <v>0</v>
      </c>
      <c r="J354" s="616">
        <v>1000</v>
      </c>
      <c r="K354" s="696"/>
      <c r="L354" s="22">
        <f>I354*F354*J354</f>
        <v>0</v>
      </c>
      <c r="M354" s="22"/>
      <c r="N354" s="82"/>
      <c r="O354" s="12"/>
    </row>
    <row r="355" spans="1:15" ht="15.5" x14ac:dyDescent="0.35">
      <c r="A355" s="616">
        <v>7</v>
      </c>
      <c r="B355" s="100" t="s">
        <v>2668</v>
      </c>
      <c r="C355" s="52">
        <v>33</v>
      </c>
      <c r="D355" s="1771" t="s">
        <v>339</v>
      </c>
      <c r="E355" s="52" t="s">
        <v>2669</v>
      </c>
      <c r="F355" s="4">
        <v>1</v>
      </c>
      <c r="G355" s="21">
        <v>104448.22</v>
      </c>
      <c r="H355" s="21">
        <v>104448.22</v>
      </c>
      <c r="I355" s="20">
        <f t="shared" si="11"/>
        <v>0</v>
      </c>
      <c r="J355" s="616">
        <v>1000</v>
      </c>
      <c r="K355" s="696">
        <f>K347</f>
        <v>4031999.9999999958</v>
      </c>
      <c r="L355" s="22"/>
      <c r="M355" s="22"/>
      <c r="N355" s="82"/>
      <c r="O355" s="12" t="e">
        <f>(K361-K384)/K361*100</f>
        <v>#DIV/0!</v>
      </c>
    </row>
    <row r="356" spans="1:15" ht="15.5" x14ac:dyDescent="0.35">
      <c r="A356" s="616">
        <v>8</v>
      </c>
      <c r="B356" s="100" t="s">
        <v>2670</v>
      </c>
      <c r="C356" s="52">
        <v>33</v>
      </c>
      <c r="D356" s="1771" t="s">
        <v>339</v>
      </c>
      <c r="E356" s="52" t="s">
        <v>2671</v>
      </c>
      <c r="F356" s="4">
        <v>1</v>
      </c>
      <c r="G356" s="21">
        <v>21371.33</v>
      </c>
      <c r="H356" s="21">
        <v>21371.33</v>
      </c>
      <c r="I356" s="20">
        <f t="shared" si="11"/>
        <v>0</v>
      </c>
      <c r="J356" s="616">
        <v>1000</v>
      </c>
      <c r="K356" s="696">
        <f>K348</f>
        <v>2250000</v>
      </c>
      <c r="L356" s="22"/>
      <c r="M356" s="22"/>
      <c r="N356" s="82"/>
      <c r="O356" s="12"/>
    </row>
    <row r="357" spans="1:15" ht="15.5" x14ac:dyDescent="0.35">
      <c r="A357" s="616">
        <v>11</v>
      </c>
      <c r="B357" s="100" t="s">
        <v>2672</v>
      </c>
      <c r="C357" s="52">
        <v>33</v>
      </c>
      <c r="D357" s="1771" t="s">
        <v>339</v>
      </c>
      <c r="E357" s="52" t="s">
        <v>2673</v>
      </c>
      <c r="F357" s="4">
        <v>1</v>
      </c>
      <c r="G357" s="20"/>
      <c r="H357" s="20"/>
      <c r="I357" s="20">
        <f t="shared" si="11"/>
        <v>0</v>
      </c>
      <c r="J357" s="616">
        <v>1000</v>
      </c>
      <c r="K357" s="696">
        <f>I357*F357*J357</f>
        <v>0</v>
      </c>
      <c r="L357" s="22"/>
      <c r="M357" s="22"/>
      <c r="N357" s="82"/>
      <c r="O357" s="12"/>
    </row>
    <row r="358" spans="1:15" ht="15.5" x14ac:dyDescent="0.35">
      <c r="A358" s="616"/>
      <c r="B358" s="100"/>
      <c r="C358" s="52">
        <v>33</v>
      </c>
      <c r="D358" s="1772" t="s">
        <v>326</v>
      </c>
      <c r="E358" s="52" t="s">
        <v>2673</v>
      </c>
      <c r="F358" s="4">
        <v>1</v>
      </c>
      <c r="G358" s="20">
        <v>0.27</v>
      </c>
      <c r="H358" s="20">
        <v>0.27</v>
      </c>
      <c r="I358" s="20">
        <f t="shared" si="11"/>
        <v>0</v>
      </c>
      <c r="J358" s="616">
        <v>1000</v>
      </c>
      <c r="K358" s="696"/>
      <c r="L358" s="22">
        <f>I358*F358*J358</f>
        <v>0</v>
      </c>
      <c r="M358" s="22"/>
      <c r="N358" s="82"/>
      <c r="O358" s="12"/>
    </row>
    <row r="359" spans="1:15" ht="15.5" x14ac:dyDescent="0.35">
      <c r="A359" s="616"/>
      <c r="B359" s="102"/>
      <c r="C359" s="91"/>
      <c r="D359" s="726"/>
      <c r="E359" s="91"/>
      <c r="F359" s="47"/>
      <c r="G359" s="48"/>
      <c r="H359" s="48"/>
      <c r="I359" s="36"/>
      <c r="J359" s="96" t="s">
        <v>30</v>
      </c>
      <c r="K359" s="43">
        <f>SUM(K353:K358)</f>
        <v>6281999.9999999963</v>
      </c>
      <c r="L359" s="43">
        <f>SUM(L353:L358)</f>
        <v>0</v>
      </c>
      <c r="M359" s="43">
        <f>SUM(M353:M358)</f>
        <v>0</v>
      </c>
      <c r="N359" s="85"/>
      <c r="O359" s="12"/>
    </row>
    <row r="360" spans="1:15" ht="15.5" x14ac:dyDescent="0.35">
      <c r="A360" s="616"/>
      <c r="B360" s="647" t="s">
        <v>1114</v>
      </c>
      <c r="C360" s="648"/>
      <c r="D360" s="648"/>
      <c r="E360" s="648"/>
      <c r="F360" s="648"/>
      <c r="G360" s="648"/>
      <c r="H360" s="648"/>
      <c r="I360" s="648"/>
      <c r="J360" s="648"/>
      <c r="K360" s="700"/>
      <c r="L360" s="648"/>
      <c r="M360" s="651"/>
      <c r="N360" s="649"/>
      <c r="O360" s="8"/>
    </row>
    <row r="361" spans="1:15" ht="15.5" x14ac:dyDescent="0.35">
      <c r="A361" s="616"/>
      <c r="B361" s="100" t="s">
        <v>1079</v>
      </c>
      <c r="C361" s="52">
        <v>132</v>
      </c>
      <c r="D361" s="2138" t="s">
        <v>1083</v>
      </c>
      <c r="E361" s="615"/>
      <c r="F361" s="4"/>
      <c r="G361" s="5"/>
      <c r="H361" s="5"/>
      <c r="I361" s="5"/>
      <c r="J361" s="616"/>
      <c r="K361" s="696"/>
      <c r="L361" s="16">
        <f>J361*I361*F361</f>
        <v>0</v>
      </c>
      <c r="M361" s="7"/>
      <c r="N361" s="78"/>
      <c r="O361" s="616"/>
    </row>
    <row r="362" spans="1:15" ht="15.5" x14ac:dyDescent="0.35">
      <c r="A362" s="616"/>
      <c r="B362" s="100" t="s">
        <v>1078</v>
      </c>
      <c r="C362" s="52">
        <v>132</v>
      </c>
      <c r="D362" s="2139"/>
      <c r="E362" s="615"/>
      <c r="F362" s="4"/>
      <c r="G362" s="5"/>
      <c r="H362" s="5"/>
      <c r="I362" s="5"/>
      <c r="J362" s="616"/>
      <c r="K362" s="696"/>
      <c r="L362" s="16">
        <f>J362*I362*F362</f>
        <v>0</v>
      </c>
      <c r="M362" s="16"/>
      <c r="N362" s="79"/>
      <c r="O362" s="616"/>
    </row>
    <row r="363" spans="1:15" ht="15.5" x14ac:dyDescent="0.35">
      <c r="A363" s="616"/>
      <c r="B363" s="95"/>
      <c r="C363" s="89"/>
      <c r="D363" s="89"/>
      <c r="E363" s="89"/>
      <c r="F363" s="37"/>
      <c r="G363" s="37"/>
      <c r="H363" s="37"/>
      <c r="I363" s="37"/>
      <c r="J363" s="95" t="s">
        <v>279</v>
      </c>
      <c r="K363" s="699"/>
      <c r="L363" s="55">
        <f>SUM(L361:L362)</f>
        <v>0</v>
      </c>
      <c r="M363" s="633"/>
      <c r="N363" s="634"/>
      <c r="O363" s="616"/>
    </row>
    <row r="364" spans="1:15" ht="15.5" x14ac:dyDescent="0.35">
      <c r="A364" s="616"/>
      <c r="B364" s="102"/>
      <c r="C364" s="91"/>
      <c r="D364" s="726"/>
      <c r="E364" s="91"/>
      <c r="F364" s="47"/>
      <c r="G364" s="48"/>
      <c r="H364" s="48"/>
      <c r="I364" s="36"/>
      <c r="J364" s="96"/>
      <c r="K364" s="706"/>
      <c r="L364" s="43"/>
      <c r="M364" s="43"/>
      <c r="N364" s="85"/>
      <c r="O364" s="12"/>
    </row>
    <row r="365" spans="1:15" ht="15.5" x14ac:dyDescent="0.35">
      <c r="A365" s="636"/>
      <c r="B365" s="647" t="s">
        <v>1110</v>
      </c>
      <c r="C365" s="648"/>
      <c r="D365" s="648"/>
      <c r="E365" s="648"/>
      <c r="F365" s="648"/>
      <c r="G365" s="648"/>
      <c r="H365" s="648"/>
      <c r="I365" s="648"/>
      <c r="J365" s="50"/>
      <c r="K365" s="710"/>
      <c r="L365" s="51"/>
      <c r="M365" s="51"/>
      <c r="N365" s="649"/>
      <c r="O365" s="12"/>
    </row>
    <row r="366" spans="1:15" ht="15.5" x14ac:dyDescent="0.35">
      <c r="A366" s="616">
        <v>6</v>
      </c>
      <c r="B366" s="100" t="s">
        <v>2674</v>
      </c>
      <c r="C366" s="52">
        <v>33</v>
      </c>
      <c r="D366" s="2140" t="s">
        <v>326</v>
      </c>
      <c r="E366" s="52" t="s">
        <v>2675</v>
      </c>
      <c r="F366" s="4">
        <v>1</v>
      </c>
      <c r="G366" s="21">
        <v>91107.5</v>
      </c>
      <c r="H366" s="21">
        <v>91107.5</v>
      </c>
      <c r="I366" s="21">
        <f>H366-G366</f>
        <v>0</v>
      </c>
      <c r="J366" s="31">
        <v>888.88</v>
      </c>
      <c r="K366" s="707"/>
      <c r="L366" s="22">
        <f>I366*F366*J366</f>
        <v>0</v>
      </c>
      <c r="M366" s="22"/>
      <c r="N366" s="83"/>
      <c r="O366" s="12" t="s">
        <v>2676</v>
      </c>
    </row>
    <row r="367" spans="1:15" ht="15.5" x14ac:dyDescent="0.35">
      <c r="A367" s="616">
        <v>10</v>
      </c>
      <c r="B367" s="100" t="s">
        <v>2677</v>
      </c>
      <c r="C367" s="52">
        <v>33</v>
      </c>
      <c r="D367" s="2157" t="s">
        <v>326</v>
      </c>
      <c r="E367" s="52" t="s">
        <v>2678</v>
      </c>
      <c r="F367" s="4">
        <v>1</v>
      </c>
      <c r="G367" s="21">
        <v>81212.3</v>
      </c>
      <c r="H367" s="21">
        <v>81212.3</v>
      </c>
      <c r="I367" s="21">
        <f>H367-G367</f>
        <v>0</v>
      </c>
      <c r="J367" s="31">
        <v>888.88</v>
      </c>
      <c r="K367" s="707"/>
      <c r="L367" s="22">
        <f>I367*F367*J367</f>
        <v>0</v>
      </c>
      <c r="M367" s="22"/>
      <c r="N367" s="83"/>
      <c r="O367" s="12"/>
    </row>
    <row r="368" spans="1:15" ht="15" x14ac:dyDescent="0.35">
      <c r="A368" s="636"/>
      <c r="B368" s="96"/>
      <c r="C368" s="90"/>
      <c r="D368" s="90"/>
      <c r="E368" s="90"/>
      <c r="F368" s="38"/>
      <c r="G368" s="38"/>
      <c r="H368" s="38"/>
      <c r="I368" s="38"/>
      <c r="J368" s="96" t="s">
        <v>30</v>
      </c>
      <c r="K368" s="708"/>
      <c r="L368" s="43">
        <f>SUM(L366:L367)</f>
        <v>0</v>
      </c>
      <c r="M368" s="43">
        <f>SUM(M366:M367)</f>
        <v>0</v>
      </c>
      <c r="N368" s="650" t="e">
        <f>(M368-L368)/L368*100</f>
        <v>#DIV/0!</v>
      </c>
      <c r="O368" s="12"/>
    </row>
    <row r="369" spans="1:15" ht="15.5" thickBot="1" x14ac:dyDescent="0.4">
      <c r="A369" s="702"/>
      <c r="B369" s="736"/>
      <c r="C369" s="92"/>
      <c r="D369" s="92"/>
      <c r="E369" s="92"/>
      <c r="F369" s="737"/>
      <c r="G369" s="737"/>
      <c r="H369" s="737"/>
      <c r="I369" s="737"/>
      <c r="J369" s="736"/>
      <c r="K369" s="738"/>
      <c r="L369" s="739"/>
      <c r="M369" s="739"/>
      <c r="N369" s="646"/>
      <c r="O369" s="740"/>
    </row>
    <row r="370" spans="1:15" ht="15" x14ac:dyDescent="0.35">
      <c r="A370" s="702"/>
      <c r="B370" s="2142" t="s">
        <v>1090</v>
      </c>
      <c r="C370" s="2143"/>
      <c r="D370" s="683" t="s">
        <v>14</v>
      </c>
      <c r="F370" s="2144" t="s">
        <v>1091</v>
      </c>
      <c r="G370" s="2145"/>
      <c r="H370" s="2146"/>
      <c r="I370" s="683" t="s">
        <v>14</v>
      </c>
      <c r="J370" s="620"/>
      <c r="K370" s="2147" t="s">
        <v>1092</v>
      </c>
      <c r="L370" s="2148"/>
      <c r="M370" s="684" t="s">
        <v>14</v>
      </c>
      <c r="N370" s="646"/>
      <c r="O370" s="740"/>
    </row>
    <row r="371" spans="1:15" ht="15" x14ac:dyDescent="0.35">
      <c r="A371" s="702"/>
      <c r="B371" s="2122" t="str">
        <f>B344</f>
        <v>MOGBAZAR 33 KV SIDE</v>
      </c>
      <c r="C371" s="2123"/>
      <c r="D371" s="689">
        <f>K351</f>
        <v>6281999.9999999963</v>
      </c>
      <c r="F371" s="2124" t="s">
        <v>1093</v>
      </c>
      <c r="G371" s="2125"/>
      <c r="H371" s="2126"/>
      <c r="I371" s="685">
        <f>L363</f>
        <v>0</v>
      </c>
      <c r="J371" s="620"/>
      <c r="K371" s="2160" t="str">
        <f>F372</f>
        <v>MOGBAZAR T&amp;T 33 KV NET IMPORT</v>
      </c>
      <c r="L371" s="2161"/>
      <c r="M371" s="687">
        <f>I372</f>
        <v>6281999.9999999963</v>
      </c>
      <c r="N371" s="646"/>
      <c r="O371" s="740"/>
    </row>
    <row r="372" spans="1:15" ht="15" x14ac:dyDescent="0.35">
      <c r="A372" s="702"/>
      <c r="B372" s="2122" t="s">
        <v>1116</v>
      </c>
      <c r="C372" s="2123"/>
      <c r="D372" s="741"/>
      <c r="F372" s="2124" t="s">
        <v>1119</v>
      </c>
      <c r="G372" s="2125"/>
      <c r="H372" s="2126"/>
      <c r="I372" s="685">
        <f>D375-I371</f>
        <v>6281999.9999999963</v>
      </c>
      <c r="J372" s="620"/>
      <c r="K372" s="2162" t="s">
        <v>1120</v>
      </c>
      <c r="L372" s="2163"/>
      <c r="M372" s="685">
        <f>M406</f>
        <v>0</v>
      </c>
      <c r="N372" s="646"/>
      <c r="O372" s="740"/>
    </row>
    <row r="373" spans="1:15" ht="15" x14ac:dyDescent="0.35">
      <c r="A373" s="702"/>
      <c r="B373" s="2122" t="s">
        <v>1117</v>
      </c>
      <c r="C373" s="2123"/>
      <c r="D373" s="721"/>
      <c r="F373" s="2124" t="s">
        <v>1089</v>
      </c>
      <c r="G373" s="2125"/>
      <c r="H373" s="2126"/>
      <c r="I373" s="685">
        <f>I371+I372</f>
        <v>6281999.9999999963</v>
      </c>
      <c r="J373" s="620"/>
      <c r="K373" s="2127" t="s">
        <v>284</v>
      </c>
      <c r="L373" s="2128"/>
      <c r="M373" s="685">
        <f>M371-M372</f>
        <v>6281999.9999999963</v>
      </c>
      <c r="N373" s="646"/>
      <c r="O373" s="740"/>
    </row>
    <row r="374" spans="1:15" ht="16" thickBot="1" x14ac:dyDescent="0.4">
      <c r="A374" s="702"/>
      <c r="B374" s="2122" t="s">
        <v>1118</v>
      </c>
      <c r="C374" s="2123"/>
      <c r="D374" s="722"/>
      <c r="F374" s="2113" t="s">
        <v>1102</v>
      </c>
      <c r="G374" s="2114"/>
      <c r="H374" s="2115"/>
      <c r="I374" s="690">
        <f>(D375-I373)/I373</f>
        <v>0</v>
      </c>
      <c r="J374" s="620"/>
      <c r="K374" s="2134" t="s">
        <v>285</v>
      </c>
      <c r="L374" s="2135"/>
      <c r="M374" s="688">
        <f>M373/M371</f>
        <v>1</v>
      </c>
      <c r="N374" s="646"/>
      <c r="O374" s="740"/>
    </row>
    <row r="375" spans="1:15" ht="15.5" thickBot="1" x14ac:dyDescent="0.4">
      <c r="A375" s="702"/>
      <c r="B375" s="2158" t="s">
        <v>1082</v>
      </c>
      <c r="C375" s="2159"/>
      <c r="D375" s="686">
        <f>SUM(D371:D373)</f>
        <v>6281999.9999999963</v>
      </c>
      <c r="F375" s="620"/>
      <c r="G375" s="620"/>
      <c r="H375" s="620"/>
      <c r="I375" s="620"/>
      <c r="J375" s="620"/>
      <c r="K375" s="702"/>
      <c r="L375" s="620"/>
      <c r="M375" s="620"/>
      <c r="N375" s="646"/>
      <c r="O375" s="740"/>
    </row>
    <row r="376" spans="1:15" ht="15" x14ac:dyDescent="0.35">
      <c r="A376" s="702"/>
      <c r="B376" s="736"/>
      <c r="C376" s="92"/>
      <c r="D376" s="92"/>
      <c r="E376" s="92"/>
      <c r="F376" s="737"/>
      <c r="G376" s="737"/>
      <c r="H376" s="737"/>
      <c r="I376" s="737"/>
      <c r="J376" s="736"/>
      <c r="K376" s="738"/>
      <c r="L376" s="739"/>
      <c r="M376" s="739"/>
      <c r="N376" s="646"/>
      <c r="O376" s="740"/>
    </row>
    <row r="377" spans="1:15" x14ac:dyDescent="0.35">
      <c r="A377" s="620"/>
      <c r="B377" s="632"/>
      <c r="C377" s="620"/>
      <c r="D377" s="728"/>
      <c r="E377" s="620"/>
      <c r="F377" s="620"/>
      <c r="G377" s="620"/>
      <c r="H377" s="620"/>
      <c r="I377" s="620"/>
      <c r="J377" s="620"/>
      <c r="K377" s="702"/>
      <c r="L377" s="620"/>
      <c r="M377" s="620"/>
      <c r="N377" s="620"/>
      <c r="O377" s="620"/>
    </row>
    <row r="378" spans="1:15" x14ac:dyDescent="0.35">
      <c r="A378" s="620"/>
      <c r="B378" s="632"/>
      <c r="C378" s="620"/>
      <c r="D378" s="728"/>
      <c r="E378" s="620"/>
      <c r="F378" s="620"/>
      <c r="G378" s="620"/>
      <c r="H378" s="620"/>
      <c r="I378" s="620"/>
      <c r="J378" s="620"/>
      <c r="K378" s="702"/>
      <c r="L378" s="620"/>
      <c r="M378" s="620"/>
      <c r="N378" s="620"/>
      <c r="O378" s="620"/>
    </row>
    <row r="379" spans="1:15" ht="25" x14ac:dyDescent="0.35">
      <c r="A379" s="2095" t="s">
        <v>1304</v>
      </c>
      <c r="B379" s="2095"/>
      <c r="C379" s="2095"/>
      <c r="D379" s="2095"/>
      <c r="E379" s="2095"/>
      <c r="F379" s="2095"/>
      <c r="G379" s="2095"/>
      <c r="H379" s="2095"/>
      <c r="I379" s="2095"/>
      <c r="J379" s="2095"/>
      <c r="K379" s="2095"/>
      <c r="L379" s="2095"/>
      <c r="M379" s="2095"/>
      <c r="N379" s="2095"/>
      <c r="O379" s="756" t="e">
        <f>$O$6</f>
        <v>#REF!</v>
      </c>
    </row>
    <row r="380" spans="1:15" ht="15.5" x14ac:dyDescent="0.35">
      <c r="A380" s="2096" t="s">
        <v>0</v>
      </c>
      <c r="B380" s="2098" t="s">
        <v>1</v>
      </c>
      <c r="C380" s="2100" t="s">
        <v>2</v>
      </c>
      <c r="D380" s="2101"/>
      <c r="E380" s="2102"/>
      <c r="F380" s="2103" t="s">
        <v>3</v>
      </c>
      <c r="G380" s="2100" t="s">
        <v>4</v>
      </c>
      <c r="H380" s="2102"/>
      <c r="I380" s="2085"/>
      <c r="J380" s="2103" t="s">
        <v>5</v>
      </c>
      <c r="K380" s="2100" t="s">
        <v>6</v>
      </c>
      <c r="L380" s="2085"/>
      <c r="M380" s="97" t="s">
        <v>32</v>
      </c>
      <c r="N380" s="98"/>
      <c r="O380" s="2084" t="s">
        <v>7</v>
      </c>
    </row>
    <row r="381" spans="1:15" ht="15.5" x14ac:dyDescent="0.35">
      <c r="A381" s="2097"/>
      <c r="B381" s="2099"/>
      <c r="C381" s="2086" t="s">
        <v>1108</v>
      </c>
      <c r="D381" s="2087"/>
      <c r="E381" s="87" t="s">
        <v>9</v>
      </c>
      <c r="F381" s="2097"/>
      <c r="G381" s="2">
        <f>'NORTH-1'!$G$8</f>
        <v>44774</v>
      </c>
      <c r="H381" s="2">
        <f>'NORTH-1'!$H$8</f>
        <v>44805</v>
      </c>
      <c r="I381" s="1" t="s">
        <v>10</v>
      </c>
      <c r="J381" s="2097"/>
      <c r="K381" s="1" t="s">
        <v>11</v>
      </c>
      <c r="L381" s="1" t="s">
        <v>12</v>
      </c>
      <c r="M381" s="617" t="s">
        <v>33</v>
      </c>
      <c r="N381" s="76" t="s">
        <v>47</v>
      </c>
      <c r="O381" s="2085"/>
    </row>
    <row r="382" spans="1:15" ht="15.5" x14ac:dyDescent="0.35">
      <c r="A382" s="3">
        <v>1</v>
      </c>
      <c r="B382" s="88">
        <v>2</v>
      </c>
      <c r="C382" s="2088">
        <v>4</v>
      </c>
      <c r="D382" s="2089"/>
      <c r="E382" s="88">
        <v>5</v>
      </c>
      <c r="F382" s="3">
        <v>7</v>
      </c>
      <c r="G382" s="3">
        <v>8</v>
      </c>
      <c r="H382" s="3">
        <v>9</v>
      </c>
      <c r="I382" s="3" t="s">
        <v>13</v>
      </c>
      <c r="J382" s="3">
        <v>11</v>
      </c>
      <c r="K382" s="3" t="s">
        <v>19</v>
      </c>
      <c r="L382" s="3" t="s">
        <v>20</v>
      </c>
      <c r="M382" s="3">
        <v>14</v>
      </c>
      <c r="N382" s="77">
        <v>15</v>
      </c>
      <c r="O382" s="3">
        <v>16</v>
      </c>
    </row>
    <row r="383" spans="1:15" ht="15.5" x14ac:dyDescent="0.35">
      <c r="A383" s="631"/>
      <c r="B383" s="624" t="s">
        <v>1121</v>
      </c>
      <c r="C383" s="625"/>
      <c r="D383" s="625"/>
      <c r="E383" s="625"/>
      <c r="F383" s="625"/>
      <c r="G383" s="625"/>
      <c r="H383" s="625"/>
      <c r="I383" s="625"/>
      <c r="J383" s="625"/>
      <c r="K383" s="695"/>
      <c r="L383" s="625"/>
      <c r="M383" s="626"/>
      <c r="N383" s="627"/>
      <c r="O383" s="616"/>
    </row>
    <row r="384" spans="1:15" ht="15.5" x14ac:dyDescent="0.35">
      <c r="A384" s="631">
        <v>20</v>
      </c>
      <c r="B384" s="100" t="s">
        <v>2679</v>
      </c>
      <c r="C384" s="52">
        <v>11</v>
      </c>
      <c r="D384" s="2105" t="s">
        <v>339</v>
      </c>
      <c r="E384" s="52" t="s">
        <v>2680</v>
      </c>
      <c r="F384" s="4">
        <v>1</v>
      </c>
      <c r="G384" s="21">
        <v>77487.94</v>
      </c>
      <c r="H384" s="21">
        <v>77487.94</v>
      </c>
      <c r="I384" s="21">
        <f>H384-G384</f>
        <v>0</v>
      </c>
      <c r="J384" s="616">
        <v>1000</v>
      </c>
      <c r="K384" s="696">
        <f>K368</f>
        <v>0</v>
      </c>
      <c r="L384" s="22"/>
      <c r="M384" s="22"/>
      <c r="N384" s="82"/>
      <c r="O384" s="616">
        <f>SUM(L375:L383)</f>
        <v>0</v>
      </c>
    </row>
    <row r="385" spans="1:15" ht="15.5" x14ac:dyDescent="0.35">
      <c r="A385" s="631">
        <v>21</v>
      </c>
      <c r="B385" s="100" t="s">
        <v>2681</v>
      </c>
      <c r="C385" s="52">
        <v>11</v>
      </c>
      <c r="D385" s="2151" t="s">
        <v>339</v>
      </c>
      <c r="E385" s="52" t="s">
        <v>2682</v>
      </c>
      <c r="F385" s="4">
        <v>1</v>
      </c>
      <c r="G385" s="21">
        <v>71742.39</v>
      </c>
      <c r="H385" s="21">
        <v>71742.39</v>
      </c>
      <c r="I385" s="21">
        <f>H385-G385</f>
        <v>0</v>
      </c>
      <c r="J385" s="616">
        <v>1000</v>
      </c>
      <c r="K385" s="696">
        <f>I385*F385*J385</f>
        <v>0</v>
      </c>
      <c r="L385" s="22"/>
      <c r="M385" s="22"/>
      <c r="N385" s="82"/>
      <c r="O385" s="616"/>
    </row>
    <row r="386" spans="1:15" ht="15.5" x14ac:dyDescent="0.35">
      <c r="A386" s="631"/>
      <c r="B386" s="102"/>
      <c r="C386" s="91"/>
      <c r="D386" s="726"/>
      <c r="E386" s="91"/>
      <c r="F386" s="47"/>
      <c r="G386" s="48"/>
      <c r="H386" s="48"/>
      <c r="I386" s="48"/>
      <c r="J386" s="39" t="s">
        <v>30</v>
      </c>
      <c r="K386" s="708">
        <f>SUM(K384:K385)</f>
        <v>0</v>
      </c>
      <c r="L386" s="49"/>
      <c r="M386" s="43">
        <f>SUM(M384:M385)</f>
        <v>0</v>
      </c>
      <c r="N386" s="85"/>
      <c r="O386" s="616"/>
    </row>
    <row r="387" spans="1:15" ht="15.5" x14ac:dyDescent="0.35">
      <c r="A387" s="631"/>
      <c r="B387" s="647" t="s">
        <v>1121</v>
      </c>
      <c r="C387" s="648"/>
      <c r="D387" s="648"/>
      <c r="E387" s="648"/>
      <c r="F387" s="648"/>
      <c r="G387" s="648"/>
      <c r="H387" s="648"/>
      <c r="I387" s="648"/>
      <c r="J387" s="50"/>
      <c r="K387" s="710"/>
      <c r="L387" s="51"/>
      <c r="M387" s="51"/>
      <c r="N387" s="649"/>
      <c r="O387" s="616"/>
    </row>
    <row r="388" spans="1:15" s="1952" customFormat="1" ht="15.75" customHeight="1" x14ac:dyDescent="0.35">
      <c r="A388" s="1941">
        <v>12</v>
      </c>
      <c r="B388" s="1917" t="s">
        <v>2703</v>
      </c>
      <c r="C388" s="1942">
        <v>11</v>
      </c>
      <c r="D388" s="1955"/>
      <c r="E388" s="1953" t="s">
        <v>2704</v>
      </c>
      <c r="F388" s="1945">
        <v>1</v>
      </c>
      <c r="G388" s="1946">
        <v>27984.1</v>
      </c>
      <c r="H388" s="1946">
        <v>29281.65</v>
      </c>
      <c r="I388" s="1947">
        <f t="shared" ref="I388:I395" si="12">H388-G388</f>
        <v>1297.5500000000029</v>
      </c>
      <c r="J388" s="1948">
        <v>1000</v>
      </c>
      <c r="K388" s="1949"/>
      <c r="L388" s="1950">
        <f t="shared" ref="L388:L396" si="13">I388*F388*J388</f>
        <v>1297550.0000000028</v>
      </c>
      <c r="M388" s="1950"/>
      <c r="N388" s="1934" t="s">
        <v>88</v>
      </c>
      <c r="O388" s="1951"/>
    </row>
    <row r="389" spans="1:15" ht="15.75" customHeight="1" x14ac:dyDescent="0.35">
      <c r="A389" s="631">
        <v>13</v>
      </c>
      <c r="B389" s="100" t="s">
        <v>2705</v>
      </c>
      <c r="C389" s="73">
        <v>11</v>
      </c>
      <c r="D389" s="1782"/>
      <c r="E389" s="52" t="s">
        <v>2706</v>
      </c>
      <c r="F389" s="32">
        <v>1</v>
      </c>
      <c r="G389" s="6">
        <v>7153.33</v>
      </c>
      <c r="H389" s="6">
        <v>7358.28</v>
      </c>
      <c r="I389" s="20">
        <f t="shared" si="12"/>
        <v>204.94999999999982</v>
      </c>
      <c r="J389" s="616">
        <v>1000</v>
      </c>
      <c r="K389" s="703"/>
      <c r="L389" s="22">
        <f t="shared" si="13"/>
        <v>204949.99999999983</v>
      </c>
      <c r="M389" s="22"/>
      <c r="N389" s="72" t="s">
        <v>111</v>
      </c>
      <c r="O389" s="15"/>
    </row>
    <row r="390" spans="1:15" ht="15.75" customHeight="1" x14ac:dyDescent="0.35">
      <c r="A390" s="631">
        <v>14</v>
      </c>
      <c r="B390" s="100" t="s">
        <v>2707</v>
      </c>
      <c r="C390" s="73">
        <v>11</v>
      </c>
      <c r="D390" s="1782"/>
      <c r="E390" s="52" t="s">
        <v>2708</v>
      </c>
      <c r="F390" s="32">
        <v>1</v>
      </c>
      <c r="G390" s="6">
        <v>2431.1799999999998</v>
      </c>
      <c r="H390" s="6">
        <v>2489.29</v>
      </c>
      <c r="I390" s="20">
        <f t="shared" si="12"/>
        <v>58.110000000000127</v>
      </c>
      <c r="J390" s="616">
        <v>1000</v>
      </c>
      <c r="K390" s="703"/>
      <c r="L390" s="22">
        <f t="shared" si="13"/>
        <v>58110.000000000131</v>
      </c>
      <c r="M390" s="22"/>
      <c r="N390" s="72" t="s">
        <v>114</v>
      </c>
      <c r="O390" s="15"/>
    </row>
    <row r="391" spans="1:15" ht="15.75" customHeight="1" x14ac:dyDescent="0.35">
      <c r="A391" s="631">
        <v>15</v>
      </c>
      <c r="B391" s="100" t="s">
        <v>2709</v>
      </c>
      <c r="C391" s="73">
        <v>11</v>
      </c>
      <c r="D391" s="1782"/>
      <c r="E391" s="52" t="s">
        <v>2710</v>
      </c>
      <c r="F391" s="32">
        <v>1</v>
      </c>
      <c r="G391" s="6">
        <v>58.73</v>
      </c>
      <c r="H391" s="6">
        <v>58.73</v>
      </c>
      <c r="I391" s="20">
        <f t="shared" si="12"/>
        <v>0</v>
      </c>
      <c r="J391" s="616">
        <v>1000</v>
      </c>
      <c r="K391" s="703"/>
      <c r="L391" s="22">
        <f t="shared" si="13"/>
        <v>0</v>
      </c>
      <c r="M391" s="22"/>
      <c r="N391" s="72" t="s">
        <v>339</v>
      </c>
      <c r="O391" s="15"/>
    </row>
    <row r="392" spans="1:15" ht="15.75" customHeight="1" x14ac:dyDescent="0.35">
      <c r="A392" s="631">
        <v>16</v>
      </c>
      <c r="B392" s="100" t="s">
        <v>2711</v>
      </c>
      <c r="C392" s="73">
        <v>11</v>
      </c>
      <c r="D392" s="1782"/>
      <c r="E392" s="52" t="s">
        <v>2712</v>
      </c>
      <c r="F392" s="32">
        <v>1</v>
      </c>
      <c r="G392" s="6">
        <v>22639.97</v>
      </c>
      <c r="H392" s="6">
        <v>23525.34</v>
      </c>
      <c r="I392" s="20">
        <f t="shared" si="12"/>
        <v>885.36999999999898</v>
      </c>
      <c r="J392" s="616">
        <v>1000</v>
      </c>
      <c r="K392" s="703"/>
      <c r="L392" s="22">
        <f t="shared" si="13"/>
        <v>885369.99999999895</v>
      </c>
      <c r="M392" s="22"/>
      <c r="N392" s="72" t="s">
        <v>114</v>
      </c>
      <c r="O392" s="15"/>
    </row>
    <row r="393" spans="1:15" ht="15.75" customHeight="1" x14ac:dyDescent="0.35">
      <c r="A393" s="631">
        <v>17</v>
      </c>
      <c r="B393" s="100" t="s">
        <v>2713</v>
      </c>
      <c r="C393" s="73">
        <v>11</v>
      </c>
      <c r="D393" s="1782"/>
      <c r="E393" s="52" t="s">
        <v>2714</v>
      </c>
      <c r="F393" s="32">
        <v>1</v>
      </c>
      <c r="G393" s="6">
        <v>17469.7</v>
      </c>
      <c r="H393" s="6">
        <v>18003.28</v>
      </c>
      <c r="I393" s="20">
        <f t="shared" si="12"/>
        <v>533.57999999999811</v>
      </c>
      <c r="J393" s="616">
        <v>1000</v>
      </c>
      <c r="K393" s="703"/>
      <c r="L393" s="22">
        <f t="shared" si="13"/>
        <v>533579.99999999814</v>
      </c>
      <c r="M393" s="22"/>
      <c r="N393" s="72" t="s">
        <v>111</v>
      </c>
      <c r="O393" s="15"/>
    </row>
    <row r="394" spans="1:15" s="2005" customFormat="1" ht="15.75" customHeight="1" x14ac:dyDescent="0.35">
      <c r="A394" s="1993">
        <v>18</v>
      </c>
      <c r="B394" s="1994" t="s">
        <v>2715</v>
      </c>
      <c r="C394" s="1995">
        <v>11</v>
      </c>
      <c r="D394" s="1996"/>
      <c r="E394" s="1997" t="s">
        <v>2716</v>
      </c>
      <c r="F394" s="1998">
        <v>1</v>
      </c>
      <c r="G394" s="1999">
        <v>7866.49</v>
      </c>
      <c r="H394" s="1999">
        <v>8439.6200000000008</v>
      </c>
      <c r="I394" s="2000">
        <f t="shared" si="12"/>
        <v>573.13000000000102</v>
      </c>
      <c r="J394" s="2001">
        <v>1000</v>
      </c>
      <c r="K394" s="2002"/>
      <c r="L394" s="784">
        <f t="shared" si="13"/>
        <v>573130.00000000105</v>
      </c>
      <c r="M394" s="784"/>
      <c r="N394" s="2003" t="s">
        <v>111</v>
      </c>
      <c r="O394" s="2004"/>
    </row>
    <row r="395" spans="1:15" ht="15.75" customHeight="1" x14ac:dyDescent="0.35">
      <c r="A395" s="631">
        <v>19</v>
      </c>
      <c r="B395" s="100" t="s">
        <v>2717</v>
      </c>
      <c r="C395" s="73">
        <v>11</v>
      </c>
      <c r="D395" s="1782"/>
      <c r="E395" s="52" t="s">
        <v>2718</v>
      </c>
      <c r="F395" s="32">
        <v>1</v>
      </c>
      <c r="G395" s="6"/>
      <c r="H395" s="6"/>
      <c r="I395" s="20">
        <f t="shared" si="12"/>
        <v>0</v>
      </c>
      <c r="J395" s="616">
        <v>1000</v>
      </c>
      <c r="K395" s="703"/>
      <c r="L395" s="22">
        <f t="shared" si="13"/>
        <v>0</v>
      </c>
      <c r="M395" s="22"/>
      <c r="N395" s="72"/>
      <c r="O395" s="15"/>
    </row>
    <row r="396" spans="1:15" ht="15.75" customHeight="1" x14ac:dyDescent="0.35">
      <c r="A396" s="631">
        <v>22</v>
      </c>
      <c r="B396" s="100" t="s">
        <v>2683</v>
      </c>
      <c r="C396" s="73">
        <v>11</v>
      </c>
      <c r="D396" s="1781"/>
      <c r="E396" s="52" t="s">
        <v>2684</v>
      </c>
      <c r="F396" s="32">
        <v>1</v>
      </c>
      <c r="G396" s="6">
        <v>12.18</v>
      </c>
      <c r="H396" s="6">
        <v>12.18</v>
      </c>
      <c r="I396" s="20">
        <f>H396-G396</f>
        <v>0</v>
      </c>
      <c r="J396" s="616">
        <v>1000</v>
      </c>
      <c r="K396" s="703"/>
      <c r="L396" s="22">
        <f t="shared" si="13"/>
        <v>0</v>
      </c>
      <c r="M396" s="22"/>
      <c r="N396" s="72" t="s">
        <v>339</v>
      </c>
      <c r="O396" s="15"/>
    </row>
    <row r="397" spans="1:15" ht="15.75" customHeight="1" x14ac:dyDescent="0.35">
      <c r="A397" s="631">
        <v>23</v>
      </c>
      <c r="B397" s="100" t="s">
        <v>2685</v>
      </c>
      <c r="C397" s="73">
        <v>11</v>
      </c>
      <c r="D397" s="1782"/>
      <c r="E397" s="52" t="s">
        <v>2686</v>
      </c>
      <c r="F397" s="32">
        <v>1</v>
      </c>
      <c r="G397" s="6">
        <v>15589.4</v>
      </c>
      <c r="H397" s="6">
        <v>16136.49</v>
      </c>
      <c r="I397" s="20">
        <f t="shared" ref="I397:I405" si="14">H397-G397</f>
        <v>547.09000000000015</v>
      </c>
      <c r="J397" s="616">
        <v>1000</v>
      </c>
      <c r="K397" s="703"/>
      <c r="L397" s="22">
        <f t="shared" ref="L397:L405" si="15">I397*F397*J397</f>
        <v>547090.00000000012</v>
      </c>
      <c r="M397" s="22"/>
      <c r="N397" s="72" t="s">
        <v>111</v>
      </c>
      <c r="O397" s="15"/>
    </row>
    <row r="398" spans="1:15" ht="15.75" customHeight="1" x14ac:dyDescent="0.35">
      <c r="A398" s="631">
        <v>24</v>
      </c>
      <c r="B398" s="100" t="s">
        <v>2687</v>
      </c>
      <c r="C398" s="73">
        <v>11</v>
      </c>
      <c r="D398" s="1782"/>
      <c r="E398" s="52" t="s">
        <v>2688</v>
      </c>
      <c r="F398" s="32">
        <v>1</v>
      </c>
      <c r="G398" s="6">
        <v>13698.82</v>
      </c>
      <c r="H398" s="6">
        <v>14484.98</v>
      </c>
      <c r="I398" s="20">
        <f t="shared" si="14"/>
        <v>786.15999999999985</v>
      </c>
      <c r="J398" s="616">
        <v>1000</v>
      </c>
      <c r="K398" s="703"/>
      <c r="L398" s="22">
        <f t="shared" si="15"/>
        <v>786159.99999999988</v>
      </c>
      <c r="M398" s="22"/>
      <c r="N398" s="72" t="s">
        <v>114</v>
      </c>
      <c r="O398" s="15"/>
    </row>
    <row r="399" spans="1:15" s="2005" customFormat="1" ht="15.75" customHeight="1" x14ac:dyDescent="0.35">
      <c r="A399" s="1993">
        <v>25</v>
      </c>
      <c r="B399" s="1994" t="s">
        <v>2689</v>
      </c>
      <c r="C399" s="1995">
        <v>11</v>
      </c>
      <c r="D399" s="1996"/>
      <c r="E399" s="1997" t="s">
        <v>2690</v>
      </c>
      <c r="F399" s="1998">
        <v>1</v>
      </c>
      <c r="G399" s="1999">
        <v>11146.07</v>
      </c>
      <c r="H399" s="1999">
        <v>11234.85</v>
      </c>
      <c r="I399" s="2000">
        <f t="shared" si="14"/>
        <v>88.780000000000655</v>
      </c>
      <c r="J399" s="2001">
        <v>1000</v>
      </c>
      <c r="K399" s="2002"/>
      <c r="L399" s="784">
        <f t="shared" si="15"/>
        <v>88780.000000000655</v>
      </c>
      <c r="M399" s="784"/>
      <c r="N399" s="2003" t="s">
        <v>114</v>
      </c>
      <c r="O399" s="2004"/>
    </row>
    <row r="400" spans="1:15" ht="15.75" customHeight="1" x14ac:dyDescent="0.35">
      <c r="A400" s="631">
        <v>26</v>
      </c>
      <c r="B400" s="100" t="s">
        <v>2691</v>
      </c>
      <c r="C400" s="73">
        <v>11</v>
      </c>
      <c r="D400" s="1992"/>
      <c r="E400" s="52" t="s">
        <v>2692</v>
      </c>
      <c r="F400" s="32">
        <v>1</v>
      </c>
      <c r="G400" s="6">
        <v>4252.55</v>
      </c>
      <c r="H400" s="6">
        <v>4414.43</v>
      </c>
      <c r="I400" s="20">
        <f t="shared" si="14"/>
        <v>161.88000000000011</v>
      </c>
      <c r="J400" s="616">
        <v>1000</v>
      </c>
      <c r="K400" s="703"/>
      <c r="L400" s="22">
        <f t="shared" si="15"/>
        <v>161880.00000000012</v>
      </c>
      <c r="M400" s="22"/>
      <c r="N400" s="72" t="s">
        <v>111</v>
      </c>
      <c r="O400" s="15"/>
    </row>
    <row r="401" spans="1:15" s="1952" customFormat="1" ht="15.75" customHeight="1" x14ac:dyDescent="0.35">
      <c r="A401" s="1941">
        <v>27</v>
      </c>
      <c r="B401" s="1917" t="s">
        <v>2693</v>
      </c>
      <c r="C401" s="1942">
        <v>11</v>
      </c>
      <c r="D401" s="1943"/>
      <c r="E401" s="1953" t="s">
        <v>2694</v>
      </c>
      <c r="F401" s="1945">
        <v>1</v>
      </c>
      <c r="G401" s="1946">
        <v>18600.09</v>
      </c>
      <c r="H401" s="1946">
        <v>19564.580000000002</v>
      </c>
      <c r="I401" s="1947">
        <f t="shared" si="14"/>
        <v>964.4900000000016</v>
      </c>
      <c r="J401" s="1948">
        <v>1000</v>
      </c>
      <c r="K401" s="1949"/>
      <c r="L401" s="1950">
        <f t="shared" si="15"/>
        <v>964490.00000000163</v>
      </c>
      <c r="M401" s="1950"/>
      <c r="N401" s="1934" t="s">
        <v>88</v>
      </c>
      <c r="O401" s="1951"/>
    </row>
    <row r="402" spans="1:15" s="1952" customFormat="1" ht="15.75" customHeight="1" x14ac:dyDescent="0.35">
      <c r="A402" s="1941">
        <v>28</v>
      </c>
      <c r="B402" s="1917" t="s">
        <v>2695</v>
      </c>
      <c r="C402" s="1942">
        <v>11</v>
      </c>
      <c r="D402" s="1943"/>
      <c r="E402" s="1953" t="s">
        <v>2696</v>
      </c>
      <c r="F402" s="1945">
        <v>1</v>
      </c>
      <c r="G402" s="1946">
        <v>1143.26</v>
      </c>
      <c r="H402" s="1946">
        <v>1244.82</v>
      </c>
      <c r="I402" s="1947">
        <f t="shared" si="14"/>
        <v>101.55999999999995</v>
      </c>
      <c r="J402" s="1948">
        <v>1000</v>
      </c>
      <c r="K402" s="1949"/>
      <c r="L402" s="1950">
        <f t="shared" si="15"/>
        <v>101559.99999999994</v>
      </c>
      <c r="M402" s="1950"/>
      <c r="N402" s="1934" t="s">
        <v>88</v>
      </c>
      <c r="O402" s="1951"/>
    </row>
    <row r="403" spans="1:15" s="1952" customFormat="1" ht="15.75" customHeight="1" x14ac:dyDescent="0.35">
      <c r="A403" s="1941">
        <v>29</v>
      </c>
      <c r="B403" s="1917" t="s">
        <v>2697</v>
      </c>
      <c r="C403" s="1942">
        <v>11</v>
      </c>
      <c r="D403" s="1943"/>
      <c r="E403" s="1953" t="s">
        <v>2698</v>
      </c>
      <c r="F403" s="1945">
        <v>1</v>
      </c>
      <c r="G403" s="1946">
        <v>1536.1</v>
      </c>
      <c r="H403" s="1946">
        <v>1646.1</v>
      </c>
      <c r="I403" s="1947">
        <f t="shared" si="14"/>
        <v>110</v>
      </c>
      <c r="J403" s="1948">
        <v>1000</v>
      </c>
      <c r="K403" s="1949"/>
      <c r="L403" s="1950">
        <f t="shared" si="15"/>
        <v>110000</v>
      </c>
      <c r="M403" s="1950"/>
      <c r="N403" s="1934" t="s">
        <v>88</v>
      </c>
      <c r="O403" s="1951"/>
    </row>
    <row r="404" spans="1:15" ht="15.75" customHeight="1" x14ac:dyDescent="0.35">
      <c r="A404" s="631">
        <v>30</v>
      </c>
      <c r="B404" s="100" t="s">
        <v>2699</v>
      </c>
      <c r="C404" s="73">
        <v>0.4</v>
      </c>
      <c r="D404" s="1782"/>
      <c r="E404" s="52" t="s">
        <v>2700</v>
      </c>
      <c r="F404" s="32">
        <v>1</v>
      </c>
      <c r="G404" s="6">
        <v>1145.1099999999999</v>
      </c>
      <c r="H404" s="6">
        <v>1154.72</v>
      </c>
      <c r="I404" s="20">
        <f t="shared" si="14"/>
        <v>9.6100000000001273</v>
      </c>
      <c r="J404" s="616">
        <v>100</v>
      </c>
      <c r="K404" s="703"/>
      <c r="L404" s="22">
        <f t="shared" si="15"/>
        <v>961.00000000001273</v>
      </c>
      <c r="M404" s="22"/>
      <c r="N404" s="72" t="s">
        <v>114</v>
      </c>
      <c r="O404" s="15"/>
    </row>
    <row r="405" spans="1:15" ht="15.75" customHeight="1" x14ac:dyDescent="0.35">
      <c r="A405" s="631">
        <v>31</v>
      </c>
      <c r="B405" s="100" t="s">
        <v>2701</v>
      </c>
      <c r="C405" s="73">
        <v>0.4</v>
      </c>
      <c r="D405" s="1782"/>
      <c r="E405" s="52" t="s">
        <v>2702</v>
      </c>
      <c r="F405" s="32">
        <v>1</v>
      </c>
      <c r="G405" s="6">
        <v>353.92</v>
      </c>
      <c r="H405" s="6">
        <v>353.92</v>
      </c>
      <c r="I405" s="20">
        <f t="shared" si="14"/>
        <v>0</v>
      </c>
      <c r="J405" s="616">
        <v>100</v>
      </c>
      <c r="K405" s="703"/>
      <c r="L405" s="22">
        <f t="shared" si="15"/>
        <v>0</v>
      </c>
      <c r="M405" s="22"/>
      <c r="N405" s="72" t="s">
        <v>114</v>
      </c>
      <c r="O405" s="15"/>
    </row>
    <row r="406" spans="1:15" ht="28" x14ac:dyDescent="0.35">
      <c r="A406" s="636"/>
      <c r="B406" s="96"/>
      <c r="C406" s="90"/>
      <c r="D406" s="90"/>
      <c r="E406" s="90"/>
      <c r="F406" s="38"/>
      <c r="G406" s="38"/>
      <c r="H406" s="38"/>
      <c r="I406" s="38"/>
      <c r="J406" s="53" t="s">
        <v>44</v>
      </c>
      <c r="K406" s="43">
        <f>M386</f>
        <v>0</v>
      </c>
      <c r="L406" s="43">
        <f>SUM(L388:L405)</f>
        <v>6313611.0000000037</v>
      </c>
      <c r="M406" s="43">
        <f>SUM(M388:M405)</f>
        <v>0</v>
      </c>
      <c r="N406" s="84">
        <f>(M406-L406)/L406*100</f>
        <v>-100</v>
      </c>
      <c r="O406" s="29"/>
    </row>
    <row r="408" spans="1:15" ht="15" x14ac:dyDescent="0.35">
      <c r="A408" s="620"/>
      <c r="B408" s="635"/>
      <c r="C408" s="632"/>
      <c r="D408" s="720"/>
      <c r="F408" s="2092" t="s">
        <v>1099</v>
      </c>
      <c r="G408" s="2092"/>
      <c r="H408" s="2092"/>
      <c r="I408" s="677" t="s">
        <v>14</v>
      </c>
      <c r="J408" s="620"/>
      <c r="K408" s="702"/>
      <c r="L408" s="620"/>
      <c r="M408" s="620"/>
      <c r="N408" s="632"/>
      <c r="O408" s="620"/>
    </row>
    <row r="409" spans="1:15" ht="15.5" x14ac:dyDescent="0.35">
      <c r="A409" s="620"/>
      <c r="B409" s="635"/>
      <c r="C409" s="632"/>
      <c r="D409" s="720"/>
      <c r="F409" s="2153" t="s">
        <v>232</v>
      </c>
      <c r="G409" s="2154"/>
      <c r="H409" s="2155"/>
      <c r="I409" s="643">
        <f>SUM(M388:M397,M400)</f>
        <v>0</v>
      </c>
      <c r="J409" s="620"/>
      <c r="K409" s="702"/>
      <c r="L409" s="620"/>
      <c r="M409" s="620"/>
      <c r="N409" s="632"/>
      <c r="O409" s="620" t="s">
        <v>237</v>
      </c>
    </row>
    <row r="410" spans="1:15" ht="15.5" x14ac:dyDescent="0.35">
      <c r="A410" s="620"/>
      <c r="B410" s="635"/>
      <c r="C410" s="632"/>
      <c r="D410" s="720"/>
      <c r="F410" s="2153" t="s">
        <v>268</v>
      </c>
      <c r="G410" s="2154"/>
      <c r="H410" s="2155"/>
      <c r="I410" s="643" t="e">
        <f>SUM(M398:M399,M401,M403,M404,#REF!)</f>
        <v>#REF!</v>
      </c>
      <c r="J410" s="620"/>
      <c r="K410" s="702"/>
      <c r="L410" s="620"/>
      <c r="M410" s="620"/>
      <c r="N410" s="632"/>
      <c r="O410" s="620"/>
    </row>
    <row r="411" spans="1:15" ht="16" thickBot="1" x14ac:dyDescent="0.4">
      <c r="A411" s="620"/>
      <c r="B411" s="635"/>
      <c r="C411" s="632"/>
      <c r="D411" s="720"/>
      <c r="F411" s="2153" t="s">
        <v>269</v>
      </c>
      <c r="G411" s="2154"/>
      <c r="H411" s="2155"/>
      <c r="I411" s="643">
        <f>SUM(M402,M405)</f>
        <v>0</v>
      </c>
      <c r="J411" s="620"/>
      <c r="K411" s="702"/>
      <c r="L411" s="620"/>
      <c r="M411" s="620"/>
      <c r="N411" s="632"/>
      <c r="O411" s="620"/>
    </row>
    <row r="412" spans="1:15" ht="20.5" thickBot="1" x14ac:dyDescent="0.4">
      <c r="A412" s="620"/>
      <c r="B412" s="635"/>
      <c r="C412" s="632"/>
      <c r="D412" s="720"/>
      <c r="E412" s="632"/>
      <c r="F412" s="2156" t="s">
        <v>210</v>
      </c>
      <c r="G412" s="2156"/>
      <c r="H412" s="2156"/>
      <c r="I412" s="656" t="e">
        <f>SUM(I409:I411)</f>
        <v>#REF!</v>
      </c>
      <c r="J412" s="682" t="e">
        <f>I412-M406</f>
        <v>#REF!</v>
      </c>
      <c r="K412" s="702"/>
      <c r="L412" s="620"/>
      <c r="M412" s="620"/>
      <c r="N412" s="632"/>
      <c r="O412" s="620"/>
    </row>
    <row r="414" spans="1:15" x14ac:dyDescent="0.35">
      <c r="A414" s="620"/>
      <c r="B414" s="635"/>
      <c r="C414" s="632"/>
      <c r="D414" s="720"/>
      <c r="E414" s="632"/>
      <c r="F414" s="620"/>
      <c r="G414" s="620"/>
      <c r="H414" s="620"/>
      <c r="I414" s="620"/>
      <c r="J414" s="620"/>
      <c r="K414" s="702"/>
      <c r="L414" s="620"/>
      <c r="M414" s="620"/>
      <c r="N414" s="632"/>
      <c r="O414" s="620"/>
    </row>
    <row r="415" spans="1:15" x14ac:dyDescent="0.35">
      <c r="A415" s="620"/>
      <c r="B415" s="635"/>
      <c r="C415" s="632"/>
      <c r="D415" s="720"/>
      <c r="E415" s="632"/>
      <c r="F415" s="620"/>
      <c r="G415" s="620"/>
      <c r="H415" s="620"/>
      <c r="I415" s="620"/>
      <c r="J415" s="620"/>
      <c r="K415" s="702"/>
      <c r="L415" s="620"/>
      <c r="M415" s="620"/>
      <c r="N415" s="632"/>
      <c r="O415" s="620"/>
    </row>
    <row r="416" spans="1:15" x14ac:dyDescent="0.35">
      <c r="A416" s="620"/>
      <c r="B416" s="635"/>
      <c r="C416" s="632"/>
      <c r="D416" s="720"/>
      <c r="E416" s="632"/>
      <c r="F416" s="620"/>
      <c r="G416" s="620"/>
      <c r="H416" s="620"/>
      <c r="I416" s="620"/>
      <c r="J416" s="620"/>
      <c r="K416" s="702"/>
      <c r="L416" s="620"/>
      <c r="M416" s="620"/>
      <c r="N416" s="632"/>
      <c r="O416" s="620"/>
    </row>
    <row r="417" spans="1:15" x14ac:dyDescent="0.35">
      <c r="A417" s="620"/>
      <c r="B417" s="635"/>
      <c r="C417" s="632"/>
      <c r="D417" s="720"/>
      <c r="E417" s="632"/>
      <c r="F417" s="620"/>
      <c r="G417" s="620"/>
      <c r="H417" s="620"/>
      <c r="I417" s="620"/>
      <c r="J417" s="620"/>
      <c r="K417" s="702"/>
      <c r="L417" s="620"/>
      <c r="M417" s="620"/>
      <c r="N417" s="632"/>
      <c r="O417" s="620"/>
    </row>
    <row r="418" spans="1:15" x14ac:dyDescent="0.35">
      <c r="A418" s="620"/>
      <c r="B418" s="635"/>
      <c r="C418" s="632"/>
      <c r="D418" s="720"/>
      <c r="E418" s="632"/>
      <c r="F418" s="620"/>
      <c r="G418" s="620"/>
      <c r="H418" s="620"/>
      <c r="I418" s="620"/>
      <c r="J418" s="620"/>
      <c r="K418" s="702"/>
      <c r="L418" s="620"/>
      <c r="M418" s="620"/>
      <c r="N418" s="632"/>
      <c r="O418" s="620"/>
    </row>
    <row r="419" spans="1:15" x14ac:dyDescent="0.35">
      <c r="A419" s="620"/>
      <c r="B419" s="632"/>
      <c r="C419" s="632"/>
      <c r="D419" s="720"/>
      <c r="E419" s="632"/>
      <c r="F419" s="620"/>
      <c r="G419" s="620"/>
      <c r="H419" s="620"/>
      <c r="I419" s="620"/>
      <c r="J419" s="620"/>
      <c r="K419" s="702"/>
      <c r="L419" s="620"/>
      <c r="M419" s="620"/>
      <c r="N419" s="632"/>
      <c r="O419" s="620"/>
    </row>
    <row r="420" spans="1:15" x14ac:dyDescent="0.35">
      <c r="A420" s="620"/>
      <c r="B420" s="632"/>
      <c r="C420" s="632"/>
      <c r="D420" s="720"/>
      <c r="E420" s="632"/>
      <c r="F420" s="620"/>
      <c r="G420" s="620"/>
      <c r="H420" s="620"/>
      <c r="I420" s="620"/>
      <c r="J420" s="620"/>
      <c r="K420" s="702"/>
      <c r="L420" s="620"/>
      <c r="M420" s="620"/>
      <c r="N420" s="632"/>
      <c r="O420" s="620"/>
    </row>
    <row r="421" spans="1:15" x14ac:dyDescent="0.35">
      <c r="A421" s="620"/>
      <c r="B421" s="635"/>
      <c r="C421" s="632"/>
      <c r="D421" s="720"/>
      <c r="E421" s="632"/>
      <c r="F421" s="620"/>
      <c r="G421" s="620"/>
      <c r="H421" s="620"/>
      <c r="I421" s="620"/>
      <c r="J421" s="620"/>
      <c r="K421" s="702"/>
      <c r="L421" s="620"/>
      <c r="M421" s="620"/>
      <c r="N421" s="632"/>
      <c r="O421" s="620"/>
    </row>
    <row r="422" spans="1:15" x14ac:dyDescent="0.35">
      <c r="A422" s="620"/>
      <c r="B422" s="635"/>
      <c r="C422" s="632"/>
      <c r="D422" s="720"/>
      <c r="E422" s="632"/>
      <c r="F422" s="620"/>
      <c r="G422" s="620"/>
      <c r="H422" s="620"/>
      <c r="I422" s="620"/>
      <c r="J422" s="620"/>
      <c r="K422" s="702"/>
      <c r="L422" s="620"/>
      <c r="M422" s="620"/>
      <c r="N422" s="632"/>
      <c r="O422" s="620"/>
    </row>
    <row r="423" spans="1:15" x14ac:dyDescent="0.35">
      <c r="A423" s="620"/>
      <c r="B423" s="635"/>
      <c r="C423" s="632"/>
      <c r="D423" s="720"/>
      <c r="E423" s="632"/>
      <c r="F423" s="620"/>
      <c r="G423" s="620"/>
      <c r="H423" s="620"/>
      <c r="I423" s="620"/>
      <c r="J423" s="620"/>
      <c r="K423" s="702"/>
      <c r="L423" s="620"/>
      <c r="M423" s="620"/>
      <c r="N423" s="632"/>
      <c r="O423" s="620"/>
    </row>
    <row r="424" spans="1:15" ht="25" x14ac:dyDescent="0.35">
      <c r="A424" s="28"/>
      <c r="B424" s="2152"/>
      <c r="C424" s="2152"/>
      <c r="D424" s="2152"/>
      <c r="E424" s="2152"/>
      <c r="F424" s="2152"/>
      <c r="G424" s="2152"/>
      <c r="H424" s="2152"/>
      <c r="I424" s="2152"/>
      <c r="J424" s="2152"/>
      <c r="K424" s="2152"/>
      <c r="L424" s="2152"/>
      <c r="M424" s="2152"/>
      <c r="N424" s="632"/>
      <c r="O424" s="620"/>
    </row>
    <row r="425" spans="1:15" x14ac:dyDescent="0.35">
      <c r="A425" s="620"/>
      <c r="B425" s="635"/>
      <c r="C425" s="632"/>
      <c r="D425" s="720"/>
      <c r="E425" s="632"/>
      <c r="F425" s="620"/>
      <c r="G425" s="620"/>
      <c r="H425" s="620"/>
      <c r="I425" s="620"/>
      <c r="J425" s="620"/>
      <c r="K425" s="702"/>
      <c r="L425" s="620"/>
      <c r="M425" s="620"/>
      <c r="N425" s="632"/>
      <c r="O425" s="620"/>
    </row>
    <row r="426" spans="1:15" x14ac:dyDescent="0.35">
      <c r="A426" s="620"/>
      <c r="B426" s="635"/>
      <c r="C426" s="632"/>
      <c r="D426" s="720"/>
      <c r="E426" s="632"/>
      <c r="F426" s="620"/>
      <c r="G426" s="620"/>
      <c r="H426" s="620"/>
      <c r="I426" s="620"/>
      <c r="J426" s="620"/>
      <c r="K426" s="702"/>
      <c r="L426" s="620"/>
      <c r="M426" s="620"/>
      <c r="N426" s="632"/>
      <c r="O426" s="620"/>
    </row>
    <row r="427" spans="1:15" ht="25" x14ac:dyDescent="0.35">
      <c r="A427" s="2095" t="s">
        <v>1305</v>
      </c>
      <c r="B427" s="2095"/>
      <c r="C427" s="2095"/>
      <c r="D427" s="2095"/>
      <c r="E427" s="2095"/>
      <c r="F427" s="2095"/>
      <c r="G427" s="2095"/>
      <c r="H427" s="2095"/>
      <c r="I427" s="2095"/>
      <c r="J427" s="2095"/>
      <c r="K427" s="2095"/>
      <c r="L427" s="2095"/>
      <c r="M427" s="2095"/>
      <c r="N427" s="2095"/>
      <c r="O427" s="756" t="e">
        <f>$O$6</f>
        <v>#REF!</v>
      </c>
    </row>
    <row r="428" spans="1:15" ht="15.5" x14ac:dyDescent="0.35">
      <c r="A428" s="2096" t="s">
        <v>0</v>
      </c>
      <c r="B428" s="2098" t="s">
        <v>1</v>
      </c>
      <c r="C428" s="2100" t="s">
        <v>2</v>
      </c>
      <c r="D428" s="2101"/>
      <c r="E428" s="2102"/>
      <c r="F428" s="2103" t="s">
        <v>3</v>
      </c>
      <c r="G428" s="2100" t="s">
        <v>4</v>
      </c>
      <c r="H428" s="2102"/>
      <c r="I428" s="2085"/>
      <c r="J428" s="2103" t="s">
        <v>5</v>
      </c>
      <c r="K428" s="2100" t="s">
        <v>6</v>
      </c>
      <c r="L428" s="2085"/>
      <c r="M428" s="97" t="s">
        <v>32</v>
      </c>
      <c r="N428" s="98"/>
      <c r="O428" s="2084" t="s">
        <v>7</v>
      </c>
    </row>
    <row r="429" spans="1:15" ht="15.5" x14ac:dyDescent="0.35">
      <c r="A429" s="2097"/>
      <c r="B429" s="2099"/>
      <c r="C429" s="2086" t="s">
        <v>1108</v>
      </c>
      <c r="D429" s="2087"/>
      <c r="E429" s="87" t="s">
        <v>9</v>
      </c>
      <c r="F429" s="2097"/>
      <c r="G429" s="2">
        <f>'NORTH-1'!$G$8</f>
        <v>44774</v>
      </c>
      <c r="H429" s="2">
        <f>'NORTH-1'!$H$8</f>
        <v>44805</v>
      </c>
      <c r="I429" s="1" t="s">
        <v>10</v>
      </c>
      <c r="J429" s="2097"/>
      <c r="K429" s="1" t="s">
        <v>11</v>
      </c>
      <c r="L429" s="1" t="s">
        <v>12</v>
      </c>
      <c r="M429" s="617" t="s">
        <v>33</v>
      </c>
      <c r="N429" s="76" t="s">
        <v>47</v>
      </c>
      <c r="O429" s="2085"/>
    </row>
    <row r="430" spans="1:15" ht="15.5" x14ac:dyDescent="0.35">
      <c r="A430" s="3">
        <v>1</v>
      </c>
      <c r="B430" s="88">
        <v>2</v>
      </c>
      <c r="C430" s="2088">
        <v>4</v>
      </c>
      <c r="D430" s="2089"/>
      <c r="E430" s="88">
        <v>5</v>
      </c>
      <c r="F430" s="3">
        <v>7</v>
      </c>
      <c r="G430" s="3">
        <v>8</v>
      </c>
      <c r="H430" s="3">
        <v>9</v>
      </c>
      <c r="I430" s="3" t="s">
        <v>13</v>
      </c>
      <c r="J430" s="3">
        <v>11</v>
      </c>
      <c r="K430" s="3" t="s">
        <v>19</v>
      </c>
      <c r="L430" s="3" t="s">
        <v>20</v>
      </c>
      <c r="M430" s="3">
        <v>14</v>
      </c>
      <c r="N430" s="77">
        <v>15</v>
      </c>
      <c r="O430" s="3">
        <v>16</v>
      </c>
    </row>
    <row r="431" spans="1:15" ht="15.5" x14ac:dyDescent="0.35">
      <c r="A431" s="631"/>
      <c r="B431" s="624" t="s">
        <v>1100</v>
      </c>
      <c r="C431" s="625"/>
      <c r="D431" s="625"/>
      <c r="E431" s="625"/>
      <c r="F431" s="625"/>
      <c r="G431" s="625"/>
      <c r="H431" s="625"/>
      <c r="I431" s="625"/>
      <c r="J431" s="625"/>
      <c r="K431" s="695"/>
      <c r="L431" s="625"/>
      <c r="M431" s="626"/>
      <c r="N431" s="627"/>
      <c r="O431" s="616"/>
    </row>
    <row r="432" spans="1:15" ht="15.5" x14ac:dyDescent="0.35">
      <c r="A432" s="11">
        <v>1</v>
      </c>
      <c r="B432" s="100" t="s">
        <v>2719</v>
      </c>
      <c r="C432" s="52">
        <v>33</v>
      </c>
      <c r="D432" s="1770" t="s">
        <v>339</v>
      </c>
      <c r="E432" s="52" t="str">
        <f>E390</f>
        <v>BD014044</v>
      </c>
      <c r="F432" s="4">
        <v>1</v>
      </c>
      <c r="G432" s="20">
        <v>0.27</v>
      </c>
      <c r="H432" s="20">
        <v>0.27</v>
      </c>
      <c r="I432" s="20">
        <f>H432-G432</f>
        <v>0</v>
      </c>
      <c r="J432" s="616">
        <v>1000</v>
      </c>
      <c r="K432" s="696">
        <f>J432*F432*I432</f>
        <v>0</v>
      </c>
      <c r="L432" s="22"/>
      <c r="M432" s="22"/>
      <c r="N432" s="82"/>
      <c r="O432" s="9"/>
    </row>
    <row r="433" spans="1:15" ht="15.5" x14ac:dyDescent="0.35">
      <c r="A433" s="11">
        <v>2</v>
      </c>
      <c r="B433" s="100" t="s">
        <v>2720</v>
      </c>
      <c r="C433" s="52">
        <v>33</v>
      </c>
      <c r="D433" s="1771" t="s">
        <v>339</v>
      </c>
      <c r="E433" s="52">
        <f>E309</f>
        <v>41812909475</v>
      </c>
      <c r="F433" s="4">
        <v>1</v>
      </c>
      <c r="G433" s="20">
        <v>120.18</v>
      </c>
      <c r="H433" s="20">
        <v>125.99</v>
      </c>
      <c r="I433" s="20">
        <f>H433-G433</f>
        <v>5.8099999999999881</v>
      </c>
      <c r="J433" s="616">
        <v>360000</v>
      </c>
      <c r="K433" s="696">
        <f>J433*F433*I433</f>
        <v>2091599.9999999958</v>
      </c>
      <c r="L433" s="22"/>
      <c r="M433" s="22"/>
      <c r="N433" s="82"/>
      <c r="O433" s="9">
        <f>(K435-K440)/K435*100</f>
        <v>-0.12594458438292061</v>
      </c>
    </row>
    <row r="434" spans="1:15" ht="15.5" x14ac:dyDescent="0.35">
      <c r="A434" s="631">
        <v>3</v>
      </c>
      <c r="B434" s="100" t="s">
        <v>2721</v>
      </c>
      <c r="C434" s="52">
        <v>33</v>
      </c>
      <c r="D434" s="1772" t="s">
        <v>339</v>
      </c>
      <c r="E434" s="52">
        <f>E319</f>
        <v>0</v>
      </c>
      <c r="F434" s="4">
        <v>1</v>
      </c>
      <c r="G434" s="20">
        <v>30.88</v>
      </c>
      <c r="H434" s="20">
        <v>33.01</v>
      </c>
      <c r="I434" s="20">
        <f>H434-G434</f>
        <v>2.129999999999999</v>
      </c>
      <c r="J434" s="616">
        <v>360000</v>
      </c>
      <c r="K434" s="696">
        <f>J434*F434*I434</f>
        <v>766799.99999999965</v>
      </c>
      <c r="L434" s="22"/>
      <c r="M434" s="22"/>
      <c r="N434" s="82"/>
      <c r="O434" s="616"/>
    </row>
    <row r="435" spans="1:15" ht="15.5" x14ac:dyDescent="0.35">
      <c r="A435" s="631"/>
      <c r="B435" s="102"/>
      <c r="C435" s="91"/>
      <c r="D435" s="726"/>
      <c r="E435" s="91"/>
      <c r="F435" s="47"/>
      <c r="G435" s="48"/>
      <c r="H435" s="48"/>
      <c r="I435" s="48"/>
      <c r="J435" s="96" t="s">
        <v>30</v>
      </c>
      <c r="K435" s="658">
        <f>SUM(K432:K434)</f>
        <v>2858399.9999999953</v>
      </c>
      <c r="L435" s="43">
        <f>SUM(L432:L434)</f>
        <v>0</v>
      </c>
      <c r="M435" s="43">
        <f>SUM(M432:M434)</f>
        <v>0</v>
      </c>
      <c r="N435" s="646"/>
      <c r="O435" s="616"/>
    </row>
    <row r="436" spans="1:15" ht="15.5" x14ac:dyDescent="0.35">
      <c r="A436" s="616"/>
      <c r="B436" s="624" t="s">
        <v>1113</v>
      </c>
      <c r="C436" s="625"/>
      <c r="D436" s="625"/>
      <c r="E436" s="625"/>
      <c r="F436" s="625"/>
      <c r="G436" s="625"/>
      <c r="H436" s="625"/>
      <c r="I436" s="625"/>
      <c r="J436" s="732"/>
      <c r="K436" s="733"/>
      <c r="L436" s="734"/>
      <c r="M436" s="734"/>
      <c r="N436" s="627"/>
      <c r="O436" s="12"/>
    </row>
    <row r="437" spans="1:15" ht="15.5" x14ac:dyDescent="0.35">
      <c r="A437" s="616">
        <v>2</v>
      </c>
      <c r="B437" s="100" t="s">
        <v>2668</v>
      </c>
      <c r="C437" s="52">
        <v>33</v>
      </c>
      <c r="D437" s="1770" t="s">
        <v>339</v>
      </c>
      <c r="E437" s="52">
        <v>101</v>
      </c>
      <c r="F437" s="4">
        <v>1</v>
      </c>
      <c r="G437" s="21">
        <v>160</v>
      </c>
      <c r="H437" s="21">
        <v>167.7</v>
      </c>
      <c r="I437" s="20">
        <f>H437-G437</f>
        <v>7.6999999999999886</v>
      </c>
      <c r="J437" s="616">
        <v>270000</v>
      </c>
      <c r="K437" s="696">
        <f>J437*F437*I437</f>
        <v>2078999.999999997</v>
      </c>
      <c r="L437" s="22"/>
      <c r="M437" s="22"/>
      <c r="N437" s="82"/>
      <c r="O437" s="12"/>
    </row>
    <row r="438" spans="1:15" ht="15.5" x14ac:dyDescent="0.35">
      <c r="A438" s="616">
        <v>3</v>
      </c>
      <c r="B438" s="100" t="s">
        <v>2722</v>
      </c>
      <c r="C438" s="52">
        <v>33</v>
      </c>
      <c r="D438" s="1771" t="s">
        <v>339</v>
      </c>
      <c r="E438" s="52">
        <v>102</v>
      </c>
      <c r="F438" s="4">
        <v>1</v>
      </c>
      <c r="G438" s="21"/>
      <c r="H438" s="21"/>
      <c r="I438" s="20">
        <f>H438-G438</f>
        <v>0</v>
      </c>
      <c r="J438" s="616">
        <v>270000</v>
      </c>
      <c r="K438" s="696">
        <f>J438*F438*I438</f>
        <v>0</v>
      </c>
      <c r="L438" s="22"/>
      <c r="M438" s="22"/>
      <c r="N438" s="82"/>
      <c r="O438" s="12"/>
    </row>
    <row r="439" spans="1:15" ht="15.5" x14ac:dyDescent="0.35">
      <c r="A439" s="616">
        <v>6</v>
      </c>
      <c r="B439" s="100" t="s">
        <v>2670</v>
      </c>
      <c r="C439" s="52">
        <v>33</v>
      </c>
      <c r="D439" s="1772" t="s">
        <v>339</v>
      </c>
      <c r="E439" s="52">
        <v>113</v>
      </c>
      <c r="F439" s="4">
        <v>1</v>
      </c>
      <c r="G439" s="21">
        <v>41.1</v>
      </c>
      <c r="H439" s="21">
        <v>44</v>
      </c>
      <c r="I439" s="20">
        <f>H439-G439</f>
        <v>2.8999999999999986</v>
      </c>
      <c r="J439" s="616">
        <v>270000</v>
      </c>
      <c r="K439" s="696">
        <f>J439*F439*I439</f>
        <v>782999.99999999965</v>
      </c>
      <c r="L439" s="22"/>
      <c r="M439" s="22"/>
      <c r="N439" s="82"/>
      <c r="O439" s="12"/>
    </row>
    <row r="440" spans="1:15" ht="15.5" x14ac:dyDescent="0.35">
      <c r="A440" s="616"/>
      <c r="B440" s="102"/>
      <c r="C440" s="91"/>
      <c r="D440" s="726"/>
      <c r="E440" s="91"/>
      <c r="F440" s="47"/>
      <c r="G440" s="48"/>
      <c r="H440" s="48"/>
      <c r="I440" s="36"/>
      <c r="J440" s="96" t="s">
        <v>30</v>
      </c>
      <c r="K440" s="658">
        <f>SUM(K437:K439)</f>
        <v>2861999.9999999967</v>
      </c>
      <c r="L440" s="43">
        <f>SUM(L437:L439)</f>
        <v>0</v>
      </c>
      <c r="M440" s="43">
        <f>SUM(M437:M439)</f>
        <v>0</v>
      </c>
      <c r="N440" s="85"/>
      <c r="O440" s="12"/>
    </row>
    <row r="441" spans="1:15" ht="15.5" x14ac:dyDescent="0.35">
      <c r="A441" s="616"/>
      <c r="B441" s="647" t="s">
        <v>1114</v>
      </c>
      <c r="C441" s="648"/>
      <c r="D441" s="648"/>
      <c r="E441" s="648"/>
      <c r="F441" s="648"/>
      <c r="G441" s="648"/>
      <c r="H441" s="648"/>
      <c r="I441" s="648"/>
      <c r="J441" s="648"/>
      <c r="K441" s="700"/>
      <c r="L441" s="648"/>
      <c r="M441" s="651"/>
      <c r="N441" s="649"/>
      <c r="O441" s="8"/>
    </row>
    <row r="442" spans="1:15" ht="15.5" x14ac:dyDescent="0.35">
      <c r="A442" s="616"/>
      <c r="B442" s="100"/>
      <c r="C442" s="52"/>
      <c r="D442" s="1777"/>
      <c r="E442" s="615"/>
      <c r="F442" s="4"/>
      <c r="G442" s="5"/>
      <c r="H442" s="5"/>
      <c r="I442" s="5"/>
      <c r="J442" s="616"/>
      <c r="K442" s="696"/>
      <c r="L442" s="16"/>
      <c r="M442" s="7"/>
      <c r="N442" s="78"/>
      <c r="O442" s="616"/>
    </row>
    <row r="443" spans="1:15" ht="15.5" x14ac:dyDescent="0.35">
      <c r="A443" s="616"/>
      <c r="B443" s="100"/>
      <c r="C443" s="52"/>
      <c r="D443" s="1773"/>
      <c r="E443" s="615"/>
      <c r="F443" s="4"/>
      <c r="G443" s="5"/>
      <c r="H443" s="5"/>
      <c r="I443" s="5"/>
      <c r="J443" s="616"/>
      <c r="K443" s="696"/>
      <c r="L443" s="16"/>
      <c r="M443" s="7"/>
      <c r="N443" s="78"/>
      <c r="O443" s="616"/>
    </row>
    <row r="444" spans="1:15" ht="15.5" x14ac:dyDescent="0.35">
      <c r="A444" s="616"/>
      <c r="B444" s="95"/>
      <c r="C444" s="89"/>
      <c r="D444" s="89"/>
      <c r="E444" s="89"/>
      <c r="F444" s="37"/>
      <c r="G444" s="37"/>
      <c r="H444" s="37"/>
      <c r="I444" s="37"/>
      <c r="J444" s="95" t="s">
        <v>279</v>
      </c>
      <c r="K444" s="43">
        <f>SUM(K442:K443)</f>
        <v>0</v>
      </c>
      <c r="L444" s="55">
        <f>SUM(L442:L443)</f>
        <v>0</v>
      </c>
      <c r="M444" s="633"/>
      <c r="N444" s="634"/>
      <c r="O444" s="616"/>
    </row>
    <row r="445" spans="1:15" ht="15.5" x14ac:dyDescent="0.35">
      <c r="A445" s="616"/>
      <c r="B445" s="102"/>
      <c r="C445" s="91"/>
      <c r="D445" s="726"/>
      <c r="E445" s="91"/>
      <c r="F445" s="47"/>
      <c r="G445" s="48"/>
      <c r="H445" s="48"/>
      <c r="I445" s="36"/>
      <c r="J445" s="96"/>
      <c r="K445" s="706"/>
      <c r="L445" s="43"/>
      <c r="M445" s="43"/>
      <c r="N445" s="85"/>
      <c r="O445" s="12"/>
    </row>
    <row r="446" spans="1:15" ht="15.5" x14ac:dyDescent="0.35">
      <c r="A446" s="636"/>
      <c r="B446" s="647" t="s">
        <v>1110</v>
      </c>
      <c r="C446" s="648"/>
      <c r="D446" s="648"/>
      <c r="E446" s="648"/>
      <c r="F446" s="648"/>
      <c r="G446" s="648"/>
      <c r="H446" s="648"/>
      <c r="I446" s="648"/>
      <c r="J446" s="50"/>
      <c r="K446" s="710"/>
      <c r="L446" s="51"/>
      <c r="M446" s="51"/>
      <c r="N446" s="649"/>
      <c r="O446" s="12"/>
    </row>
    <row r="447" spans="1:15" ht="15.5" x14ac:dyDescent="0.35">
      <c r="A447" s="616">
        <v>1</v>
      </c>
      <c r="B447" s="100" t="s">
        <v>2674</v>
      </c>
      <c r="C447" s="52">
        <v>33</v>
      </c>
      <c r="D447" s="2140" t="s">
        <v>326</v>
      </c>
      <c r="E447" s="52">
        <v>103</v>
      </c>
      <c r="F447" s="4">
        <v>1</v>
      </c>
      <c r="G447" s="21">
        <v>172.9</v>
      </c>
      <c r="H447" s="21">
        <v>181.9</v>
      </c>
      <c r="I447" s="21">
        <f>H447-G447</f>
        <v>9</v>
      </c>
      <c r="J447" s="31">
        <v>240000</v>
      </c>
      <c r="K447" s="707"/>
      <c r="L447" s="22">
        <f>J447*F447*I447</f>
        <v>2160000</v>
      </c>
      <c r="M447" s="22"/>
      <c r="N447" s="83"/>
      <c r="O447" s="12" t="e">
        <f>(K454-L482)/K454*100</f>
        <v>#VALUE!</v>
      </c>
    </row>
    <row r="448" spans="1:15" ht="15.5" x14ac:dyDescent="0.35">
      <c r="A448" s="616">
        <v>4</v>
      </c>
      <c r="B448" s="100" t="s">
        <v>2723</v>
      </c>
      <c r="C448" s="52">
        <v>33</v>
      </c>
      <c r="D448" s="2157" t="s">
        <v>326</v>
      </c>
      <c r="E448" s="52">
        <v>104</v>
      </c>
      <c r="F448" s="4">
        <v>1</v>
      </c>
      <c r="G448" s="21">
        <v>53.2</v>
      </c>
      <c r="H448" s="21">
        <v>56.4</v>
      </c>
      <c r="I448" s="21">
        <f>H448-G448</f>
        <v>3.1999999999999957</v>
      </c>
      <c r="J448" s="31">
        <v>240000</v>
      </c>
      <c r="K448" s="707"/>
      <c r="L448" s="22">
        <f>J448*F448*I448</f>
        <v>767999.99999999895</v>
      </c>
      <c r="M448" s="22"/>
      <c r="N448" s="83"/>
      <c r="O448" s="12" t="e">
        <f>(K451-K479)/K451*100</f>
        <v>#VALUE!</v>
      </c>
    </row>
    <row r="449" spans="1:15" ht="15" x14ac:dyDescent="0.35">
      <c r="A449" s="636"/>
      <c r="B449" s="96"/>
      <c r="C449" s="90"/>
      <c r="D449" s="90"/>
      <c r="E449" s="90"/>
      <c r="F449" s="38"/>
      <c r="G449" s="38"/>
      <c r="H449" s="38"/>
      <c r="I449" s="38"/>
      <c r="J449" s="96" t="s">
        <v>30</v>
      </c>
      <c r="K449" s="708"/>
      <c r="L449" s="43">
        <f>SUM(L447:L448)</f>
        <v>2927999.9999999991</v>
      </c>
      <c r="M449" s="43">
        <f>SUM(M447:M448)</f>
        <v>0</v>
      </c>
      <c r="N449" s="650">
        <f>(M449-L449)/L449*100</f>
        <v>-100</v>
      </c>
      <c r="O449" s="12"/>
    </row>
    <row r="450" spans="1:15" ht="15.5" thickBot="1" x14ac:dyDescent="0.4">
      <c r="A450" s="702"/>
      <c r="B450" s="736"/>
      <c r="C450" s="92"/>
      <c r="D450" s="92"/>
      <c r="E450" s="92"/>
      <c r="F450" s="737"/>
      <c r="G450" s="737"/>
      <c r="H450" s="737"/>
      <c r="I450" s="737"/>
      <c r="J450" s="736"/>
      <c r="K450" s="738"/>
      <c r="L450" s="739"/>
      <c r="M450" s="739"/>
      <c r="N450" s="646"/>
      <c r="O450" s="740"/>
    </row>
    <row r="451" spans="1:15" ht="15" x14ac:dyDescent="0.35">
      <c r="A451" s="702"/>
      <c r="B451" s="2142" t="s">
        <v>1090</v>
      </c>
      <c r="C451" s="2143"/>
      <c r="D451" s="683" t="s">
        <v>14</v>
      </c>
      <c r="F451" s="2144" t="s">
        <v>1091</v>
      </c>
      <c r="G451" s="2145"/>
      <c r="H451" s="2146"/>
      <c r="I451" s="683" t="s">
        <v>14</v>
      </c>
      <c r="J451" s="620"/>
      <c r="K451" s="2147" t="s">
        <v>1092</v>
      </c>
      <c r="L451" s="2148"/>
      <c r="M451" s="684" t="s">
        <v>14</v>
      </c>
      <c r="N451" s="646"/>
      <c r="O451" s="740"/>
    </row>
    <row r="452" spans="1:15" ht="15" x14ac:dyDescent="0.35">
      <c r="A452" s="702"/>
      <c r="B452" s="2122" t="str">
        <f>B431</f>
        <v>MOGBAZAR 33 KV SIDE</v>
      </c>
      <c r="C452" s="2123"/>
      <c r="D452" s="689">
        <f>K435</f>
        <v>2858399.9999999953</v>
      </c>
      <c r="F452" s="2124" t="s">
        <v>1093</v>
      </c>
      <c r="G452" s="2125"/>
      <c r="H452" s="2126"/>
      <c r="I452" s="685">
        <f>L444</f>
        <v>0</v>
      </c>
      <c r="J452" s="620"/>
      <c r="K452" s="2160" t="str">
        <f>F453</f>
        <v>MOGBAZAR T&amp;T 33 KV NET IMPORT</v>
      </c>
      <c r="L452" s="2161"/>
      <c r="M452" s="687">
        <f>I453</f>
        <v>2858399.9999999953</v>
      </c>
      <c r="N452" s="646"/>
      <c r="O452" s="740"/>
    </row>
    <row r="453" spans="1:15" ht="15" x14ac:dyDescent="0.35">
      <c r="A453" s="702"/>
      <c r="B453" s="2122" t="s">
        <v>1116</v>
      </c>
      <c r="C453" s="2123"/>
      <c r="D453" s="741"/>
      <c r="F453" s="2124" t="s">
        <v>1119</v>
      </c>
      <c r="G453" s="2125"/>
      <c r="H453" s="2126"/>
      <c r="I453" s="685">
        <f>D456-I452</f>
        <v>2858399.9999999953</v>
      </c>
      <c r="J453" s="620"/>
      <c r="K453" s="2162" t="s">
        <v>1120</v>
      </c>
      <c r="L453" s="2163"/>
      <c r="M453" s="685">
        <f>M487</f>
        <v>0</v>
      </c>
      <c r="N453" s="646"/>
      <c r="O453" s="740"/>
    </row>
    <row r="454" spans="1:15" ht="15" x14ac:dyDescent="0.35">
      <c r="A454" s="702"/>
      <c r="B454" s="2122" t="s">
        <v>1117</v>
      </c>
      <c r="C454" s="2123"/>
      <c r="D454" s="721"/>
      <c r="F454" s="2124" t="s">
        <v>1089</v>
      </c>
      <c r="G454" s="2125"/>
      <c r="H454" s="2126"/>
      <c r="I454" s="685">
        <f>I452+I453</f>
        <v>2858399.9999999953</v>
      </c>
      <c r="J454" s="620"/>
      <c r="K454" s="2127" t="s">
        <v>284</v>
      </c>
      <c r="L454" s="2128"/>
      <c r="M454" s="685">
        <f>M452-M453</f>
        <v>2858399.9999999953</v>
      </c>
      <c r="N454" s="646"/>
      <c r="O454" s="740"/>
    </row>
    <row r="455" spans="1:15" ht="16" thickBot="1" x14ac:dyDescent="0.4">
      <c r="A455" s="702"/>
      <c r="B455" s="2122" t="s">
        <v>1118</v>
      </c>
      <c r="C455" s="2123"/>
      <c r="D455" s="722"/>
      <c r="F455" s="2113" t="s">
        <v>1102</v>
      </c>
      <c r="G455" s="2114"/>
      <c r="H455" s="2115"/>
      <c r="I455" s="690">
        <f>(D456-I454)/I454</f>
        <v>0</v>
      </c>
      <c r="J455" s="620"/>
      <c r="K455" s="2134" t="s">
        <v>285</v>
      </c>
      <c r="L455" s="2135"/>
      <c r="M455" s="688">
        <f>M454/M452</f>
        <v>1</v>
      </c>
      <c r="N455" s="646"/>
      <c r="O455" s="740"/>
    </row>
    <row r="456" spans="1:15" ht="15.5" thickBot="1" x14ac:dyDescent="0.4">
      <c r="A456" s="702"/>
      <c r="B456" s="2158" t="s">
        <v>1082</v>
      </c>
      <c r="C456" s="2159"/>
      <c r="D456" s="686">
        <f>SUM(D452:D454)</f>
        <v>2858399.9999999953</v>
      </c>
      <c r="F456" s="620"/>
      <c r="G456" s="620"/>
      <c r="H456" s="620"/>
      <c r="I456" s="620"/>
      <c r="J456" s="620"/>
      <c r="K456" s="702"/>
      <c r="L456" s="620"/>
      <c r="M456" s="620"/>
      <c r="N456" s="646"/>
      <c r="O456" s="740"/>
    </row>
    <row r="457" spans="1:15" ht="15" x14ac:dyDescent="0.35">
      <c r="A457" s="702"/>
      <c r="B457" s="736"/>
      <c r="C457" s="92"/>
      <c r="D457" s="92"/>
      <c r="E457" s="92"/>
      <c r="F457" s="737"/>
      <c r="G457" s="737"/>
      <c r="H457" s="737"/>
      <c r="I457" s="737"/>
      <c r="J457" s="736"/>
      <c r="K457" s="738"/>
      <c r="L457" s="739"/>
      <c r="M457" s="739"/>
      <c r="N457" s="646"/>
      <c r="O457" s="740"/>
    </row>
    <row r="458" spans="1:15" x14ac:dyDescent="0.35">
      <c r="A458" s="620"/>
      <c r="B458" s="632"/>
      <c r="C458" s="620"/>
      <c r="D458" s="728"/>
      <c r="E458" s="620"/>
      <c r="F458" s="620"/>
      <c r="G458" s="620"/>
      <c r="H458" s="620"/>
      <c r="I458" s="620"/>
      <c r="J458" s="620"/>
      <c r="K458" s="702"/>
      <c r="L458" s="620"/>
      <c r="M458" s="620"/>
      <c r="N458" s="620"/>
      <c r="O458" s="620"/>
    </row>
    <row r="459" spans="1:15" x14ac:dyDescent="0.35">
      <c r="A459" s="620"/>
      <c r="B459" s="632"/>
      <c r="C459" s="620"/>
      <c r="D459" s="728"/>
      <c r="E459" s="620"/>
      <c r="F459" s="620"/>
      <c r="G459" s="620"/>
      <c r="H459" s="620"/>
      <c r="I459" s="620"/>
      <c r="J459" s="620"/>
      <c r="K459" s="702"/>
      <c r="L459" s="620"/>
      <c r="M459" s="620"/>
      <c r="N459" s="620"/>
      <c r="O459" s="620"/>
    </row>
    <row r="460" spans="1:15" ht="25" x14ac:dyDescent="0.35">
      <c r="A460" s="2095" t="s">
        <v>1306</v>
      </c>
      <c r="B460" s="2095"/>
      <c r="C460" s="2095"/>
      <c r="D460" s="2095"/>
      <c r="E460" s="2095"/>
      <c r="F460" s="2095"/>
      <c r="G460" s="2095"/>
      <c r="H460" s="2095"/>
      <c r="I460" s="2095"/>
      <c r="J460" s="2095"/>
      <c r="K460" s="2095"/>
      <c r="L460" s="2095"/>
      <c r="M460" s="2095"/>
      <c r="N460" s="2095"/>
      <c r="O460" s="756" t="e">
        <f>$O$6</f>
        <v>#REF!</v>
      </c>
    </row>
    <row r="461" spans="1:15" ht="15.5" x14ac:dyDescent="0.35">
      <c r="A461" s="2096" t="s">
        <v>0</v>
      </c>
      <c r="B461" s="2098" t="s">
        <v>1</v>
      </c>
      <c r="C461" s="2100" t="s">
        <v>2</v>
      </c>
      <c r="D461" s="2101"/>
      <c r="E461" s="2102"/>
      <c r="F461" s="2103" t="s">
        <v>3</v>
      </c>
      <c r="G461" s="2100" t="s">
        <v>4</v>
      </c>
      <c r="H461" s="2102"/>
      <c r="I461" s="2085"/>
      <c r="J461" s="2103" t="s">
        <v>5</v>
      </c>
      <c r="K461" s="2100" t="s">
        <v>6</v>
      </c>
      <c r="L461" s="2085"/>
      <c r="M461" s="97" t="s">
        <v>32</v>
      </c>
      <c r="N461" s="98"/>
      <c r="O461" s="2084" t="s">
        <v>7</v>
      </c>
    </row>
    <row r="462" spans="1:15" ht="15.5" x14ac:dyDescent="0.35">
      <c r="A462" s="2097"/>
      <c r="B462" s="2099"/>
      <c r="C462" s="2086" t="s">
        <v>1108</v>
      </c>
      <c r="D462" s="2087"/>
      <c r="E462" s="87" t="s">
        <v>9</v>
      </c>
      <c r="F462" s="2097"/>
      <c r="G462" s="2">
        <f>'NORTH-1'!$G$8</f>
        <v>44774</v>
      </c>
      <c r="H462" s="2">
        <f>'NORTH-1'!$H$8</f>
        <v>44805</v>
      </c>
      <c r="I462" s="1" t="s">
        <v>10</v>
      </c>
      <c r="J462" s="2097"/>
      <c r="K462" s="1" t="s">
        <v>11</v>
      </c>
      <c r="L462" s="1" t="s">
        <v>12</v>
      </c>
      <c r="M462" s="617" t="s">
        <v>33</v>
      </c>
      <c r="N462" s="76" t="s">
        <v>47</v>
      </c>
      <c r="O462" s="2085"/>
    </row>
    <row r="463" spans="1:15" ht="15.5" x14ac:dyDescent="0.35">
      <c r="A463" s="3">
        <v>1</v>
      </c>
      <c r="B463" s="88">
        <v>2</v>
      </c>
      <c r="C463" s="2088">
        <v>4</v>
      </c>
      <c r="D463" s="2089"/>
      <c r="E463" s="88">
        <v>5</v>
      </c>
      <c r="F463" s="3">
        <v>7</v>
      </c>
      <c r="G463" s="3">
        <v>8</v>
      </c>
      <c r="H463" s="3">
        <v>9</v>
      </c>
      <c r="I463" s="3" t="s">
        <v>13</v>
      </c>
      <c r="J463" s="3">
        <v>11</v>
      </c>
      <c r="K463" s="3" t="s">
        <v>19</v>
      </c>
      <c r="L463" s="3" t="s">
        <v>20</v>
      </c>
      <c r="M463" s="3">
        <v>14</v>
      </c>
      <c r="N463" s="77">
        <v>15</v>
      </c>
      <c r="O463" s="3">
        <v>16</v>
      </c>
    </row>
    <row r="464" spans="1:15" ht="15.5" x14ac:dyDescent="0.35">
      <c r="A464" s="631"/>
      <c r="B464" s="624" t="s">
        <v>1121</v>
      </c>
      <c r="C464" s="625"/>
      <c r="D464" s="625"/>
      <c r="E464" s="625"/>
      <c r="F464" s="625"/>
      <c r="G464" s="625"/>
      <c r="H464" s="625"/>
      <c r="I464" s="625"/>
      <c r="J464" s="625"/>
      <c r="K464" s="695"/>
      <c r="L464" s="625"/>
      <c r="M464" s="626"/>
      <c r="N464" s="627"/>
      <c r="O464" s="616"/>
    </row>
    <row r="465" spans="1:15" ht="15.5" x14ac:dyDescent="0.35">
      <c r="A465" s="631">
        <v>6</v>
      </c>
      <c r="B465" s="100" t="s">
        <v>2724</v>
      </c>
      <c r="C465" s="52">
        <v>11</v>
      </c>
      <c r="D465" s="1770" t="s">
        <v>339</v>
      </c>
      <c r="E465" s="52">
        <v>42</v>
      </c>
      <c r="F465" s="4">
        <v>1</v>
      </c>
      <c r="G465" s="21">
        <v>205.5</v>
      </c>
      <c r="H465" s="21">
        <v>215</v>
      </c>
      <c r="I465" s="21">
        <f>H465-G465</f>
        <v>9.5</v>
      </c>
      <c r="J465" s="616">
        <v>200000</v>
      </c>
      <c r="K465" s="696">
        <f>J465*F465*I465</f>
        <v>1900000</v>
      </c>
      <c r="L465" s="22"/>
      <c r="M465" s="22"/>
      <c r="N465" s="82"/>
      <c r="O465" s="616">
        <f>SUM(L460:L468)</f>
        <v>0</v>
      </c>
    </row>
    <row r="466" spans="1:15" ht="15.5" x14ac:dyDescent="0.35">
      <c r="A466" s="631">
        <v>10</v>
      </c>
      <c r="B466" s="100" t="s">
        <v>2725</v>
      </c>
      <c r="C466" s="52">
        <v>11</v>
      </c>
      <c r="D466" s="1772" t="s">
        <v>339</v>
      </c>
      <c r="E466" s="52">
        <v>64</v>
      </c>
      <c r="F466" s="4">
        <v>1</v>
      </c>
      <c r="G466" s="21">
        <v>62.4</v>
      </c>
      <c r="H466" s="21">
        <v>66.2</v>
      </c>
      <c r="I466" s="21">
        <f>H466-G466</f>
        <v>3.8000000000000043</v>
      </c>
      <c r="J466" s="616">
        <v>200000</v>
      </c>
      <c r="K466" s="696">
        <f>J466*F466*I466</f>
        <v>760000.00000000081</v>
      </c>
      <c r="L466" s="22"/>
      <c r="M466" s="22"/>
      <c r="N466" s="82"/>
      <c r="O466" s="616">
        <f>SUM(L467:L481)</f>
        <v>4359999.9999999981</v>
      </c>
    </row>
    <row r="467" spans="1:15" ht="15.5" x14ac:dyDescent="0.35">
      <c r="A467" s="631"/>
      <c r="B467" s="102"/>
      <c r="C467" s="91"/>
      <c r="D467" s="726"/>
      <c r="E467" s="91"/>
      <c r="F467" s="47"/>
      <c r="G467" s="48"/>
      <c r="H467" s="48"/>
      <c r="I467" s="48"/>
      <c r="J467" s="39" t="s">
        <v>30</v>
      </c>
      <c r="K467" s="43">
        <f>SUM(K465:K466)</f>
        <v>2660000.0000000009</v>
      </c>
      <c r="L467" s="49"/>
      <c r="M467" s="43">
        <f>SUM(M465:M466)</f>
        <v>0</v>
      </c>
      <c r="N467" s="85"/>
      <c r="O467" s="616"/>
    </row>
    <row r="468" spans="1:15" ht="15.5" x14ac:dyDescent="0.35">
      <c r="A468" s="631"/>
      <c r="B468" s="647" t="s">
        <v>1121</v>
      </c>
      <c r="C468" s="648"/>
      <c r="D468" s="648"/>
      <c r="E468" s="648"/>
      <c r="F468" s="648"/>
      <c r="G468" s="648"/>
      <c r="H468" s="648"/>
      <c r="I468" s="648"/>
      <c r="J468" s="50"/>
      <c r="K468" s="710"/>
      <c r="L468" s="51"/>
      <c r="M468" s="51"/>
      <c r="N468" s="649"/>
      <c r="O468" s="616"/>
    </row>
    <row r="469" spans="1:15" ht="15.75" customHeight="1" x14ac:dyDescent="0.35">
      <c r="A469" s="631">
        <v>1</v>
      </c>
      <c r="B469" s="100" t="s">
        <v>2726</v>
      </c>
      <c r="C469" s="73">
        <v>11</v>
      </c>
      <c r="D469" s="1781" t="s">
        <v>114</v>
      </c>
      <c r="E469" s="52">
        <v>112</v>
      </c>
      <c r="F469" s="32">
        <v>1</v>
      </c>
      <c r="G469" s="6">
        <v>203.9</v>
      </c>
      <c r="H469" s="6">
        <v>215.8</v>
      </c>
      <c r="I469" s="20">
        <f t="shared" ref="I469:I486" si="16">H469-G469</f>
        <v>11.900000000000006</v>
      </c>
      <c r="J469" s="616">
        <v>40000</v>
      </c>
      <c r="K469" s="703"/>
      <c r="L469" s="22">
        <f t="shared" ref="L469:L476" si="17">J469*F469*I469</f>
        <v>476000.00000000023</v>
      </c>
      <c r="M469" s="22"/>
      <c r="N469" s="72" t="s">
        <v>114</v>
      </c>
      <c r="O469" s="15"/>
    </row>
    <row r="470" spans="1:15" ht="15.75" customHeight="1" x14ac:dyDescent="0.35">
      <c r="A470" s="631">
        <v>2</v>
      </c>
      <c r="B470" s="100" t="s">
        <v>2727</v>
      </c>
      <c r="C470" s="73">
        <v>11</v>
      </c>
      <c r="D470" s="1782" t="s">
        <v>114</v>
      </c>
      <c r="E470" s="52">
        <v>130</v>
      </c>
      <c r="F470" s="32">
        <v>1</v>
      </c>
      <c r="G470" s="6">
        <v>36.5</v>
      </c>
      <c r="H470" s="6">
        <v>38.5</v>
      </c>
      <c r="I470" s="20">
        <f t="shared" si="16"/>
        <v>2</v>
      </c>
      <c r="J470" s="616">
        <v>40000</v>
      </c>
      <c r="K470" s="703"/>
      <c r="L470" s="22">
        <f t="shared" si="17"/>
        <v>80000</v>
      </c>
      <c r="M470" s="22"/>
      <c r="N470" s="72" t="s">
        <v>114</v>
      </c>
      <c r="O470" s="15"/>
    </row>
    <row r="471" spans="1:15" ht="15.75" customHeight="1" x14ac:dyDescent="0.35">
      <c r="A471" s="631">
        <v>3</v>
      </c>
      <c r="B471" s="100" t="s">
        <v>2728</v>
      </c>
      <c r="C471" s="73">
        <v>11</v>
      </c>
      <c r="D471" s="1782" t="s">
        <v>114</v>
      </c>
      <c r="E471" s="52">
        <v>177</v>
      </c>
      <c r="F471" s="32">
        <v>1</v>
      </c>
      <c r="G471" s="6">
        <v>134</v>
      </c>
      <c r="H471" s="6">
        <v>145.69999999999999</v>
      </c>
      <c r="I471" s="20">
        <f t="shared" si="16"/>
        <v>11.699999999999989</v>
      </c>
      <c r="J471" s="616">
        <v>40000</v>
      </c>
      <c r="K471" s="703"/>
      <c r="L471" s="22">
        <f t="shared" si="17"/>
        <v>467999.99999999953</v>
      </c>
      <c r="M471" s="22"/>
      <c r="N471" s="72" t="s">
        <v>114</v>
      </c>
      <c r="O471" s="15"/>
    </row>
    <row r="472" spans="1:15" ht="15.75" customHeight="1" x14ac:dyDescent="0.35">
      <c r="A472" s="631">
        <v>4</v>
      </c>
      <c r="B472" s="100" t="s">
        <v>2729</v>
      </c>
      <c r="C472" s="73">
        <v>11</v>
      </c>
      <c r="D472" s="1782" t="s">
        <v>114</v>
      </c>
      <c r="E472" s="52">
        <v>12</v>
      </c>
      <c r="F472" s="32">
        <v>1</v>
      </c>
      <c r="G472" s="6">
        <v>405.8</v>
      </c>
      <c r="H472" s="6">
        <v>421.2</v>
      </c>
      <c r="I472" s="20">
        <f t="shared" si="16"/>
        <v>15.399999999999977</v>
      </c>
      <c r="J472" s="616">
        <v>40000</v>
      </c>
      <c r="K472" s="703"/>
      <c r="L472" s="22">
        <f t="shared" si="17"/>
        <v>615999.99999999907</v>
      </c>
      <c r="M472" s="22"/>
      <c r="N472" s="72" t="s">
        <v>114</v>
      </c>
      <c r="O472" s="15"/>
    </row>
    <row r="473" spans="1:15" ht="15.75" customHeight="1" x14ac:dyDescent="0.35">
      <c r="A473" s="631">
        <v>5</v>
      </c>
      <c r="B473" s="100" t="s">
        <v>2730</v>
      </c>
      <c r="C473" s="73">
        <v>11</v>
      </c>
      <c r="D473" s="1782"/>
      <c r="E473" s="52">
        <v>96</v>
      </c>
      <c r="F473" s="32">
        <v>1</v>
      </c>
      <c r="G473" s="6"/>
      <c r="H473" s="6"/>
      <c r="I473" s="20">
        <f t="shared" si="16"/>
        <v>0</v>
      </c>
      <c r="J473" s="616">
        <v>40000</v>
      </c>
      <c r="K473" s="703"/>
      <c r="L473" s="22">
        <f t="shared" si="17"/>
        <v>0</v>
      </c>
      <c r="M473" s="22"/>
      <c r="N473" s="72"/>
      <c r="O473" s="15"/>
    </row>
    <row r="474" spans="1:15" ht="15.75" customHeight="1" x14ac:dyDescent="0.35">
      <c r="A474" s="631">
        <v>7</v>
      </c>
      <c r="B474" s="100" t="s">
        <v>2731</v>
      </c>
      <c r="C474" s="73">
        <v>11</v>
      </c>
      <c r="D474" s="1782"/>
      <c r="E474" s="52">
        <v>11</v>
      </c>
      <c r="F474" s="32">
        <v>1</v>
      </c>
      <c r="G474" s="6"/>
      <c r="H474" s="6"/>
      <c r="I474" s="20">
        <f t="shared" si="16"/>
        <v>0</v>
      </c>
      <c r="J474" s="616">
        <v>40000</v>
      </c>
      <c r="K474" s="703"/>
      <c r="L474" s="22">
        <f t="shared" si="17"/>
        <v>0</v>
      </c>
      <c r="M474" s="22"/>
      <c r="N474" s="72"/>
      <c r="O474" s="15"/>
    </row>
    <row r="475" spans="1:15" ht="15.75" customHeight="1" x14ac:dyDescent="0.35">
      <c r="A475" s="631">
        <v>8</v>
      </c>
      <c r="B475" s="100" t="s">
        <v>2732</v>
      </c>
      <c r="C475" s="73">
        <v>11</v>
      </c>
      <c r="D475" s="1782" t="s">
        <v>114</v>
      </c>
      <c r="E475" s="52">
        <v>107</v>
      </c>
      <c r="F475" s="32">
        <v>1</v>
      </c>
      <c r="G475" s="6">
        <v>200.4</v>
      </c>
      <c r="H475" s="6">
        <v>210.6</v>
      </c>
      <c r="I475" s="20">
        <f t="shared" si="16"/>
        <v>10.199999999999989</v>
      </c>
      <c r="J475" s="616">
        <v>40000</v>
      </c>
      <c r="K475" s="703"/>
      <c r="L475" s="22">
        <f t="shared" si="17"/>
        <v>407999.99999999953</v>
      </c>
      <c r="M475" s="22"/>
      <c r="N475" s="72" t="s">
        <v>114</v>
      </c>
      <c r="O475" s="15"/>
    </row>
    <row r="476" spans="1:15" ht="15.75" customHeight="1" x14ac:dyDescent="0.35">
      <c r="A476" s="631">
        <v>9</v>
      </c>
      <c r="B476" s="100" t="s">
        <v>2733</v>
      </c>
      <c r="C476" s="73">
        <v>11</v>
      </c>
      <c r="D476" s="1782"/>
      <c r="E476" s="52">
        <v>179</v>
      </c>
      <c r="F476" s="32">
        <v>1</v>
      </c>
      <c r="G476" s="6"/>
      <c r="H476" s="6"/>
      <c r="I476" s="20">
        <f t="shared" si="16"/>
        <v>0</v>
      </c>
      <c r="J476" s="616">
        <v>40000</v>
      </c>
      <c r="K476" s="703"/>
      <c r="L476" s="22">
        <f t="shared" si="17"/>
        <v>0</v>
      </c>
      <c r="M476" s="22"/>
      <c r="N476" s="72"/>
      <c r="O476" s="15"/>
    </row>
    <row r="477" spans="1:15" ht="15.75" customHeight="1" x14ac:dyDescent="0.35">
      <c r="A477" s="631">
        <v>11</v>
      </c>
      <c r="B477" s="100" t="s">
        <v>2734</v>
      </c>
      <c r="C477" s="73">
        <v>11</v>
      </c>
      <c r="D477" s="1782" t="s">
        <v>114</v>
      </c>
      <c r="E477" s="52">
        <v>169</v>
      </c>
      <c r="F477" s="32">
        <v>1</v>
      </c>
      <c r="G477" s="6">
        <v>153.69999999999999</v>
      </c>
      <c r="H477" s="6">
        <v>158.19999999999999</v>
      </c>
      <c r="I477" s="20">
        <f t="shared" si="16"/>
        <v>4.5</v>
      </c>
      <c r="J477" s="616">
        <v>40000</v>
      </c>
      <c r="K477" s="703"/>
      <c r="L477" s="22">
        <f t="shared" ref="L477:L486" si="18">J477*F477*I477</f>
        <v>180000</v>
      </c>
      <c r="M477" s="22"/>
      <c r="N477" s="72" t="s">
        <v>114</v>
      </c>
      <c r="O477" s="15"/>
    </row>
    <row r="478" spans="1:15" ht="15.75" customHeight="1" x14ac:dyDescent="0.35">
      <c r="A478" s="631">
        <v>12</v>
      </c>
      <c r="B478" s="100" t="s">
        <v>2735</v>
      </c>
      <c r="C478" s="73">
        <v>11</v>
      </c>
      <c r="D478" s="1782" t="s">
        <v>114</v>
      </c>
      <c r="E478" s="52">
        <v>49</v>
      </c>
      <c r="F478" s="32">
        <v>1</v>
      </c>
      <c r="G478" s="6">
        <v>153.30000000000001</v>
      </c>
      <c r="H478" s="6">
        <v>198.8</v>
      </c>
      <c r="I478" s="20">
        <f t="shared" si="16"/>
        <v>45.5</v>
      </c>
      <c r="J478" s="616">
        <v>40000</v>
      </c>
      <c r="K478" s="703"/>
      <c r="L478" s="22">
        <f t="shared" si="18"/>
        <v>1820000</v>
      </c>
      <c r="M478" s="22"/>
      <c r="N478" s="72" t="s">
        <v>114</v>
      </c>
      <c r="O478" s="15"/>
    </row>
    <row r="479" spans="1:15" ht="15.75" customHeight="1" x14ac:dyDescent="0.35">
      <c r="A479" s="631">
        <v>13</v>
      </c>
      <c r="B479" s="100" t="s">
        <v>2736</v>
      </c>
      <c r="C479" s="73">
        <v>11</v>
      </c>
      <c r="D479" s="1782"/>
      <c r="E479" s="52">
        <v>92</v>
      </c>
      <c r="F479" s="32">
        <v>1</v>
      </c>
      <c r="G479" s="6"/>
      <c r="H479" s="6"/>
      <c r="I479" s="20">
        <f t="shared" si="16"/>
        <v>0</v>
      </c>
      <c r="J479" s="616">
        <v>40000</v>
      </c>
      <c r="K479" s="703"/>
      <c r="L479" s="22">
        <f t="shared" si="18"/>
        <v>0</v>
      </c>
      <c r="M479" s="22"/>
      <c r="N479" s="72"/>
      <c r="O479" s="15"/>
    </row>
    <row r="480" spans="1:15" ht="15.75" customHeight="1" x14ac:dyDescent="0.35">
      <c r="A480" s="631">
        <v>14</v>
      </c>
      <c r="B480" s="100" t="s">
        <v>2737</v>
      </c>
      <c r="C480" s="73">
        <v>11</v>
      </c>
      <c r="D480" s="1782" t="s">
        <v>88</v>
      </c>
      <c r="E480" s="52">
        <v>150</v>
      </c>
      <c r="F480" s="32">
        <v>1</v>
      </c>
      <c r="G480" s="6">
        <v>3.9</v>
      </c>
      <c r="H480" s="6">
        <v>11.7</v>
      </c>
      <c r="I480" s="20">
        <f t="shared" si="16"/>
        <v>7.7999999999999989</v>
      </c>
      <c r="J480" s="616">
        <v>40000</v>
      </c>
      <c r="K480" s="703"/>
      <c r="L480" s="22">
        <f t="shared" si="18"/>
        <v>311999.99999999994</v>
      </c>
      <c r="M480" s="22"/>
      <c r="N480" s="72" t="s">
        <v>88</v>
      </c>
      <c r="O480" s="15"/>
    </row>
    <row r="481" spans="1:15" ht="15.75" customHeight="1" x14ac:dyDescent="0.35">
      <c r="A481" s="631">
        <v>15</v>
      </c>
      <c r="B481" s="100" t="s">
        <v>2738</v>
      </c>
      <c r="C481" s="73">
        <v>11</v>
      </c>
      <c r="D481" s="1782"/>
      <c r="E481" s="52">
        <v>91</v>
      </c>
      <c r="F481" s="32">
        <v>1</v>
      </c>
      <c r="G481" s="6"/>
      <c r="H481" s="6"/>
      <c r="I481" s="20">
        <f t="shared" si="16"/>
        <v>0</v>
      </c>
      <c r="J481" s="616">
        <v>40000</v>
      </c>
      <c r="K481" s="703"/>
      <c r="L481" s="22">
        <f t="shared" si="18"/>
        <v>0</v>
      </c>
      <c r="M481" s="22"/>
      <c r="N481" s="72"/>
      <c r="O481" s="15"/>
    </row>
    <row r="482" spans="1:15" ht="15.75" customHeight="1" x14ac:dyDescent="0.35">
      <c r="A482" s="631">
        <v>16</v>
      </c>
      <c r="B482" s="100" t="s">
        <v>2739</v>
      </c>
      <c r="C482" s="73">
        <v>11</v>
      </c>
      <c r="D482" s="1782"/>
      <c r="E482" s="52">
        <v>18</v>
      </c>
      <c r="F482" s="32">
        <v>1</v>
      </c>
      <c r="G482" s="6"/>
      <c r="H482" s="6"/>
      <c r="I482" s="20">
        <f t="shared" si="16"/>
        <v>0</v>
      </c>
      <c r="J482" s="616">
        <v>40000</v>
      </c>
      <c r="K482" s="703"/>
      <c r="L482" s="22">
        <f t="shared" si="18"/>
        <v>0</v>
      </c>
      <c r="M482" s="22"/>
      <c r="N482" s="72"/>
      <c r="O482" s="15"/>
    </row>
    <row r="483" spans="1:15" ht="15.75" customHeight="1" x14ac:dyDescent="0.35">
      <c r="A483" s="631">
        <v>17</v>
      </c>
      <c r="B483" s="100" t="s">
        <v>2740</v>
      </c>
      <c r="C483" s="73">
        <v>11</v>
      </c>
      <c r="D483" s="1782"/>
      <c r="E483" s="52">
        <v>171</v>
      </c>
      <c r="F483" s="32">
        <v>1</v>
      </c>
      <c r="G483" s="6"/>
      <c r="H483" s="6"/>
      <c r="I483" s="20">
        <f t="shared" si="16"/>
        <v>0</v>
      </c>
      <c r="J483" s="616">
        <v>40000</v>
      </c>
      <c r="K483" s="703"/>
      <c r="L483" s="22">
        <f t="shared" si="18"/>
        <v>0</v>
      </c>
      <c r="M483" s="22"/>
      <c r="N483" s="72"/>
      <c r="O483" s="15"/>
    </row>
    <row r="484" spans="1:15" ht="15.75" customHeight="1" x14ac:dyDescent="0.35">
      <c r="A484" s="631">
        <v>18</v>
      </c>
      <c r="B484" s="100" t="s">
        <v>2741</v>
      </c>
      <c r="C484" s="73">
        <v>11</v>
      </c>
      <c r="D484" s="1782"/>
      <c r="E484" s="52">
        <v>204</v>
      </c>
      <c r="F484" s="32">
        <v>1</v>
      </c>
      <c r="G484" s="6"/>
      <c r="H484" s="6"/>
      <c r="I484" s="20">
        <f t="shared" si="16"/>
        <v>0</v>
      </c>
      <c r="J484" s="616">
        <v>40000</v>
      </c>
      <c r="K484" s="703"/>
      <c r="L484" s="22">
        <f t="shared" si="18"/>
        <v>0</v>
      </c>
      <c r="M484" s="22"/>
      <c r="N484" s="72"/>
      <c r="O484" s="15"/>
    </row>
    <row r="485" spans="1:15" ht="15.75" customHeight="1" x14ac:dyDescent="0.35">
      <c r="A485" s="631">
        <v>19</v>
      </c>
      <c r="B485" s="100" t="s">
        <v>2742</v>
      </c>
      <c r="C485" s="73">
        <v>0.4</v>
      </c>
      <c r="D485" s="1782"/>
      <c r="E485" s="52" t="s">
        <v>2743</v>
      </c>
      <c r="F485" s="32">
        <v>1</v>
      </c>
      <c r="G485" s="6">
        <v>577.6</v>
      </c>
      <c r="H485" s="6">
        <v>601.78</v>
      </c>
      <c r="I485" s="20">
        <f t="shared" si="16"/>
        <v>24.17999999999995</v>
      </c>
      <c r="J485" s="616">
        <v>100</v>
      </c>
      <c r="K485" s="703"/>
      <c r="L485" s="22">
        <f t="shared" si="18"/>
        <v>2417.999999999995</v>
      </c>
      <c r="M485" s="22"/>
      <c r="N485" s="72" t="s">
        <v>114</v>
      </c>
      <c r="O485" s="15"/>
    </row>
    <row r="486" spans="1:15" ht="15.75" customHeight="1" x14ac:dyDescent="0.35">
      <c r="A486" s="631">
        <v>20</v>
      </c>
      <c r="B486" s="100" t="s">
        <v>2744</v>
      </c>
      <c r="C486" s="73">
        <v>0.41499999999999998</v>
      </c>
      <c r="D486" s="1783"/>
      <c r="E486" s="52" t="s">
        <v>2745</v>
      </c>
      <c r="F486" s="32">
        <v>1</v>
      </c>
      <c r="G486" s="6">
        <v>119.59</v>
      </c>
      <c r="H486" s="6">
        <v>119.59</v>
      </c>
      <c r="I486" s="20">
        <f t="shared" si="16"/>
        <v>0</v>
      </c>
      <c r="J486" s="616">
        <v>100</v>
      </c>
      <c r="K486" s="703"/>
      <c r="L486" s="22">
        <f t="shared" si="18"/>
        <v>0</v>
      </c>
      <c r="M486" s="22"/>
      <c r="N486" s="72" t="s">
        <v>114</v>
      </c>
      <c r="O486" s="15"/>
    </row>
    <row r="487" spans="1:15" ht="28" x14ac:dyDescent="0.35">
      <c r="A487" s="636"/>
      <c r="B487" s="96"/>
      <c r="C487" s="90"/>
      <c r="D487" s="90"/>
      <c r="E487" s="90"/>
      <c r="F487" s="38"/>
      <c r="G487" s="38"/>
      <c r="H487" s="38"/>
      <c r="I487" s="38"/>
      <c r="J487" s="53" t="s">
        <v>44</v>
      </c>
      <c r="K487" s="43">
        <f>M467</f>
        <v>0</v>
      </c>
      <c r="L487" s="43">
        <f>SUM(L469:L486)</f>
        <v>4362417.9999999981</v>
      </c>
      <c r="M487" s="43">
        <f>SUM(M469:M486)</f>
        <v>0</v>
      </c>
      <c r="N487" s="84">
        <f>(M487-L487)/L487*100</f>
        <v>-100</v>
      </c>
      <c r="O487" s="29"/>
    </row>
    <row r="489" spans="1:15" ht="15" x14ac:dyDescent="0.35">
      <c r="A489" s="620"/>
      <c r="B489" s="635"/>
      <c r="C489" s="632"/>
      <c r="D489" s="720"/>
      <c r="F489" s="2092" t="s">
        <v>1099</v>
      </c>
      <c r="G489" s="2092"/>
      <c r="H489" s="2092"/>
      <c r="I489" s="677" t="s">
        <v>14</v>
      </c>
      <c r="J489" s="620"/>
      <c r="K489" s="702"/>
      <c r="L489" s="620"/>
      <c r="M489" s="620"/>
      <c r="N489" s="632"/>
      <c r="O489" s="620"/>
    </row>
    <row r="490" spans="1:15" ht="15.5" x14ac:dyDescent="0.35">
      <c r="A490" s="620"/>
      <c r="B490" s="635"/>
      <c r="C490" s="632"/>
      <c r="D490" s="720"/>
      <c r="F490" s="2153" t="s">
        <v>232</v>
      </c>
      <c r="G490" s="2154"/>
      <c r="H490" s="2155"/>
      <c r="I490" s="643">
        <f>SUM(M469:M477,M480)</f>
        <v>0</v>
      </c>
      <c r="J490" s="620"/>
      <c r="K490" s="702"/>
      <c r="L490" s="620"/>
      <c r="M490" s="620"/>
      <c r="N490" s="632"/>
      <c r="O490" s="620" t="s">
        <v>237</v>
      </c>
    </row>
    <row r="491" spans="1:15" ht="15.5" x14ac:dyDescent="0.35">
      <c r="A491" s="620"/>
      <c r="B491" s="635"/>
      <c r="C491" s="632"/>
      <c r="D491" s="720"/>
      <c r="F491" s="2153" t="s">
        <v>268</v>
      </c>
      <c r="G491" s="2154"/>
      <c r="H491" s="2155"/>
      <c r="I491" s="643">
        <f>SUM(M478:M479,M481,M483,M484,M486)</f>
        <v>0</v>
      </c>
      <c r="J491" s="620"/>
      <c r="K491" s="702"/>
      <c r="L491" s="620"/>
      <c r="M491" s="620"/>
      <c r="N491" s="632"/>
      <c r="O491" s="620"/>
    </row>
    <row r="492" spans="1:15" ht="16" thickBot="1" x14ac:dyDescent="0.4">
      <c r="A492" s="620"/>
      <c r="B492" s="635"/>
      <c r="C492" s="632"/>
      <c r="D492" s="720"/>
      <c r="F492" s="2153" t="s">
        <v>269</v>
      </c>
      <c r="G492" s="2154"/>
      <c r="H492" s="2155"/>
      <c r="I492" s="643">
        <f>SUM(M482,M485)</f>
        <v>0</v>
      </c>
      <c r="J492" s="620"/>
      <c r="K492" s="702"/>
      <c r="L492" s="620"/>
      <c r="M492" s="620"/>
      <c r="N492" s="632"/>
      <c r="O492" s="620"/>
    </row>
    <row r="493" spans="1:15" ht="20.5" thickBot="1" x14ac:dyDescent="0.4">
      <c r="A493" s="620"/>
      <c r="B493" s="635"/>
      <c r="C493" s="632"/>
      <c r="D493" s="720"/>
      <c r="E493" s="632"/>
      <c r="F493" s="2156" t="s">
        <v>210</v>
      </c>
      <c r="G493" s="2156"/>
      <c r="H493" s="2156"/>
      <c r="I493" s="656">
        <f>SUM(I490:I492)</f>
        <v>0</v>
      </c>
      <c r="J493" s="682">
        <f>I493-M487</f>
        <v>0</v>
      </c>
      <c r="K493" s="702"/>
      <c r="L493" s="620"/>
      <c r="M493" s="620"/>
      <c r="N493" s="632"/>
      <c r="O493" s="620"/>
    </row>
    <row r="495" spans="1:15" x14ac:dyDescent="0.35">
      <c r="A495" s="620"/>
      <c r="B495" s="635"/>
      <c r="C495" s="632"/>
      <c r="D495" s="720"/>
      <c r="E495" s="632"/>
      <c r="F495" s="620"/>
      <c r="G495" s="620"/>
      <c r="H495" s="620"/>
      <c r="I495" s="620"/>
      <c r="J495" s="620"/>
      <c r="K495" s="702"/>
      <c r="L495" s="620"/>
      <c r="M495" s="620"/>
      <c r="N495" s="632"/>
      <c r="O495" s="620"/>
    </row>
    <row r="496" spans="1:15" x14ac:dyDescent="0.35">
      <c r="A496" s="620"/>
      <c r="B496" s="635"/>
      <c r="C496" s="632"/>
      <c r="D496" s="720"/>
      <c r="E496" s="632"/>
      <c r="F496" s="620"/>
      <c r="G496" s="620"/>
      <c r="H496" s="620"/>
      <c r="I496" s="620"/>
      <c r="J496" s="620"/>
      <c r="K496" s="702"/>
      <c r="L496" s="620"/>
      <c r="M496" s="620"/>
      <c r="N496" s="632"/>
      <c r="O496" s="620"/>
    </row>
    <row r="497" spans="1:15" x14ac:dyDescent="0.35">
      <c r="A497" s="620"/>
      <c r="B497" s="635"/>
      <c r="C497" s="632"/>
      <c r="D497" s="720"/>
      <c r="E497" s="632"/>
      <c r="F497" s="620"/>
      <c r="G497" s="620"/>
      <c r="H497" s="620"/>
      <c r="I497" s="620"/>
      <c r="J497" s="620"/>
      <c r="K497" s="702"/>
      <c r="L497" s="620"/>
      <c r="M497" s="620"/>
      <c r="N497" s="632"/>
      <c r="O497" s="620"/>
    </row>
    <row r="498" spans="1:15" x14ac:dyDescent="0.35">
      <c r="A498" s="620"/>
      <c r="B498" s="635"/>
      <c r="C498" s="632"/>
      <c r="D498" s="720"/>
      <c r="E498" s="632"/>
      <c r="F498" s="620"/>
      <c r="G498" s="620"/>
      <c r="H498" s="620"/>
      <c r="I498" s="620"/>
      <c r="J498" s="620"/>
      <c r="K498" s="702"/>
      <c r="L498" s="620"/>
      <c r="M498" s="620"/>
      <c r="N498" s="632"/>
      <c r="O498" s="620"/>
    </row>
    <row r="499" spans="1:15" x14ac:dyDescent="0.35">
      <c r="A499" s="620"/>
      <c r="B499" s="635"/>
      <c r="C499" s="632"/>
      <c r="D499" s="720"/>
      <c r="E499" s="632"/>
      <c r="F499" s="620"/>
      <c r="G499" s="620"/>
      <c r="H499" s="620"/>
      <c r="I499" s="620"/>
      <c r="J499" s="620"/>
      <c r="K499" s="702"/>
      <c r="L499" s="620"/>
      <c r="M499" s="620"/>
      <c r="N499" s="632"/>
      <c r="O499" s="620"/>
    </row>
    <row r="500" spans="1:15" x14ac:dyDescent="0.35">
      <c r="A500" s="620"/>
      <c r="B500" s="632"/>
      <c r="C500" s="632"/>
      <c r="D500" s="720"/>
      <c r="E500" s="632"/>
      <c r="F500" s="620"/>
      <c r="G500" s="620"/>
      <c r="H500" s="620"/>
      <c r="I500" s="620"/>
      <c r="J500" s="620"/>
      <c r="K500" s="702"/>
      <c r="L500" s="620"/>
      <c r="M500" s="620"/>
      <c r="N500" s="632"/>
      <c r="O500" s="620"/>
    </row>
    <row r="501" spans="1:15" x14ac:dyDescent="0.35">
      <c r="A501" s="620"/>
      <c r="B501" s="632"/>
      <c r="C501" s="632"/>
      <c r="D501" s="720"/>
      <c r="E501" s="632"/>
      <c r="F501" s="620"/>
      <c r="G501" s="620"/>
      <c r="H501" s="620"/>
      <c r="I501" s="620"/>
      <c r="J501" s="620"/>
      <c r="K501" s="702"/>
      <c r="L501" s="620"/>
      <c r="M501" s="620"/>
      <c r="N501" s="632"/>
      <c r="O501" s="620"/>
    </row>
    <row r="502" spans="1:15" x14ac:dyDescent="0.35">
      <c r="A502" s="620"/>
      <c r="B502" s="635"/>
      <c r="C502" s="632"/>
      <c r="D502" s="720"/>
      <c r="E502" s="632"/>
      <c r="F502" s="620"/>
      <c r="G502" s="620"/>
      <c r="H502" s="620"/>
      <c r="I502" s="620"/>
      <c r="J502" s="620"/>
      <c r="K502" s="702"/>
      <c r="L502" s="620"/>
      <c r="M502" s="620"/>
      <c r="N502" s="632"/>
      <c r="O502" s="620"/>
    </row>
    <row r="503" spans="1:15" x14ac:dyDescent="0.35">
      <c r="A503" s="620"/>
      <c r="B503" s="635"/>
      <c r="C503" s="632"/>
      <c r="D503" s="720"/>
      <c r="E503" s="632"/>
      <c r="F503" s="620"/>
      <c r="G503" s="620"/>
      <c r="H503" s="620"/>
      <c r="I503" s="620"/>
      <c r="J503" s="620"/>
      <c r="K503" s="702"/>
      <c r="L503" s="620"/>
      <c r="M503" s="620"/>
      <c r="N503" s="632"/>
      <c r="O503" s="620"/>
    </row>
    <row r="504" spans="1:15" x14ac:dyDescent="0.35">
      <c r="A504" s="620"/>
      <c r="B504" s="635"/>
      <c r="C504" s="632"/>
      <c r="D504" s="720"/>
      <c r="E504" s="632"/>
      <c r="F504" s="620"/>
      <c r="G504" s="620"/>
      <c r="H504" s="620"/>
      <c r="I504" s="620"/>
      <c r="J504" s="620"/>
      <c r="K504" s="702"/>
      <c r="L504" s="620"/>
      <c r="M504" s="620"/>
      <c r="N504" s="632"/>
      <c r="O504" s="620"/>
    </row>
    <row r="505" spans="1:15" ht="25" x14ac:dyDescent="0.35">
      <c r="A505" s="28"/>
      <c r="B505" s="2152"/>
      <c r="C505" s="2152"/>
      <c r="D505" s="2152"/>
      <c r="E505" s="2152"/>
      <c r="F505" s="2152"/>
      <c r="G505" s="2152"/>
      <c r="H505" s="2152"/>
      <c r="I505" s="2152"/>
      <c r="J505" s="2152"/>
      <c r="K505" s="2152"/>
      <c r="L505" s="2152"/>
      <c r="M505" s="2152"/>
      <c r="N505" s="632"/>
      <c r="O505" s="620"/>
    </row>
    <row r="506" spans="1:15" x14ac:dyDescent="0.35">
      <c r="A506" s="620"/>
      <c r="B506" s="635"/>
      <c r="C506" s="632"/>
      <c r="D506" s="720"/>
      <c r="E506" s="632"/>
      <c r="F506" s="620"/>
      <c r="G506" s="620"/>
      <c r="H506" s="620"/>
      <c r="I506" s="620"/>
      <c r="J506" s="620"/>
      <c r="K506" s="702"/>
      <c r="L506" s="620"/>
      <c r="M506" s="620"/>
      <c r="N506" s="632"/>
      <c r="O506" s="620"/>
    </row>
    <row r="507" spans="1:15" x14ac:dyDescent="0.35">
      <c r="A507" s="620"/>
      <c r="B507" s="635"/>
      <c r="C507" s="632"/>
      <c r="D507" s="720"/>
      <c r="E507" s="632"/>
      <c r="F507" s="620"/>
      <c r="G507" s="620"/>
      <c r="H507" s="620"/>
      <c r="I507" s="620"/>
      <c r="J507" s="620"/>
      <c r="K507" s="702"/>
      <c r="L507" s="620"/>
      <c r="M507" s="620"/>
      <c r="N507" s="632"/>
      <c r="O507" s="620"/>
    </row>
    <row r="508" spans="1:15" ht="25" x14ac:dyDescent="0.35">
      <c r="A508" s="2095" t="s">
        <v>4630</v>
      </c>
      <c r="B508" s="2095"/>
      <c r="C508" s="2095"/>
      <c r="D508" s="2095"/>
      <c r="E508" s="2095"/>
      <c r="F508" s="2095"/>
      <c r="G508" s="2095"/>
      <c r="H508" s="2095"/>
      <c r="I508" s="2095"/>
      <c r="J508" s="2095"/>
      <c r="K508" s="2095"/>
      <c r="L508" s="2095"/>
      <c r="M508" s="2095"/>
      <c r="N508" s="2095"/>
      <c r="O508" s="756" t="e">
        <f>$O$6</f>
        <v>#REF!</v>
      </c>
    </row>
    <row r="509" spans="1:15" ht="15.5" x14ac:dyDescent="0.35">
      <c r="A509" s="2096" t="s">
        <v>0</v>
      </c>
      <c r="B509" s="2098" t="s">
        <v>1</v>
      </c>
      <c r="C509" s="2100" t="s">
        <v>2</v>
      </c>
      <c r="D509" s="2101"/>
      <c r="E509" s="2102"/>
      <c r="F509" s="2103" t="s">
        <v>3</v>
      </c>
      <c r="G509" s="2100" t="s">
        <v>4</v>
      </c>
      <c r="H509" s="2102"/>
      <c r="I509" s="2085"/>
      <c r="J509" s="2103" t="s">
        <v>5</v>
      </c>
      <c r="K509" s="2100" t="s">
        <v>6</v>
      </c>
      <c r="L509" s="2085"/>
      <c r="M509" s="97" t="s">
        <v>32</v>
      </c>
      <c r="N509" s="98"/>
      <c r="O509" s="2084" t="s">
        <v>7</v>
      </c>
    </row>
    <row r="510" spans="1:15" ht="15.5" x14ac:dyDescent="0.35">
      <c r="A510" s="2097"/>
      <c r="B510" s="2099"/>
      <c r="C510" s="2086" t="s">
        <v>1108</v>
      </c>
      <c r="D510" s="2087"/>
      <c r="E510" s="87" t="s">
        <v>9</v>
      </c>
      <c r="F510" s="2097"/>
      <c r="G510" s="2">
        <f>'NORTH-1'!$G$8</f>
        <v>44774</v>
      </c>
      <c r="H510" s="2">
        <f>'NORTH-1'!$H$8</f>
        <v>44805</v>
      </c>
      <c r="I510" s="1" t="s">
        <v>10</v>
      </c>
      <c r="J510" s="2097"/>
      <c r="K510" s="1" t="s">
        <v>11</v>
      </c>
      <c r="L510" s="1" t="s">
        <v>12</v>
      </c>
      <c r="M510" s="617" t="s">
        <v>33</v>
      </c>
      <c r="N510" s="76" t="s">
        <v>47</v>
      </c>
      <c r="O510" s="2085"/>
    </row>
    <row r="511" spans="1:15" ht="15.5" x14ac:dyDescent="0.35">
      <c r="A511" s="3">
        <v>1</v>
      </c>
      <c r="B511" s="88">
        <v>2</v>
      </c>
      <c r="C511" s="2088">
        <v>4</v>
      </c>
      <c r="D511" s="2089"/>
      <c r="E511" s="88">
        <v>5</v>
      </c>
      <c r="F511" s="3">
        <v>7</v>
      </c>
      <c r="G511" s="3">
        <v>8</v>
      </c>
      <c r="H511" s="3">
        <v>9</v>
      </c>
      <c r="I511" s="3" t="s">
        <v>13</v>
      </c>
      <c r="J511" s="3">
        <v>11</v>
      </c>
      <c r="K511" s="3" t="s">
        <v>19</v>
      </c>
      <c r="L511" s="3" t="s">
        <v>20</v>
      </c>
      <c r="M511" s="3">
        <v>14</v>
      </c>
      <c r="N511" s="77">
        <v>15</v>
      </c>
      <c r="O511" s="3">
        <v>16</v>
      </c>
    </row>
    <row r="512" spans="1:15" ht="15.5" x14ac:dyDescent="0.35">
      <c r="A512" s="631"/>
      <c r="B512" s="624" t="s">
        <v>4629</v>
      </c>
      <c r="C512" s="625"/>
      <c r="D512" s="625"/>
      <c r="E512" s="625"/>
      <c r="F512" s="625"/>
      <c r="G512" s="625"/>
      <c r="H512" s="625"/>
      <c r="I512" s="625"/>
      <c r="J512" s="625"/>
      <c r="K512" s="695"/>
      <c r="L512" s="625"/>
      <c r="M512" s="626"/>
      <c r="N512" s="627"/>
      <c r="O512" s="616"/>
    </row>
    <row r="513" spans="1:21" ht="15.5" x14ac:dyDescent="0.35">
      <c r="A513" s="11">
        <v>1</v>
      </c>
      <c r="B513" s="100" t="s">
        <v>2746</v>
      </c>
      <c r="C513" s="52">
        <v>132</v>
      </c>
      <c r="D513" s="2105" t="s">
        <v>698</v>
      </c>
      <c r="E513" s="52">
        <v>41812909556</v>
      </c>
      <c r="F513" s="4">
        <v>1</v>
      </c>
      <c r="G513" s="21">
        <v>22.56</v>
      </c>
      <c r="H513" s="21">
        <v>23.93</v>
      </c>
      <c r="I513" s="20">
        <f>H513-G513</f>
        <v>1.370000000000001</v>
      </c>
      <c r="J513" s="616">
        <v>1200000</v>
      </c>
      <c r="K513" s="696">
        <f>J513*I513*F513</f>
        <v>1644000.0000000012</v>
      </c>
      <c r="L513" s="22"/>
      <c r="M513" s="22"/>
      <c r="N513" s="82"/>
      <c r="O513" s="9"/>
    </row>
    <row r="514" spans="1:21" ht="15.5" x14ac:dyDescent="0.35">
      <c r="A514" s="631">
        <v>2</v>
      </c>
      <c r="B514" s="100" t="s">
        <v>2747</v>
      </c>
      <c r="C514" s="52">
        <v>132</v>
      </c>
      <c r="D514" s="2151"/>
      <c r="E514" s="52">
        <v>41812909559</v>
      </c>
      <c r="F514" s="4">
        <v>1</v>
      </c>
      <c r="G514" s="21">
        <v>64.61</v>
      </c>
      <c r="H514" s="21">
        <v>66.430000000000007</v>
      </c>
      <c r="I514" s="20">
        <f>H514-G514</f>
        <v>1.8200000000000074</v>
      </c>
      <c r="J514" s="616">
        <v>1200000</v>
      </c>
      <c r="K514" s="696">
        <f>J514*I514*F514</f>
        <v>2184000.0000000088</v>
      </c>
      <c r="L514" s="22"/>
      <c r="M514" s="22"/>
      <c r="N514" s="82"/>
      <c r="O514" s="616" t="s">
        <v>2748</v>
      </c>
      <c r="Q514">
        <f>K2948</f>
        <v>0</v>
      </c>
      <c r="U514" t="str">
        <f>B514</f>
        <v>132 KV Bangabhaban Circuit-2</v>
      </c>
    </row>
    <row r="515" spans="1:21" ht="15.5" x14ac:dyDescent="0.35">
      <c r="A515" s="631"/>
      <c r="B515" s="102"/>
      <c r="C515" s="91"/>
      <c r="D515" s="726"/>
      <c r="E515" s="91"/>
      <c r="F515" s="47"/>
      <c r="G515" s="48"/>
      <c r="H515" s="48"/>
      <c r="I515" s="48"/>
      <c r="J515" s="96" t="s">
        <v>30</v>
      </c>
      <c r="K515" s="43">
        <f>SUM(K513:K514)</f>
        <v>3828000.0000000102</v>
      </c>
      <c r="L515" s="43">
        <f>SUM(L513:L514)</f>
        <v>0</v>
      </c>
      <c r="M515" s="43">
        <f>SUM(M513:M514)</f>
        <v>0</v>
      </c>
      <c r="N515" s="646"/>
      <c r="O515" s="616"/>
    </row>
    <row r="516" spans="1:21" ht="15.5" x14ac:dyDescent="0.35">
      <c r="A516" s="616"/>
      <c r="B516" s="624" t="s">
        <v>4631</v>
      </c>
      <c r="C516" s="625"/>
      <c r="D516" s="625"/>
      <c r="E516" s="625"/>
      <c r="F516" s="625"/>
      <c r="G516" s="625"/>
      <c r="H516" s="625"/>
      <c r="I516" s="625"/>
      <c r="J516" s="732"/>
      <c r="K516" s="733"/>
      <c r="L516" s="734"/>
      <c r="M516" s="734"/>
      <c r="N516" s="627"/>
      <c r="O516" s="12"/>
    </row>
    <row r="517" spans="1:21" ht="15.5" x14ac:dyDescent="0.35">
      <c r="A517" s="616"/>
      <c r="B517" s="100"/>
      <c r="C517" s="52"/>
      <c r="D517" s="2105" t="s">
        <v>1084</v>
      </c>
      <c r="E517" s="52"/>
      <c r="F517" s="4"/>
      <c r="G517" s="21"/>
      <c r="H517" s="21"/>
      <c r="I517" s="20"/>
      <c r="J517" s="616"/>
      <c r="K517" s="696"/>
      <c r="L517" s="22"/>
      <c r="M517" s="22"/>
      <c r="N517" s="82"/>
      <c r="O517" s="12"/>
    </row>
    <row r="518" spans="1:21" ht="15.5" x14ac:dyDescent="0.35">
      <c r="A518" s="616"/>
      <c r="B518" s="100"/>
      <c r="C518" s="52"/>
      <c r="D518" s="2151"/>
      <c r="E518" s="52"/>
      <c r="F518" s="4"/>
      <c r="G518" s="21"/>
      <c r="H518" s="21"/>
      <c r="I518" s="20"/>
      <c r="J518" s="616"/>
      <c r="K518" s="696"/>
      <c r="L518" s="22"/>
      <c r="M518" s="22"/>
      <c r="N518" s="82"/>
      <c r="O518" s="12"/>
    </row>
    <row r="519" spans="1:21" ht="15.5" x14ac:dyDescent="0.35">
      <c r="A519" s="616"/>
      <c r="B519" s="102"/>
      <c r="C519" s="91"/>
      <c r="D519" s="726"/>
      <c r="E519" s="91"/>
      <c r="F519" s="47"/>
      <c r="G519" s="48"/>
      <c r="H519" s="48"/>
      <c r="I519" s="36"/>
      <c r="J519" s="96" t="s">
        <v>30</v>
      </c>
      <c r="K519" s="43">
        <f>K515</f>
        <v>3828000.0000000102</v>
      </c>
      <c r="L519" s="43">
        <f>SUM(L517:L518)</f>
        <v>0</v>
      </c>
      <c r="M519" s="43">
        <f>SUM(M517:M518)</f>
        <v>0</v>
      </c>
      <c r="N519" s="85"/>
      <c r="O519" s="12"/>
    </row>
    <row r="520" spans="1:21" ht="15.5" x14ac:dyDescent="0.35">
      <c r="A520" s="616"/>
      <c r="B520" s="647" t="s">
        <v>4632</v>
      </c>
      <c r="C520" s="648"/>
      <c r="D520" s="648"/>
      <c r="E520" s="648"/>
      <c r="F520" s="648"/>
      <c r="G520" s="648"/>
      <c r="H520" s="648"/>
      <c r="I520" s="648"/>
      <c r="J520" s="648"/>
      <c r="K520" s="700"/>
      <c r="L520" s="648"/>
      <c r="M520" s="651"/>
      <c r="N520" s="649"/>
      <c r="O520" s="8"/>
    </row>
    <row r="521" spans="1:21" ht="15.5" x14ac:dyDescent="0.35">
      <c r="A521" s="616"/>
      <c r="B521" s="100" t="s">
        <v>1079</v>
      </c>
      <c r="C521" s="52">
        <v>132</v>
      </c>
      <c r="D521" s="2138" t="s">
        <v>1083</v>
      </c>
      <c r="E521" s="615"/>
      <c r="F521" s="4"/>
      <c r="G521" s="5"/>
      <c r="H521" s="5"/>
      <c r="I521" s="5"/>
      <c r="J521" s="616"/>
      <c r="K521" s="696"/>
      <c r="L521" s="16">
        <f>J521*I521*F521</f>
        <v>0</v>
      </c>
      <c r="M521" s="7"/>
      <c r="N521" s="78"/>
      <c r="O521" s="616"/>
    </row>
    <row r="522" spans="1:21" ht="15.5" x14ac:dyDescent="0.35">
      <c r="A522" s="616"/>
      <c r="B522" s="100" t="s">
        <v>1078</v>
      </c>
      <c r="C522" s="52">
        <v>132</v>
      </c>
      <c r="D522" s="2139"/>
      <c r="E522" s="615"/>
      <c r="F522" s="4"/>
      <c r="G522" s="5"/>
      <c r="H522" s="5"/>
      <c r="I522" s="5"/>
      <c r="J522" s="616"/>
      <c r="K522" s="696"/>
      <c r="L522" s="16">
        <f>J522*I522*F522</f>
        <v>0</v>
      </c>
      <c r="M522" s="16"/>
      <c r="N522" s="79"/>
      <c r="O522" s="616"/>
    </row>
    <row r="523" spans="1:21" ht="15.5" x14ac:dyDescent="0.35">
      <c r="A523" s="616"/>
      <c r="B523" s="95"/>
      <c r="C523" s="89"/>
      <c r="D523" s="89"/>
      <c r="E523" s="89"/>
      <c r="F523" s="37"/>
      <c r="G523" s="37"/>
      <c r="H523" s="37"/>
      <c r="I523" s="37"/>
      <c r="J523" s="95" t="s">
        <v>279</v>
      </c>
      <c r="K523" s="699"/>
      <c r="L523" s="55">
        <f>SUM(L521:L522)</f>
        <v>0</v>
      </c>
      <c r="M523" s="633"/>
      <c r="N523" s="634"/>
      <c r="O523" s="616"/>
    </row>
    <row r="524" spans="1:21" ht="15.5" x14ac:dyDescent="0.35">
      <c r="A524" s="616"/>
      <c r="B524" s="102"/>
      <c r="C524" s="91"/>
      <c r="D524" s="726"/>
      <c r="E524" s="91"/>
      <c r="F524" s="47"/>
      <c r="G524" s="48"/>
      <c r="H524" s="48"/>
      <c r="I524" s="36"/>
      <c r="J524" s="96"/>
      <c r="K524" s="706"/>
      <c r="L524" s="43"/>
      <c r="M524" s="43"/>
      <c r="N524" s="85"/>
      <c r="O524" s="12"/>
    </row>
    <row r="525" spans="1:21" ht="15.5" x14ac:dyDescent="0.35">
      <c r="A525" s="636"/>
      <c r="B525" s="647" t="s">
        <v>4633</v>
      </c>
      <c r="C525" s="648"/>
      <c r="D525" s="648"/>
      <c r="E525" s="648"/>
      <c r="F525" s="648"/>
      <c r="G525" s="648"/>
      <c r="H525" s="648"/>
      <c r="I525" s="648"/>
      <c r="J525" s="50"/>
      <c r="K525" s="710"/>
      <c r="L525" s="51"/>
      <c r="M525" s="51"/>
      <c r="N525" s="649"/>
      <c r="O525" s="12"/>
    </row>
    <row r="526" spans="1:21" ht="15.5" x14ac:dyDescent="0.35">
      <c r="A526" s="616"/>
      <c r="B526" s="100"/>
      <c r="C526" s="52"/>
      <c r="D526" s="2140" t="s">
        <v>1085</v>
      </c>
      <c r="E526" s="52"/>
      <c r="F526" s="4"/>
      <c r="G526" s="21"/>
      <c r="H526" s="21"/>
      <c r="I526" s="21"/>
      <c r="J526" s="31"/>
      <c r="K526" s="707"/>
      <c r="L526" s="16">
        <f>J526*I526*F526</f>
        <v>0</v>
      </c>
      <c r="M526" s="22"/>
      <c r="N526" s="83"/>
      <c r="O526" s="12"/>
    </row>
    <row r="527" spans="1:21" ht="15.5" x14ac:dyDescent="0.35">
      <c r="A527" s="616"/>
      <c r="B527" s="100"/>
      <c r="C527" s="52"/>
      <c r="D527" s="2157"/>
      <c r="E527" s="52"/>
      <c r="F527" s="4"/>
      <c r="G527" s="21"/>
      <c r="H527" s="21"/>
      <c r="I527" s="21"/>
      <c r="J527" s="31"/>
      <c r="K527" s="707"/>
      <c r="L527" s="16">
        <f>J527*I527*F527</f>
        <v>0</v>
      </c>
      <c r="M527" s="22"/>
      <c r="N527" s="83"/>
      <c r="O527" s="12"/>
    </row>
    <row r="528" spans="1:21" ht="15" x14ac:dyDescent="0.35">
      <c r="A528" s="636"/>
      <c r="B528" s="96"/>
      <c r="C528" s="90"/>
      <c r="D528" s="90"/>
      <c r="E528" s="90"/>
      <c r="F528" s="38"/>
      <c r="G528" s="38"/>
      <c r="H528" s="38"/>
      <c r="I528" s="38"/>
      <c r="J528" s="96" t="s">
        <v>30</v>
      </c>
      <c r="K528" s="708"/>
      <c r="L528" s="43">
        <f>K515</f>
        <v>3828000.0000000102</v>
      </c>
      <c r="M528" s="43">
        <f>SUM(M526:M527)</f>
        <v>0</v>
      </c>
      <c r="N528" s="650"/>
      <c r="O528" s="12"/>
    </row>
    <row r="529" spans="1:15" ht="15.5" thickBot="1" x14ac:dyDescent="0.4">
      <c r="A529" s="702"/>
      <c r="B529" s="736"/>
      <c r="C529" s="92"/>
      <c r="D529" s="92"/>
      <c r="E529" s="92"/>
      <c r="F529" s="737"/>
      <c r="G529" s="737"/>
      <c r="H529" s="737"/>
      <c r="I529" s="737"/>
      <c r="J529" s="736"/>
      <c r="K529" s="738"/>
      <c r="L529" s="739"/>
      <c r="M529" s="739"/>
      <c r="N529" s="646"/>
      <c r="O529" s="740"/>
    </row>
    <row r="530" spans="1:15" s="620" customFormat="1" x14ac:dyDescent="0.35">
      <c r="B530" s="2142" t="s">
        <v>1090</v>
      </c>
      <c r="C530" s="2143"/>
      <c r="D530" s="683" t="s">
        <v>14</v>
      </c>
      <c r="E530"/>
      <c r="F530" s="2144" t="s">
        <v>1091</v>
      </c>
      <c r="G530" s="2145"/>
      <c r="H530" s="2146"/>
      <c r="I530" s="683" t="s">
        <v>14</v>
      </c>
      <c r="K530" s="2147" t="s">
        <v>1092</v>
      </c>
      <c r="L530" s="2148"/>
      <c r="M530" s="684" t="s">
        <v>14</v>
      </c>
      <c r="N530" s="632"/>
    </row>
    <row r="531" spans="1:15" s="620" customFormat="1" x14ac:dyDescent="0.35">
      <c r="B531" s="2122" t="str">
        <f>B512</f>
        <v>33 KV SIDE (SENDING)</v>
      </c>
      <c r="C531" s="2123"/>
      <c r="D531" s="689">
        <f>K515</f>
        <v>3828000.0000000102</v>
      </c>
      <c r="E531"/>
      <c r="F531" s="2124" t="s">
        <v>1093</v>
      </c>
      <c r="G531" s="2125"/>
      <c r="H531" s="2126"/>
      <c r="I531" s="689">
        <f>L523</f>
        <v>0</v>
      </c>
      <c r="K531" s="2129" t="s">
        <v>4625</v>
      </c>
      <c r="L531" s="2130"/>
      <c r="M531" s="687">
        <f>I532</f>
        <v>3828000.0000000102</v>
      </c>
      <c r="N531" s="632"/>
    </row>
    <row r="532" spans="1:15" s="620" customFormat="1" x14ac:dyDescent="0.35">
      <c r="B532" s="2122" t="s">
        <v>1116</v>
      </c>
      <c r="C532" s="2123"/>
      <c r="D532" s="689"/>
      <c r="E532"/>
      <c r="F532" s="2124" t="s">
        <v>4625</v>
      </c>
      <c r="G532" s="2125"/>
      <c r="H532" s="2126"/>
      <c r="I532" s="687">
        <f>L528</f>
        <v>3828000.0000000102</v>
      </c>
      <c r="K532" s="2127" t="s">
        <v>2455</v>
      </c>
      <c r="L532" s="2128"/>
      <c r="M532" s="1908">
        <f>D536</f>
        <v>3807500</v>
      </c>
      <c r="N532" s="632"/>
    </row>
    <row r="533" spans="1:15" s="620" customFormat="1" x14ac:dyDescent="0.35">
      <c r="B533" s="2122" t="s">
        <v>1117</v>
      </c>
      <c r="C533" s="2123"/>
      <c r="D533" s="689"/>
      <c r="E533"/>
      <c r="F533" s="2124" t="s">
        <v>1089</v>
      </c>
      <c r="G533" s="2125"/>
      <c r="H533" s="2126"/>
      <c r="I533" s="689">
        <f>I531+I532</f>
        <v>3828000.0000000102</v>
      </c>
      <c r="K533" s="2129" t="s">
        <v>4622</v>
      </c>
      <c r="L533" s="2130"/>
      <c r="M533" s="689">
        <f>M531-M532</f>
        <v>20500.000000010245</v>
      </c>
      <c r="N533" s="632"/>
    </row>
    <row r="534" spans="1:15" s="620" customFormat="1" ht="15" thickBot="1" x14ac:dyDescent="0.4">
      <c r="B534" s="2122" t="s">
        <v>1118</v>
      </c>
      <c r="C534" s="2123"/>
      <c r="D534" s="722"/>
      <c r="E534"/>
      <c r="F534" s="2131" t="s">
        <v>4626</v>
      </c>
      <c r="G534" s="2132"/>
      <c r="H534" s="2133"/>
      <c r="I534" s="689">
        <f>D535-I533</f>
        <v>0</v>
      </c>
      <c r="K534" s="2134" t="s">
        <v>285</v>
      </c>
      <c r="L534" s="2135"/>
      <c r="M534" s="1905">
        <f>M533/M531</f>
        <v>5.3552769070037065E-3</v>
      </c>
      <c r="N534" s="632"/>
    </row>
    <row r="535" spans="1:15" s="620" customFormat="1" ht="15" thickBot="1" x14ac:dyDescent="0.4">
      <c r="B535" s="2109" t="s">
        <v>4620</v>
      </c>
      <c r="C535" s="2110"/>
      <c r="D535" s="1435">
        <f>SUM(D531:D534)</f>
        <v>3828000.0000000102</v>
      </c>
      <c r="E535"/>
      <c r="F535" s="2113" t="s">
        <v>2454</v>
      </c>
      <c r="G535" s="2114"/>
      <c r="H535" s="2115"/>
      <c r="I535" s="1904">
        <f>I534/I533</f>
        <v>0</v>
      </c>
      <c r="K535" s="702"/>
      <c r="N535" s="632"/>
    </row>
    <row r="536" spans="1:15" s="620" customFormat="1" x14ac:dyDescent="0.35">
      <c r="B536" s="2116" t="s">
        <v>4624</v>
      </c>
      <c r="C536" s="2117"/>
      <c r="D536" s="1908">
        <f>K549</f>
        <v>3807500</v>
      </c>
      <c r="E536"/>
      <c r="F536" s="791"/>
      <c r="G536"/>
      <c r="H536"/>
      <c r="I536"/>
      <c r="J536"/>
      <c r="K536" s="702"/>
      <c r="N536" s="632"/>
    </row>
    <row r="537" spans="1:15" s="620" customFormat="1" x14ac:dyDescent="0.35">
      <c r="B537" s="2118" t="s">
        <v>4627</v>
      </c>
      <c r="C537" s="2119"/>
      <c r="D537" s="1436">
        <f>D535-D536</f>
        <v>20500.000000010245</v>
      </c>
      <c r="E537"/>
      <c r="F537" s="791"/>
      <c r="G537"/>
      <c r="H537"/>
      <c r="I537"/>
      <c r="J537"/>
      <c r="K537" s="702"/>
      <c r="N537" s="632"/>
    </row>
    <row r="538" spans="1:15" s="620" customFormat="1" ht="15" thickBot="1" x14ac:dyDescent="0.4">
      <c r="B538" s="2120" t="str">
        <f>K534</f>
        <v>LOSS % IN =&gt;</v>
      </c>
      <c r="C538" s="2121"/>
      <c r="D538" s="1899">
        <f>D537/D531</f>
        <v>5.3552769070037065E-3</v>
      </c>
      <c r="E538"/>
      <c r="F538" s="791"/>
      <c r="G538" s="678"/>
      <c r="H538" s="678"/>
      <c r="I538" s="678"/>
      <c r="J538" s="679"/>
      <c r="K538" s="702"/>
      <c r="N538" s="632"/>
    </row>
    <row r="539" spans="1:15" ht="15" x14ac:dyDescent="0.35">
      <c r="A539" s="702"/>
      <c r="B539" s="736"/>
      <c r="C539" s="92"/>
      <c r="D539" s="92"/>
      <c r="E539" s="92"/>
      <c r="F539" s="737"/>
      <c r="G539" s="737"/>
      <c r="H539" s="737"/>
      <c r="I539" s="737"/>
      <c r="J539" s="736"/>
      <c r="K539" s="738"/>
      <c r="L539" s="739"/>
      <c r="M539" s="739"/>
      <c r="N539" s="646"/>
      <c r="O539" s="740"/>
    </row>
    <row r="540" spans="1:15" x14ac:dyDescent="0.35">
      <c r="A540" s="620"/>
      <c r="B540" s="632"/>
      <c r="C540" s="620"/>
      <c r="D540" s="728"/>
      <c r="E540" s="620"/>
      <c r="F540" s="620"/>
      <c r="G540" s="620"/>
      <c r="H540" s="620"/>
      <c r="I540" s="620"/>
      <c r="J540" s="620"/>
      <c r="K540" s="702"/>
      <c r="L540" s="620"/>
      <c r="M540" s="620"/>
      <c r="N540" s="620"/>
      <c r="O540" s="620"/>
    </row>
    <row r="541" spans="1:15" x14ac:dyDescent="0.35">
      <c r="A541" s="620"/>
      <c r="B541" s="632"/>
      <c r="C541" s="620"/>
      <c r="D541" s="728"/>
      <c r="E541" s="620"/>
      <c r="F541" s="620"/>
      <c r="G541" s="620"/>
      <c r="H541" s="620"/>
      <c r="I541" s="620"/>
      <c r="J541" s="620"/>
      <c r="K541" s="702"/>
      <c r="L541" s="620"/>
      <c r="M541" s="620"/>
      <c r="N541" s="620"/>
      <c r="O541" s="620"/>
    </row>
    <row r="542" spans="1:15" ht="25" x14ac:dyDescent="0.35">
      <c r="A542" s="2095" t="s">
        <v>1307</v>
      </c>
      <c r="B542" s="2095"/>
      <c r="C542" s="2095"/>
      <c r="D542" s="2095"/>
      <c r="E542" s="2095"/>
      <c r="F542" s="2095"/>
      <c r="G542" s="2095"/>
      <c r="H542" s="2095"/>
      <c r="I542" s="2095"/>
      <c r="J542" s="2095"/>
      <c r="K542" s="2095"/>
      <c r="L542" s="2095"/>
      <c r="M542" s="2095"/>
      <c r="N542" s="2095"/>
      <c r="O542" s="756" t="e">
        <f>$O$6</f>
        <v>#REF!</v>
      </c>
    </row>
    <row r="543" spans="1:15" ht="15.5" x14ac:dyDescent="0.35">
      <c r="A543" s="2096" t="s">
        <v>0</v>
      </c>
      <c r="B543" s="2098" t="s">
        <v>1</v>
      </c>
      <c r="C543" s="2100" t="s">
        <v>2</v>
      </c>
      <c r="D543" s="2101"/>
      <c r="E543" s="2102"/>
      <c r="F543" s="2103" t="s">
        <v>3</v>
      </c>
      <c r="G543" s="2100" t="s">
        <v>4</v>
      </c>
      <c r="H543" s="2102"/>
      <c r="I543" s="2085"/>
      <c r="J543" s="2103" t="s">
        <v>5</v>
      </c>
      <c r="K543" s="2100" t="s">
        <v>6</v>
      </c>
      <c r="L543" s="2085"/>
      <c r="M543" s="97" t="s">
        <v>32</v>
      </c>
      <c r="N543" s="98"/>
      <c r="O543" s="2084" t="s">
        <v>7</v>
      </c>
    </row>
    <row r="544" spans="1:15" ht="15.5" x14ac:dyDescent="0.35">
      <c r="A544" s="2097"/>
      <c r="B544" s="2099"/>
      <c r="C544" s="2086" t="s">
        <v>1108</v>
      </c>
      <c r="D544" s="2087"/>
      <c r="E544" s="87" t="s">
        <v>9</v>
      </c>
      <c r="F544" s="2097"/>
      <c r="G544" s="2">
        <f>'NORTH-1'!$G$8</f>
        <v>44774</v>
      </c>
      <c r="H544" s="2">
        <f>'NORTH-1'!$H$8</f>
        <v>44805</v>
      </c>
      <c r="I544" s="1" t="s">
        <v>10</v>
      </c>
      <c r="J544" s="2097"/>
      <c r="K544" s="1" t="s">
        <v>11</v>
      </c>
      <c r="L544" s="1" t="s">
        <v>12</v>
      </c>
      <c r="M544" s="617" t="s">
        <v>33</v>
      </c>
      <c r="N544" s="76" t="s">
        <v>47</v>
      </c>
      <c r="O544" s="2085"/>
    </row>
    <row r="545" spans="1:16" ht="15.5" x14ac:dyDescent="0.35">
      <c r="A545" s="3">
        <v>1</v>
      </c>
      <c r="B545" s="88">
        <v>2</v>
      </c>
      <c r="C545" s="2088">
        <v>4</v>
      </c>
      <c r="D545" s="2089"/>
      <c r="E545" s="88">
        <v>5</v>
      </c>
      <c r="F545" s="3">
        <v>7</v>
      </c>
      <c r="G545" s="3">
        <v>8</v>
      </c>
      <c r="H545" s="3">
        <v>9</v>
      </c>
      <c r="I545" s="3" t="s">
        <v>13</v>
      </c>
      <c r="J545" s="3">
        <v>11</v>
      </c>
      <c r="K545" s="3" t="s">
        <v>19</v>
      </c>
      <c r="L545" s="3" t="s">
        <v>20</v>
      </c>
      <c r="M545" s="3">
        <v>14</v>
      </c>
      <c r="N545" s="77">
        <v>15</v>
      </c>
      <c r="O545" s="3">
        <v>16</v>
      </c>
    </row>
    <row r="546" spans="1:16" ht="15.5" x14ac:dyDescent="0.35">
      <c r="A546" s="631"/>
      <c r="B546" s="624" t="s">
        <v>4663</v>
      </c>
      <c r="C546" s="625"/>
      <c r="D546" s="625"/>
      <c r="E546" s="625"/>
      <c r="F546" s="625"/>
      <c r="G546" s="625"/>
      <c r="H546" s="625"/>
      <c r="I546" s="625"/>
      <c r="J546" s="625"/>
      <c r="K546" s="695"/>
      <c r="L546" s="625"/>
      <c r="M546" s="626"/>
      <c r="N546" s="627"/>
      <c r="O546" s="616"/>
    </row>
    <row r="547" spans="1:16" ht="15.5" x14ac:dyDescent="0.35">
      <c r="A547" s="631">
        <v>11</v>
      </c>
      <c r="B547" s="100" t="s">
        <v>2770</v>
      </c>
      <c r="C547" s="52">
        <v>11</v>
      </c>
      <c r="D547" s="2105" t="s">
        <v>339</v>
      </c>
      <c r="E547" s="52">
        <v>4150744</v>
      </c>
      <c r="F547" s="4">
        <v>1</v>
      </c>
      <c r="G547" s="21">
        <v>1490202.8</v>
      </c>
      <c r="H547" s="21">
        <v>1492391.1</v>
      </c>
      <c r="I547" s="21">
        <f>H547-G547</f>
        <v>2188.3000000000466</v>
      </c>
      <c r="J547" s="616">
        <v>1000</v>
      </c>
      <c r="K547" s="696">
        <f>J547*I547*F547</f>
        <v>2188300.0000000466</v>
      </c>
      <c r="L547" s="22"/>
      <c r="M547" s="22"/>
      <c r="N547" s="82"/>
      <c r="O547" s="616"/>
    </row>
    <row r="548" spans="1:16" ht="15.5" x14ac:dyDescent="0.35">
      <c r="A548" s="631">
        <v>12</v>
      </c>
      <c r="B548" s="100" t="s">
        <v>2771</v>
      </c>
      <c r="C548" s="52">
        <v>11</v>
      </c>
      <c r="D548" s="2151" t="s">
        <v>339</v>
      </c>
      <c r="E548" s="52">
        <v>4150742</v>
      </c>
      <c r="F548" s="4">
        <v>1</v>
      </c>
      <c r="G548" s="21">
        <v>1423282.2</v>
      </c>
      <c r="H548" s="21">
        <v>1424901.4</v>
      </c>
      <c r="I548" s="21">
        <f>H548-G548</f>
        <v>1619.1999999999534</v>
      </c>
      <c r="J548" s="616">
        <v>1000</v>
      </c>
      <c r="K548" s="696">
        <f>J548*I548*F548</f>
        <v>1619199.9999999534</v>
      </c>
      <c r="L548" s="22"/>
      <c r="M548" s="22"/>
      <c r="N548" s="82"/>
      <c r="O548" s="616"/>
    </row>
    <row r="549" spans="1:16" ht="15.5" x14ac:dyDescent="0.35">
      <c r="A549" s="631"/>
      <c r="B549" s="102"/>
      <c r="C549" s="91"/>
      <c r="D549" s="726"/>
      <c r="E549" s="91"/>
      <c r="F549" s="47"/>
      <c r="G549" s="48"/>
      <c r="H549" s="48"/>
      <c r="I549" s="48"/>
      <c r="J549" s="39" t="s">
        <v>30</v>
      </c>
      <c r="K549" s="1908">
        <f>SUM(K547:K548)</f>
        <v>3807500</v>
      </c>
      <c r="L549" s="49"/>
      <c r="M549" s="43">
        <f>SUM(M547:M548)</f>
        <v>0</v>
      </c>
      <c r="N549" s="85"/>
      <c r="O549" s="616"/>
    </row>
    <row r="550" spans="1:16" ht="15.5" x14ac:dyDescent="0.35">
      <c r="A550" s="631"/>
      <c r="B550" s="647" t="s">
        <v>4663</v>
      </c>
      <c r="C550" s="648"/>
      <c r="D550" s="648"/>
      <c r="E550" s="648"/>
      <c r="F550" s="648"/>
      <c r="G550" s="648"/>
      <c r="H550" s="648"/>
      <c r="I550" s="648"/>
      <c r="J550" s="50"/>
      <c r="K550" s="710"/>
      <c r="L550" s="51"/>
      <c r="M550" s="51"/>
      <c r="N550" s="649"/>
      <c r="O550" s="616"/>
    </row>
    <row r="551" spans="1:16" ht="15.75" customHeight="1" x14ac:dyDescent="0.35">
      <c r="A551" s="631">
        <v>1</v>
      </c>
      <c r="B551" s="100" t="s">
        <v>2749</v>
      </c>
      <c r="C551" s="73">
        <v>11</v>
      </c>
      <c r="D551" s="1781" t="s">
        <v>88</v>
      </c>
      <c r="E551" s="52">
        <v>4150750</v>
      </c>
      <c r="F551" s="32">
        <v>1</v>
      </c>
      <c r="G551" s="6">
        <v>208180.13</v>
      </c>
      <c r="H551" s="6">
        <v>208879.53</v>
      </c>
      <c r="I551" s="20">
        <f t="shared" ref="I551:I572" si="19">H551-G551</f>
        <v>699.39999999999418</v>
      </c>
      <c r="J551" s="616">
        <v>1000</v>
      </c>
      <c r="K551" s="703"/>
      <c r="L551" s="22">
        <f t="shared" ref="L551:L572" si="20">J551*I551*F551</f>
        <v>699399.99999999418</v>
      </c>
      <c r="M551" s="22"/>
      <c r="N551" s="72" t="s">
        <v>88</v>
      </c>
      <c r="O551" s="15"/>
      <c r="P551" t="s">
        <v>2750</v>
      </c>
    </row>
    <row r="552" spans="1:16" ht="15" customHeight="1" x14ac:dyDescent="0.35">
      <c r="A552" s="631">
        <v>2</v>
      </c>
      <c r="B552" s="100" t="s">
        <v>2751</v>
      </c>
      <c r="C552" s="73">
        <v>11</v>
      </c>
      <c r="D552" s="1782" t="s">
        <v>88</v>
      </c>
      <c r="E552" s="52">
        <v>4150743</v>
      </c>
      <c r="F552" s="32">
        <v>1</v>
      </c>
      <c r="G552" s="6">
        <v>23684.28</v>
      </c>
      <c r="H552" s="6">
        <v>23700.48</v>
      </c>
      <c r="I552" s="20">
        <f t="shared" si="19"/>
        <v>16.200000000000728</v>
      </c>
      <c r="J552" s="616">
        <v>1000</v>
      </c>
      <c r="K552" s="703"/>
      <c r="L552" s="22">
        <f t="shared" si="20"/>
        <v>16200.000000000728</v>
      </c>
      <c r="M552" s="22"/>
      <c r="N552" s="72" t="s">
        <v>88</v>
      </c>
      <c r="O552" s="15"/>
    </row>
    <row r="553" spans="1:16" ht="15.75" customHeight="1" x14ac:dyDescent="0.35">
      <c r="A553" s="631">
        <v>3</v>
      </c>
      <c r="B553" s="100" t="s">
        <v>2752</v>
      </c>
      <c r="C553" s="73">
        <v>11</v>
      </c>
      <c r="D553" s="1782" t="s">
        <v>98</v>
      </c>
      <c r="E553" s="52">
        <v>4150749</v>
      </c>
      <c r="F553" s="32">
        <v>1</v>
      </c>
      <c r="G553" s="6">
        <v>4129.6000000000004</v>
      </c>
      <c r="H553" s="6">
        <v>4129.6000000000004</v>
      </c>
      <c r="I553" s="20">
        <f t="shared" si="19"/>
        <v>0</v>
      </c>
      <c r="J553" s="616">
        <v>1000</v>
      </c>
      <c r="K553" s="703"/>
      <c r="L553" s="22">
        <f t="shared" si="20"/>
        <v>0</v>
      </c>
      <c r="M553" s="22"/>
      <c r="N553" s="72" t="s">
        <v>98</v>
      </c>
      <c r="O553" s="15"/>
    </row>
    <row r="554" spans="1:16" ht="18" customHeight="1" x14ac:dyDescent="0.35">
      <c r="A554" s="631">
        <v>4</v>
      </c>
      <c r="B554" s="100" t="s">
        <v>2753</v>
      </c>
      <c r="C554" s="73">
        <v>11</v>
      </c>
      <c r="D554" s="1782" t="s">
        <v>88</v>
      </c>
      <c r="E554" s="52">
        <v>4150738</v>
      </c>
      <c r="F554" s="32">
        <v>1</v>
      </c>
      <c r="G554" s="6">
        <v>73964.37</v>
      </c>
      <c r="H554" s="6">
        <v>73970.289999999994</v>
      </c>
      <c r="I554" s="20">
        <f t="shared" si="19"/>
        <v>5.9199999999982538</v>
      </c>
      <c r="J554" s="616">
        <v>1000</v>
      </c>
      <c r="K554" s="703"/>
      <c r="L554" s="22">
        <f t="shared" si="20"/>
        <v>5919.9999999982538</v>
      </c>
      <c r="M554" s="22"/>
      <c r="N554" s="72" t="s">
        <v>88</v>
      </c>
      <c r="O554" s="15"/>
    </row>
    <row r="555" spans="1:16" ht="16.5" customHeight="1" x14ac:dyDescent="0.35">
      <c r="A555" s="631">
        <v>5</v>
      </c>
      <c r="B555" s="100" t="s">
        <v>2754</v>
      </c>
      <c r="C555" s="73">
        <v>11</v>
      </c>
      <c r="D555" s="1782" t="s">
        <v>88</v>
      </c>
      <c r="E555" s="52">
        <v>4150751</v>
      </c>
      <c r="F555" s="32">
        <v>1</v>
      </c>
      <c r="G555" s="6">
        <v>376848.18</v>
      </c>
      <c r="H555" s="6">
        <v>376848.18</v>
      </c>
      <c r="I555" s="20">
        <f t="shared" si="19"/>
        <v>0</v>
      </c>
      <c r="J555" s="616">
        <v>1000</v>
      </c>
      <c r="K555" s="703"/>
      <c r="L555" s="22">
        <f t="shared" si="20"/>
        <v>0</v>
      </c>
      <c r="M555" s="22"/>
      <c r="N555" s="72" t="s">
        <v>88</v>
      </c>
      <c r="O555" s="15"/>
    </row>
    <row r="556" spans="1:16" ht="15.75" customHeight="1" x14ac:dyDescent="0.35">
      <c r="A556" s="631">
        <v>6</v>
      </c>
      <c r="B556" s="100" t="s">
        <v>2755</v>
      </c>
      <c r="C556" s="73">
        <v>11</v>
      </c>
      <c r="D556" s="1782" t="s">
        <v>111</v>
      </c>
      <c r="E556" s="52">
        <v>4150754</v>
      </c>
      <c r="F556" s="32">
        <v>1</v>
      </c>
      <c r="G556" s="6">
        <v>33779.199999999997</v>
      </c>
      <c r="H556" s="6">
        <v>33783.89</v>
      </c>
      <c r="I556" s="20">
        <f t="shared" si="19"/>
        <v>4.6900000000023283</v>
      </c>
      <c r="J556" s="616">
        <v>1000</v>
      </c>
      <c r="K556" s="703"/>
      <c r="L556" s="22">
        <f t="shared" si="20"/>
        <v>4690.0000000023283</v>
      </c>
      <c r="M556" s="22"/>
      <c r="N556" s="72" t="s">
        <v>111</v>
      </c>
      <c r="O556" s="15"/>
    </row>
    <row r="557" spans="1:16" ht="18" customHeight="1" x14ac:dyDescent="0.35">
      <c r="A557" s="631">
        <v>7</v>
      </c>
      <c r="B557" s="100" t="s">
        <v>2756</v>
      </c>
      <c r="C557" s="73">
        <v>11</v>
      </c>
      <c r="D557" s="1782" t="s">
        <v>88</v>
      </c>
      <c r="E557" s="52">
        <v>4150741</v>
      </c>
      <c r="F557" s="32">
        <v>1</v>
      </c>
      <c r="G557" s="6">
        <v>48388.29</v>
      </c>
      <c r="H557" s="6">
        <v>48388.29</v>
      </c>
      <c r="I557" s="20">
        <f t="shared" si="19"/>
        <v>0</v>
      </c>
      <c r="J557" s="616">
        <v>1000</v>
      </c>
      <c r="K557" s="703"/>
      <c r="L557" s="22">
        <f t="shared" si="20"/>
        <v>0</v>
      </c>
      <c r="M557" s="22"/>
      <c r="N557" s="72" t="s">
        <v>88</v>
      </c>
      <c r="O557" s="15"/>
      <c r="P557" t="s">
        <v>2750</v>
      </c>
    </row>
    <row r="558" spans="1:16" ht="30" x14ac:dyDescent="0.35">
      <c r="A558" s="631">
        <v>8</v>
      </c>
      <c r="B558" s="100" t="s">
        <v>2757</v>
      </c>
      <c r="C558" s="73">
        <v>11</v>
      </c>
      <c r="D558" s="1782" t="s">
        <v>88</v>
      </c>
      <c r="E558" s="52">
        <v>4150753</v>
      </c>
      <c r="F558" s="32">
        <v>1</v>
      </c>
      <c r="G558" s="6">
        <v>15375.16</v>
      </c>
      <c r="H558" s="6">
        <v>15411.21</v>
      </c>
      <c r="I558" s="20">
        <f t="shared" si="19"/>
        <v>36.049999999999272</v>
      </c>
      <c r="J558" s="616">
        <v>1000</v>
      </c>
      <c r="K558" s="703"/>
      <c r="L558" s="22">
        <f t="shared" si="20"/>
        <v>36049.999999999272</v>
      </c>
      <c r="M558" s="22"/>
      <c r="N558" s="72" t="s">
        <v>88</v>
      </c>
      <c r="O558" s="15"/>
    </row>
    <row r="559" spans="1:16" ht="30" x14ac:dyDescent="0.35">
      <c r="A559" s="631">
        <v>9</v>
      </c>
      <c r="B559" s="100" t="s">
        <v>2758</v>
      </c>
      <c r="C559" s="73">
        <v>11</v>
      </c>
      <c r="D559" s="1782" t="s">
        <v>2592</v>
      </c>
      <c r="E559" s="52">
        <v>4150748</v>
      </c>
      <c r="F559" s="32">
        <v>1</v>
      </c>
      <c r="G559" s="6"/>
      <c r="H559" s="6"/>
      <c r="I559" s="20">
        <f t="shared" si="19"/>
        <v>0</v>
      </c>
      <c r="J559" s="616">
        <v>1000</v>
      </c>
      <c r="K559" s="703"/>
      <c r="L559" s="22">
        <f t="shared" si="20"/>
        <v>0</v>
      </c>
      <c r="M559" s="22"/>
      <c r="N559" s="72" t="s">
        <v>88</v>
      </c>
      <c r="O559" s="15"/>
    </row>
    <row r="560" spans="1:16" ht="30" x14ac:dyDescent="0.35">
      <c r="A560" s="631">
        <v>10</v>
      </c>
      <c r="B560" s="100" t="s">
        <v>2759</v>
      </c>
      <c r="C560" s="73">
        <v>11</v>
      </c>
      <c r="D560" s="1782" t="s">
        <v>88</v>
      </c>
      <c r="E560" s="52">
        <v>4150752</v>
      </c>
      <c r="F560" s="32">
        <v>1</v>
      </c>
      <c r="G560" s="6">
        <v>239141.23</v>
      </c>
      <c r="H560" s="6">
        <v>239849.38</v>
      </c>
      <c r="I560" s="20">
        <f t="shared" si="19"/>
        <v>708.14999999999418</v>
      </c>
      <c r="J560" s="616">
        <v>1000</v>
      </c>
      <c r="K560" s="703"/>
      <c r="L560" s="22">
        <f t="shared" si="20"/>
        <v>708149.99999999418</v>
      </c>
      <c r="M560" s="22"/>
      <c r="N560" s="72" t="s">
        <v>88</v>
      </c>
      <c r="O560" s="15"/>
    </row>
    <row r="561" spans="1:16" ht="30" x14ac:dyDescent="0.35">
      <c r="A561" s="631">
        <v>13</v>
      </c>
      <c r="B561" s="100" t="s">
        <v>2760</v>
      </c>
      <c r="C561" s="73">
        <v>11</v>
      </c>
      <c r="D561" s="1782" t="s">
        <v>88</v>
      </c>
      <c r="E561" s="52">
        <v>4150737</v>
      </c>
      <c r="F561" s="32">
        <v>1</v>
      </c>
      <c r="G561" s="6">
        <v>13289.39</v>
      </c>
      <c r="H561" s="6">
        <v>13402.27</v>
      </c>
      <c r="I561" s="20">
        <f t="shared" si="19"/>
        <v>112.88000000000102</v>
      </c>
      <c r="J561" s="616">
        <v>1000</v>
      </c>
      <c r="K561" s="703"/>
      <c r="L561" s="22">
        <f t="shared" si="20"/>
        <v>112880.00000000102</v>
      </c>
      <c r="M561" s="22"/>
      <c r="N561" s="72" t="s">
        <v>88</v>
      </c>
      <c r="O561" s="15"/>
    </row>
    <row r="562" spans="1:16" ht="30" x14ac:dyDescent="0.35">
      <c r="A562" s="631">
        <v>14</v>
      </c>
      <c r="B562" s="100" t="s">
        <v>2761</v>
      </c>
      <c r="C562" s="73">
        <v>11</v>
      </c>
      <c r="D562" s="1782" t="s">
        <v>2592</v>
      </c>
      <c r="E562" s="52">
        <v>4150735</v>
      </c>
      <c r="F562" s="32">
        <v>1</v>
      </c>
      <c r="G562" s="6"/>
      <c r="H562" s="6"/>
      <c r="I562" s="20">
        <f t="shared" si="19"/>
        <v>0</v>
      </c>
      <c r="J562" s="616">
        <v>1000</v>
      </c>
      <c r="K562" s="703"/>
      <c r="L562" s="22">
        <f t="shared" si="20"/>
        <v>0</v>
      </c>
      <c r="M562" s="22"/>
      <c r="N562" s="72" t="s">
        <v>88</v>
      </c>
      <c r="O562" s="15"/>
    </row>
    <row r="563" spans="1:16" ht="30" x14ac:dyDescent="0.35">
      <c r="A563" s="631">
        <v>15</v>
      </c>
      <c r="B563" s="100" t="s">
        <v>2762</v>
      </c>
      <c r="C563" s="73">
        <v>11</v>
      </c>
      <c r="D563" s="1782" t="s">
        <v>88</v>
      </c>
      <c r="E563" s="52">
        <v>4150736</v>
      </c>
      <c r="F563" s="32">
        <v>1</v>
      </c>
      <c r="G563" s="6">
        <v>92588.12</v>
      </c>
      <c r="H563" s="6">
        <v>92588.12</v>
      </c>
      <c r="I563" s="20">
        <f t="shared" si="19"/>
        <v>0</v>
      </c>
      <c r="J563" s="616">
        <v>1000</v>
      </c>
      <c r="K563" s="703"/>
      <c r="L563" s="22">
        <f t="shared" si="20"/>
        <v>0</v>
      </c>
      <c r="M563" s="22"/>
      <c r="N563" s="72" t="s">
        <v>88</v>
      </c>
      <c r="O563" s="15"/>
      <c r="P563" t="s">
        <v>2750</v>
      </c>
    </row>
    <row r="564" spans="1:16" ht="30" x14ac:dyDescent="0.35">
      <c r="A564" s="631">
        <v>16</v>
      </c>
      <c r="B564" s="100" t="s">
        <v>2763</v>
      </c>
      <c r="C564" s="73">
        <v>11</v>
      </c>
      <c r="D564" s="1782" t="s">
        <v>88</v>
      </c>
      <c r="E564" s="52">
        <v>4150747</v>
      </c>
      <c r="F564" s="32">
        <v>1</v>
      </c>
      <c r="G564" s="6">
        <v>161864.51</v>
      </c>
      <c r="H564" s="6">
        <v>162034.82999999999</v>
      </c>
      <c r="I564" s="20">
        <f t="shared" si="19"/>
        <v>170.31999999997788</v>
      </c>
      <c r="J564" s="616">
        <v>1000</v>
      </c>
      <c r="K564" s="703"/>
      <c r="L564" s="22">
        <f t="shared" si="20"/>
        <v>170319.99999997788</v>
      </c>
      <c r="M564" s="22"/>
      <c r="N564" s="72" t="s">
        <v>88</v>
      </c>
      <c r="O564" s="15"/>
    </row>
    <row r="565" spans="1:16" ht="30" x14ac:dyDescent="0.35">
      <c r="A565" s="631">
        <v>17</v>
      </c>
      <c r="B565" s="100" t="s">
        <v>2764</v>
      </c>
      <c r="C565" s="73">
        <v>11</v>
      </c>
      <c r="D565" s="1782" t="s">
        <v>88</v>
      </c>
      <c r="E565" s="52">
        <v>4150739</v>
      </c>
      <c r="F565" s="32">
        <v>1</v>
      </c>
      <c r="G565" s="6">
        <v>20253.82</v>
      </c>
      <c r="H565" s="6">
        <v>20280.45</v>
      </c>
      <c r="I565" s="20">
        <f t="shared" si="19"/>
        <v>26.630000000001019</v>
      </c>
      <c r="J565" s="616">
        <v>1000</v>
      </c>
      <c r="K565" s="703"/>
      <c r="L565" s="22">
        <f t="shared" si="20"/>
        <v>26630.000000001019</v>
      </c>
      <c r="M565" s="22"/>
      <c r="N565" s="72" t="s">
        <v>88</v>
      </c>
      <c r="O565" s="15"/>
      <c r="P565" t="s">
        <v>2750</v>
      </c>
    </row>
    <row r="566" spans="1:16" ht="30" x14ac:dyDescent="0.35">
      <c r="A566" s="631">
        <v>18</v>
      </c>
      <c r="B566" s="100" t="s">
        <v>2765</v>
      </c>
      <c r="C566" s="73">
        <v>11</v>
      </c>
      <c r="D566" s="1782" t="s">
        <v>88</v>
      </c>
      <c r="E566" s="52">
        <v>4150746</v>
      </c>
      <c r="F566" s="32">
        <v>1</v>
      </c>
      <c r="G566" s="6">
        <v>80786.44</v>
      </c>
      <c r="H566" s="6">
        <v>81051.210000000006</v>
      </c>
      <c r="I566" s="20">
        <f t="shared" si="19"/>
        <v>264.77000000000407</v>
      </c>
      <c r="J566" s="616">
        <v>1000</v>
      </c>
      <c r="K566" s="703"/>
      <c r="L566" s="22">
        <f t="shared" si="20"/>
        <v>264770.00000000407</v>
      </c>
      <c r="M566" s="22"/>
      <c r="N566" s="72" t="s">
        <v>88</v>
      </c>
      <c r="O566" s="15"/>
      <c r="P566" t="s">
        <v>2750</v>
      </c>
    </row>
    <row r="567" spans="1:16" ht="30" x14ac:dyDescent="0.35">
      <c r="A567" s="631">
        <v>19</v>
      </c>
      <c r="B567" s="100" t="s">
        <v>2766</v>
      </c>
      <c r="C567" s="73">
        <v>11</v>
      </c>
      <c r="D567" s="1782" t="s">
        <v>88</v>
      </c>
      <c r="E567" s="52">
        <v>4150755</v>
      </c>
      <c r="F567" s="32">
        <v>1</v>
      </c>
      <c r="G567" s="6">
        <v>120847.1</v>
      </c>
      <c r="H567" s="6">
        <v>121049.16</v>
      </c>
      <c r="I567" s="20">
        <f t="shared" si="19"/>
        <v>202.05999999999767</v>
      </c>
      <c r="J567" s="616">
        <v>1000</v>
      </c>
      <c r="K567" s="703"/>
      <c r="L567" s="22">
        <f t="shared" si="20"/>
        <v>202059.99999999767</v>
      </c>
      <c r="M567" s="22"/>
      <c r="N567" s="72" t="s">
        <v>88</v>
      </c>
      <c r="O567" s="15"/>
      <c r="P567" t="s">
        <v>2750</v>
      </c>
    </row>
    <row r="568" spans="1:16" ht="30" x14ac:dyDescent="0.35">
      <c r="A568" s="631">
        <v>20</v>
      </c>
      <c r="B568" s="100" t="s">
        <v>2767</v>
      </c>
      <c r="C568" s="73">
        <v>11</v>
      </c>
      <c r="D568" s="1782" t="s">
        <v>88</v>
      </c>
      <c r="E568" s="52">
        <v>4150740</v>
      </c>
      <c r="F568" s="32">
        <v>1</v>
      </c>
      <c r="G568" s="6">
        <v>267866.17</v>
      </c>
      <c r="H568" s="6">
        <v>268376.38</v>
      </c>
      <c r="I568" s="20">
        <f t="shared" si="19"/>
        <v>510.21000000002095</v>
      </c>
      <c r="J568" s="616">
        <v>1000</v>
      </c>
      <c r="K568" s="703"/>
      <c r="L568" s="22">
        <f t="shared" si="20"/>
        <v>510210.00000002095</v>
      </c>
      <c r="M568" s="22"/>
      <c r="N568" s="72" t="s">
        <v>88</v>
      </c>
      <c r="O568" s="15"/>
    </row>
    <row r="569" spans="1:16" ht="30" x14ac:dyDescent="0.35">
      <c r="A569" s="631">
        <v>21</v>
      </c>
      <c r="B569" s="100" t="s">
        <v>2768</v>
      </c>
      <c r="C569" s="73">
        <v>11</v>
      </c>
      <c r="D569" s="1782" t="s">
        <v>88</v>
      </c>
      <c r="E569" s="52">
        <v>4150745</v>
      </c>
      <c r="F569" s="32">
        <v>1</v>
      </c>
      <c r="G569" s="6">
        <v>78094.34</v>
      </c>
      <c r="H569" s="6">
        <v>78288.63</v>
      </c>
      <c r="I569" s="20">
        <f t="shared" si="19"/>
        <v>194.29000000000815</v>
      </c>
      <c r="J569" s="616">
        <v>1000</v>
      </c>
      <c r="K569" s="703"/>
      <c r="L569" s="22">
        <f t="shared" si="20"/>
        <v>194290.00000000815</v>
      </c>
      <c r="M569" s="22"/>
      <c r="N569" s="72" t="s">
        <v>88</v>
      </c>
      <c r="O569" s="15"/>
    </row>
    <row r="570" spans="1:16" ht="30" x14ac:dyDescent="0.35">
      <c r="A570" s="631">
        <v>22</v>
      </c>
      <c r="B570" s="100" t="s">
        <v>2769</v>
      </c>
      <c r="C570" s="73">
        <v>11</v>
      </c>
      <c r="D570" s="1782" t="s">
        <v>88</v>
      </c>
      <c r="E570" s="52">
        <v>4150756</v>
      </c>
      <c r="F570" s="32">
        <v>1</v>
      </c>
      <c r="G570" s="6">
        <v>191929.72</v>
      </c>
      <c r="H570" s="6">
        <v>191976.69</v>
      </c>
      <c r="I570" s="20">
        <f t="shared" si="19"/>
        <v>46.970000000001164</v>
      </c>
      <c r="J570" s="616">
        <v>1000</v>
      </c>
      <c r="K570" s="703"/>
      <c r="L570" s="22">
        <f t="shared" si="20"/>
        <v>46970.000000001164</v>
      </c>
      <c r="M570" s="22"/>
      <c r="N570" s="72" t="s">
        <v>88</v>
      </c>
      <c r="O570" s="15"/>
      <c r="P570" t="s">
        <v>2750</v>
      </c>
    </row>
    <row r="571" spans="1:16" ht="15.5" x14ac:dyDescent="0.35">
      <c r="A571" s="631">
        <v>23</v>
      </c>
      <c r="B571" s="100" t="s">
        <v>2699</v>
      </c>
      <c r="C571" s="73">
        <v>0.4</v>
      </c>
      <c r="D571" s="1782"/>
      <c r="E571" s="52">
        <v>63412931</v>
      </c>
      <c r="F571" s="32">
        <v>1</v>
      </c>
      <c r="G571" s="6">
        <v>55423</v>
      </c>
      <c r="H571" s="6">
        <v>57502.400000000001</v>
      </c>
      <c r="I571" s="20">
        <f t="shared" si="19"/>
        <v>2079.4000000000015</v>
      </c>
      <c r="J571" s="616">
        <v>1</v>
      </c>
      <c r="K571" s="703"/>
      <c r="L571" s="22">
        <f t="shared" si="20"/>
        <v>2079.4000000000015</v>
      </c>
      <c r="M571" s="22"/>
      <c r="N571" s="72" t="s">
        <v>88</v>
      </c>
      <c r="O571" s="15"/>
    </row>
    <row r="572" spans="1:16" ht="15.5" x14ac:dyDescent="0.35">
      <c r="A572" s="631">
        <v>24</v>
      </c>
      <c r="B572" s="100" t="s">
        <v>2701</v>
      </c>
      <c r="C572" s="73">
        <v>0.4</v>
      </c>
      <c r="D572" s="1782"/>
      <c r="E572" s="52">
        <v>63403117</v>
      </c>
      <c r="F572" s="32">
        <v>1</v>
      </c>
      <c r="G572" s="6">
        <v>68552</v>
      </c>
      <c r="H572" s="6">
        <v>91678.2</v>
      </c>
      <c r="I572" s="20">
        <f t="shared" si="19"/>
        <v>23126.199999999997</v>
      </c>
      <c r="J572" s="616">
        <v>1</v>
      </c>
      <c r="K572" s="703"/>
      <c r="L572" s="22">
        <f t="shared" si="20"/>
        <v>23126.199999999997</v>
      </c>
      <c r="M572" s="22"/>
      <c r="N572" s="72" t="s">
        <v>88</v>
      </c>
      <c r="O572" s="15"/>
    </row>
    <row r="573" spans="1:16" ht="28" x14ac:dyDescent="0.35">
      <c r="A573" s="636"/>
      <c r="B573" s="96"/>
      <c r="C573" s="90"/>
      <c r="D573" s="90"/>
      <c r="E573" s="90"/>
      <c r="F573" s="38"/>
      <c r="G573" s="38"/>
      <c r="H573" s="38"/>
      <c r="I573" s="38"/>
      <c r="J573" s="53" t="s">
        <v>44</v>
      </c>
      <c r="K573" s="43">
        <f>K549</f>
        <v>3807500</v>
      </c>
      <c r="L573" s="43">
        <f>SUM(L551:L572)</f>
        <v>3023745.6</v>
      </c>
      <c r="M573" s="43">
        <f>SUM(M551:M572)</f>
        <v>0</v>
      </c>
      <c r="N573" s="1908">
        <f>(M573-L573)/L573*100</f>
        <v>-100</v>
      </c>
      <c r="O573" s="29"/>
    </row>
    <row r="575" spans="1:16" ht="15" x14ac:dyDescent="0.35">
      <c r="A575" s="620"/>
      <c r="B575" s="635"/>
      <c r="C575" s="632"/>
      <c r="D575" s="720"/>
      <c r="F575" s="2092" t="s">
        <v>1099</v>
      </c>
      <c r="G575" s="2092"/>
      <c r="H575" s="2092"/>
      <c r="I575" s="677" t="s">
        <v>14</v>
      </c>
      <c r="J575" s="620"/>
      <c r="K575" s="702"/>
      <c r="L575" s="620"/>
      <c r="M575" s="620"/>
      <c r="N575" s="632"/>
      <c r="O575" s="620"/>
    </row>
    <row r="576" spans="1:16" ht="15.5" x14ac:dyDescent="0.35">
      <c r="A576" s="620"/>
      <c r="B576" s="635"/>
      <c r="C576" s="632"/>
      <c r="D576" s="720"/>
      <c r="F576" s="2153" t="s">
        <v>232</v>
      </c>
      <c r="G576" s="2154"/>
      <c r="H576" s="2155"/>
      <c r="I576" s="643">
        <f>SUM(M551:M565,M568)</f>
        <v>0</v>
      </c>
      <c r="J576" s="620"/>
      <c r="K576" s="702"/>
      <c r="L576" s="620"/>
      <c r="M576" s="620"/>
      <c r="N576" s="632"/>
      <c r="O576" s="620" t="s">
        <v>237</v>
      </c>
    </row>
    <row r="577" spans="1:15" ht="15.5" x14ac:dyDescent="0.35">
      <c r="A577" s="620"/>
      <c r="B577" s="635"/>
      <c r="C577" s="632"/>
      <c r="D577" s="720"/>
      <c r="F577" s="2153" t="s">
        <v>268</v>
      </c>
      <c r="G577" s="2154"/>
      <c r="H577" s="2155"/>
      <c r="I577" s="643" t="e">
        <f>SUM(M566:M567,M569,M571,M572,#REF!)</f>
        <v>#REF!</v>
      </c>
      <c r="J577" s="620"/>
      <c r="K577" s="702"/>
      <c r="L577" s="620"/>
      <c r="M577" s="620"/>
      <c r="N577" s="632"/>
      <c r="O577" s="620"/>
    </row>
    <row r="578" spans="1:15" ht="16" thickBot="1" x14ac:dyDescent="0.4">
      <c r="A578" s="620"/>
      <c r="B578" s="635"/>
      <c r="C578" s="632"/>
      <c r="D578" s="720"/>
      <c r="F578" s="2153" t="s">
        <v>269</v>
      </c>
      <c r="G578" s="2154"/>
      <c r="H578" s="2155"/>
      <c r="I578" s="643" t="e">
        <f>SUM(M570,#REF!)</f>
        <v>#REF!</v>
      </c>
      <c r="J578" s="620"/>
      <c r="K578" s="702"/>
      <c r="L578" s="620"/>
      <c r="M578" s="620"/>
      <c r="N578" s="632"/>
      <c r="O578" s="620"/>
    </row>
    <row r="579" spans="1:15" ht="20.5" thickBot="1" x14ac:dyDescent="0.4">
      <c r="A579" s="620"/>
      <c r="B579" s="635"/>
      <c r="C579" s="632"/>
      <c r="D579" s="720"/>
      <c r="E579" s="632"/>
      <c r="F579" s="2156" t="s">
        <v>210</v>
      </c>
      <c r="G579" s="2156"/>
      <c r="H579" s="2156"/>
      <c r="I579" s="656" t="e">
        <f>SUM(I576:I578)</f>
        <v>#REF!</v>
      </c>
      <c r="J579" s="682" t="e">
        <f>I579-M573</f>
        <v>#REF!</v>
      </c>
      <c r="K579" s="702"/>
      <c r="L579" s="620"/>
      <c r="M579" s="620"/>
      <c r="N579" s="632"/>
      <c r="O579" s="620"/>
    </row>
    <row r="586" spans="1:15" x14ac:dyDescent="0.35">
      <c r="A586" s="620"/>
      <c r="B586" s="635"/>
      <c r="C586" s="632"/>
      <c r="D586" s="720"/>
      <c r="E586" s="632"/>
      <c r="F586" s="620"/>
      <c r="G586" s="620"/>
      <c r="H586" s="620"/>
      <c r="I586" s="620"/>
      <c r="J586" s="620"/>
      <c r="K586" s="702"/>
      <c r="L586" s="620"/>
      <c r="M586" s="620"/>
      <c r="N586" s="632"/>
      <c r="O586" s="620"/>
    </row>
    <row r="587" spans="1:15" x14ac:dyDescent="0.35">
      <c r="A587" s="620"/>
      <c r="B587" s="635"/>
      <c r="C587" s="632"/>
      <c r="D587" s="720"/>
      <c r="E587" s="632"/>
      <c r="F587" s="620"/>
      <c r="G587" s="620"/>
      <c r="H587" s="620"/>
      <c r="I587" s="620"/>
      <c r="J587" s="620"/>
      <c r="K587" s="702"/>
      <c r="L587" s="620"/>
      <c r="M587" s="620"/>
      <c r="N587" s="632"/>
      <c r="O587" s="620"/>
    </row>
    <row r="588" spans="1:15" ht="25" x14ac:dyDescent="0.35">
      <c r="A588" s="46"/>
      <c r="B588" s="2152"/>
      <c r="C588" s="2152"/>
      <c r="D588" s="2152"/>
      <c r="E588" s="2152"/>
      <c r="F588" s="2152"/>
      <c r="G588" s="2152"/>
      <c r="H588" s="2152"/>
      <c r="I588" s="2152"/>
      <c r="J588" s="2152"/>
      <c r="K588" s="2152"/>
      <c r="L588" s="2152"/>
      <c r="M588" s="2152"/>
      <c r="N588" s="75"/>
      <c r="O588" s="28"/>
    </row>
    <row r="589" spans="1:15" x14ac:dyDescent="0.35">
      <c r="A589" s="620"/>
      <c r="B589" s="635"/>
      <c r="C589" s="632"/>
      <c r="D589" s="720"/>
      <c r="E589" s="632"/>
      <c r="F589" s="620"/>
      <c r="G589" s="620"/>
      <c r="H589" s="620"/>
      <c r="I589" s="620"/>
      <c r="J589" s="620"/>
      <c r="K589" s="702"/>
      <c r="L589" s="620"/>
      <c r="M589" s="620"/>
      <c r="N589" s="632"/>
      <c r="O589" s="620"/>
    </row>
    <row r="590" spans="1:15" x14ac:dyDescent="0.35">
      <c r="A590" s="620"/>
      <c r="B590" s="635"/>
      <c r="C590" s="632"/>
      <c r="D590" s="720"/>
      <c r="E590" s="632"/>
      <c r="F590" s="620"/>
      <c r="G590" s="620"/>
      <c r="H590" s="620"/>
      <c r="I590" s="620"/>
      <c r="J590" s="620"/>
      <c r="K590" s="702"/>
      <c r="L590" s="620"/>
      <c r="M590" s="620"/>
      <c r="N590" s="632"/>
      <c r="O590" s="620"/>
    </row>
    <row r="591" spans="1:15" ht="25" x14ac:dyDescent="0.35">
      <c r="A591" s="2095" t="s">
        <v>1308</v>
      </c>
      <c r="B591" s="2095"/>
      <c r="C591" s="2095"/>
      <c r="D591" s="2095"/>
      <c r="E591" s="2095"/>
      <c r="F591" s="2095"/>
      <c r="G591" s="2095"/>
      <c r="H591" s="2095"/>
      <c r="I591" s="2095"/>
      <c r="J591" s="2095"/>
      <c r="K591" s="2095"/>
      <c r="L591" s="2095"/>
      <c r="M591" s="2095"/>
      <c r="N591" s="2095"/>
      <c r="O591" s="756" t="e">
        <f>#REF!</f>
        <v>#REF!</v>
      </c>
    </row>
    <row r="592" spans="1:15" ht="15.5" x14ac:dyDescent="0.35">
      <c r="A592" s="2096" t="s">
        <v>0</v>
      </c>
      <c r="B592" s="2098" t="s">
        <v>1</v>
      </c>
      <c r="C592" s="2100" t="s">
        <v>2</v>
      </c>
      <c r="D592" s="2101"/>
      <c r="E592" s="2102"/>
      <c r="F592" s="2103" t="s">
        <v>3</v>
      </c>
      <c r="G592" s="2100" t="s">
        <v>4</v>
      </c>
      <c r="H592" s="2102"/>
      <c r="I592" s="2085"/>
      <c r="J592" s="2103" t="s">
        <v>5</v>
      </c>
      <c r="K592" s="2100" t="s">
        <v>6</v>
      </c>
      <c r="L592" s="2102"/>
      <c r="M592" s="97" t="s">
        <v>1088</v>
      </c>
      <c r="N592" s="98"/>
      <c r="O592" s="2084" t="s">
        <v>7</v>
      </c>
    </row>
    <row r="593" spans="1:15" ht="15.5" x14ac:dyDescent="0.35">
      <c r="A593" s="2097"/>
      <c r="B593" s="2099"/>
      <c r="C593" s="2086" t="s">
        <v>1108</v>
      </c>
      <c r="D593" s="2087"/>
      <c r="E593" s="87" t="s">
        <v>9</v>
      </c>
      <c r="F593" s="2097"/>
      <c r="G593" s="2">
        <f>'NORTH-1'!$G$8</f>
        <v>44774</v>
      </c>
      <c r="H593" s="2">
        <f>'NORTH-1'!$H$8</f>
        <v>44805</v>
      </c>
      <c r="I593" s="1" t="s">
        <v>10</v>
      </c>
      <c r="J593" s="2097"/>
      <c r="K593" s="1" t="s">
        <v>11</v>
      </c>
      <c r="L593" s="1" t="s">
        <v>12</v>
      </c>
      <c r="M593" s="617" t="s">
        <v>33</v>
      </c>
      <c r="N593" s="76" t="s">
        <v>47</v>
      </c>
      <c r="O593" s="2085"/>
    </row>
    <row r="594" spans="1:15" ht="15.5" x14ac:dyDescent="0.35">
      <c r="A594" s="3">
        <v>1</v>
      </c>
      <c r="B594" s="88">
        <v>2</v>
      </c>
      <c r="C594" s="2088">
        <v>4</v>
      </c>
      <c r="D594" s="2089"/>
      <c r="E594" s="88">
        <v>5</v>
      </c>
      <c r="F594" s="3">
        <v>7</v>
      </c>
      <c r="G594" s="3">
        <v>8</v>
      </c>
      <c r="H594" s="3">
        <v>9</v>
      </c>
      <c r="I594" s="3" t="s">
        <v>13</v>
      </c>
      <c r="J594" s="3">
        <v>11</v>
      </c>
      <c r="K594" s="3" t="s">
        <v>19</v>
      </c>
      <c r="L594" s="3" t="s">
        <v>20</v>
      </c>
      <c r="M594" s="3">
        <v>14</v>
      </c>
      <c r="N594" s="77">
        <v>15</v>
      </c>
      <c r="O594" s="3">
        <v>16</v>
      </c>
    </row>
    <row r="595" spans="1:15" ht="15.5" x14ac:dyDescent="0.35">
      <c r="A595" s="11"/>
      <c r="B595" s="624" t="s">
        <v>4637</v>
      </c>
      <c r="C595" s="625"/>
      <c r="D595" s="625"/>
      <c r="E595" s="667"/>
      <c r="F595" s="625"/>
      <c r="G595" s="625"/>
      <c r="H595" s="625"/>
      <c r="I595" s="625"/>
      <c r="J595" s="625"/>
      <c r="K595" s="695"/>
      <c r="L595" s="625"/>
      <c r="M595" s="626"/>
      <c r="N595" s="627"/>
      <c r="O595" s="8"/>
    </row>
    <row r="596" spans="1:15" ht="15.5" x14ac:dyDescent="0.35">
      <c r="A596" s="631">
        <v>1</v>
      </c>
      <c r="B596" s="100" t="s">
        <v>2772</v>
      </c>
      <c r="C596" s="52">
        <v>132</v>
      </c>
      <c r="D596" s="2105" t="s">
        <v>339</v>
      </c>
      <c r="E596" s="2149" t="s">
        <v>2773</v>
      </c>
      <c r="F596" s="4">
        <v>1</v>
      </c>
      <c r="G596" s="5">
        <v>8618.1200000000008</v>
      </c>
      <c r="H596" s="5">
        <v>8631.6</v>
      </c>
      <c r="I596" s="5">
        <f>H596-G596</f>
        <v>13.479999999999563</v>
      </c>
      <c r="J596" s="616">
        <v>480000</v>
      </c>
      <c r="K596" s="696">
        <f>J596*I596*F596</f>
        <v>6470399.9999997905</v>
      </c>
      <c r="L596" s="7"/>
      <c r="M596" s="7"/>
      <c r="N596" s="78"/>
      <c r="O596" s="616"/>
    </row>
    <row r="597" spans="1:15" ht="15.5" x14ac:dyDescent="0.35">
      <c r="A597" s="631">
        <v>2</v>
      </c>
      <c r="B597" s="100" t="s">
        <v>2774</v>
      </c>
      <c r="C597" s="52">
        <v>132</v>
      </c>
      <c r="D597" s="2106" t="s">
        <v>339</v>
      </c>
      <c r="E597" s="2150" t="s">
        <v>2775</v>
      </c>
      <c r="F597" s="4">
        <v>1</v>
      </c>
      <c r="G597" s="5">
        <v>8615.89</v>
      </c>
      <c r="H597" s="5">
        <v>8640.7099999999991</v>
      </c>
      <c r="I597" s="5">
        <f>H597-G597</f>
        <v>24.819999999999709</v>
      </c>
      <c r="J597" s="616">
        <v>480000</v>
      </c>
      <c r="K597" s="696">
        <f>J597*I597*F597</f>
        <v>11913599.99999986</v>
      </c>
      <c r="L597" s="16"/>
      <c r="M597" s="16"/>
      <c r="N597" s="79"/>
      <c r="O597" s="616"/>
    </row>
    <row r="598" spans="1:15" ht="15.5" x14ac:dyDescent="0.35">
      <c r="A598" s="631"/>
      <c r="B598" s="95"/>
      <c r="C598" s="89"/>
      <c r="D598" s="89"/>
      <c r="E598" s="89"/>
      <c r="F598" s="37"/>
      <c r="G598" s="37"/>
      <c r="H598" s="37"/>
      <c r="I598" s="2136" t="s">
        <v>236</v>
      </c>
      <c r="J598" s="2137"/>
      <c r="K598" s="698">
        <f>SUM(K596:K597)</f>
        <v>18383999.99999965</v>
      </c>
      <c r="L598" s="94">
        <f>SUM(L596:L597)</f>
        <v>0</v>
      </c>
      <c r="M598" s="18"/>
      <c r="N598" s="81"/>
      <c r="O598" s="616"/>
    </row>
    <row r="599" spans="1:15" ht="15.5" x14ac:dyDescent="0.35">
      <c r="A599" s="631"/>
      <c r="B599" s="95"/>
      <c r="C599" s="89"/>
      <c r="D599" s="89"/>
      <c r="E599" s="89"/>
      <c r="F599" s="37"/>
      <c r="G599" s="37"/>
      <c r="H599" s="37"/>
      <c r="I599" s="665"/>
      <c r="J599" s="665" t="s">
        <v>31</v>
      </c>
      <c r="K599" s="699">
        <f>K598-L598</f>
        <v>18383999.99999965</v>
      </c>
      <c r="L599" s="40"/>
      <c r="M599" s="41"/>
      <c r="N599" s="632"/>
      <c r="O599" s="616"/>
    </row>
    <row r="600" spans="1:15" ht="15.5" x14ac:dyDescent="0.35">
      <c r="A600" s="631"/>
      <c r="B600" s="624" t="s">
        <v>4634</v>
      </c>
      <c r="C600" s="625"/>
      <c r="D600" s="625"/>
      <c r="E600" s="625"/>
      <c r="F600" s="625"/>
      <c r="G600" s="625"/>
      <c r="H600" s="625"/>
      <c r="I600" s="625"/>
      <c r="J600" s="625"/>
      <c r="K600" s="695"/>
      <c r="L600" s="625"/>
      <c r="M600" s="626"/>
      <c r="N600" s="627"/>
      <c r="O600" s="616"/>
    </row>
    <row r="601" spans="1:15" ht="15.5" x14ac:dyDescent="0.35">
      <c r="A601" s="631"/>
      <c r="B601" s="100"/>
      <c r="C601" s="52"/>
      <c r="D601" s="2105"/>
      <c r="E601" s="2149"/>
      <c r="F601" s="4"/>
      <c r="G601" s="5"/>
      <c r="H601" s="5"/>
      <c r="I601" s="5"/>
      <c r="J601" s="616"/>
      <c r="K601" s="696"/>
      <c r="L601" s="16"/>
      <c r="M601" s="16"/>
      <c r="N601" s="79"/>
      <c r="O601" s="616"/>
    </row>
    <row r="602" spans="1:15" ht="15.5" x14ac:dyDescent="0.35">
      <c r="A602" s="631"/>
      <c r="B602" s="100"/>
      <c r="C602" s="52"/>
      <c r="D602" s="2106"/>
      <c r="E602" s="2150"/>
      <c r="F602" s="4"/>
      <c r="G602" s="5"/>
      <c r="H602" s="5"/>
      <c r="I602" s="5"/>
      <c r="J602" s="616"/>
      <c r="K602" s="696"/>
      <c r="L602" s="16"/>
      <c r="M602" s="16"/>
      <c r="N602" s="79"/>
      <c r="O602" s="616"/>
    </row>
    <row r="603" spans="1:15" ht="15.5" x14ac:dyDescent="0.35">
      <c r="A603" s="631"/>
      <c r="B603" s="100"/>
      <c r="C603" s="52"/>
      <c r="D603" s="2106"/>
      <c r="E603" s="2149"/>
      <c r="F603" s="4"/>
      <c r="G603" s="5"/>
      <c r="H603" s="5"/>
      <c r="I603" s="5"/>
      <c r="J603" s="616"/>
      <c r="K603" s="696"/>
      <c r="L603" s="16"/>
      <c r="M603" s="16"/>
      <c r="N603" s="79"/>
      <c r="O603" s="616"/>
    </row>
    <row r="604" spans="1:15" ht="15.5" x14ac:dyDescent="0.35">
      <c r="A604" s="631"/>
      <c r="B604" s="100"/>
      <c r="C604" s="52"/>
      <c r="D604" s="2151"/>
      <c r="E604" s="2150"/>
      <c r="F604" s="4"/>
      <c r="G604" s="5"/>
      <c r="H604" s="5"/>
      <c r="I604" s="5"/>
      <c r="J604" s="616"/>
      <c r="K604" s="697"/>
      <c r="L604" s="17"/>
      <c r="M604" s="17"/>
      <c r="N604" s="80"/>
      <c r="O604" s="616"/>
    </row>
    <row r="605" spans="1:15" ht="15.5" x14ac:dyDescent="0.35">
      <c r="A605" s="631"/>
      <c r="B605" s="95"/>
      <c r="C605" s="89"/>
      <c r="D605" s="89"/>
      <c r="E605" s="89"/>
      <c r="F605" s="37"/>
      <c r="G605" s="37"/>
      <c r="H605" s="37"/>
      <c r="I605" s="2136" t="s">
        <v>303</v>
      </c>
      <c r="J605" s="2137"/>
      <c r="K605" s="698">
        <f>SUM(K601:K604)</f>
        <v>0</v>
      </c>
      <c r="L605" s="94">
        <f>SUM(L601:L604)</f>
        <v>0</v>
      </c>
      <c r="M605" s="18"/>
      <c r="N605" s="81"/>
      <c r="O605" s="633"/>
    </row>
    <row r="606" spans="1:15" ht="15.5" x14ac:dyDescent="0.35">
      <c r="A606" s="631"/>
      <c r="B606" s="95"/>
      <c r="C606" s="89"/>
      <c r="D606" s="89"/>
      <c r="E606" s="89"/>
      <c r="F606" s="37"/>
      <c r="G606" s="37"/>
      <c r="H606" s="37"/>
      <c r="I606" s="2136" t="s">
        <v>31</v>
      </c>
      <c r="J606" s="2137"/>
      <c r="K606" s="699">
        <f>K599</f>
        <v>18383999.99999965</v>
      </c>
      <c r="L606" s="40"/>
      <c r="M606" s="42"/>
      <c r="N606" s="634"/>
      <c r="O606" s="633"/>
    </row>
    <row r="607" spans="1:15" ht="15.5" x14ac:dyDescent="0.35">
      <c r="A607" s="11"/>
      <c r="B607" s="647" t="s">
        <v>4635</v>
      </c>
      <c r="C607" s="648"/>
      <c r="D607" s="648"/>
      <c r="E607" s="648"/>
      <c r="F607" s="648"/>
      <c r="G607" s="648"/>
      <c r="H607" s="648"/>
      <c r="I607" s="648"/>
      <c r="J607" s="648"/>
      <c r="K607" s="700"/>
      <c r="L607" s="648"/>
      <c r="M607" s="651"/>
      <c r="N607" s="649"/>
      <c r="O607" s="8"/>
    </row>
    <row r="608" spans="1:15" ht="15.5" x14ac:dyDescent="0.35">
      <c r="A608" s="631"/>
      <c r="B608" s="100" t="s">
        <v>1079</v>
      </c>
      <c r="C608" s="52">
        <v>132</v>
      </c>
      <c r="D608" s="2138" t="s">
        <v>1083</v>
      </c>
      <c r="E608" s="615"/>
      <c r="F608" s="4"/>
      <c r="G608" s="5"/>
      <c r="H608" s="5"/>
      <c r="I608" s="5"/>
      <c r="J608" s="616"/>
      <c r="K608" s="696"/>
      <c r="L608" s="16">
        <f>J608*I608*F608</f>
        <v>0</v>
      </c>
      <c r="M608" s="7"/>
      <c r="N608" s="78"/>
      <c r="O608" s="616"/>
    </row>
    <row r="609" spans="1:15" ht="15.5" x14ac:dyDescent="0.35">
      <c r="A609" s="631"/>
      <c r="B609" s="100" t="s">
        <v>1078</v>
      </c>
      <c r="C609" s="52">
        <v>132</v>
      </c>
      <c r="D609" s="2139"/>
      <c r="E609" s="615"/>
      <c r="F609" s="4"/>
      <c r="G609" s="5"/>
      <c r="H609" s="5"/>
      <c r="I609" s="5"/>
      <c r="J609" s="616"/>
      <c r="K609" s="696"/>
      <c r="L609" s="16">
        <f>J609*I609*F609</f>
        <v>0</v>
      </c>
      <c r="M609" s="16"/>
      <c r="N609" s="79"/>
      <c r="O609" s="616"/>
    </row>
    <row r="610" spans="1:15" ht="15.5" x14ac:dyDescent="0.35">
      <c r="A610" s="631"/>
      <c r="B610" s="95"/>
      <c r="C610" s="89"/>
      <c r="D610" s="89"/>
      <c r="E610" s="89"/>
      <c r="F610" s="37"/>
      <c r="G610" s="37"/>
      <c r="H610" s="37"/>
      <c r="I610" s="37"/>
      <c r="J610" s="95" t="s">
        <v>279</v>
      </c>
      <c r="K610" s="699"/>
      <c r="L610" s="55">
        <f>SUM(L608:L609)</f>
        <v>0</v>
      </c>
      <c r="M610" s="633"/>
      <c r="N610" s="634"/>
      <c r="O610" s="616"/>
    </row>
    <row r="611" spans="1:15" ht="15.5" x14ac:dyDescent="0.35">
      <c r="A611" s="11"/>
      <c r="B611" s="647" t="s">
        <v>4636</v>
      </c>
      <c r="C611" s="648"/>
      <c r="D611" s="648"/>
      <c r="E611" s="648"/>
      <c r="F611" s="648"/>
      <c r="G611" s="648"/>
      <c r="H611" s="648"/>
      <c r="I611" s="648"/>
      <c r="J611" s="648"/>
      <c r="K611" s="700"/>
      <c r="L611" s="648"/>
      <c r="M611" s="651"/>
      <c r="N611" s="649"/>
      <c r="O611" s="8"/>
    </row>
    <row r="612" spans="1:15" ht="15.5" x14ac:dyDescent="0.35">
      <c r="A612" s="631"/>
      <c r="B612" s="100" t="s">
        <v>1075</v>
      </c>
      <c r="C612" s="52">
        <v>132</v>
      </c>
      <c r="D612" s="2140" t="s">
        <v>1085</v>
      </c>
      <c r="E612" s="58"/>
      <c r="F612" s="59"/>
      <c r="G612" s="60"/>
      <c r="H612" s="60"/>
      <c r="I612" s="60"/>
      <c r="J612" s="58"/>
      <c r="K612" s="4"/>
      <c r="L612" s="16">
        <f>J612*I612*F612</f>
        <v>0</v>
      </c>
      <c r="M612" s="16"/>
      <c r="N612" s="78"/>
      <c r="O612" s="616"/>
    </row>
    <row r="613" spans="1:15" ht="15.5" x14ac:dyDescent="0.35">
      <c r="A613" s="631"/>
      <c r="B613" s="100" t="s">
        <v>1076</v>
      </c>
      <c r="C613" s="52">
        <v>132</v>
      </c>
      <c r="D613" s="2141"/>
      <c r="E613" s="58"/>
      <c r="F613" s="59"/>
      <c r="G613" s="60"/>
      <c r="H613" s="60"/>
      <c r="I613" s="60"/>
      <c r="J613" s="58"/>
      <c r="K613" s="4"/>
      <c r="L613" s="16">
        <f>J613*I613*F613</f>
        <v>0</v>
      </c>
      <c r="M613" s="16"/>
      <c r="N613" s="78"/>
      <c r="O613" s="616"/>
    </row>
    <row r="614" spans="1:15" ht="15.5" x14ac:dyDescent="0.35">
      <c r="A614" s="631"/>
      <c r="B614" s="95"/>
      <c r="C614" s="89"/>
      <c r="D614" s="89"/>
      <c r="E614" s="65"/>
      <c r="F614" s="65"/>
      <c r="G614" s="65"/>
      <c r="H614" s="65"/>
      <c r="I614" s="65"/>
      <c r="J614" s="95" t="s">
        <v>30</v>
      </c>
      <c r="K614" s="701"/>
      <c r="L614" s="55">
        <f>K606</f>
        <v>18383999.99999965</v>
      </c>
      <c r="M614" s="55"/>
      <c r="N614" s="78"/>
      <c r="O614" s="616"/>
    </row>
    <row r="615" spans="1:15" ht="15" thickBot="1" x14ac:dyDescent="0.4">
      <c r="A615" s="620"/>
      <c r="B615" s="635"/>
      <c r="C615" s="632"/>
      <c r="D615" s="720"/>
      <c r="K615" s="702"/>
      <c r="L615" s="620"/>
      <c r="M615" s="620"/>
      <c r="N615" s="632"/>
      <c r="O615" s="620"/>
    </row>
    <row r="616" spans="1:15" s="620" customFormat="1" x14ac:dyDescent="0.35">
      <c r="B616" s="2142" t="s">
        <v>1090</v>
      </c>
      <c r="C616" s="2143"/>
      <c r="D616" s="683" t="s">
        <v>14</v>
      </c>
      <c r="E616"/>
      <c r="F616" s="2144" t="s">
        <v>1091</v>
      </c>
      <c r="G616" s="2145"/>
      <c r="H616" s="2146"/>
      <c r="I616" s="683" t="s">
        <v>14</v>
      </c>
      <c r="K616" s="2147" t="s">
        <v>1092</v>
      </c>
      <c r="L616" s="2148"/>
      <c r="M616" s="684" t="s">
        <v>14</v>
      </c>
      <c r="N616" s="632"/>
    </row>
    <row r="617" spans="1:15" s="620" customFormat="1" x14ac:dyDescent="0.35">
      <c r="B617" s="2122" t="str">
        <f>B595</f>
        <v>MANIKNAGAR 132 KV SIDE</v>
      </c>
      <c r="C617" s="2123"/>
      <c r="D617" s="689">
        <f>K599</f>
        <v>18383999.99999965</v>
      </c>
      <c r="E617"/>
      <c r="F617" s="2124" t="s">
        <v>1093</v>
      </c>
      <c r="G617" s="2125"/>
      <c r="H617" s="2126"/>
      <c r="I617" s="689">
        <f>L610</f>
        <v>0</v>
      </c>
      <c r="K617" s="2129" t="s">
        <v>4625</v>
      </c>
      <c r="L617" s="2130"/>
      <c r="M617" s="687">
        <f>I618</f>
        <v>18383999.99999965</v>
      </c>
      <c r="N617" s="632"/>
    </row>
    <row r="618" spans="1:15" s="620" customFormat="1" x14ac:dyDescent="0.35">
      <c r="B618" s="2122" t="s">
        <v>1116</v>
      </c>
      <c r="C618" s="2123"/>
      <c r="D618" s="689"/>
      <c r="E618"/>
      <c r="F618" s="2124" t="s">
        <v>4625</v>
      </c>
      <c r="G618" s="2125"/>
      <c r="H618" s="2126"/>
      <c r="I618" s="687">
        <f>L614</f>
        <v>18383999.99999965</v>
      </c>
      <c r="K618" s="2127" t="s">
        <v>2455</v>
      </c>
      <c r="L618" s="2128"/>
      <c r="M618" s="1908">
        <f>D622</f>
        <v>23971199.999999374</v>
      </c>
      <c r="N618" s="632"/>
    </row>
    <row r="619" spans="1:15" s="620" customFormat="1" x14ac:dyDescent="0.35">
      <c r="B619" s="2122" t="s">
        <v>1117</v>
      </c>
      <c r="C619" s="2123"/>
      <c r="D619" s="689"/>
      <c r="E619"/>
      <c r="F619" s="2124" t="s">
        <v>1089</v>
      </c>
      <c r="G619" s="2125"/>
      <c r="H619" s="2126"/>
      <c r="I619" s="689">
        <f>I617+I618</f>
        <v>18383999.99999965</v>
      </c>
      <c r="K619" s="2129" t="s">
        <v>4622</v>
      </c>
      <c r="L619" s="2130"/>
      <c r="M619" s="689">
        <f>M617-M618</f>
        <v>-5587199.9999997243</v>
      </c>
      <c r="N619" s="632"/>
    </row>
    <row r="620" spans="1:15" s="620" customFormat="1" ht="15" thickBot="1" x14ac:dyDescent="0.4">
      <c r="B620" s="2122" t="s">
        <v>1118</v>
      </c>
      <c r="C620" s="2123"/>
      <c r="D620" s="722"/>
      <c r="E620"/>
      <c r="F620" s="2131" t="s">
        <v>4626</v>
      </c>
      <c r="G620" s="2132"/>
      <c r="H620" s="2133"/>
      <c r="I620" s="689">
        <f>D621-I619</f>
        <v>0</v>
      </c>
      <c r="K620" s="2134" t="s">
        <v>285</v>
      </c>
      <c r="L620" s="2135"/>
      <c r="M620" s="1905">
        <f>M619/M617</f>
        <v>-0.30391644908615267</v>
      </c>
      <c r="N620" s="632"/>
    </row>
    <row r="621" spans="1:15" s="620" customFormat="1" ht="15" thickBot="1" x14ac:dyDescent="0.4">
      <c r="B621" s="2109" t="s">
        <v>4620</v>
      </c>
      <c r="C621" s="2110"/>
      <c r="D621" s="1435">
        <f>SUM(D617:D620)</f>
        <v>18383999.99999965</v>
      </c>
      <c r="E621"/>
      <c r="F621" s="2113" t="s">
        <v>2454</v>
      </c>
      <c r="G621" s="2114"/>
      <c r="H621" s="2115"/>
      <c r="I621" s="1904">
        <f>I620/I619</f>
        <v>0</v>
      </c>
      <c r="K621" s="702"/>
      <c r="N621" s="632"/>
    </row>
    <row r="622" spans="1:15" s="620" customFormat="1" x14ac:dyDescent="0.35">
      <c r="B622" s="2116" t="s">
        <v>4624</v>
      </c>
      <c r="C622" s="2117"/>
      <c r="D622" s="1908">
        <f>K635</f>
        <v>23971199.999999374</v>
      </c>
      <c r="E622"/>
      <c r="F622" s="791"/>
      <c r="G622"/>
      <c r="H622"/>
      <c r="I622"/>
      <c r="J622"/>
      <c r="K622" s="702"/>
      <c r="N622" s="632"/>
    </row>
    <row r="623" spans="1:15" s="620" customFormat="1" x14ac:dyDescent="0.35">
      <c r="B623" s="2118" t="s">
        <v>4627</v>
      </c>
      <c r="C623" s="2119"/>
      <c r="D623" s="1436">
        <f>D621-D622</f>
        <v>-5587199.9999997243</v>
      </c>
      <c r="E623"/>
      <c r="F623" s="791"/>
      <c r="G623"/>
      <c r="H623"/>
      <c r="I623"/>
      <c r="J623"/>
      <c r="K623" s="702"/>
      <c r="N623" s="632"/>
    </row>
    <row r="624" spans="1:15" s="620" customFormat="1" ht="15" thickBot="1" x14ac:dyDescent="0.4">
      <c r="B624" s="2120" t="str">
        <f>K620</f>
        <v>LOSS % IN =&gt;</v>
      </c>
      <c r="C624" s="2121"/>
      <c r="D624" s="1899">
        <f>D623/D617</f>
        <v>-0.30391644908615267</v>
      </c>
      <c r="E624"/>
      <c r="F624" s="791"/>
      <c r="G624" s="678"/>
      <c r="H624" s="678"/>
      <c r="I624" s="678"/>
      <c r="J624" s="679"/>
      <c r="K624" s="702"/>
      <c r="N624" s="632"/>
    </row>
    <row r="625" spans="1:16" x14ac:dyDescent="0.35">
      <c r="A625" s="620"/>
      <c r="B625" s="635"/>
      <c r="C625" s="632"/>
      <c r="D625" s="720"/>
      <c r="G625" s="678"/>
      <c r="H625" s="678"/>
      <c r="I625" s="678"/>
      <c r="J625" s="679"/>
      <c r="K625" s="702"/>
      <c r="L625" s="620"/>
      <c r="M625" s="620"/>
      <c r="N625" s="632"/>
      <c r="O625" s="620"/>
    </row>
    <row r="626" spans="1:16" x14ac:dyDescent="0.35">
      <c r="A626" s="620"/>
      <c r="B626" s="635"/>
      <c r="C626" s="632"/>
      <c r="D626" s="720"/>
      <c r="G626" s="678"/>
      <c r="H626" s="678"/>
      <c r="I626" s="678"/>
      <c r="J626" s="679"/>
      <c r="K626" s="702"/>
      <c r="L626" s="620"/>
      <c r="M626" s="620"/>
      <c r="N626" s="632"/>
      <c r="O626" s="620"/>
    </row>
    <row r="627" spans="1:16" x14ac:dyDescent="0.35">
      <c r="A627" s="620"/>
      <c r="B627" s="635"/>
      <c r="C627" s="632"/>
      <c r="D627" s="720"/>
      <c r="E627" s="632"/>
      <c r="F627" s="620"/>
      <c r="G627" s="620"/>
      <c r="H627" s="620"/>
      <c r="I627" s="620"/>
      <c r="J627" s="620"/>
      <c r="K627" s="702"/>
      <c r="L627" s="620"/>
      <c r="M627" s="620"/>
      <c r="N627" s="632"/>
      <c r="O627" s="620"/>
    </row>
    <row r="628" spans="1:16" ht="25" x14ac:dyDescent="0.35">
      <c r="A628" s="2095" t="s">
        <v>1309</v>
      </c>
      <c r="B628" s="2095"/>
      <c r="C628" s="2095"/>
      <c r="D628" s="2095"/>
      <c r="E628" s="2095"/>
      <c r="F628" s="2095"/>
      <c r="G628" s="2095"/>
      <c r="H628" s="2095"/>
      <c r="I628" s="2095"/>
      <c r="J628" s="2095"/>
      <c r="K628" s="2095"/>
      <c r="L628" s="2095"/>
      <c r="M628" s="2095"/>
      <c r="N628" s="2095"/>
      <c r="O628" s="756" t="e">
        <f>$O$6</f>
        <v>#REF!</v>
      </c>
    </row>
    <row r="629" spans="1:16" ht="15.5" x14ac:dyDescent="0.35">
      <c r="A629" s="2096" t="s">
        <v>0</v>
      </c>
      <c r="B629" s="2098" t="s">
        <v>1</v>
      </c>
      <c r="C629" s="2100" t="s">
        <v>2</v>
      </c>
      <c r="D629" s="2101"/>
      <c r="E629" s="2102"/>
      <c r="F629" s="2103" t="s">
        <v>3</v>
      </c>
      <c r="G629" s="2100" t="s">
        <v>4</v>
      </c>
      <c r="H629" s="2102"/>
      <c r="I629" s="2085"/>
      <c r="J629" s="2103" t="s">
        <v>5</v>
      </c>
      <c r="K629" s="2100" t="s">
        <v>6</v>
      </c>
      <c r="L629" s="2085"/>
      <c r="M629" s="97" t="s">
        <v>32</v>
      </c>
      <c r="N629" s="98"/>
      <c r="O629" s="2084" t="s">
        <v>7</v>
      </c>
    </row>
    <row r="630" spans="1:16" ht="15.5" x14ac:dyDescent="0.35">
      <c r="A630" s="2111"/>
      <c r="B630" s="2112"/>
      <c r="C630" s="2086" t="s">
        <v>1108</v>
      </c>
      <c r="D630" s="2087"/>
      <c r="E630" s="675" t="s">
        <v>9</v>
      </c>
      <c r="F630" s="2111"/>
      <c r="G630" s="2">
        <f>'NORTH-1'!$G$8</f>
        <v>44774</v>
      </c>
      <c r="H630" s="2">
        <f>'NORTH-1'!$H$8</f>
        <v>44805</v>
      </c>
      <c r="I630" s="676" t="s">
        <v>10</v>
      </c>
      <c r="J630" s="2111"/>
      <c r="K630" s="676" t="s">
        <v>11</v>
      </c>
      <c r="L630" s="676" t="s">
        <v>12</v>
      </c>
      <c r="M630" s="715" t="s">
        <v>33</v>
      </c>
      <c r="N630" s="716" t="s">
        <v>47</v>
      </c>
      <c r="O630" s="2104"/>
    </row>
    <row r="631" spans="1:16" ht="15.5" x14ac:dyDescent="0.35">
      <c r="A631" s="717">
        <v>1</v>
      </c>
      <c r="B631" s="673">
        <v>2</v>
      </c>
      <c r="C631" s="2088">
        <v>4</v>
      </c>
      <c r="D631" s="2089"/>
      <c r="E631" s="673">
        <v>5</v>
      </c>
      <c r="F631" s="717">
        <v>7</v>
      </c>
      <c r="G631" s="717">
        <v>8</v>
      </c>
      <c r="H631" s="717">
        <v>9</v>
      </c>
      <c r="I631" s="717" t="s">
        <v>13</v>
      </c>
      <c r="J631" s="717">
        <v>11</v>
      </c>
      <c r="K631" s="717" t="s">
        <v>19</v>
      </c>
      <c r="L631" s="717" t="s">
        <v>20</v>
      </c>
      <c r="M631" s="717">
        <v>14</v>
      </c>
      <c r="N631" s="673">
        <v>15</v>
      </c>
      <c r="O631" s="717">
        <v>16</v>
      </c>
    </row>
    <row r="632" spans="1:16" ht="15.5" x14ac:dyDescent="0.35">
      <c r="A632" s="11"/>
      <c r="B632" s="624" t="s">
        <v>1100</v>
      </c>
      <c r="C632" s="625"/>
      <c r="D632" s="625"/>
      <c r="E632" s="625"/>
      <c r="F632" s="625"/>
      <c r="G632" s="625"/>
      <c r="H632" s="625"/>
      <c r="I632" s="625"/>
      <c r="J632" s="625"/>
      <c r="K632" s="695"/>
      <c r="L632" s="625"/>
      <c r="M632" s="626"/>
      <c r="N632" s="627"/>
      <c r="O632" s="8"/>
    </row>
    <row r="633" spans="1:16" ht="15.5" x14ac:dyDescent="0.35">
      <c r="A633" s="631">
        <v>6</v>
      </c>
      <c r="B633" s="100" t="s">
        <v>2776</v>
      </c>
      <c r="C633" s="52">
        <v>33</v>
      </c>
      <c r="D633" s="2105" t="s">
        <v>339</v>
      </c>
      <c r="E633" s="52" t="s">
        <v>2777</v>
      </c>
      <c r="F633" s="4">
        <v>1</v>
      </c>
      <c r="G633" s="5">
        <v>8980.68</v>
      </c>
      <c r="H633" s="5">
        <v>9005.85</v>
      </c>
      <c r="I633" s="5">
        <f>H633-G633</f>
        <v>25.170000000000073</v>
      </c>
      <c r="J633" s="616">
        <v>480000</v>
      </c>
      <c r="K633" s="696">
        <f>J633*I633*F633</f>
        <v>12081600.000000035</v>
      </c>
      <c r="L633" s="7"/>
      <c r="M633" s="7"/>
      <c r="N633" s="78"/>
      <c r="O633" s="616"/>
    </row>
    <row r="634" spans="1:16" ht="15.5" x14ac:dyDescent="0.35">
      <c r="A634" s="631">
        <v>7</v>
      </c>
      <c r="B634" s="100" t="s">
        <v>2778</v>
      </c>
      <c r="C634" s="52">
        <v>33</v>
      </c>
      <c r="D634" s="2106" t="s">
        <v>339</v>
      </c>
      <c r="E634" s="52" t="s">
        <v>2779</v>
      </c>
      <c r="F634" s="4">
        <v>1</v>
      </c>
      <c r="G634" s="5">
        <v>8806.9500000000007</v>
      </c>
      <c r="H634" s="5">
        <v>8831.7199999999993</v>
      </c>
      <c r="I634" s="5">
        <f>H634-G634</f>
        <v>24.769999999998618</v>
      </c>
      <c r="J634" s="616">
        <v>480000</v>
      </c>
      <c r="K634" s="696">
        <f>J634*I634*F634</f>
        <v>11889599.999999337</v>
      </c>
      <c r="L634" s="7"/>
      <c r="M634" s="7"/>
      <c r="N634" s="78"/>
      <c r="O634" s="616"/>
      <c r="P634" t="s">
        <v>2780</v>
      </c>
    </row>
    <row r="635" spans="1:16" ht="15.5" x14ac:dyDescent="0.35">
      <c r="A635" s="631"/>
      <c r="B635" s="95"/>
      <c r="C635" s="89"/>
      <c r="D635" s="89"/>
      <c r="E635" s="89"/>
      <c r="F635" s="37"/>
      <c r="G635" s="37"/>
      <c r="H635" s="37"/>
      <c r="I635" s="37"/>
      <c r="J635" s="95" t="s">
        <v>30</v>
      </c>
      <c r="K635" s="1908">
        <f>SUM(K633:K634)</f>
        <v>23971199.999999374</v>
      </c>
      <c r="L635" s="40"/>
      <c r="M635" s="40">
        <f>SUM(M633:M634)</f>
        <v>0</v>
      </c>
      <c r="N635" s="78"/>
      <c r="O635" s="616"/>
    </row>
    <row r="636" spans="1:16" ht="15.5" x14ac:dyDescent="0.35">
      <c r="A636" s="631"/>
      <c r="B636" s="647" t="s">
        <v>1103</v>
      </c>
      <c r="C636" s="648"/>
      <c r="D636" s="648"/>
      <c r="E636" s="648"/>
      <c r="F636" s="648"/>
      <c r="G636" s="648"/>
      <c r="H636" s="648"/>
      <c r="I636" s="648"/>
      <c r="J636" s="648"/>
      <c r="K636" s="700"/>
      <c r="L636" s="648"/>
      <c r="M636" s="651"/>
      <c r="N636" s="649"/>
      <c r="O636" s="616"/>
    </row>
    <row r="637" spans="1:16" ht="15.5" x14ac:dyDescent="0.35">
      <c r="A637" s="631"/>
      <c r="B637" s="662" t="s">
        <v>1106</v>
      </c>
      <c r="C637" s="52"/>
      <c r="D637" s="1777" t="s">
        <v>1083</v>
      </c>
      <c r="E637" s="52"/>
      <c r="F637" s="4"/>
      <c r="G637" s="5"/>
      <c r="H637" s="5"/>
      <c r="I637" s="6"/>
      <c r="J637" s="616"/>
      <c r="K637" s="696"/>
      <c r="L637" s="7"/>
      <c r="M637" s="7"/>
      <c r="N637" s="78"/>
      <c r="O637" s="616"/>
    </row>
    <row r="638" spans="1:16" ht="15.5" x14ac:dyDescent="0.35">
      <c r="A638" s="11">
        <v>5</v>
      </c>
      <c r="B638" s="100" t="s">
        <v>2781</v>
      </c>
      <c r="C638" s="661">
        <v>33</v>
      </c>
      <c r="D638" s="1773" t="s">
        <v>326</v>
      </c>
      <c r="E638" s="674" t="s">
        <v>2782</v>
      </c>
      <c r="F638" s="4">
        <v>1</v>
      </c>
      <c r="G638" s="21">
        <v>9441.65</v>
      </c>
      <c r="H638" s="21">
        <v>9462.2199999999993</v>
      </c>
      <c r="I638" s="21">
        <f>H638-G638</f>
        <v>20.569999999999709</v>
      </c>
      <c r="J638" s="616">
        <v>180000</v>
      </c>
      <c r="K638" s="696"/>
      <c r="L638" s="22">
        <f>F638*I638*J638</f>
        <v>3702599.9999999478</v>
      </c>
      <c r="M638" s="22"/>
      <c r="N638" s="82"/>
      <c r="O638" s="9"/>
    </row>
    <row r="639" spans="1:16" ht="15.5" x14ac:dyDescent="0.35">
      <c r="A639" s="631">
        <v>8</v>
      </c>
      <c r="B639" s="100" t="s">
        <v>2783</v>
      </c>
      <c r="C639" s="661">
        <v>33</v>
      </c>
      <c r="D639" s="1773" t="s">
        <v>326</v>
      </c>
      <c r="E639" s="674" t="s">
        <v>2784</v>
      </c>
      <c r="F639" s="4">
        <v>1</v>
      </c>
      <c r="G639" s="21">
        <v>9510.34</v>
      </c>
      <c r="H639" s="21">
        <v>9544.26</v>
      </c>
      <c r="I639" s="21">
        <f>H639-G639</f>
        <v>33.920000000000073</v>
      </c>
      <c r="J639" s="616">
        <v>180000</v>
      </c>
      <c r="K639" s="696"/>
      <c r="L639" s="22">
        <f>F639*I639*J639</f>
        <v>6105600.000000013</v>
      </c>
      <c r="M639" s="22"/>
      <c r="N639" s="82"/>
      <c r="O639" s="616"/>
      <c r="P639" t="s">
        <v>2780</v>
      </c>
    </row>
    <row r="640" spans="1:16" ht="15.5" x14ac:dyDescent="0.35">
      <c r="A640" s="616"/>
      <c r="B640" s="662" t="s">
        <v>1107</v>
      </c>
      <c r="C640" s="89"/>
      <c r="D640" s="1773"/>
      <c r="E640" s="89"/>
      <c r="F640" s="37"/>
      <c r="G640" s="37"/>
      <c r="H640" s="37"/>
      <c r="I640" s="37"/>
      <c r="J640" s="95" t="s">
        <v>30</v>
      </c>
      <c r="K640" s="696"/>
      <c r="L640" s="43">
        <f>SUM(L638:L639)</f>
        <v>9808199.9999999609</v>
      </c>
      <c r="M640" s="43">
        <f>SUM(M638:M639)</f>
        <v>0</v>
      </c>
      <c r="N640" s="83"/>
      <c r="O640" s="12"/>
    </row>
    <row r="641" spans="1:16" ht="15.5" x14ac:dyDescent="0.35">
      <c r="A641" s="636">
        <v>1</v>
      </c>
      <c r="B641" s="100" t="s">
        <v>2785</v>
      </c>
      <c r="C641" s="661">
        <v>33</v>
      </c>
      <c r="D641" s="1773" t="s">
        <v>326</v>
      </c>
      <c r="E641" s="674" t="s">
        <v>2786</v>
      </c>
      <c r="F641" s="4">
        <v>1</v>
      </c>
      <c r="G641" s="6">
        <v>29254</v>
      </c>
      <c r="H641" s="6">
        <v>29254</v>
      </c>
      <c r="I641" s="20">
        <f t="shared" ref="I641:I647" si="21">H641-G641</f>
        <v>0</v>
      </c>
      <c r="J641" s="616">
        <v>1000</v>
      </c>
      <c r="K641" s="703"/>
      <c r="L641" s="22">
        <f>F641*I641*J641</f>
        <v>0</v>
      </c>
      <c r="M641" s="22"/>
      <c r="N641" s="82"/>
      <c r="O641" s="15"/>
    </row>
    <row r="642" spans="1:16" ht="15.5" x14ac:dyDescent="0.35">
      <c r="A642" s="636">
        <v>2</v>
      </c>
      <c r="B642" s="100" t="s">
        <v>2787</v>
      </c>
      <c r="C642" s="661">
        <v>33</v>
      </c>
      <c r="D642" s="1773" t="s">
        <v>326</v>
      </c>
      <c r="E642" s="674" t="s">
        <v>2788</v>
      </c>
      <c r="F642" s="4">
        <v>1</v>
      </c>
      <c r="G642" s="6">
        <v>2613.5</v>
      </c>
      <c r="H642" s="6">
        <v>2613.5</v>
      </c>
      <c r="I642" s="20">
        <f t="shared" si="21"/>
        <v>0</v>
      </c>
      <c r="J642" s="616">
        <v>180000</v>
      </c>
      <c r="K642" s="703"/>
      <c r="L642" s="22">
        <v>1713200</v>
      </c>
      <c r="M642" s="22"/>
      <c r="N642" s="82"/>
      <c r="O642" s="15"/>
    </row>
    <row r="643" spans="1:16" ht="15.5" x14ac:dyDescent="0.35">
      <c r="A643" s="636">
        <v>3</v>
      </c>
      <c r="B643" s="100" t="s">
        <v>2789</v>
      </c>
      <c r="C643" s="661">
        <v>33</v>
      </c>
      <c r="D643" s="1773" t="s">
        <v>326</v>
      </c>
      <c r="E643" s="691" t="s">
        <v>2790</v>
      </c>
      <c r="F643" s="4">
        <v>1</v>
      </c>
      <c r="G643" s="6">
        <v>4114.51</v>
      </c>
      <c r="H643" s="6">
        <v>4114.51</v>
      </c>
      <c r="I643" s="20">
        <f t="shared" si="21"/>
        <v>0</v>
      </c>
      <c r="J643" s="616">
        <v>180000</v>
      </c>
      <c r="K643" s="704"/>
      <c r="L643" s="22">
        <f>F643*I643*J643</f>
        <v>0</v>
      </c>
      <c r="M643" s="22"/>
      <c r="N643" s="82"/>
      <c r="O643" s="14"/>
    </row>
    <row r="644" spans="1:16" ht="15.5" x14ac:dyDescent="0.35">
      <c r="A644" s="636">
        <v>4</v>
      </c>
      <c r="B644" s="100" t="s">
        <v>2791</v>
      </c>
      <c r="C644" s="661">
        <v>33</v>
      </c>
      <c r="D644" s="1773" t="s">
        <v>326</v>
      </c>
      <c r="E644" s="674" t="s">
        <v>2792</v>
      </c>
      <c r="F644" s="4">
        <v>1</v>
      </c>
      <c r="G644" s="6">
        <v>5485.55</v>
      </c>
      <c r="H644" s="6">
        <v>5504.23</v>
      </c>
      <c r="I644" s="20">
        <f t="shared" si="21"/>
        <v>18.679999999999382</v>
      </c>
      <c r="J644" s="616">
        <v>180000</v>
      </c>
      <c r="K644" s="704"/>
      <c r="L644" s="22">
        <f>F644*I644*J644</f>
        <v>3362399.9999998887</v>
      </c>
      <c r="M644" s="22"/>
      <c r="N644" s="82"/>
      <c r="O644" s="14"/>
      <c r="P644" t="s">
        <v>2780</v>
      </c>
    </row>
    <row r="645" spans="1:16" ht="15.5" x14ac:dyDescent="0.35">
      <c r="A645" s="636">
        <v>9</v>
      </c>
      <c r="B645" s="100" t="s">
        <v>2793</v>
      </c>
      <c r="C645" s="661">
        <v>33</v>
      </c>
      <c r="D645" s="1773" t="s">
        <v>326</v>
      </c>
      <c r="E645" s="674" t="s">
        <v>2794</v>
      </c>
      <c r="F645" s="4">
        <v>1</v>
      </c>
      <c r="G645" s="6">
        <v>5325.66</v>
      </c>
      <c r="H645" s="6">
        <v>5343.58</v>
      </c>
      <c r="I645" s="20">
        <f t="shared" si="21"/>
        <v>17.920000000000073</v>
      </c>
      <c r="J645" s="616">
        <v>180000</v>
      </c>
      <c r="K645" s="703"/>
      <c r="L645" s="22">
        <f>F645*I645*J645</f>
        <v>3225600.000000013</v>
      </c>
      <c r="M645" s="22"/>
      <c r="N645" s="82"/>
      <c r="O645" s="15"/>
    </row>
    <row r="646" spans="1:16" ht="15.5" x14ac:dyDescent="0.35">
      <c r="A646" s="636">
        <v>10</v>
      </c>
      <c r="B646" s="100" t="s">
        <v>2795</v>
      </c>
      <c r="C646" s="661">
        <v>33</v>
      </c>
      <c r="D646" s="1773" t="s">
        <v>326</v>
      </c>
      <c r="E646" s="674" t="s">
        <v>2796</v>
      </c>
      <c r="F646" s="4">
        <v>1</v>
      </c>
      <c r="G646" s="6">
        <v>1828.4</v>
      </c>
      <c r="H646" s="6">
        <v>1828.4</v>
      </c>
      <c r="I646" s="20">
        <f t="shared" si="21"/>
        <v>0</v>
      </c>
      <c r="J646" s="616">
        <v>180000</v>
      </c>
      <c r="K646" s="704"/>
      <c r="L646" s="22">
        <f>F646*I646*J646</f>
        <v>0</v>
      </c>
      <c r="M646" s="22"/>
      <c r="N646" s="82"/>
      <c r="O646" s="10"/>
    </row>
    <row r="647" spans="1:16" ht="15.5" x14ac:dyDescent="0.35">
      <c r="A647" s="636">
        <v>11</v>
      </c>
      <c r="B647" s="100" t="s">
        <v>2797</v>
      </c>
      <c r="C647" s="661">
        <v>33</v>
      </c>
      <c r="D647" s="1773" t="s">
        <v>326</v>
      </c>
      <c r="E647" s="674" t="s">
        <v>2798</v>
      </c>
      <c r="F647" s="4">
        <v>1</v>
      </c>
      <c r="G647" s="6"/>
      <c r="H647" s="6"/>
      <c r="I647" s="20">
        <f t="shared" si="21"/>
        <v>0</v>
      </c>
      <c r="J647" s="616">
        <v>180000</v>
      </c>
      <c r="K647" s="703"/>
      <c r="L647" s="22">
        <v>4671100</v>
      </c>
      <c r="M647" s="22"/>
      <c r="N647" s="82"/>
      <c r="O647" s="15"/>
      <c r="P647" t="s">
        <v>2799</v>
      </c>
    </row>
    <row r="648" spans="1:16" ht="15.5" x14ac:dyDescent="0.35">
      <c r="A648" s="636"/>
      <c r="B648" s="96"/>
      <c r="C648" s="90"/>
      <c r="D648" s="90"/>
      <c r="E648" s="90"/>
      <c r="F648" s="38"/>
      <c r="G648" s="38"/>
      <c r="H648" s="38"/>
      <c r="I648" s="38"/>
      <c r="J648" s="95" t="s">
        <v>30</v>
      </c>
      <c r="K648" s="696"/>
      <c r="L648" s="43">
        <f>SUM(L641:L647)</f>
        <v>12972299.999999901</v>
      </c>
      <c r="M648" s="43">
        <f>SUM(M641:M647)</f>
        <v>0</v>
      </c>
      <c r="N648" s="83"/>
      <c r="O648" s="13"/>
    </row>
    <row r="649" spans="1:16" ht="20" x14ac:dyDescent="0.35">
      <c r="A649" s="636"/>
      <c r="B649" s="96"/>
      <c r="C649" s="90"/>
      <c r="D649" s="90"/>
      <c r="E649" s="90"/>
      <c r="F649" s="38"/>
      <c r="G649" s="38"/>
      <c r="H649" s="38"/>
      <c r="I649" s="2107" t="s">
        <v>44</v>
      </c>
      <c r="J649" s="2108"/>
      <c r="K649" s="698">
        <f>K635</f>
        <v>23971199.999999374</v>
      </c>
      <c r="L649" s="44">
        <f>L640+L648</f>
        <v>22780499.999999862</v>
      </c>
      <c r="M649" s="44">
        <f>M648+M640</f>
        <v>0</v>
      </c>
      <c r="N649" s="1908">
        <f>(M649-L649)/L649*100</f>
        <v>-100</v>
      </c>
      <c r="O649" s="29"/>
    </row>
    <row r="650" spans="1:16" x14ac:dyDescent="0.35">
      <c r="A650" s="620"/>
      <c r="B650" s="635"/>
      <c r="C650" s="632"/>
      <c r="D650" s="720"/>
      <c r="K650" s="702"/>
      <c r="L650" s="620"/>
      <c r="M650" s="620"/>
      <c r="N650" s="632"/>
      <c r="O650" s="620"/>
    </row>
    <row r="651" spans="1:16" ht="15" x14ac:dyDescent="0.35">
      <c r="A651" s="620"/>
      <c r="D651" s="725"/>
      <c r="G651" s="2092" t="s">
        <v>1096</v>
      </c>
      <c r="H651" s="2092"/>
      <c r="I651" s="2092"/>
      <c r="J651" s="677" t="s">
        <v>14</v>
      </c>
      <c r="K651" s="69" t="s">
        <v>1098</v>
      </c>
      <c r="L651" s="620"/>
      <c r="M651" s="620"/>
      <c r="N651" s="632"/>
      <c r="O651" s="620"/>
    </row>
    <row r="652" spans="1:16" ht="17.5" x14ac:dyDescent="0.35">
      <c r="A652" s="620"/>
      <c r="D652" s="725"/>
      <c r="G652" s="2093" t="s">
        <v>1071</v>
      </c>
      <c r="H652" s="2093"/>
      <c r="I652" s="2093"/>
      <c r="J652" s="692">
        <f>M640</f>
        <v>0</v>
      </c>
      <c r="K652" s="70">
        <v>6.933634163553025</v>
      </c>
      <c r="L652" s="620"/>
      <c r="M652" s="620"/>
      <c r="N652" s="632"/>
      <c r="O652" s="620"/>
    </row>
    <row r="653" spans="1:16" ht="17.5" x14ac:dyDescent="0.35">
      <c r="A653" s="620"/>
      <c r="D653" s="725"/>
      <c r="G653" s="2093" t="s">
        <v>206</v>
      </c>
      <c r="H653" s="2093"/>
      <c r="I653" s="2093"/>
      <c r="J653" s="692">
        <f>M641+M642+M643</f>
        <v>0</v>
      </c>
      <c r="K653" s="70">
        <v>-0.33769527905653496</v>
      </c>
      <c r="L653" s="620"/>
      <c r="M653" s="620"/>
      <c r="N653" s="632"/>
      <c r="O653" s="620"/>
    </row>
    <row r="654" spans="1:16" ht="17.5" x14ac:dyDescent="0.35">
      <c r="A654" s="620"/>
      <c r="D654" s="725"/>
      <c r="G654" s="2093" t="s">
        <v>207</v>
      </c>
      <c r="H654" s="2093"/>
      <c r="I654" s="2093"/>
      <c r="J654" s="692">
        <f>M644+M645</f>
        <v>0</v>
      </c>
      <c r="K654" s="70"/>
      <c r="L654" s="620"/>
      <c r="M654" s="620"/>
      <c r="N654" s="632"/>
      <c r="O654" s="620"/>
    </row>
    <row r="655" spans="1:16" ht="17.5" x14ac:dyDescent="0.35">
      <c r="A655" s="620"/>
      <c r="D655" s="725"/>
      <c r="G655" s="2093" t="s">
        <v>208</v>
      </c>
      <c r="H655" s="2093"/>
      <c r="I655" s="2093"/>
      <c r="J655" s="692">
        <f>M646</f>
        <v>0</v>
      </c>
      <c r="K655" s="70">
        <v>0.58957194954853154</v>
      </c>
      <c r="L655" s="620"/>
      <c r="M655" s="620"/>
      <c r="N655" s="632"/>
      <c r="O655" s="620"/>
    </row>
    <row r="656" spans="1:16" ht="17.5" x14ac:dyDescent="0.35">
      <c r="A656" s="620"/>
      <c r="B656" s="635"/>
      <c r="C656" s="632"/>
      <c r="D656" s="720"/>
      <c r="G656" s="2093" t="s">
        <v>209</v>
      </c>
      <c r="H656" s="2093"/>
      <c r="I656" s="2093"/>
      <c r="J656" s="692">
        <f>M647</f>
        <v>0</v>
      </c>
      <c r="K656" s="70"/>
      <c r="L656" s="620"/>
      <c r="M656" s="620"/>
      <c r="N656" s="632"/>
      <c r="O656" s="620"/>
    </row>
    <row r="657" spans="1:15" ht="17.5" x14ac:dyDescent="0.35">
      <c r="A657" s="620"/>
      <c r="B657" s="635"/>
      <c r="C657" s="632"/>
      <c r="D657" s="720"/>
      <c r="G657" s="2093" t="s">
        <v>40</v>
      </c>
      <c r="H657" s="2093"/>
      <c r="I657" s="2093"/>
      <c r="J657" s="692" t="e">
        <f>#REF!+#REF!</f>
        <v>#REF!</v>
      </c>
      <c r="K657" s="70">
        <v>2.4391608198671739</v>
      </c>
      <c r="L657" s="620"/>
      <c r="M657" s="620"/>
      <c r="N657" s="632"/>
      <c r="O657" s="620"/>
    </row>
    <row r="658" spans="1:15" x14ac:dyDescent="0.35">
      <c r="A658" s="620"/>
      <c r="B658" s="635"/>
      <c r="C658" s="632"/>
      <c r="D658" s="720"/>
      <c r="G658" s="2094" t="s">
        <v>42</v>
      </c>
      <c r="H658" s="2094"/>
      <c r="I658" s="2094"/>
      <c r="J658" s="693" t="e">
        <f>#REF!</f>
        <v>#REF!</v>
      </c>
      <c r="K658" s="694" t="s">
        <v>1097</v>
      </c>
      <c r="L658" s="620"/>
      <c r="M658" s="620"/>
      <c r="N658" s="632"/>
      <c r="O658" s="620"/>
    </row>
    <row r="659" spans="1:15" ht="18" thickBot="1" x14ac:dyDescent="0.4">
      <c r="A659" s="620"/>
      <c r="B659" s="635"/>
      <c r="C659" s="632"/>
      <c r="D659" s="720"/>
      <c r="E659" s="632"/>
      <c r="F659" s="620"/>
      <c r="G659" s="2093" t="s">
        <v>41</v>
      </c>
      <c r="H659" s="2093"/>
      <c r="I659" s="2093"/>
      <c r="J659" s="692" t="e">
        <f>#REF!</f>
        <v>#REF!</v>
      </c>
      <c r="K659" s="681">
        <v>1.4463055987403735</v>
      </c>
      <c r="L659" s="620"/>
      <c r="M659" s="620"/>
      <c r="N659" s="632"/>
      <c r="O659" s="620"/>
    </row>
    <row r="660" spans="1:15" ht="20.5" thickBot="1" x14ac:dyDescent="0.4">
      <c r="A660" s="620"/>
      <c r="B660" s="635"/>
      <c r="C660" s="632"/>
      <c r="D660" s="720"/>
      <c r="E660" s="632"/>
      <c r="F660" s="620"/>
      <c r="G660" s="620"/>
      <c r="H660" s="620"/>
      <c r="I660" s="642" t="s">
        <v>210</v>
      </c>
      <c r="J660" s="680" t="e">
        <f>SUM(J652:J659)</f>
        <v>#REF!</v>
      </c>
      <c r="K660" s="682" t="e">
        <f>J660-M649</f>
        <v>#REF!</v>
      </c>
      <c r="L660" s="620"/>
      <c r="M660" s="620"/>
      <c r="N660" s="632"/>
      <c r="O660" s="620"/>
    </row>
    <row r="661" spans="1:15" x14ac:dyDescent="0.35">
      <c r="A661" s="620"/>
      <c r="B661" s="635"/>
      <c r="C661" s="632"/>
      <c r="D661" s="720"/>
      <c r="E661" s="632"/>
      <c r="F661" s="620"/>
      <c r="G661" s="620"/>
      <c r="H661" s="620"/>
      <c r="I661" s="620"/>
      <c r="J661" s="620"/>
      <c r="K661" s="702"/>
      <c r="L661" s="620"/>
      <c r="M661" s="620"/>
      <c r="N661" s="632"/>
      <c r="O661" s="620"/>
    </row>
    <row r="662" spans="1:15" ht="25" x14ac:dyDescent="0.35">
      <c r="A662" s="2095" t="s">
        <v>1310</v>
      </c>
      <c r="B662" s="2095"/>
      <c r="C662" s="2095"/>
      <c r="D662" s="2095"/>
      <c r="E662" s="2095"/>
      <c r="F662" s="2095"/>
      <c r="G662" s="2095"/>
      <c r="H662" s="2095"/>
      <c r="I662" s="2095"/>
      <c r="J662" s="2095"/>
      <c r="K662" s="2095"/>
      <c r="L662" s="2095"/>
      <c r="M662" s="2095"/>
      <c r="N662" s="2095"/>
      <c r="O662" s="756" t="e">
        <f>$O$6</f>
        <v>#REF!</v>
      </c>
    </row>
    <row r="663" spans="1:15" ht="15.5" x14ac:dyDescent="0.35">
      <c r="A663" s="2096" t="s">
        <v>0</v>
      </c>
      <c r="B663" s="2098" t="s">
        <v>1</v>
      </c>
      <c r="C663" s="2100" t="s">
        <v>2</v>
      </c>
      <c r="D663" s="2101"/>
      <c r="E663" s="2102"/>
      <c r="F663" s="2103" t="s">
        <v>3</v>
      </c>
      <c r="G663" s="2100" t="s">
        <v>4</v>
      </c>
      <c r="H663" s="2102"/>
      <c r="I663" s="2085"/>
      <c r="J663" s="2103" t="s">
        <v>5</v>
      </c>
      <c r="K663" s="2100" t="s">
        <v>6</v>
      </c>
      <c r="L663" s="2085"/>
      <c r="M663" s="97" t="s">
        <v>32</v>
      </c>
      <c r="N663" s="98"/>
      <c r="O663" s="2084" t="s">
        <v>7</v>
      </c>
    </row>
    <row r="664" spans="1:15" ht="15.5" x14ac:dyDescent="0.35">
      <c r="A664" s="2097"/>
      <c r="B664" s="2099"/>
      <c r="C664" s="2086" t="s">
        <v>1108</v>
      </c>
      <c r="D664" s="2087"/>
      <c r="E664" s="87" t="s">
        <v>9</v>
      </c>
      <c r="F664" s="2097"/>
      <c r="G664" s="2">
        <f>'NORTH-1'!$G$8</f>
        <v>44774</v>
      </c>
      <c r="H664" s="2">
        <f>'NORTH-1'!$H$8</f>
        <v>44805</v>
      </c>
      <c r="I664" s="1" t="s">
        <v>10</v>
      </c>
      <c r="J664" s="2097"/>
      <c r="K664" s="1" t="s">
        <v>11</v>
      </c>
      <c r="L664" s="1" t="s">
        <v>12</v>
      </c>
      <c r="M664" s="617" t="s">
        <v>33</v>
      </c>
      <c r="N664" s="76" t="s">
        <v>47</v>
      </c>
      <c r="O664" s="2085"/>
    </row>
    <row r="665" spans="1:15" ht="15.5" x14ac:dyDescent="0.35">
      <c r="A665" s="3">
        <v>1</v>
      </c>
      <c r="B665" s="88">
        <v>2</v>
      </c>
      <c r="C665" s="2088">
        <v>4</v>
      </c>
      <c r="D665" s="2089"/>
      <c r="E665" s="88">
        <v>5</v>
      </c>
      <c r="F665" s="3">
        <v>7</v>
      </c>
      <c r="G665" s="3">
        <v>8</v>
      </c>
      <c r="H665" s="3">
        <v>9</v>
      </c>
      <c r="I665" s="3" t="s">
        <v>13</v>
      </c>
      <c r="J665" s="3">
        <v>11</v>
      </c>
      <c r="K665" s="3" t="s">
        <v>19</v>
      </c>
      <c r="L665" s="3" t="s">
        <v>20</v>
      </c>
      <c r="M665" s="3">
        <v>14</v>
      </c>
      <c r="N665" s="77">
        <v>15</v>
      </c>
      <c r="O665" s="3">
        <v>16</v>
      </c>
    </row>
    <row r="666" spans="1:15" ht="15" x14ac:dyDescent="0.35">
      <c r="A666" s="636"/>
      <c r="B666" s="624" t="s">
        <v>1104</v>
      </c>
      <c r="C666" s="625"/>
      <c r="D666" s="625"/>
      <c r="E666" s="625"/>
      <c r="F666" s="625"/>
      <c r="G666" s="625"/>
      <c r="H666" s="625"/>
      <c r="I666" s="625"/>
      <c r="J666" s="625"/>
      <c r="K666" s="695"/>
      <c r="L666" s="625"/>
      <c r="M666" s="626"/>
      <c r="N666" s="627"/>
      <c r="O666" s="12"/>
    </row>
    <row r="667" spans="1:15" ht="15.5" x14ac:dyDescent="0.35">
      <c r="A667" s="616">
        <v>8</v>
      </c>
      <c r="B667" s="100" t="s">
        <v>2800</v>
      </c>
      <c r="C667" s="73">
        <v>11</v>
      </c>
      <c r="D667" s="2090" t="s">
        <v>339</v>
      </c>
      <c r="E667" s="52" t="s">
        <v>2801</v>
      </c>
      <c r="F667" s="32">
        <v>1</v>
      </c>
      <c r="G667" s="5">
        <v>10616.73</v>
      </c>
      <c r="H667" s="5">
        <v>10640.11</v>
      </c>
      <c r="I667" s="21">
        <f>H667-G667</f>
        <v>23.380000000001019</v>
      </c>
      <c r="J667" s="616">
        <v>160000</v>
      </c>
      <c r="K667" s="707">
        <f>J667*I667*F667</f>
        <v>3740800.000000163</v>
      </c>
      <c r="L667" s="22"/>
      <c r="M667" s="22"/>
      <c r="N667" s="83"/>
      <c r="O667" s="12">
        <f>SUM(L660:L666)</f>
        <v>0</v>
      </c>
    </row>
    <row r="668" spans="1:15" ht="15.5" x14ac:dyDescent="0.35">
      <c r="A668" s="616">
        <v>9</v>
      </c>
      <c r="B668" s="100" t="s">
        <v>2802</v>
      </c>
      <c r="C668" s="73">
        <v>11</v>
      </c>
      <c r="D668" s="2091" t="s">
        <v>339</v>
      </c>
      <c r="E668" s="52" t="s">
        <v>2803</v>
      </c>
      <c r="F668" s="32">
        <v>1</v>
      </c>
      <c r="G668" s="5">
        <v>10881.77</v>
      </c>
      <c r="H668" s="5">
        <v>10920.09</v>
      </c>
      <c r="I668" s="21">
        <f>H668-G668</f>
        <v>38.319999999999709</v>
      </c>
      <c r="J668" s="616">
        <v>160000</v>
      </c>
      <c r="K668" s="707">
        <f>J668*I668*F668</f>
        <v>6131199.9999999534</v>
      </c>
      <c r="L668" s="22"/>
      <c r="M668" s="22"/>
      <c r="N668" s="83"/>
      <c r="O668" s="12"/>
    </row>
    <row r="669" spans="1:15" ht="15" x14ac:dyDescent="0.35">
      <c r="A669" s="636"/>
      <c r="B669" s="96"/>
      <c r="C669" s="90"/>
      <c r="D669" s="90"/>
      <c r="E669" s="90"/>
      <c r="F669" s="38"/>
      <c r="G669" s="38"/>
      <c r="H669" s="38"/>
      <c r="I669" s="38"/>
      <c r="J669" s="96" t="s">
        <v>30</v>
      </c>
      <c r="K669" s="708">
        <f>SUM(K667:K668)</f>
        <v>9872000.0000001155</v>
      </c>
      <c r="L669" s="43"/>
      <c r="M669" s="43">
        <f>SUM(M667:M668)</f>
        <v>0</v>
      </c>
      <c r="N669" s="83"/>
      <c r="O669" s="12"/>
    </row>
    <row r="670" spans="1:15" ht="15.5" x14ac:dyDescent="0.35">
      <c r="A670" s="631"/>
      <c r="B670" s="647" t="s">
        <v>1105</v>
      </c>
      <c r="C670" s="648"/>
      <c r="D670" s="648"/>
      <c r="E670" s="648"/>
      <c r="F670" s="648"/>
      <c r="G670" s="648"/>
      <c r="H670" s="648"/>
      <c r="I670" s="648"/>
      <c r="J670" s="648"/>
      <c r="K670" s="700"/>
      <c r="L670" s="648"/>
      <c r="M670" s="651"/>
      <c r="N670" s="649"/>
      <c r="O670" s="616"/>
    </row>
    <row r="671" spans="1:15" ht="19.5" customHeight="1" x14ac:dyDescent="0.35">
      <c r="A671" s="631">
        <v>1</v>
      </c>
      <c r="B671" s="100" t="s">
        <v>2808</v>
      </c>
      <c r="C671" s="73">
        <v>11</v>
      </c>
      <c r="D671" s="1781" t="s">
        <v>97</v>
      </c>
      <c r="E671" s="52" t="s">
        <v>2809</v>
      </c>
      <c r="F671" s="32">
        <v>1</v>
      </c>
      <c r="G671" s="6">
        <v>23852.67</v>
      </c>
      <c r="H671" s="6">
        <v>23936.16</v>
      </c>
      <c r="I671" s="20">
        <f>H671-G671</f>
        <v>83.490000000001601</v>
      </c>
      <c r="J671" s="616">
        <v>8000</v>
      </c>
      <c r="K671" s="703"/>
      <c r="L671" s="22">
        <f t="shared" ref="L671:L686" si="22">J671*I671*F671</f>
        <v>667920.00000001281</v>
      </c>
      <c r="M671" s="22"/>
      <c r="N671" s="72" t="s">
        <v>97</v>
      </c>
      <c r="O671" s="15"/>
    </row>
    <row r="672" spans="1:15" ht="19.5" customHeight="1" x14ac:dyDescent="0.35">
      <c r="A672" s="631">
        <v>2</v>
      </c>
      <c r="B672" s="100" t="s">
        <v>2810</v>
      </c>
      <c r="C672" s="73">
        <v>11</v>
      </c>
      <c r="D672" s="1782" t="s">
        <v>97</v>
      </c>
      <c r="E672" s="52" t="s">
        <v>2811</v>
      </c>
      <c r="F672" s="32">
        <v>1</v>
      </c>
      <c r="G672" s="6">
        <v>16239.2</v>
      </c>
      <c r="H672" s="6">
        <v>16261.55</v>
      </c>
      <c r="I672" s="20">
        <f t="shared" ref="I672:I686" si="23">H672-G672</f>
        <v>22.349999999998545</v>
      </c>
      <c r="J672" s="616">
        <v>8000</v>
      </c>
      <c r="K672" s="703"/>
      <c r="L672" s="22">
        <f t="shared" si="22"/>
        <v>178799.99999998836</v>
      </c>
      <c r="M672" s="22"/>
      <c r="N672" s="72" t="s">
        <v>101</v>
      </c>
      <c r="O672" s="15"/>
    </row>
    <row r="673" spans="1:15" ht="19.5" customHeight="1" x14ac:dyDescent="0.35">
      <c r="A673" s="631">
        <v>3</v>
      </c>
      <c r="B673" s="100" t="s">
        <v>2812</v>
      </c>
      <c r="C673" s="73">
        <v>11</v>
      </c>
      <c r="D673" s="1782" t="s">
        <v>98</v>
      </c>
      <c r="E673" s="52" t="s">
        <v>2813</v>
      </c>
      <c r="F673" s="32">
        <v>1</v>
      </c>
      <c r="G673" s="6">
        <v>419.64</v>
      </c>
      <c r="H673" s="6">
        <v>434.09</v>
      </c>
      <c r="I673" s="20">
        <f t="shared" si="23"/>
        <v>14.449999999999989</v>
      </c>
      <c r="J673" s="616">
        <v>40000</v>
      </c>
      <c r="K673" s="703"/>
      <c r="L673" s="22">
        <f t="shared" si="22"/>
        <v>577999.99999999953</v>
      </c>
      <c r="M673" s="22"/>
      <c r="N673" s="72" t="s">
        <v>98</v>
      </c>
      <c r="O673" s="15"/>
    </row>
    <row r="674" spans="1:15" ht="19.5" customHeight="1" x14ac:dyDescent="0.35">
      <c r="A674" s="631">
        <v>4</v>
      </c>
      <c r="B674" s="100" t="s">
        <v>2814</v>
      </c>
      <c r="C674" s="73">
        <v>11</v>
      </c>
      <c r="D674" s="1782" t="s">
        <v>97</v>
      </c>
      <c r="E674" s="52" t="s">
        <v>2815</v>
      </c>
      <c r="F674" s="32">
        <v>1</v>
      </c>
      <c r="G674" s="6">
        <v>5351.01</v>
      </c>
      <c r="H674" s="6">
        <v>5367.98</v>
      </c>
      <c r="I674" s="20">
        <f t="shared" si="23"/>
        <v>16.969999999999345</v>
      </c>
      <c r="J674" s="616">
        <v>40000</v>
      </c>
      <c r="K674" s="703"/>
      <c r="L674" s="22">
        <f t="shared" si="22"/>
        <v>678799.99999997381</v>
      </c>
      <c r="M674" s="22"/>
      <c r="N674" s="72" t="s">
        <v>97</v>
      </c>
      <c r="O674" s="15"/>
    </row>
    <row r="675" spans="1:15" ht="19.5" customHeight="1" x14ac:dyDescent="0.35">
      <c r="A675" s="631">
        <v>5</v>
      </c>
      <c r="B675" s="100" t="s">
        <v>2816</v>
      </c>
      <c r="C675" s="73">
        <v>11</v>
      </c>
      <c r="D675" s="1782" t="s">
        <v>98</v>
      </c>
      <c r="E675" s="52" t="s">
        <v>2817</v>
      </c>
      <c r="F675" s="32">
        <v>1</v>
      </c>
      <c r="G675" s="6">
        <v>3275.98</v>
      </c>
      <c r="H675" s="6">
        <v>3275.98</v>
      </c>
      <c r="I675" s="20">
        <f t="shared" si="23"/>
        <v>0</v>
      </c>
      <c r="J675" s="616">
        <v>40000</v>
      </c>
      <c r="K675" s="703" t="s">
        <v>237</v>
      </c>
      <c r="L675" s="22">
        <f t="shared" si="22"/>
        <v>0</v>
      </c>
      <c r="M675" s="22"/>
      <c r="N675" s="72" t="s">
        <v>98</v>
      </c>
      <c r="O675" s="15"/>
    </row>
    <row r="676" spans="1:15" ht="19.5" customHeight="1" x14ac:dyDescent="0.35">
      <c r="A676" s="631">
        <v>6</v>
      </c>
      <c r="B676" s="100" t="s">
        <v>2818</v>
      </c>
      <c r="C676" s="73">
        <v>11</v>
      </c>
      <c r="D676" s="1782" t="s">
        <v>101</v>
      </c>
      <c r="E676" s="52" t="s">
        <v>2819</v>
      </c>
      <c r="F676" s="32">
        <v>1</v>
      </c>
      <c r="G676" s="6">
        <v>8281.31</v>
      </c>
      <c r="H676" s="6">
        <v>8298.5</v>
      </c>
      <c r="I676" s="20">
        <f t="shared" si="23"/>
        <v>17.190000000000509</v>
      </c>
      <c r="J676" s="616">
        <v>40000</v>
      </c>
      <c r="K676" s="703"/>
      <c r="L676" s="22">
        <f t="shared" si="22"/>
        <v>687600.00000002037</v>
      </c>
      <c r="M676" s="22"/>
      <c r="N676" s="72" t="s">
        <v>101</v>
      </c>
      <c r="O676" s="15"/>
    </row>
    <row r="677" spans="1:15" ht="19.5" customHeight="1" x14ac:dyDescent="0.35">
      <c r="A677" s="631">
        <v>7</v>
      </c>
      <c r="B677" s="100" t="s">
        <v>2820</v>
      </c>
      <c r="C677" s="73">
        <v>11</v>
      </c>
      <c r="D677" s="1782" t="s">
        <v>97</v>
      </c>
      <c r="E677" s="52" t="s">
        <v>2821</v>
      </c>
      <c r="F677" s="32">
        <v>1</v>
      </c>
      <c r="G677" s="6">
        <v>7048.51</v>
      </c>
      <c r="H677" s="6">
        <v>7071.79</v>
      </c>
      <c r="I677" s="20">
        <f t="shared" si="23"/>
        <v>23.279999999999745</v>
      </c>
      <c r="J677" s="616">
        <v>40000</v>
      </c>
      <c r="K677" s="703"/>
      <c r="L677" s="22">
        <f t="shared" si="22"/>
        <v>931199.99999998976</v>
      </c>
      <c r="M677" s="22"/>
      <c r="N677" s="72" t="s">
        <v>97</v>
      </c>
      <c r="O677" s="15"/>
    </row>
    <row r="678" spans="1:15" ht="19.5" customHeight="1" x14ac:dyDescent="0.35">
      <c r="A678" s="631">
        <v>10</v>
      </c>
      <c r="B678" s="100" t="s">
        <v>2822</v>
      </c>
      <c r="C678" s="73">
        <v>11</v>
      </c>
      <c r="D678" s="1782" t="s">
        <v>101</v>
      </c>
      <c r="E678" s="52" t="s">
        <v>2823</v>
      </c>
      <c r="F678" s="32">
        <v>1</v>
      </c>
      <c r="G678" s="6">
        <v>5780.2</v>
      </c>
      <c r="H678" s="6">
        <v>5801.24</v>
      </c>
      <c r="I678" s="20">
        <f t="shared" si="23"/>
        <v>21.039999999999964</v>
      </c>
      <c r="J678" s="616">
        <v>40000</v>
      </c>
      <c r="K678" s="703"/>
      <c r="L678" s="22">
        <f t="shared" si="22"/>
        <v>841599.9999999986</v>
      </c>
      <c r="M678" s="22"/>
      <c r="N678" s="72" t="s">
        <v>101</v>
      </c>
      <c r="O678" s="15"/>
    </row>
    <row r="679" spans="1:15" ht="19.5" customHeight="1" x14ac:dyDescent="0.35">
      <c r="A679" s="631">
        <v>11</v>
      </c>
      <c r="B679" s="100" t="s">
        <v>2824</v>
      </c>
      <c r="C679" s="73">
        <v>11</v>
      </c>
      <c r="D679" s="1782" t="s">
        <v>97</v>
      </c>
      <c r="E679" s="52" t="s">
        <v>2825</v>
      </c>
      <c r="F679" s="32">
        <v>1</v>
      </c>
      <c r="G679" s="6">
        <v>4853.57</v>
      </c>
      <c r="H679" s="6">
        <v>4872.16</v>
      </c>
      <c r="I679" s="20">
        <f t="shared" si="23"/>
        <v>18.590000000000146</v>
      </c>
      <c r="J679" s="616">
        <v>40000</v>
      </c>
      <c r="K679" s="703"/>
      <c r="L679" s="22">
        <f t="shared" si="22"/>
        <v>743600.00000000582</v>
      </c>
      <c r="M679" s="22"/>
      <c r="N679" s="72" t="s">
        <v>97</v>
      </c>
      <c r="O679" s="15"/>
    </row>
    <row r="680" spans="1:15" ht="19.5" customHeight="1" x14ac:dyDescent="0.35">
      <c r="A680" s="631">
        <v>12</v>
      </c>
      <c r="B680" s="100" t="s">
        <v>2826</v>
      </c>
      <c r="C680" s="73">
        <v>11</v>
      </c>
      <c r="D680" s="1782" t="s">
        <v>101</v>
      </c>
      <c r="E680" s="52" t="s">
        <v>2827</v>
      </c>
      <c r="F680" s="32">
        <v>1</v>
      </c>
      <c r="G680" s="6">
        <v>7632.38</v>
      </c>
      <c r="H680" s="6">
        <v>7646.32</v>
      </c>
      <c r="I680" s="20">
        <f t="shared" si="23"/>
        <v>13.9399999999996</v>
      </c>
      <c r="J680" s="616">
        <v>40000</v>
      </c>
      <c r="K680" s="703"/>
      <c r="L680" s="22">
        <f t="shared" si="22"/>
        <v>557599.99999998393</v>
      </c>
      <c r="M680" s="22"/>
      <c r="N680" s="72" t="s">
        <v>101</v>
      </c>
      <c r="O680" s="15"/>
    </row>
    <row r="681" spans="1:15" ht="19.5" customHeight="1" x14ac:dyDescent="0.35">
      <c r="A681" s="631">
        <v>13</v>
      </c>
      <c r="B681" s="100" t="s">
        <v>2828</v>
      </c>
      <c r="C681" s="73">
        <v>11</v>
      </c>
      <c r="D681" s="1782" t="s">
        <v>97</v>
      </c>
      <c r="E681" s="52" t="s">
        <v>2829</v>
      </c>
      <c r="F681" s="32">
        <v>1</v>
      </c>
      <c r="G681" s="6">
        <v>6192.99</v>
      </c>
      <c r="H681" s="6">
        <v>6210.72</v>
      </c>
      <c r="I681" s="20">
        <f t="shared" si="23"/>
        <v>17.730000000000473</v>
      </c>
      <c r="J681" s="616">
        <v>40000</v>
      </c>
      <c r="K681" s="703"/>
      <c r="L681" s="22">
        <f t="shared" si="22"/>
        <v>709200.00000001886</v>
      </c>
      <c r="M681" s="22"/>
      <c r="N681" s="72" t="s">
        <v>97</v>
      </c>
      <c r="O681" s="15"/>
    </row>
    <row r="682" spans="1:15" ht="19.5" customHeight="1" x14ac:dyDescent="0.35">
      <c r="A682" s="631">
        <v>14</v>
      </c>
      <c r="B682" s="100" t="s">
        <v>2830</v>
      </c>
      <c r="C682" s="73">
        <v>11</v>
      </c>
      <c r="D682" s="1782" t="s">
        <v>97</v>
      </c>
      <c r="E682" s="52" t="s">
        <v>2831</v>
      </c>
      <c r="F682" s="32">
        <v>1</v>
      </c>
      <c r="G682" s="6">
        <v>7191.78</v>
      </c>
      <c r="H682" s="6">
        <v>7215.86</v>
      </c>
      <c r="I682" s="20">
        <f t="shared" si="23"/>
        <v>24.079999999999927</v>
      </c>
      <c r="J682" s="616">
        <v>40000</v>
      </c>
      <c r="K682" s="703"/>
      <c r="L682" s="22">
        <f t="shared" si="22"/>
        <v>963199.99999999709</v>
      </c>
      <c r="M682" s="22"/>
      <c r="N682" s="72" t="s">
        <v>97</v>
      </c>
      <c r="O682" s="15"/>
    </row>
    <row r="683" spans="1:15" ht="19.5" customHeight="1" x14ac:dyDescent="0.35">
      <c r="A683" s="631">
        <v>15</v>
      </c>
      <c r="B683" s="100" t="s">
        <v>2832</v>
      </c>
      <c r="C683" s="73">
        <v>11</v>
      </c>
      <c r="D683" s="1782" t="s">
        <v>97</v>
      </c>
      <c r="E683" s="52" t="s">
        <v>2833</v>
      </c>
      <c r="F683" s="32">
        <v>1</v>
      </c>
      <c r="G683" s="6">
        <v>5821.1</v>
      </c>
      <c r="H683" s="6">
        <v>7946</v>
      </c>
      <c r="I683" s="20">
        <f t="shared" si="23"/>
        <v>2124.8999999999996</v>
      </c>
      <c r="J683" s="616">
        <v>444.44</v>
      </c>
      <c r="K683" s="703"/>
      <c r="L683" s="22">
        <f t="shared" si="22"/>
        <v>944390.55599999987</v>
      </c>
      <c r="M683" s="22"/>
      <c r="N683" s="72" t="s">
        <v>97</v>
      </c>
      <c r="O683" s="15"/>
    </row>
    <row r="684" spans="1:15" ht="19.5" customHeight="1" x14ac:dyDescent="0.35">
      <c r="A684" s="631">
        <v>16</v>
      </c>
      <c r="B684" s="100" t="s">
        <v>2834</v>
      </c>
      <c r="C684" s="73">
        <v>11</v>
      </c>
      <c r="D684" s="1782" t="s">
        <v>97</v>
      </c>
      <c r="E684" s="52" t="s">
        <v>2835</v>
      </c>
      <c r="F684" s="32">
        <v>1</v>
      </c>
      <c r="G684" s="6">
        <v>329087</v>
      </c>
      <c r="H684" s="6">
        <v>335103</v>
      </c>
      <c r="I684" s="20">
        <f t="shared" si="23"/>
        <v>6016</v>
      </c>
      <c r="J684" s="616">
        <v>80</v>
      </c>
      <c r="K684" s="703"/>
      <c r="L684" s="22">
        <f t="shared" si="22"/>
        <v>481280</v>
      </c>
      <c r="M684" s="22"/>
      <c r="N684" s="72" t="s">
        <v>97</v>
      </c>
      <c r="O684" s="15"/>
    </row>
    <row r="685" spans="1:15" ht="19.5" customHeight="1" x14ac:dyDescent="0.35">
      <c r="A685" s="631">
        <v>17</v>
      </c>
      <c r="B685" s="101" t="s">
        <v>2836</v>
      </c>
      <c r="C685" s="73">
        <v>11</v>
      </c>
      <c r="D685" s="1782" t="s">
        <v>97</v>
      </c>
      <c r="E685" s="52" t="s">
        <v>2837</v>
      </c>
      <c r="F685" s="32">
        <v>1</v>
      </c>
      <c r="G685" s="6">
        <v>18911.900000000001</v>
      </c>
      <c r="H685" s="6">
        <v>20316.2</v>
      </c>
      <c r="I685" s="20">
        <f t="shared" si="23"/>
        <v>1404.2999999999993</v>
      </c>
      <c r="J685" s="616">
        <v>444.44</v>
      </c>
      <c r="K685" s="703"/>
      <c r="L685" s="22">
        <f t="shared" si="22"/>
        <v>624127.09199999971</v>
      </c>
      <c r="M685" s="22"/>
      <c r="N685" s="72" t="s">
        <v>97</v>
      </c>
      <c r="O685" s="15"/>
    </row>
    <row r="686" spans="1:15" ht="19.5" customHeight="1" x14ac:dyDescent="0.35">
      <c r="A686" s="631">
        <v>18</v>
      </c>
      <c r="B686" s="100" t="s">
        <v>2838</v>
      </c>
      <c r="C686" s="73">
        <v>11</v>
      </c>
      <c r="D686" s="1782" t="s">
        <v>101</v>
      </c>
      <c r="E686" s="52" t="s">
        <v>2839</v>
      </c>
      <c r="F686" s="32">
        <v>1</v>
      </c>
      <c r="G686" s="6">
        <v>33267.699999999997</v>
      </c>
      <c r="H686" s="6">
        <v>33578.6</v>
      </c>
      <c r="I686" s="20">
        <f t="shared" si="23"/>
        <v>310.90000000000146</v>
      </c>
      <c r="J686" s="616">
        <v>1000</v>
      </c>
      <c r="K686" s="703"/>
      <c r="L686" s="22">
        <f t="shared" si="22"/>
        <v>310900.00000000146</v>
      </c>
      <c r="M686" s="22"/>
      <c r="N686" s="72" t="s">
        <v>101</v>
      </c>
      <c r="O686" s="15"/>
    </row>
    <row r="687" spans="1:15" ht="19.5" customHeight="1" x14ac:dyDescent="0.35">
      <c r="A687" s="633">
        <v>1</v>
      </c>
      <c r="B687" s="101" t="s">
        <v>2804</v>
      </c>
      <c r="C687" s="73">
        <v>0.4</v>
      </c>
      <c r="D687" s="1782"/>
      <c r="E687" s="52" t="s">
        <v>2805</v>
      </c>
      <c r="F687" s="32">
        <v>1</v>
      </c>
      <c r="G687" s="6">
        <v>135180</v>
      </c>
      <c r="H687" s="6">
        <v>136304</v>
      </c>
      <c r="I687" s="20">
        <f>H687-G687</f>
        <v>1124</v>
      </c>
      <c r="J687" s="616">
        <v>4</v>
      </c>
      <c r="K687" s="705"/>
      <c r="L687" s="22">
        <f>J687*I687*F687</f>
        <v>4496</v>
      </c>
      <c r="M687" s="22"/>
      <c r="N687" s="72" t="s">
        <v>97</v>
      </c>
      <c r="O687" s="13"/>
    </row>
    <row r="688" spans="1:15" ht="19.5" customHeight="1" x14ac:dyDescent="0.35">
      <c r="A688" s="633">
        <v>2</v>
      </c>
      <c r="B688" s="100" t="s">
        <v>2806</v>
      </c>
      <c r="C688" s="74">
        <v>0.4</v>
      </c>
      <c r="D688" s="1783"/>
      <c r="E688" s="52" t="s">
        <v>2807</v>
      </c>
      <c r="F688" s="32">
        <v>1</v>
      </c>
      <c r="G688" s="6">
        <v>233968</v>
      </c>
      <c r="H688" s="6">
        <v>234104.1</v>
      </c>
      <c r="I688" s="20">
        <f>H688-G688</f>
        <v>136.10000000000582</v>
      </c>
      <c r="J688" s="616">
        <v>4</v>
      </c>
      <c r="K688" s="705"/>
      <c r="L688" s="22">
        <f>J688*I688*F688</f>
        <v>544.40000000002328</v>
      </c>
      <c r="M688" s="22"/>
      <c r="N688" s="72" t="s">
        <v>97</v>
      </c>
      <c r="O688" s="13"/>
    </row>
    <row r="689" spans="1:15" ht="20" x14ac:dyDescent="0.35">
      <c r="A689" s="636"/>
      <c r="B689" s="96"/>
      <c r="C689" s="90"/>
      <c r="D689" s="90"/>
      <c r="E689" s="90"/>
      <c r="F689" s="38"/>
      <c r="G689" s="38"/>
      <c r="H689" s="38"/>
      <c r="I689" s="38"/>
      <c r="J689" s="96" t="s">
        <v>30</v>
      </c>
      <c r="K689" s="708">
        <f>K669</f>
        <v>9872000.0000001155</v>
      </c>
      <c r="L689" s="43">
        <f>SUM(L671:L688)</f>
        <v>9903258.0479999911</v>
      </c>
      <c r="M689" s="43">
        <f>SUM(M671:M688)</f>
        <v>0</v>
      </c>
      <c r="N689" s="84">
        <f>(M689-L689)/L689*100</f>
        <v>-100</v>
      </c>
      <c r="O689" s="13"/>
    </row>
    <row r="690" spans="1:15" x14ac:dyDescent="0.35">
      <c r="D690" s="725"/>
      <c r="K690" s="34"/>
    </row>
    <row r="691" spans="1:15" ht="15" x14ac:dyDescent="0.35">
      <c r="A691" s="620"/>
      <c r="B691" s="635"/>
      <c r="C691" s="632"/>
      <c r="D691" s="720"/>
      <c r="G691" s="2092" t="s">
        <v>1099</v>
      </c>
      <c r="H691" s="2092"/>
      <c r="I691" s="2092"/>
      <c r="J691" s="677" t="s">
        <v>14</v>
      </c>
      <c r="K691" s="702"/>
      <c r="L691" s="620"/>
      <c r="M691" s="620"/>
      <c r="N691" s="632"/>
      <c r="O691" s="620"/>
    </row>
    <row r="692" spans="1:15" ht="15.5" x14ac:dyDescent="0.35">
      <c r="A692" s="620"/>
      <c r="B692" s="635"/>
      <c r="C692" s="632"/>
      <c r="D692" s="720"/>
      <c r="G692" s="2082" t="s">
        <v>232</v>
      </c>
      <c r="H692" s="2082"/>
      <c r="I692" s="2082"/>
      <c r="J692" s="643" t="e">
        <f>M677+M681+M683+M684+M685+#REF!+#REF!+#REF!+#REF!</f>
        <v>#REF!</v>
      </c>
      <c r="K692" s="702"/>
      <c r="L692" s="620"/>
      <c r="M692" s="620"/>
      <c r="N692" s="632"/>
      <c r="O692" s="620" t="s">
        <v>237</v>
      </c>
    </row>
    <row r="693" spans="1:15" ht="15.5" x14ac:dyDescent="0.35">
      <c r="A693" s="620"/>
      <c r="B693" s="635"/>
      <c r="C693" s="632"/>
      <c r="D693" s="720"/>
      <c r="G693" s="2082" t="s">
        <v>233</v>
      </c>
      <c r="H693" s="2082"/>
      <c r="I693" s="2082"/>
      <c r="J693" s="643" t="e">
        <f>M672+M673+M674+M678+M679+M680+#REF!+#REF!+#REF!</f>
        <v>#REF!</v>
      </c>
      <c r="K693" s="702"/>
      <c r="L693" s="620"/>
      <c r="M693" s="620"/>
      <c r="N693" s="632"/>
      <c r="O693" s="620"/>
    </row>
    <row r="694" spans="1:15" ht="15.5" x14ac:dyDescent="0.35">
      <c r="A694" s="620"/>
      <c r="B694" s="635"/>
      <c r="C694" s="632"/>
      <c r="D694" s="720"/>
      <c r="G694" s="2082" t="s">
        <v>234</v>
      </c>
      <c r="H694" s="2082"/>
      <c r="I694" s="2082"/>
      <c r="J694" s="643" t="e">
        <f>#REF!</f>
        <v>#REF!</v>
      </c>
      <c r="K694" s="702"/>
      <c r="L694" s="620"/>
      <c r="M694" s="620"/>
      <c r="N694" s="632"/>
      <c r="O694" s="620"/>
    </row>
    <row r="695" spans="1:15" ht="16" thickBot="1" x14ac:dyDescent="0.4">
      <c r="A695" s="620"/>
      <c r="B695" s="635"/>
      <c r="C695" s="632"/>
      <c r="D695" s="720"/>
      <c r="G695" s="2082" t="s">
        <v>235</v>
      </c>
      <c r="H695" s="2082"/>
      <c r="I695" s="2082"/>
      <c r="J695" s="643" t="e">
        <f>M671+M675+M676+M682+M686+#REF!+#REF!+M687+M688</f>
        <v>#REF!</v>
      </c>
      <c r="K695" s="702"/>
      <c r="L695" s="620"/>
      <c r="M695" s="620"/>
      <c r="N695" s="632"/>
      <c r="O695" s="620"/>
    </row>
    <row r="696" spans="1:15" ht="20.5" thickBot="1" x14ac:dyDescent="0.4">
      <c r="A696" s="620"/>
      <c r="B696" s="635"/>
      <c r="C696" s="632"/>
      <c r="D696" s="720"/>
      <c r="G696" s="2083" t="s">
        <v>210</v>
      </c>
      <c r="H696" s="2083"/>
      <c r="I696" s="2083"/>
      <c r="J696" s="714" t="e">
        <f>SUM(J692:J695)</f>
        <v>#REF!</v>
      </c>
      <c r="K696" s="682" t="e">
        <f>J696-M689</f>
        <v>#REF!</v>
      </c>
      <c r="L696" s="620"/>
      <c r="M696" s="620"/>
      <c r="N696" s="632"/>
      <c r="O696" s="620"/>
    </row>
    <row r="699" spans="1:15" x14ac:dyDescent="0.35">
      <c r="A699" s="620"/>
      <c r="B699" s="635"/>
      <c r="C699" s="632"/>
      <c r="D699" s="720"/>
      <c r="E699" s="632"/>
      <c r="F699" s="620"/>
      <c r="G699" s="620"/>
      <c r="H699" s="620"/>
      <c r="I699" s="620"/>
      <c r="J699" s="620"/>
      <c r="K699" s="702"/>
      <c r="L699" s="620"/>
      <c r="M699" s="620"/>
      <c r="N699" s="632"/>
      <c r="O699" s="620"/>
    </row>
    <row r="700" spans="1:15" x14ac:dyDescent="0.35">
      <c r="A700" s="620"/>
      <c r="B700" s="635"/>
      <c r="C700" s="632"/>
      <c r="D700" s="720"/>
      <c r="E700" s="632"/>
      <c r="F700" s="620"/>
      <c r="G700" s="620"/>
      <c r="H700" s="620"/>
      <c r="I700" s="620"/>
      <c r="J700" s="620"/>
      <c r="K700" s="702"/>
      <c r="L700" s="620"/>
      <c r="M700" s="620"/>
      <c r="N700" s="632"/>
      <c r="O700" s="620"/>
    </row>
    <row r="701" spans="1:15" x14ac:dyDescent="0.35">
      <c r="A701" s="620"/>
      <c r="B701" s="635"/>
      <c r="C701" s="632"/>
      <c r="D701" s="720"/>
      <c r="E701" s="632"/>
      <c r="F701" s="620"/>
      <c r="G701" s="620"/>
      <c r="H701" s="620"/>
      <c r="I701" s="620"/>
      <c r="J701" s="620"/>
      <c r="K701" s="702"/>
      <c r="L701" s="620"/>
      <c r="M701" s="620"/>
      <c r="N701" s="632"/>
      <c r="O701" s="620"/>
    </row>
    <row r="702" spans="1:15" x14ac:dyDescent="0.35">
      <c r="A702" s="620"/>
      <c r="B702" s="635"/>
      <c r="C702" s="632"/>
      <c r="D702" s="720"/>
      <c r="E702" s="632"/>
      <c r="F702" s="620"/>
      <c r="G702" s="620"/>
      <c r="H702" s="620"/>
      <c r="I702" s="620"/>
      <c r="J702" s="620"/>
      <c r="K702" s="702"/>
      <c r="L702" s="620"/>
      <c r="M702" s="620"/>
      <c r="N702" s="632"/>
      <c r="O702" s="620"/>
    </row>
    <row r="703" spans="1:15" x14ac:dyDescent="0.35">
      <c r="A703" s="620"/>
      <c r="B703" s="635"/>
      <c r="C703" s="632"/>
      <c r="D703" s="720"/>
      <c r="E703" s="632"/>
      <c r="F703" s="620"/>
      <c r="G703" s="620"/>
      <c r="H703" s="620"/>
      <c r="I703" s="620"/>
      <c r="J703" s="620"/>
      <c r="K703" s="702"/>
      <c r="L703" s="620"/>
      <c r="M703" s="620"/>
      <c r="N703" s="632"/>
      <c r="O703" s="620"/>
    </row>
    <row r="704" spans="1:15" x14ac:dyDescent="0.35">
      <c r="A704" s="620"/>
      <c r="B704" s="632"/>
      <c r="C704" s="632"/>
      <c r="D704" s="720"/>
      <c r="E704" s="632"/>
      <c r="F704" s="620"/>
      <c r="G704" s="620"/>
      <c r="H704" s="620"/>
      <c r="I704" s="620"/>
      <c r="J704" s="620"/>
      <c r="K704" s="702"/>
      <c r="L704" s="620"/>
      <c r="M704" s="620"/>
      <c r="N704" s="632"/>
      <c r="O704" s="620"/>
    </row>
    <row r="705" spans="1:15" x14ac:dyDescent="0.35">
      <c r="A705" s="620"/>
      <c r="B705" s="632"/>
      <c r="C705" s="632"/>
      <c r="D705" s="720"/>
      <c r="E705" s="632"/>
      <c r="F705" s="620"/>
      <c r="G705" s="620"/>
      <c r="H705" s="620"/>
      <c r="I705" s="620"/>
      <c r="J705" s="620"/>
      <c r="K705" s="702"/>
      <c r="L705" s="620"/>
      <c r="M705" s="620"/>
      <c r="N705" s="632"/>
      <c r="O705" s="620"/>
    </row>
    <row r="706" spans="1:15" x14ac:dyDescent="0.35">
      <c r="A706" s="620"/>
      <c r="B706" s="635"/>
      <c r="C706" s="632"/>
      <c r="D706" s="720"/>
      <c r="E706" s="632"/>
      <c r="F706" s="620"/>
      <c r="G706" s="620"/>
      <c r="H706" s="620"/>
      <c r="I706" s="620"/>
      <c r="J706" s="620"/>
      <c r="K706" s="702"/>
      <c r="L706" s="620"/>
      <c r="M706" s="620"/>
      <c r="N706" s="632"/>
      <c r="O706" s="620"/>
    </row>
    <row r="707" spans="1:15" x14ac:dyDescent="0.35">
      <c r="A707" s="620"/>
      <c r="B707" s="635"/>
      <c r="C707" s="632"/>
      <c r="D707" s="720"/>
      <c r="E707" s="632"/>
      <c r="F707" s="620"/>
      <c r="G707" s="620"/>
      <c r="H707" s="620"/>
      <c r="I707" s="620"/>
      <c r="J707" s="620"/>
      <c r="K707" s="702"/>
      <c r="L707" s="620"/>
      <c r="M707" s="620"/>
      <c r="N707" s="632"/>
      <c r="O707" s="620"/>
    </row>
    <row r="708" spans="1:15" x14ac:dyDescent="0.35">
      <c r="A708" s="620"/>
      <c r="B708" s="635"/>
      <c r="C708" s="632"/>
      <c r="D708" s="720"/>
      <c r="E708" s="632"/>
      <c r="F708" s="620"/>
      <c r="G708" s="620"/>
      <c r="H708" s="620"/>
      <c r="I708" s="620"/>
      <c r="J708" s="620"/>
      <c r="K708" s="702"/>
      <c r="L708" s="620"/>
      <c r="M708" s="620"/>
      <c r="N708" s="632"/>
      <c r="O708" s="620"/>
    </row>
    <row r="709" spans="1:15" ht="25" x14ac:dyDescent="0.35">
      <c r="A709" s="28"/>
      <c r="B709" s="2152"/>
      <c r="C709" s="2152"/>
      <c r="D709" s="2152"/>
      <c r="E709" s="2152"/>
      <c r="F709" s="2152"/>
      <c r="G709" s="2152"/>
      <c r="H709" s="2152"/>
      <c r="I709" s="2152"/>
      <c r="J709" s="2152"/>
      <c r="K709" s="2152"/>
      <c r="L709" s="2152"/>
      <c r="M709" s="2152"/>
      <c r="N709" s="632"/>
      <c r="O709" s="620"/>
    </row>
    <row r="710" spans="1:15" x14ac:dyDescent="0.35">
      <c r="A710" s="620"/>
      <c r="B710" s="635"/>
      <c r="C710" s="632"/>
      <c r="D710" s="720"/>
      <c r="E710" s="632"/>
      <c r="F710" s="620"/>
      <c r="G710" s="620"/>
      <c r="H710" s="620"/>
      <c r="I710" s="620"/>
      <c r="J710" s="620"/>
      <c r="K710" s="702"/>
      <c r="L710" s="620"/>
      <c r="M710" s="620"/>
      <c r="N710" s="632"/>
      <c r="O710" s="620"/>
    </row>
    <row r="711" spans="1:15" x14ac:dyDescent="0.35">
      <c r="A711" s="620"/>
      <c r="B711" s="635"/>
      <c r="C711" s="632"/>
      <c r="D711" s="720"/>
      <c r="E711" s="632"/>
      <c r="F711" s="620"/>
      <c r="G711" s="620"/>
      <c r="H711" s="620"/>
      <c r="I711" s="620"/>
      <c r="J711" s="620"/>
      <c r="K711" s="702"/>
      <c r="L711" s="620"/>
      <c r="M711" s="620"/>
      <c r="N711" s="632"/>
      <c r="O711" s="620"/>
    </row>
    <row r="712" spans="1:15" ht="25" x14ac:dyDescent="0.35">
      <c r="A712" s="2095" t="s">
        <v>1311</v>
      </c>
      <c r="B712" s="2095"/>
      <c r="C712" s="2095"/>
      <c r="D712" s="2095"/>
      <c r="E712" s="2095"/>
      <c r="F712" s="2095"/>
      <c r="G712" s="2095"/>
      <c r="H712" s="2095"/>
      <c r="I712" s="2095"/>
      <c r="J712" s="2095"/>
      <c r="K712" s="2095"/>
      <c r="L712" s="2095"/>
      <c r="M712" s="2095"/>
      <c r="N712" s="2095"/>
      <c r="O712" s="756" t="e">
        <f>$O$6</f>
        <v>#REF!</v>
      </c>
    </row>
    <row r="713" spans="1:15" ht="15.5" x14ac:dyDescent="0.35">
      <c r="A713" s="2096" t="s">
        <v>0</v>
      </c>
      <c r="B713" s="2098" t="s">
        <v>1</v>
      </c>
      <c r="C713" s="2100" t="s">
        <v>2</v>
      </c>
      <c r="D713" s="2101"/>
      <c r="E713" s="2102"/>
      <c r="F713" s="2103" t="s">
        <v>3</v>
      </c>
      <c r="G713" s="2100" t="s">
        <v>4</v>
      </c>
      <c r="H713" s="2102"/>
      <c r="I713" s="2085"/>
      <c r="J713" s="2103" t="s">
        <v>5</v>
      </c>
      <c r="K713" s="2100" t="s">
        <v>6</v>
      </c>
      <c r="L713" s="2085"/>
      <c r="M713" s="97" t="s">
        <v>32</v>
      </c>
      <c r="N713" s="98"/>
      <c r="O713" s="2084" t="s">
        <v>7</v>
      </c>
    </row>
    <row r="714" spans="1:15" ht="15.5" x14ac:dyDescent="0.35">
      <c r="A714" s="2097"/>
      <c r="B714" s="2099"/>
      <c r="C714" s="2086" t="s">
        <v>1108</v>
      </c>
      <c r="D714" s="2087"/>
      <c r="E714" s="87" t="s">
        <v>9</v>
      </c>
      <c r="F714" s="2097"/>
      <c r="G714" s="2">
        <f>'NORTH-1'!$G$8</f>
        <v>44774</v>
      </c>
      <c r="H714" s="2">
        <f>'NORTH-1'!$H$8</f>
        <v>44805</v>
      </c>
      <c r="I714" s="1" t="s">
        <v>10</v>
      </c>
      <c r="J714" s="2097"/>
      <c r="K714" s="1" t="s">
        <v>11</v>
      </c>
      <c r="L714" s="1" t="s">
        <v>12</v>
      </c>
      <c r="M714" s="617" t="s">
        <v>33</v>
      </c>
      <c r="N714" s="76" t="s">
        <v>47</v>
      </c>
      <c r="O714" s="2085"/>
    </row>
    <row r="715" spans="1:15" ht="15.5" x14ac:dyDescent="0.35">
      <c r="A715" s="3">
        <v>1</v>
      </c>
      <c r="B715" s="88">
        <v>2</v>
      </c>
      <c r="C715" s="2088">
        <v>4</v>
      </c>
      <c r="D715" s="2089"/>
      <c r="E715" s="88">
        <v>5</v>
      </c>
      <c r="F715" s="3">
        <v>7</v>
      </c>
      <c r="G715" s="3">
        <v>8</v>
      </c>
      <c r="H715" s="3">
        <v>9</v>
      </c>
      <c r="I715" s="3" t="s">
        <v>13</v>
      </c>
      <c r="J715" s="3">
        <v>11</v>
      </c>
      <c r="K715" s="3" t="s">
        <v>19</v>
      </c>
      <c r="L715" s="3" t="s">
        <v>20</v>
      </c>
      <c r="M715" s="3">
        <v>14</v>
      </c>
      <c r="N715" s="77">
        <v>15</v>
      </c>
      <c r="O715" s="3">
        <v>16</v>
      </c>
    </row>
    <row r="716" spans="1:15" ht="15.5" x14ac:dyDescent="0.35">
      <c r="A716" s="631"/>
      <c r="B716" s="624" t="s">
        <v>1100</v>
      </c>
      <c r="C716" s="625"/>
      <c r="D716" s="625"/>
      <c r="E716" s="625"/>
      <c r="F716" s="625"/>
      <c r="G716" s="625"/>
      <c r="H716" s="625"/>
      <c r="I716" s="625"/>
      <c r="J716" s="625"/>
      <c r="K716" s="695"/>
      <c r="L716" s="625"/>
      <c r="M716" s="626"/>
      <c r="N716" s="627"/>
      <c r="O716" s="616"/>
    </row>
    <row r="717" spans="1:15" ht="15.5" x14ac:dyDescent="0.35">
      <c r="A717" s="11">
        <v>1</v>
      </c>
      <c r="B717" s="100" t="s">
        <v>2840</v>
      </c>
      <c r="C717" s="52">
        <v>33</v>
      </c>
      <c r="D717" s="1770" t="s">
        <v>339</v>
      </c>
      <c r="E717" s="52" t="s">
        <v>2792</v>
      </c>
      <c r="F717" s="4">
        <v>1</v>
      </c>
      <c r="G717" s="21">
        <v>5485.55</v>
      </c>
      <c r="H717" s="21">
        <v>5504.23</v>
      </c>
      <c r="I717" s="21">
        <f>H717-G717</f>
        <v>18.679999999999382</v>
      </c>
      <c r="J717" s="616">
        <v>180000</v>
      </c>
      <c r="K717" s="696">
        <f>J717*I717*F717</f>
        <v>3362399.9999998887</v>
      </c>
      <c r="L717" s="22"/>
      <c r="M717" s="22"/>
      <c r="N717" s="82"/>
      <c r="O717" s="9"/>
    </row>
    <row r="718" spans="1:15" ht="15.5" x14ac:dyDescent="0.35">
      <c r="A718" s="11">
        <v>2</v>
      </c>
      <c r="B718" s="100" t="s">
        <v>2841</v>
      </c>
      <c r="C718" s="52">
        <v>33</v>
      </c>
      <c r="D718" s="1771" t="s">
        <v>339</v>
      </c>
      <c r="E718" s="52" t="s">
        <v>2794</v>
      </c>
      <c r="F718" s="4">
        <v>1</v>
      </c>
      <c r="G718" s="21">
        <v>5325.66</v>
      </c>
      <c r="H718" s="21">
        <v>5343.58</v>
      </c>
      <c r="I718" s="21">
        <f>H718-G718</f>
        <v>17.920000000000073</v>
      </c>
      <c r="J718" s="616">
        <v>180000</v>
      </c>
      <c r="K718" s="696">
        <f>J718*I718*F718</f>
        <v>3225600.000000013</v>
      </c>
      <c r="L718" s="22"/>
      <c r="M718" s="22"/>
      <c r="N718" s="82"/>
      <c r="O718" s="9" t="s">
        <v>2628</v>
      </c>
    </row>
    <row r="719" spans="1:15" ht="15.5" x14ac:dyDescent="0.35">
      <c r="A719" s="11">
        <v>3</v>
      </c>
      <c r="B719" s="100" t="s">
        <v>2842</v>
      </c>
      <c r="C719" s="52">
        <v>33</v>
      </c>
      <c r="D719" s="1771" t="s">
        <v>339</v>
      </c>
      <c r="E719" s="52" t="s">
        <v>2843</v>
      </c>
      <c r="F719" s="4">
        <v>1</v>
      </c>
      <c r="G719" s="21">
        <v>1177434</v>
      </c>
      <c r="H719" s="21">
        <v>1177436</v>
      </c>
      <c r="I719" s="21">
        <f>H719-G719</f>
        <v>2</v>
      </c>
      <c r="J719" s="616">
        <v>180</v>
      </c>
      <c r="K719" s="696">
        <f>J719*I719*F719</f>
        <v>360</v>
      </c>
      <c r="L719" s="22"/>
      <c r="M719" s="22"/>
      <c r="N719" s="82"/>
      <c r="O719" s="9"/>
    </row>
    <row r="720" spans="1:15" ht="15.5" x14ac:dyDescent="0.35">
      <c r="A720" s="631">
        <v>4</v>
      </c>
      <c r="B720" s="100" t="s">
        <v>2844</v>
      </c>
      <c r="C720" s="52">
        <v>33</v>
      </c>
      <c r="D720" s="1772" t="s">
        <v>339</v>
      </c>
      <c r="E720" s="52" t="s">
        <v>2845</v>
      </c>
      <c r="F720" s="4">
        <v>1</v>
      </c>
      <c r="G720" s="21">
        <v>737652.7</v>
      </c>
      <c r="H720" s="21">
        <v>749553.7</v>
      </c>
      <c r="I720" s="21">
        <f>H720-G720</f>
        <v>11901</v>
      </c>
      <c r="J720" s="616">
        <v>180</v>
      </c>
      <c r="K720" s="696">
        <f>J720*I720*F720</f>
        <v>2142180</v>
      </c>
      <c r="L720" s="22"/>
      <c r="M720" s="22"/>
      <c r="N720" s="82"/>
      <c r="O720" s="616"/>
    </row>
    <row r="721" spans="1:15" ht="15.5" x14ac:dyDescent="0.35">
      <c r="A721" s="631"/>
      <c r="B721" s="102"/>
      <c r="C721" s="91"/>
      <c r="D721" s="726"/>
      <c r="E721" s="91"/>
      <c r="F721" s="47"/>
      <c r="G721" s="48"/>
      <c r="H721" s="48"/>
      <c r="I721" s="48"/>
      <c r="J721" s="96" t="s">
        <v>30</v>
      </c>
      <c r="K721" s="43">
        <f>SUM(K717:K720)</f>
        <v>8730539.9999999013</v>
      </c>
      <c r="L721" s="43">
        <f>SUM(L717:L720)</f>
        <v>0</v>
      </c>
      <c r="M721" s="43">
        <f>SUM(M717:M720)</f>
        <v>0</v>
      </c>
      <c r="N721" s="646"/>
      <c r="O721" s="616"/>
    </row>
    <row r="722" spans="1:15" ht="15.5" x14ac:dyDescent="0.35">
      <c r="A722" s="616"/>
      <c r="B722" s="624" t="s">
        <v>1113</v>
      </c>
      <c r="C722" s="625"/>
      <c r="D722" s="625"/>
      <c r="E722" s="625"/>
      <c r="F722" s="625"/>
      <c r="G722" s="625"/>
      <c r="H722" s="625"/>
      <c r="I722" s="625"/>
      <c r="J722" s="732"/>
      <c r="K722" s="733"/>
      <c r="L722" s="734"/>
      <c r="M722" s="734"/>
      <c r="N722" s="627"/>
      <c r="O722" s="12"/>
    </row>
    <row r="723" spans="1:15" ht="15.5" x14ac:dyDescent="0.35">
      <c r="A723" s="616">
        <v>5</v>
      </c>
      <c r="B723" s="100" t="s">
        <v>2846</v>
      </c>
      <c r="C723" s="52">
        <v>33</v>
      </c>
      <c r="D723" s="1770" t="s">
        <v>339</v>
      </c>
      <c r="E723" s="52" t="s">
        <v>2847</v>
      </c>
      <c r="F723" s="4">
        <v>1</v>
      </c>
      <c r="G723" s="21">
        <v>274965.90000000002</v>
      </c>
      <c r="H723" s="21">
        <v>274965.90000000002</v>
      </c>
      <c r="I723" s="20">
        <f>H723-G723</f>
        <v>0</v>
      </c>
      <c r="J723" s="616">
        <v>180</v>
      </c>
      <c r="K723" s="696">
        <f>F723*I723*J723</f>
        <v>0</v>
      </c>
      <c r="L723" s="22"/>
      <c r="M723" s="22"/>
      <c r="N723" s="82"/>
      <c r="O723" s="12" t="s">
        <v>2570</v>
      </c>
    </row>
    <row r="724" spans="1:15" ht="15.5" x14ac:dyDescent="0.35">
      <c r="A724" s="616">
        <v>6</v>
      </c>
      <c r="B724" s="100" t="s">
        <v>2848</v>
      </c>
      <c r="C724" s="52">
        <v>33</v>
      </c>
      <c r="D724" s="1771" t="s">
        <v>339</v>
      </c>
      <c r="E724" s="52" t="s">
        <v>2849</v>
      </c>
      <c r="F724" s="4">
        <v>1</v>
      </c>
      <c r="G724" s="21">
        <v>921058.6</v>
      </c>
      <c r="H724" s="21">
        <v>927302.6</v>
      </c>
      <c r="I724" s="20">
        <f>H724-G724</f>
        <v>6244</v>
      </c>
      <c r="J724" s="616">
        <v>540</v>
      </c>
      <c r="K724" s="696">
        <f>F724*I724*J724</f>
        <v>3371760</v>
      </c>
      <c r="L724" s="22"/>
      <c r="M724" s="22"/>
      <c r="N724" s="82"/>
      <c r="O724" s="12" t="e">
        <f>(K729-L748)/K729*100</f>
        <v>#DIV/0!</v>
      </c>
    </row>
    <row r="725" spans="1:15" ht="15.5" x14ac:dyDescent="0.35">
      <c r="A725" s="616">
        <v>9</v>
      </c>
      <c r="B725" s="100" t="s">
        <v>2850</v>
      </c>
      <c r="C725" s="52">
        <v>33</v>
      </c>
      <c r="D725" s="1771" t="s">
        <v>339</v>
      </c>
      <c r="E725" s="52" t="s">
        <v>2851</v>
      </c>
      <c r="F725" s="4">
        <v>1</v>
      </c>
      <c r="G725" s="21">
        <v>1757.27</v>
      </c>
      <c r="H725" s="21">
        <v>1758.92</v>
      </c>
      <c r="I725" s="20">
        <f>H725-G725</f>
        <v>1.6500000000000909</v>
      </c>
      <c r="J725" s="616">
        <v>180000</v>
      </c>
      <c r="K725" s="696">
        <f>F725*I725*J725</f>
        <v>297000.00000001636</v>
      </c>
      <c r="L725" s="22"/>
      <c r="M725" s="22"/>
      <c r="N725" s="82"/>
      <c r="O725" s="12"/>
    </row>
    <row r="726" spans="1:15" ht="15.5" x14ac:dyDescent="0.35">
      <c r="A726" s="616">
        <v>10</v>
      </c>
      <c r="B726" s="100" t="s">
        <v>2852</v>
      </c>
      <c r="C726" s="52">
        <v>33</v>
      </c>
      <c r="D726" s="1772" t="s">
        <v>339</v>
      </c>
      <c r="E726" s="52" t="s">
        <v>2853</v>
      </c>
      <c r="F726" s="4">
        <v>1</v>
      </c>
      <c r="G726" s="21">
        <v>821743.4</v>
      </c>
      <c r="H726" s="21">
        <v>827722.7</v>
      </c>
      <c r="I726" s="20">
        <f>H726-G726</f>
        <v>5979.2999999999302</v>
      </c>
      <c r="J726" s="616">
        <v>540</v>
      </c>
      <c r="K726" s="696">
        <f>F726*I726*J726</f>
        <v>3228821.9999999623</v>
      </c>
      <c r="L726" s="22"/>
      <c r="M726" s="22"/>
      <c r="N726" s="82"/>
      <c r="O726" s="12"/>
    </row>
    <row r="727" spans="1:15" ht="15.5" x14ac:dyDescent="0.35">
      <c r="A727" s="616"/>
      <c r="B727" s="102"/>
      <c r="C727" s="91"/>
      <c r="D727" s="726"/>
      <c r="E727" s="91"/>
      <c r="F727" s="47"/>
      <c r="G727" s="48"/>
      <c r="H727" s="48"/>
      <c r="I727" s="36"/>
      <c r="J727" s="96" t="s">
        <v>30</v>
      </c>
      <c r="K727" s="43">
        <f>SUM(K723:K726)</f>
        <v>6897581.9999999786</v>
      </c>
      <c r="L727" s="43">
        <f>SUM(L723:L726)</f>
        <v>0</v>
      </c>
      <c r="M727" s="43">
        <f>SUM(M723:M726)</f>
        <v>0</v>
      </c>
      <c r="N727" s="85"/>
      <c r="O727" s="12"/>
    </row>
    <row r="728" spans="1:15" ht="15.5" x14ac:dyDescent="0.35">
      <c r="A728" s="616"/>
      <c r="B728" s="647" t="s">
        <v>1114</v>
      </c>
      <c r="C728" s="648"/>
      <c r="D728" s="648"/>
      <c r="E728" s="648"/>
      <c r="F728" s="648"/>
      <c r="G728" s="648"/>
      <c r="H728" s="648"/>
      <c r="I728" s="648"/>
      <c r="J728" s="648"/>
      <c r="K728" s="700"/>
      <c r="L728" s="648"/>
      <c r="M728" s="651"/>
      <c r="N728" s="649"/>
      <c r="O728" s="8"/>
    </row>
    <row r="729" spans="1:15" ht="15.5" x14ac:dyDescent="0.35">
      <c r="A729" s="616"/>
      <c r="B729" s="100" t="s">
        <v>1079</v>
      </c>
      <c r="C729" s="52">
        <v>132</v>
      </c>
      <c r="D729" s="2138" t="s">
        <v>1083</v>
      </c>
      <c r="E729" s="615"/>
      <c r="F729" s="4"/>
      <c r="G729" s="5"/>
      <c r="H729" s="5"/>
      <c r="I729" s="5"/>
      <c r="J729" s="616"/>
      <c r="K729" s="696"/>
      <c r="L729" s="16">
        <f>J729*I729*F729</f>
        <v>0</v>
      </c>
      <c r="M729" s="7"/>
      <c r="N729" s="78"/>
      <c r="O729" s="616"/>
    </row>
    <row r="730" spans="1:15" ht="15.5" x14ac:dyDescent="0.35">
      <c r="A730" s="616"/>
      <c r="B730" s="100" t="s">
        <v>1078</v>
      </c>
      <c r="C730" s="52">
        <v>132</v>
      </c>
      <c r="D730" s="2139"/>
      <c r="E730" s="615"/>
      <c r="F730" s="4"/>
      <c r="G730" s="5"/>
      <c r="H730" s="5"/>
      <c r="I730" s="5"/>
      <c r="J730" s="616"/>
      <c r="K730" s="696"/>
      <c r="L730" s="16">
        <f>J730*I730*F730</f>
        <v>0</v>
      </c>
      <c r="M730" s="16"/>
      <c r="N730" s="79"/>
      <c r="O730" s="616"/>
    </row>
    <row r="731" spans="1:15" ht="15.5" x14ac:dyDescent="0.35">
      <c r="A731" s="616"/>
      <c r="B731" s="95"/>
      <c r="C731" s="89"/>
      <c r="D731" s="89"/>
      <c r="E731" s="89"/>
      <c r="F731" s="37"/>
      <c r="G731" s="37"/>
      <c r="H731" s="37"/>
      <c r="I731" s="37"/>
      <c r="J731" s="95" t="s">
        <v>279</v>
      </c>
      <c r="K731" s="699"/>
      <c r="L731" s="55">
        <f>SUM(L729:L730)</f>
        <v>0</v>
      </c>
      <c r="M731" s="633"/>
      <c r="N731" s="634"/>
      <c r="O731" s="616"/>
    </row>
    <row r="732" spans="1:15" ht="15.5" x14ac:dyDescent="0.35">
      <c r="A732" s="616"/>
      <c r="B732" s="102"/>
      <c r="C732" s="91"/>
      <c r="D732" s="726"/>
      <c r="E732" s="91"/>
      <c r="F732" s="47"/>
      <c r="G732" s="48"/>
      <c r="H732" s="48"/>
      <c r="I732" s="36"/>
      <c r="J732" s="96"/>
      <c r="K732" s="706"/>
      <c r="L732" s="43"/>
      <c r="M732" s="43"/>
      <c r="N732" s="85"/>
      <c r="O732" s="12"/>
    </row>
    <row r="733" spans="1:15" ht="15.5" x14ac:dyDescent="0.35">
      <c r="A733" s="636"/>
      <c r="B733" s="647" t="s">
        <v>1110</v>
      </c>
      <c r="C733" s="648"/>
      <c r="D733" s="648"/>
      <c r="E733" s="648"/>
      <c r="F733" s="648"/>
      <c r="G733" s="648"/>
      <c r="H733" s="648"/>
      <c r="I733" s="648"/>
      <c r="J733" s="50"/>
      <c r="K733" s="710"/>
      <c r="L733" s="51"/>
      <c r="M733" s="51"/>
      <c r="N733" s="649"/>
      <c r="O733" s="12"/>
    </row>
    <row r="734" spans="1:15" ht="30" x14ac:dyDescent="0.35">
      <c r="A734" s="616">
        <v>7</v>
      </c>
      <c r="B734" s="100" t="s">
        <v>2854</v>
      </c>
      <c r="C734" s="52">
        <v>33</v>
      </c>
      <c r="D734" s="1774" t="s">
        <v>326</v>
      </c>
      <c r="E734" s="52" t="s">
        <v>2855</v>
      </c>
      <c r="F734" s="4">
        <v>1</v>
      </c>
      <c r="G734" s="21">
        <v>940015.4</v>
      </c>
      <c r="H734" s="21">
        <v>958763</v>
      </c>
      <c r="I734" s="21">
        <f>H734-G734</f>
        <v>18747.599999999977</v>
      </c>
      <c r="J734" s="31">
        <v>180</v>
      </c>
      <c r="K734" s="707"/>
      <c r="L734" s="22">
        <f>F734*I734*J734</f>
        <v>3374567.9999999958</v>
      </c>
      <c r="M734" s="22"/>
      <c r="N734" s="83"/>
      <c r="O734" s="12"/>
    </row>
    <row r="735" spans="1:15" ht="30" x14ac:dyDescent="0.35">
      <c r="A735" s="616">
        <v>8</v>
      </c>
      <c r="B735" s="100" t="s">
        <v>2856</v>
      </c>
      <c r="C735" s="52">
        <v>33</v>
      </c>
      <c r="D735" s="1776" t="s">
        <v>326</v>
      </c>
      <c r="E735" s="52" t="s">
        <v>2857</v>
      </c>
      <c r="F735" s="4">
        <v>1</v>
      </c>
      <c r="G735" s="21">
        <v>78214.399999999994</v>
      </c>
      <c r="H735" s="21">
        <v>97827.8</v>
      </c>
      <c r="I735" s="21">
        <f>H735-G735</f>
        <v>19613.400000000009</v>
      </c>
      <c r="J735" s="31">
        <v>180</v>
      </c>
      <c r="K735" s="707"/>
      <c r="L735" s="22">
        <f>F735*I735*J735</f>
        <v>3530412.0000000014</v>
      </c>
      <c r="M735" s="22"/>
      <c r="N735" s="83"/>
      <c r="O735" s="12"/>
    </row>
    <row r="736" spans="1:15" ht="15" x14ac:dyDescent="0.35">
      <c r="A736" s="636"/>
      <c r="B736" s="96"/>
      <c r="C736" s="90"/>
      <c r="D736" s="90"/>
      <c r="E736" s="90"/>
      <c r="F736" s="38"/>
      <c r="G736" s="38"/>
      <c r="H736" s="38"/>
      <c r="I736" s="38"/>
      <c r="J736" s="96" t="s">
        <v>30</v>
      </c>
      <c r="K736" s="708"/>
      <c r="L736" s="43">
        <f>SUM(L734:L735)</f>
        <v>6904979.9999999972</v>
      </c>
      <c r="M736" s="43">
        <f>SUM(M734:M735)</f>
        <v>0</v>
      </c>
      <c r="N736" s="650">
        <f>(M736-L736)/L736*100</f>
        <v>-100</v>
      </c>
      <c r="O736" s="12"/>
    </row>
    <row r="737" spans="1:15" ht="15.5" thickBot="1" x14ac:dyDescent="0.4">
      <c r="A737" s="702"/>
      <c r="B737" s="736"/>
      <c r="C737" s="92"/>
      <c r="D737" s="92"/>
      <c r="E737" s="92"/>
      <c r="F737" s="737"/>
      <c r="G737" s="737"/>
      <c r="H737" s="737"/>
      <c r="I737" s="737"/>
      <c r="J737" s="736"/>
      <c r="K737" s="738"/>
      <c r="L737" s="739"/>
      <c r="M737" s="739"/>
      <c r="N737" s="646"/>
      <c r="O737" s="740"/>
    </row>
    <row r="738" spans="1:15" ht="15" x14ac:dyDescent="0.35">
      <c r="A738" s="702"/>
      <c r="B738" s="2142" t="s">
        <v>1090</v>
      </c>
      <c r="C738" s="2143"/>
      <c r="D738" s="683" t="s">
        <v>14</v>
      </c>
      <c r="F738" s="2144" t="s">
        <v>1091</v>
      </c>
      <c r="G738" s="2145"/>
      <c r="H738" s="2146"/>
      <c r="I738" s="683" t="s">
        <v>14</v>
      </c>
      <c r="J738" s="620"/>
      <c r="K738" s="2147" t="s">
        <v>1092</v>
      </c>
      <c r="L738" s="2148"/>
      <c r="M738" s="684" t="s">
        <v>14</v>
      </c>
      <c r="N738" s="646"/>
      <c r="O738" s="740"/>
    </row>
    <row r="739" spans="1:15" ht="15" x14ac:dyDescent="0.35">
      <c r="A739" s="702"/>
      <c r="B739" s="2122" t="str">
        <f>B716</f>
        <v>MOGBAZAR 33 KV SIDE</v>
      </c>
      <c r="C739" s="2123"/>
      <c r="D739" s="689">
        <f>K721</f>
        <v>8730539.9999999013</v>
      </c>
      <c r="F739" s="2124" t="s">
        <v>1093</v>
      </c>
      <c r="G739" s="2125"/>
      <c r="H739" s="2126"/>
      <c r="I739" s="685">
        <f>L731</f>
        <v>0</v>
      </c>
      <c r="J739" s="620"/>
      <c r="K739" s="2160" t="str">
        <f>F740</f>
        <v>MOGBAZAR T&amp;T 33 KV NET IMPORT</v>
      </c>
      <c r="L739" s="2161"/>
      <c r="M739" s="687">
        <f>L736</f>
        <v>6904979.9999999972</v>
      </c>
      <c r="N739" s="646"/>
      <c r="O739" s="740"/>
    </row>
    <row r="740" spans="1:15" ht="15" x14ac:dyDescent="0.35">
      <c r="A740" s="702"/>
      <c r="B740" s="2122" t="s">
        <v>1116</v>
      </c>
      <c r="C740" s="2123"/>
      <c r="D740" s="741"/>
      <c r="F740" s="2124" t="s">
        <v>1119</v>
      </c>
      <c r="G740" s="2125"/>
      <c r="H740" s="2126"/>
      <c r="I740" s="685">
        <f>D743-I739</f>
        <v>8730539.9999999013</v>
      </c>
      <c r="J740" s="620"/>
      <c r="K740" s="2162" t="s">
        <v>1120</v>
      </c>
      <c r="L740" s="2163"/>
      <c r="M740" s="685">
        <f>M772</f>
        <v>0</v>
      </c>
      <c r="N740" s="646"/>
      <c r="O740" s="740"/>
    </row>
    <row r="741" spans="1:15" ht="15" x14ac:dyDescent="0.35">
      <c r="A741" s="702"/>
      <c r="B741" s="2122" t="s">
        <v>1117</v>
      </c>
      <c r="C741" s="2123"/>
      <c r="D741" s="721"/>
      <c r="F741" s="2124" t="s">
        <v>1089</v>
      </c>
      <c r="G741" s="2125"/>
      <c r="H741" s="2126"/>
      <c r="I741" s="685">
        <f>I739+I740</f>
        <v>8730539.9999999013</v>
      </c>
      <c r="J741" s="620"/>
      <c r="K741" s="2127" t="s">
        <v>284</v>
      </c>
      <c r="L741" s="2128"/>
      <c r="M741" s="685">
        <f>M739-M740</f>
        <v>6904979.9999999972</v>
      </c>
      <c r="N741" s="646"/>
      <c r="O741" s="740"/>
    </row>
    <row r="742" spans="1:15" ht="16" thickBot="1" x14ac:dyDescent="0.4">
      <c r="A742" s="702"/>
      <c r="B742" s="2122" t="s">
        <v>1118</v>
      </c>
      <c r="C742" s="2123"/>
      <c r="D742" s="722"/>
      <c r="F742" s="2113" t="s">
        <v>1102</v>
      </c>
      <c r="G742" s="2114"/>
      <c r="H742" s="2115"/>
      <c r="I742" s="690">
        <f>(D743-I741)/I741</f>
        <v>0</v>
      </c>
      <c r="J742" s="620"/>
      <c r="K742" s="2134" t="s">
        <v>285</v>
      </c>
      <c r="L742" s="2135"/>
      <c r="M742" s="688">
        <f>M741/M739</f>
        <v>1</v>
      </c>
      <c r="N742" s="646"/>
      <c r="O742" s="740"/>
    </row>
    <row r="743" spans="1:15" ht="15.5" thickBot="1" x14ac:dyDescent="0.4">
      <c r="A743" s="702"/>
      <c r="B743" s="2158" t="s">
        <v>1082</v>
      </c>
      <c r="C743" s="2159"/>
      <c r="D743" s="686">
        <f>SUM(D739:D741)</f>
        <v>8730539.9999999013</v>
      </c>
      <c r="F743" s="620"/>
      <c r="G743" s="620"/>
      <c r="H743" s="620"/>
      <c r="I743" s="620"/>
      <c r="J743" s="620"/>
      <c r="K743" s="702"/>
      <c r="L743" s="620"/>
      <c r="M743" s="620"/>
      <c r="N743" s="646"/>
      <c r="O743" s="740"/>
    </row>
    <row r="744" spans="1:15" ht="15" x14ac:dyDescent="0.35">
      <c r="A744" s="702"/>
      <c r="B744" s="736"/>
      <c r="C744" s="92"/>
      <c r="D744" s="92"/>
      <c r="E744" s="92"/>
      <c r="F744" s="737"/>
      <c r="G744" s="737"/>
      <c r="H744" s="737"/>
      <c r="I744" s="737"/>
      <c r="J744" s="736"/>
      <c r="K744" s="738"/>
      <c r="L744" s="739"/>
      <c r="M744" s="739"/>
      <c r="N744" s="646"/>
      <c r="O744" s="740"/>
    </row>
    <row r="745" spans="1:15" x14ac:dyDescent="0.35">
      <c r="A745" s="620"/>
      <c r="B745" s="632"/>
      <c r="C745" s="620"/>
      <c r="D745" s="728"/>
      <c r="E745" s="620"/>
      <c r="F745" s="620"/>
      <c r="G745" s="620"/>
      <c r="H745" s="620"/>
      <c r="I745" s="620"/>
      <c r="J745" s="620"/>
      <c r="K745" s="702"/>
      <c r="L745" s="620"/>
      <c r="M745" s="620"/>
      <c r="N745" s="620"/>
      <c r="O745" s="620"/>
    </row>
    <row r="746" spans="1:15" x14ac:dyDescent="0.35">
      <c r="A746" s="620"/>
      <c r="B746" s="632"/>
      <c r="C746" s="620"/>
      <c r="D746" s="728"/>
      <c r="E746" s="620"/>
      <c r="F746" s="620"/>
      <c r="G746" s="620"/>
      <c r="H746" s="620"/>
      <c r="I746" s="620"/>
      <c r="J746" s="620"/>
      <c r="K746" s="702"/>
      <c r="L746" s="620"/>
      <c r="M746" s="620"/>
      <c r="N746" s="620"/>
      <c r="O746" s="620"/>
    </row>
    <row r="747" spans="1:15" ht="25" x14ac:dyDescent="0.35">
      <c r="A747" s="2095" t="s">
        <v>1312</v>
      </c>
      <c r="B747" s="2095"/>
      <c r="C747" s="2095"/>
      <c r="D747" s="2095"/>
      <c r="E747" s="2095"/>
      <c r="F747" s="2095"/>
      <c r="G747" s="2095"/>
      <c r="H747" s="2095"/>
      <c r="I747" s="2095"/>
      <c r="J747" s="2095"/>
      <c r="K747" s="2095"/>
      <c r="L747" s="2095"/>
      <c r="M747" s="2095"/>
      <c r="N747" s="2095"/>
      <c r="O747" s="756" t="e">
        <f>$O$6</f>
        <v>#REF!</v>
      </c>
    </row>
    <row r="748" spans="1:15" ht="15.5" x14ac:dyDescent="0.35">
      <c r="A748" s="2096" t="s">
        <v>0</v>
      </c>
      <c r="B748" s="2098" t="s">
        <v>1</v>
      </c>
      <c r="C748" s="2100" t="s">
        <v>2</v>
      </c>
      <c r="D748" s="2101"/>
      <c r="E748" s="2102"/>
      <c r="F748" s="2103" t="s">
        <v>3</v>
      </c>
      <c r="G748" s="2100" t="s">
        <v>4</v>
      </c>
      <c r="H748" s="2102"/>
      <c r="I748" s="2085"/>
      <c r="J748" s="2103" t="s">
        <v>5</v>
      </c>
      <c r="K748" s="2100" t="s">
        <v>6</v>
      </c>
      <c r="L748" s="2085"/>
      <c r="M748" s="97" t="s">
        <v>32</v>
      </c>
      <c r="N748" s="98"/>
      <c r="O748" s="2084" t="s">
        <v>7</v>
      </c>
    </row>
    <row r="749" spans="1:15" ht="15.5" x14ac:dyDescent="0.35">
      <c r="A749" s="2097"/>
      <c r="B749" s="2099"/>
      <c r="C749" s="2086" t="s">
        <v>1108</v>
      </c>
      <c r="D749" s="2087"/>
      <c r="E749" s="87" t="s">
        <v>9</v>
      </c>
      <c r="F749" s="2097"/>
      <c r="G749" s="2">
        <f>'NORTH-1'!$G$8</f>
        <v>44774</v>
      </c>
      <c r="H749" s="2">
        <f>'NORTH-1'!$H$8</f>
        <v>44805</v>
      </c>
      <c r="I749" s="1" t="s">
        <v>10</v>
      </c>
      <c r="J749" s="2097"/>
      <c r="K749" s="1" t="s">
        <v>11</v>
      </c>
      <c r="L749" s="1" t="s">
        <v>12</v>
      </c>
      <c r="M749" s="617" t="s">
        <v>33</v>
      </c>
      <c r="N749" s="76" t="s">
        <v>47</v>
      </c>
      <c r="O749" s="2085"/>
    </row>
    <row r="750" spans="1:15" ht="15.5" x14ac:dyDescent="0.35">
      <c r="A750" s="3">
        <v>1</v>
      </c>
      <c r="B750" s="88">
        <v>2</v>
      </c>
      <c r="C750" s="2088">
        <v>4</v>
      </c>
      <c r="D750" s="2089"/>
      <c r="E750" s="88">
        <v>5</v>
      </c>
      <c r="F750" s="3">
        <v>7</v>
      </c>
      <c r="G750" s="3">
        <v>8</v>
      </c>
      <c r="H750" s="3">
        <v>9</v>
      </c>
      <c r="I750" s="3" t="s">
        <v>13</v>
      </c>
      <c r="J750" s="3">
        <v>11</v>
      </c>
      <c r="K750" s="3" t="s">
        <v>19</v>
      </c>
      <c r="L750" s="3" t="s">
        <v>20</v>
      </c>
      <c r="M750" s="3">
        <v>14</v>
      </c>
      <c r="N750" s="77">
        <v>15</v>
      </c>
      <c r="O750" s="3">
        <v>16</v>
      </c>
    </row>
    <row r="751" spans="1:15" ht="15.5" x14ac:dyDescent="0.35">
      <c r="A751" s="631"/>
      <c r="B751" s="624" t="s">
        <v>1121</v>
      </c>
      <c r="C751" s="625"/>
      <c r="D751" s="625"/>
      <c r="E751" s="625"/>
      <c r="F751" s="625"/>
      <c r="G751" s="625"/>
      <c r="H751" s="625"/>
      <c r="I751" s="625"/>
      <c r="J751" s="625"/>
      <c r="K751" s="695"/>
      <c r="L751" s="625"/>
      <c r="M751" s="626"/>
      <c r="N751" s="627"/>
      <c r="O751" s="616"/>
    </row>
    <row r="752" spans="1:15" ht="15.5" x14ac:dyDescent="0.35">
      <c r="A752" s="631">
        <v>19</v>
      </c>
      <c r="B752" s="100" t="s">
        <v>2858</v>
      </c>
      <c r="C752" s="52">
        <v>11</v>
      </c>
      <c r="D752" s="2105" t="s">
        <v>339</v>
      </c>
      <c r="E752" s="52" t="s">
        <v>2859</v>
      </c>
      <c r="F752" s="4">
        <v>1</v>
      </c>
      <c r="G752" s="21">
        <v>7216.42</v>
      </c>
      <c r="H752" s="21">
        <v>7216.6</v>
      </c>
      <c r="I752" s="21">
        <f>H752-G752</f>
        <v>0.18000000000029104</v>
      </c>
      <c r="J752" s="616">
        <v>160000</v>
      </c>
      <c r="K752" s="696">
        <f>F752*I752*J752</f>
        <v>28800.000000046566</v>
      </c>
      <c r="L752" s="22"/>
      <c r="M752" s="22"/>
      <c r="N752" s="82"/>
      <c r="O752" s="616">
        <f>SUM(L744:L751)</f>
        <v>0</v>
      </c>
    </row>
    <row r="753" spans="1:16" ht="15.5" x14ac:dyDescent="0.35">
      <c r="A753" s="631">
        <v>20</v>
      </c>
      <c r="B753" s="100" t="s">
        <v>2860</v>
      </c>
      <c r="C753" s="52">
        <v>11</v>
      </c>
      <c r="D753" s="2151" t="s">
        <v>339</v>
      </c>
      <c r="E753" s="52" t="s">
        <v>2861</v>
      </c>
      <c r="F753" s="4">
        <v>1</v>
      </c>
      <c r="G753" s="21">
        <v>6581.39</v>
      </c>
      <c r="H753" s="21">
        <v>6581.61</v>
      </c>
      <c r="I753" s="21">
        <f>H753-G753</f>
        <v>0.21999999999934516</v>
      </c>
      <c r="J753" s="616">
        <v>160000</v>
      </c>
      <c r="K753" s="696">
        <f>F753*I753*J753</f>
        <v>35199.999999895226</v>
      </c>
      <c r="L753" s="22"/>
      <c r="M753" s="22"/>
      <c r="N753" s="82"/>
      <c r="O753" s="616"/>
      <c r="P753" t="s">
        <v>2862</v>
      </c>
    </row>
    <row r="754" spans="1:16" ht="15.5" x14ac:dyDescent="0.35">
      <c r="A754" s="631"/>
      <c r="B754" s="102"/>
      <c r="C754" s="91"/>
      <c r="D754" s="726"/>
      <c r="E754" s="91"/>
      <c r="F754" s="47"/>
      <c r="G754" s="48"/>
      <c r="H754" s="48"/>
      <c r="I754" s="48"/>
      <c r="J754" s="39" t="s">
        <v>30</v>
      </c>
      <c r="K754" s="43">
        <f>SUM(K752:K753)</f>
        <v>63999.999999941792</v>
      </c>
      <c r="L754" s="49"/>
      <c r="M754" s="43">
        <f>SUM(M752:M753)</f>
        <v>0</v>
      </c>
      <c r="N754" s="85"/>
      <c r="O754" s="616"/>
    </row>
    <row r="755" spans="1:16" ht="15.5" x14ac:dyDescent="0.35">
      <c r="A755" s="631"/>
      <c r="B755" s="647" t="s">
        <v>1121</v>
      </c>
      <c r="C755" s="648"/>
      <c r="D755" s="648"/>
      <c r="E755" s="648"/>
      <c r="F755" s="648"/>
      <c r="G755" s="648"/>
      <c r="H755" s="648"/>
      <c r="I755" s="648"/>
      <c r="J755" s="50"/>
      <c r="K755" s="710"/>
      <c r="L755" s="51"/>
      <c r="M755" s="51"/>
      <c r="N755" s="649"/>
      <c r="O755" s="616"/>
    </row>
    <row r="756" spans="1:16" ht="15.75" customHeight="1" x14ac:dyDescent="0.35">
      <c r="A756" s="631">
        <v>11</v>
      </c>
      <c r="B756" s="100" t="s">
        <v>2863</v>
      </c>
      <c r="C756" s="73">
        <v>11</v>
      </c>
      <c r="D756" s="1781" t="s">
        <v>93</v>
      </c>
      <c r="E756" s="52" t="s">
        <v>2864</v>
      </c>
      <c r="F756" s="32">
        <v>1</v>
      </c>
      <c r="G756" s="6">
        <v>62000.6</v>
      </c>
      <c r="H756" s="6">
        <v>62009.8</v>
      </c>
      <c r="I756" s="20">
        <f>H756-G756</f>
        <v>9.2000000000043656</v>
      </c>
      <c r="J756" s="616">
        <v>2222.2199999999998</v>
      </c>
      <c r="K756" s="703"/>
      <c r="L756" s="22">
        <f t="shared" ref="L756:L771" si="24">F756*I756*J756</f>
        <v>20444.424000009698</v>
      </c>
      <c r="M756" s="22"/>
      <c r="N756" s="72" t="s">
        <v>93</v>
      </c>
      <c r="O756" s="15"/>
    </row>
    <row r="757" spans="1:16" ht="15.75" customHeight="1" x14ac:dyDescent="0.35">
      <c r="A757" s="631">
        <v>12</v>
      </c>
      <c r="B757" s="100" t="s">
        <v>2865</v>
      </c>
      <c r="C757" s="73">
        <v>11</v>
      </c>
      <c r="D757" s="1782" t="s">
        <v>93</v>
      </c>
      <c r="E757" s="52" t="s">
        <v>2866</v>
      </c>
      <c r="F757" s="32">
        <v>1</v>
      </c>
      <c r="G757" s="6">
        <v>4531</v>
      </c>
      <c r="H757" s="6">
        <v>4531.05</v>
      </c>
      <c r="I757" s="20">
        <f t="shared" ref="I757:I771" si="25">H757-G757</f>
        <v>5.0000000000181899E-2</v>
      </c>
      <c r="J757" s="616">
        <v>40000</v>
      </c>
      <c r="K757" s="703"/>
      <c r="L757" s="22">
        <f t="shared" si="24"/>
        <v>2000.000000007276</v>
      </c>
      <c r="M757" s="22"/>
      <c r="N757" s="72" t="s">
        <v>93</v>
      </c>
      <c r="O757" s="15"/>
    </row>
    <row r="758" spans="1:16" ht="15.75" customHeight="1" x14ac:dyDescent="0.35">
      <c r="A758" s="631">
        <v>13</v>
      </c>
      <c r="B758" s="100" t="s">
        <v>2867</v>
      </c>
      <c r="C758" s="73">
        <v>11</v>
      </c>
      <c r="D758" s="1782" t="s">
        <v>102</v>
      </c>
      <c r="E758" s="52" t="s">
        <v>2868</v>
      </c>
      <c r="F758" s="32">
        <v>1</v>
      </c>
      <c r="G758" s="6">
        <v>903.15</v>
      </c>
      <c r="H758" s="6">
        <v>903.15</v>
      </c>
      <c r="I758" s="20">
        <f t="shared" si="25"/>
        <v>0</v>
      </c>
      <c r="J758" s="616">
        <v>40000</v>
      </c>
      <c r="K758" s="703"/>
      <c r="L758" s="22">
        <f t="shared" si="24"/>
        <v>0</v>
      </c>
      <c r="M758" s="22"/>
      <c r="N758" s="1934" t="s">
        <v>102</v>
      </c>
      <c r="O758" s="15"/>
    </row>
    <row r="759" spans="1:16" ht="15.75" customHeight="1" x14ac:dyDescent="0.35">
      <c r="A759" s="631">
        <v>14</v>
      </c>
      <c r="B759" s="100" t="s">
        <v>2869</v>
      </c>
      <c r="C759" s="73">
        <v>11</v>
      </c>
      <c r="D759" s="1782" t="s">
        <v>93</v>
      </c>
      <c r="E759" s="52" t="s">
        <v>2870</v>
      </c>
      <c r="F759" s="32">
        <v>1</v>
      </c>
      <c r="G759" s="6">
        <v>5120.49</v>
      </c>
      <c r="H759" s="6">
        <v>5120.76</v>
      </c>
      <c r="I759" s="20">
        <f t="shared" si="25"/>
        <v>0.27000000000043656</v>
      </c>
      <c r="J759" s="616">
        <v>40000</v>
      </c>
      <c r="K759" s="703"/>
      <c r="L759" s="22">
        <f t="shared" si="24"/>
        <v>10800.000000017462</v>
      </c>
      <c r="M759" s="22"/>
      <c r="N759" s="72" t="s">
        <v>93</v>
      </c>
      <c r="O759" s="15"/>
    </row>
    <row r="760" spans="1:16" ht="15.75" customHeight="1" x14ac:dyDescent="0.35">
      <c r="A760" s="631">
        <v>15</v>
      </c>
      <c r="B760" s="100" t="s">
        <v>2871</v>
      </c>
      <c r="C760" s="73">
        <v>11</v>
      </c>
      <c r="D760" s="1782" t="s">
        <v>93</v>
      </c>
      <c r="E760" s="52" t="s">
        <v>2872</v>
      </c>
      <c r="F760" s="32">
        <v>1</v>
      </c>
      <c r="G760" s="6">
        <v>0</v>
      </c>
      <c r="H760" s="6">
        <v>0</v>
      </c>
      <c r="I760" s="20">
        <f t="shared" si="25"/>
        <v>0</v>
      </c>
      <c r="J760" s="616">
        <v>40000</v>
      </c>
      <c r="K760" s="703"/>
      <c r="L760" s="22">
        <f t="shared" si="24"/>
        <v>0</v>
      </c>
      <c r="M760" s="22"/>
      <c r="N760" s="72"/>
      <c r="O760" s="15"/>
    </row>
    <row r="761" spans="1:16" ht="15.75" customHeight="1" x14ac:dyDescent="0.35">
      <c r="A761" s="631">
        <v>16</v>
      </c>
      <c r="B761" s="100" t="s">
        <v>2873</v>
      </c>
      <c r="C761" s="73">
        <v>11</v>
      </c>
      <c r="D761" s="1782" t="s">
        <v>93</v>
      </c>
      <c r="E761" s="52" t="s">
        <v>2874</v>
      </c>
      <c r="F761" s="32">
        <v>1</v>
      </c>
      <c r="G761" s="6">
        <v>5389.82</v>
      </c>
      <c r="H761" s="6">
        <v>5389.85</v>
      </c>
      <c r="I761" s="20">
        <f t="shared" si="25"/>
        <v>3.0000000000654836E-2</v>
      </c>
      <c r="J761" s="616">
        <v>40000</v>
      </c>
      <c r="K761" s="703"/>
      <c r="L761" s="22">
        <f t="shared" si="24"/>
        <v>1200.0000000261934</v>
      </c>
      <c r="M761" s="22"/>
      <c r="N761" s="72" t="s">
        <v>93</v>
      </c>
      <c r="O761" s="15"/>
    </row>
    <row r="762" spans="1:16" ht="15.75" customHeight="1" x14ac:dyDescent="0.35">
      <c r="A762" s="631">
        <v>17</v>
      </c>
      <c r="B762" s="100" t="s">
        <v>2875</v>
      </c>
      <c r="C762" s="73">
        <v>11</v>
      </c>
      <c r="D762" s="1782" t="s">
        <v>102</v>
      </c>
      <c r="E762" s="52" t="s">
        <v>2876</v>
      </c>
      <c r="F762" s="32">
        <v>1</v>
      </c>
      <c r="G762" s="6">
        <v>1013.63</v>
      </c>
      <c r="H762" s="6">
        <v>1013.68</v>
      </c>
      <c r="I762" s="20">
        <f t="shared" si="25"/>
        <v>4.9999999999954525E-2</v>
      </c>
      <c r="J762" s="616">
        <v>40000</v>
      </c>
      <c r="K762" s="703"/>
      <c r="L762" s="22">
        <f t="shared" si="24"/>
        <v>1999.999999998181</v>
      </c>
      <c r="M762" s="22"/>
      <c r="N762" s="1934" t="s">
        <v>102</v>
      </c>
      <c r="O762" s="15"/>
    </row>
    <row r="763" spans="1:16" ht="15.75" customHeight="1" x14ac:dyDescent="0.35">
      <c r="A763" s="631">
        <v>18</v>
      </c>
      <c r="B763" s="100" t="s">
        <v>2877</v>
      </c>
      <c r="C763" s="73">
        <v>11</v>
      </c>
      <c r="D763" s="1782" t="s">
        <v>93</v>
      </c>
      <c r="E763" s="52" t="s">
        <v>2878</v>
      </c>
      <c r="F763" s="32">
        <v>1</v>
      </c>
      <c r="G763" s="6">
        <v>4021.61</v>
      </c>
      <c r="H763" s="6">
        <v>4021.97</v>
      </c>
      <c r="I763" s="20">
        <f t="shared" si="25"/>
        <v>0.35999999999967258</v>
      </c>
      <c r="J763" s="616">
        <v>40000</v>
      </c>
      <c r="K763" s="703"/>
      <c r="L763" s="22">
        <f t="shared" si="24"/>
        <v>14399.999999986903</v>
      </c>
      <c r="M763" s="22"/>
      <c r="N763" s="72" t="s">
        <v>93</v>
      </c>
      <c r="O763" s="15"/>
    </row>
    <row r="764" spans="1:16" ht="45" x14ac:dyDescent="0.35">
      <c r="A764" s="631">
        <v>21</v>
      </c>
      <c r="B764" s="100" t="s">
        <v>2879</v>
      </c>
      <c r="C764" s="73">
        <v>11</v>
      </c>
      <c r="D764" s="1782" t="s">
        <v>93</v>
      </c>
      <c r="E764" s="52" t="s">
        <v>2880</v>
      </c>
      <c r="F764" s="32">
        <v>1</v>
      </c>
      <c r="G764" s="6">
        <v>5739.2</v>
      </c>
      <c r="H764" s="6">
        <v>5739.2</v>
      </c>
      <c r="I764" s="20">
        <f t="shared" si="25"/>
        <v>0</v>
      </c>
      <c r="J764" s="616">
        <v>40000</v>
      </c>
      <c r="K764" s="703"/>
      <c r="L764" s="22">
        <f t="shared" si="24"/>
        <v>0</v>
      </c>
      <c r="M764" s="22"/>
      <c r="N764" s="72" t="s">
        <v>93</v>
      </c>
      <c r="O764" s="15"/>
    </row>
    <row r="765" spans="1:16" ht="45" x14ac:dyDescent="0.35">
      <c r="A765" s="631">
        <v>22</v>
      </c>
      <c r="B765" s="100" t="s">
        <v>2881</v>
      </c>
      <c r="C765" s="73">
        <v>11</v>
      </c>
      <c r="D765" s="1782" t="s">
        <v>93</v>
      </c>
      <c r="E765" s="52" t="s">
        <v>2882</v>
      </c>
      <c r="F765" s="32">
        <v>1</v>
      </c>
      <c r="G765" s="6">
        <v>5722.82</v>
      </c>
      <c r="H765" s="6">
        <v>5740</v>
      </c>
      <c r="I765" s="20">
        <f t="shared" si="25"/>
        <v>17.180000000000291</v>
      </c>
      <c r="J765" s="616">
        <v>40000</v>
      </c>
      <c r="K765" s="703"/>
      <c r="L765" s="22">
        <f t="shared" si="24"/>
        <v>687200.00000001164</v>
      </c>
      <c r="M765" s="22"/>
      <c r="N765" s="72" t="s">
        <v>93</v>
      </c>
      <c r="O765" s="15"/>
    </row>
    <row r="766" spans="1:16" ht="45" x14ac:dyDescent="0.35">
      <c r="A766" s="631">
        <v>23</v>
      </c>
      <c r="B766" s="100" t="s">
        <v>2883</v>
      </c>
      <c r="C766" s="73">
        <v>11</v>
      </c>
      <c r="D766" s="1782" t="s">
        <v>93</v>
      </c>
      <c r="E766" s="52" t="s">
        <v>2884</v>
      </c>
      <c r="F766" s="32">
        <v>1</v>
      </c>
      <c r="G766" s="6">
        <v>7885.37</v>
      </c>
      <c r="H766" s="6">
        <v>7911.83</v>
      </c>
      <c r="I766" s="20">
        <f t="shared" si="25"/>
        <v>26.460000000000036</v>
      </c>
      <c r="J766" s="616">
        <v>40000</v>
      </c>
      <c r="K766" s="703"/>
      <c r="L766" s="22">
        <f t="shared" si="24"/>
        <v>1058400.0000000014</v>
      </c>
      <c r="M766" s="22"/>
      <c r="N766" s="72" t="s">
        <v>93</v>
      </c>
      <c r="O766" s="15"/>
    </row>
    <row r="767" spans="1:16" ht="45" x14ac:dyDescent="0.35">
      <c r="A767" s="631">
        <v>24</v>
      </c>
      <c r="B767" s="100" t="s">
        <v>2885</v>
      </c>
      <c r="C767" s="73">
        <v>11</v>
      </c>
      <c r="D767" s="1782" t="s">
        <v>93</v>
      </c>
      <c r="E767" s="52" t="s">
        <v>2886</v>
      </c>
      <c r="F767" s="32">
        <v>1</v>
      </c>
      <c r="G767" s="6">
        <v>3696.07</v>
      </c>
      <c r="H767" s="6">
        <v>3700.77</v>
      </c>
      <c r="I767" s="20">
        <f t="shared" si="25"/>
        <v>4.6999999999998181</v>
      </c>
      <c r="J767" s="616">
        <v>40000</v>
      </c>
      <c r="K767" s="703"/>
      <c r="L767" s="22">
        <f t="shared" si="24"/>
        <v>187999.99999999272</v>
      </c>
      <c r="M767" s="22"/>
      <c r="N767" s="72" t="s">
        <v>93</v>
      </c>
      <c r="O767" s="15"/>
    </row>
    <row r="768" spans="1:16" ht="45" x14ac:dyDescent="0.35">
      <c r="A768" s="631">
        <v>25</v>
      </c>
      <c r="B768" s="100" t="s">
        <v>2887</v>
      </c>
      <c r="C768" s="73">
        <v>11</v>
      </c>
      <c r="D768" s="1782" t="s">
        <v>93</v>
      </c>
      <c r="E768" s="52" t="s">
        <v>2888</v>
      </c>
      <c r="F768" s="32">
        <v>1</v>
      </c>
      <c r="G768" s="6">
        <v>9664.4599999999991</v>
      </c>
      <c r="H768" s="6">
        <v>9664.4599999999991</v>
      </c>
      <c r="I768" s="20">
        <f t="shared" si="25"/>
        <v>0</v>
      </c>
      <c r="J768" s="616">
        <v>40000</v>
      </c>
      <c r="K768" s="703"/>
      <c r="L768" s="22">
        <f t="shared" si="24"/>
        <v>0</v>
      </c>
      <c r="M768" s="22"/>
      <c r="N768" s="72" t="s">
        <v>93</v>
      </c>
      <c r="O768" s="15"/>
    </row>
    <row r="769" spans="1:15" ht="45" x14ac:dyDescent="0.35">
      <c r="A769" s="631">
        <v>26</v>
      </c>
      <c r="B769" s="100" t="s">
        <v>2889</v>
      </c>
      <c r="C769" s="73">
        <v>11</v>
      </c>
      <c r="D769" s="1782" t="s">
        <v>93</v>
      </c>
      <c r="E769" s="52" t="s">
        <v>2890</v>
      </c>
      <c r="F769" s="32">
        <v>1</v>
      </c>
      <c r="G769" s="6">
        <v>3538.56</v>
      </c>
      <c r="H769" s="6">
        <v>3543.34</v>
      </c>
      <c r="I769" s="20">
        <f t="shared" si="25"/>
        <v>4.7800000000002001</v>
      </c>
      <c r="J769" s="616">
        <v>40000</v>
      </c>
      <c r="K769" s="703"/>
      <c r="L769" s="22">
        <f t="shared" si="24"/>
        <v>191200.000000008</v>
      </c>
      <c r="M769" s="22"/>
      <c r="N769" s="72" t="s">
        <v>93</v>
      </c>
      <c r="O769" s="15"/>
    </row>
    <row r="770" spans="1:15" ht="15.5" x14ac:dyDescent="0.35">
      <c r="A770" s="631">
        <v>27</v>
      </c>
      <c r="B770" s="100" t="s">
        <v>2699</v>
      </c>
      <c r="C770" s="73">
        <v>0.4</v>
      </c>
      <c r="D770" s="1782"/>
      <c r="E770" s="52" t="s">
        <v>2891</v>
      </c>
      <c r="F770" s="32">
        <v>1</v>
      </c>
      <c r="G770" s="6"/>
      <c r="H770" s="6"/>
      <c r="I770" s="20">
        <f t="shared" si="25"/>
        <v>0</v>
      </c>
      <c r="J770" s="616">
        <v>2</v>
      </c>
      <c r="K770" s="703"/>
      <c r="L770" s="22">
        <f t="shared" si="24"/>
        <v>0</v>
      </c>
      <c r="M770" s="22"/>
      <c r="N770" s="72" t="s">
        <v>93</v>
      </c>
      <c r="O770" s="15"/>
    </row>
    <row r="771" spans="1:15" ht="15.5" x14ac:dyDescent="0.35">
      <c r="A771" s="631">
        <v>28</v>
      </c>
      <c r="B771" s="100" t="s">
        <v>2701</v>
      </c>
      <c r="C771" s="73">
        <v>0.4</v>
      </c>
      <c r="D771" s="1783"/>
      <c r="E771" s="52" t="s">
        <v>2892</v>
      </c>
      <c r="F771" s="32">
        <v>1</v>
      </c>
      <c r="G771" s="6">
        <v>152799.9</v>
      </c>
      <c r="H771" s="6">
        <v>153503.20000000001</v>
      </c>
      <c r="I771" s="20">
        <f t="shared" si="25"/>
        <v>703.30000000001746</v>
      </c>
      <c r="J771" s="616">
        <v>2</v>
      </c>
      <c r="K771" s="703"/>
      <c r="L771" s="22">
        <f t="shared" si="24"/>
        <v>1406.6000000000349</v>
      </c>
      <c r="M771" s="22"/>
      <c r="N771" s="72" t="s">
        <v>93</v>
      </c>
      <c r="O771" s="15"/>
    </row>
    <row r="772" spans="1:15" ht="28" x14ac:dyDescent="0.35">
      <c r="A772" s="636"/>
      <c r="B772" s="96"/>
      <c r="C772" s="90"/>
      <c r="D772" s="90"/>
      <c r="E772" s="90"/>
      <c r="F772" s="38"/>
      <c r="G772" s="38"/>
      <c r="H772" s="38"/>
      <c r="I772" s="38"/>
      <c r="J772" s="53" t="s">
        <v>44</v>
      </c>
      <c r="K772" s="43">
        <f>M754</f>
        <v>0</v>
      </c>
      <c r="L772" s="43">
        <f>SUM(L756:L771)</f>
        <v>2177051.0240000598</v>
      </c>
      <c r="M772" s="43">
        <f>SUM(M756:M771)</f>
        <v>0</v>
      </c>
      <c r="N772" s="84">
        <f>(M772-L772)/L772*100</f>
        <v>-100</v>
      </c>
      <c r="O772" s="29"/>
    </row>
    <row r="774" spans="1:15" ht="15" x14ac:dyDescent="0.35">
      <c r="A774" s="620"/>
      <c r="B774" s="635"/>
      <c r="C774" s="632"/>
      <c r="D774" s="720"/>
      <c r="F774" s="2092" t="s">
        <v>1099</v>
      </c>
      <c r="G774" s="2092"/>
      <c r="H774" s="2092"/>
      <c r="I774" s="677" t="s">
        <v>14</v>
      </c>
      <c r="J774" s="620"/>
      <c r="K774" s="702"/>
      <c r="L774" s="620"/>
      <c r="M774" s="620"/>
      <c r="N774" s="632"/>
      <c r="O774" s="620"/>
    </row>
    <row r="775" spans="1:15" ht="15.5" x14ac:dyDescent="0.35">
      <c r="A775" s="620"/>
      <c r="B775" s="635"/>
      <c r="C775" s="632"/>
      <c r="D775" s="720"/>
      <c r="F775" s="2153" t="s">
        <v>232</v>
      </c>
      <c r="G775" s="2154"/>
      <c r="H775" s="2155"/>
      <c r="I775" s="643">
        <f>SUM(M756:M757,M765)</f>
        <v>0</v>
      </c>
      <c r="J775" s="620"/>
      <c r="K775" s="702"/>
      <c r="L775" s="620"/>
      <c r="M775" s="620"/>
      <c r="N775" s="632"/>
      <c r="O775" s="620" t="s">
        <v>237</v>
      </c>
    </row>
    <row r="776" spans="1:15" ht="15.5" x14ac:dyDescent="0.35">
      <c r="A776" s="620"/>
      <c r="B776" s="635"/>
      <c r="C776" s="632"/>
      <c r="D776" s="720"/>
      <c r="F776" s="2153" t="s">
        <v>268</v>
      </c>
      <c r="G776" s="2154"/>
      <c r="H776" s="2155"/>
      <c r="I776" s="643">
        <f>SUM(M763:M764,M766,M768,M769,M771)</f>
        <v>0</v>
      </c>
      <c r="J776" s="620"/>
      <c r="K776" s="702"/>
      <c r="L776" s="620"/>
      <c r="M776" s="620"/>
      <c r="N776" s="632"/>
      <c r="O776" s="620"/>
    </row>
    <row r="777" spans="1:15" ht="16" thickBot="1" x14ac:dyDescent="0.4">
      <c r="A777" s="620"/>
      <c r="B777" s="635"/>
      <c r="C777" s="632"/>
      <c r="D777" s="720"/>
      <c r="F777" s="2153" t="s">
        <v>269</v>
      </c>
      <c r="G777" s="2154"/>
      <c r="H777" s="2155"/>
      <c r="I777" s="643">
        <f>SUM(M767,M770)</f>
        <v>0</v>
      </c>
      <c r="J777" s="620"/>
      <c r="K777" s="702"/>
      <c r="L777" s="620"/>
      <c r="M777" s="620"/>
      <c r="N777" s="632"/>
      <c r="O777" s="620"/>
    </row>
    <row r="778" spans="1:15" ht="20.5" thickBot="1" x14ac:dyDescent="0.4">
      <c r="A778" s="620"/>
      <c r="B778" s="635"/>
      <c r="C778" s="632"/>
      <c r="D778" s="720"/>
      <c r="E778" s="632"/>
      <c r="F778" s="2156" t="s">
        <v>210</v>
      </c>
      <c r="G778" s="2156"/>
      <c r="H778" s="2156"/>
      <c r="I778" s="656">
        <f>SUM(I775:I777)</f>
        <v>0</v>
      </c>
      <c r="J778" s="682">
        <f>I778-M772</f>
        <v>0</v>
      </c>
      <c r="K778" s="702"/>
      <c r="L778" s="620"/>
      <c r="M778" s="620"/>
      <c r="N778" s="632"/>
      <c r="O778" s="620"/>
    </row>
    <row r="781" spans="1:15" x14ac:dyDescent="0.35">
      <c r="A781" s="620"/>
      <c r="B781" s="635"/>
      <c r="C781" s="632"/>
      <c r="D781" s="720"/>
      <c r="E781" s="632"/>
      <c r="F781" s="620"/>
      <c r="G781" s="620"/>
      <c r="H781" s="620"/>
      <c r="I781" s="620"/>
      <c r="J781" s="620"/>
      <c r="K781" s="702"/>
      <c r="L781" s="620"/>
      <c r="M781" s="620"/>
      <c r="N781" s="632"/>
      <c r="O781" s="620"/>
    </row>
    <row r="782" spans="1:15" x14ac:dyDescent="0.35">
      <c r="A782" s="620"/>
      <c r="B782" s="635"/>
      <c r="C782" s="632"/>
      <c r="D782" s="720"/>
      <c r="E782" s="632"/>
      <c r="F782" s="620"/>
      <c r="G782" s="620"/>
      <c r="H782" s="620"/>
      <c r="I782" s="620"/>
      <c r="J782" s="620"/>
      <c r="K782" s="702"/>
      <c r="L782" s="620"/>
      <c r="M782" s="620"/>
      <c r="N782" s="632"/>
      <c r="O782" s="620"/>
    </row>
    <row r="783" spans="1:15" x14ac:dyDescent="0.35">
      <c r="A783" s="620"/>
      <c r="B783" s="635"/>
      <c r="C783" s="632"/>
      <c r="D783" s="720"/>
      <c r="E783" s="632"/>
      <c r="F783" s="620"/>
      <c r="G783" s="620"/>
      <c r="H783" s="620"/>
      <c r="I783" s="620"/>
      <c r="J783" s="620"/>
      <c r="K783" s="702"/>
      <c r="L783" s="620"/>
      <c r="M783" s="620"/>
      <c r="N783" s="632"/>
      <c r="O783" s="620"/>
    </row>
    <row r="784" spans="1:15" x14ac:dyDescent="0.35">
      <c r="A784" s="620"/>
      <c r="B784" s="635"/>
      <c r="C784" s="632"/>
      <c r="D784" s="720"/>
      <c r="E784" s="632"/>
      <c r="F784" s="620"/>
      <c r="G784" s="620"/>
      <c r="H784" s="620"/>
      <c r="I784" s="620"/>
      <c r="J784" s="620"/>
      <c r="K784" s="702"/>
      <c r="L784" s="620"/>
      <c r="M784" s="620"/>
      <c r="N784" s="632"/>
      <c r="O784" s="620"/>
    </row>
    <row r="785" spans="1:15" x14ac:dyDescent="0.35">
      <c r="A785" s="620"/>
      <c r="B785" s="635"/>
      <c r="C785" s="632"/>
      <c r="D785" s="720"/>
      <c r="E785" s="632"/>
      <c r="F785" s="620"/>
      <c r="G785" s="620"/>
      <c r="H785" s="620"/>
      <c r="I785" s="620"/>
      <c r="J785" s="620"/>
      <c r="K785" s="702"/>
      <c r="L785" s="620"/>
      <c r="M785" s="620"/>
      <c r="N785" s="632"/>
      <c r="O785" s="620"/>
    </row>
    <row r="786" spans="1:15" x14ac:dyDescent="0.35">
      <c r="A786" s="620"/>
      <c r="B786" s="632"/>
      <c r="C786" s="632"/>
      <c r="D786" s="720"/>
      <c r="E786" s="632"/>
      <c r="F786" s="620"/>
      <c r="G786" s="620"/>
      <c r="H786" s="620"/>
      <c r="I786" s="620"/>
      <c r="J786" s="620"/>
      <c r="K786" s="702"/>
      <c r="L786" s="620"/>
      <c r="M786" s="620"/>
      <c r="N786" s="632"/>
      <c r="O786" s="620"/>
    </row>
    <row r="787" spans="1:15" x14ac:dyDescent="0.35">
      <c r="A787" s="620"/>
      <c r="B787" s="632"/>
      <c r="C787" s="632"/>
      <c r="D787" s="720"/>
      <c r="E787" s="632"/>
      <c r="F787" s="620"/>
      <c r="G787" s="620"/>
      <c r="H787" s="620"/>
      <c r="I787" s="620"/>
      <c r="J787" s="620"/>
      <c r="K787" s="702"/>
      <c r="L787" s="620"/>
      <c r="M787" s="620"/>
      <c r="N787" s="632"/>
      <c r="O787" s="620"/>
    </row>
    <row r="788" spans="1:15" x14ac:dyDescent="0.35">
      <c r="A788" s="620"/>
      <c r="B788" s="635"/>
      <c r="C788" s="632"/>
      <c r="D788" s="720"/>
      <c r="E788" s="632"/>
      <c r="F788" s="620"/>
      <c r="G788" s="620"/>
      <c r="H788" s="620"/>
      <c r="I788" s="620"/>
      <c r="J788" s="620"/>
      <c r="K788" s="702"/>
      <c r="L788" s="620"/>
      <c r="M788" s="620"/>
      <c r="N788" s="632"/>
      <c r="O788" s="620"/>
    </row>
    <row r="789" spans="1:15" x14ac:dyDescent="0.35">
      <c r="A789" s="620"/>
      <c r="B789" s="635"/>
      <c r="C789" s="632"/>
      <c r="D789" s="720"/>
      <c r="E789" s="632"/>
      <c r="F789" s="620"/>
      <c r="G789" s="620"/>
      <c r="H789" s="620"/>
      <c r="I789" s="620"/>
      <c r="J789" s="620"/>
      <c r="K789" s="702"/>
      <c r="L789" s="620"/>
      <c r="M789" s="620"/>
      <c r="N789" s="632"/>
      <c r="O789" s="620"/>
    </row>
    <row r="790" spans="1:15" x14ac:dyDescent="0.35">
      <c r="A790" s="620"/>
      <c r="B790" s="635"/>
      <c r="C790" s="632"/>
      <c r="D790" s="720"/>
      <c r="E790" s="632"/>
      <c r="F790" s="620"/>
      <c r="G790" s="620"/>
      <c r="H790" s="620"/>
      <c r="I790" s="620"/>
      <c r="J790" s="620"/>
      <c r="K790" s="702"/>
      <c r="L790" s="620"/>
      <c r="M790" s="620"/>
      <c r="N790" s="632"/>
      <c r="O790" s="620"/>
    </row>
    <row r="791" spans="1:15" ht="25" x14ac:dyDescent="0.35">
      <c r="A791" s="28"/>
      <c r="B791" s="2152"/>
      <c r="C791" s="2152"/>
      <c r="D791" s="2152"/>
      <c r="E791" s="2152"/>
      <c r="F791" s="2152"/>
      <c r="G791" s="2152"/>
      <c r="H791" s="2152"/>
      <c r="I791" s="2152"/>
      <c r="J791" s="2152"/>
      <c r="K791" s="2152"/>
      <c r="L791" s="2152"/>
      <c r="M791" s="2152"/>
      <c r="N791" s="632"/>
      <c r="O791" s="620"/>
    </row>
    <row r="792" spans="1:15" x14ac:dyDescent="0.35">
      <c r="A792" s="620"/>
      <c r="B792" s="635"/>
      <c r="C792" s="632"/>
      <c r="D792" s="720"/>
      <c r="E792" s="632"/>
      <c r="F792" s="620"/>
      <c r="G792" s="620"/>
      <c r="H792" s="620"/>
      <c r="I792" s="620"/>
      <c r="J792" s="620"/>
      <c r="K792" s="702"/>
      <c r="L792" s="620"/>
      <c r="M792" s="620"/>
      <c r="N792" s="632"/>
      <c r="O792" s="620"/>
    </row>
    <row r="793" spans="1:15" x14ac:dyDescent="0.35">
      <c r="A793" s="620"/>
      <c r="B793" s="635"/>
      <c r="C793" s="632"/>
      <c r="D793" s="720"/>
      <c r="E793" s="632"/>
      <c r="F793" s="620"/>
      <c r="G793" s="620"/>
      <c r="H793" s="620"/>
      <c r="I793" s="620"/>
      <c r="J793" s="620"/>
      <c r="K793" s="702"/>
      <c r="L793" s="620"/>
      <c r="M793" s="620"/>
      <c r="N793" s="632"/>
      <c r="O793" s="620"/>
    </row>
    <row r="794" spans="1:15" ht="25" x14ac:dyDescent="0.35">
      <c r="A794" s="2095" t="s">
        <v>1313</v>
      </c>
      <c r="B794" s="2095"/>
      <c r="C794" s="2095"/>
      <c r="D794" s="2095"/>
      <c r="E794" s="2095"/>
      <c r="F794" s="2095"/>
      <c r="G794" s="2095"/>
      <c r="H794" s="2095"/>
      <c r="I794" s="2095"/>
      <c r="J794" s="2095"/>
      <c r="K794" s="2095"/>
      <c r="L794" s="2095"/>
      <c r="M794" s="2095"/>
      <c r="N794" s="2095"/>
      <c r="O794" s="756" t="e">
        <f>$O$6</f>
        <v>#REF!</v>
      </c>
    </row>
    <row r="795" spans="1:15" ht="15.5" x14ac:dyDescent="0.35">
      <c r="A795" s="2096" t="s">
        <v>0</v>
      </c>
      <c r="B795" s="2098" t="s">
        <v>1</v>
      </c>
      <c r="C795" s="2100" t="s">
        <v>2</v>
      </c>
      <c r="D795" s="2101"/>
      <c r="E795" s="2102"/>
      <c r="F795" s="2103" t="s">
        <v>3</v>
      </c>
      <c r="G795" s="2100" t="s">
        <v>4</v>
      </c>
      <c r="H795" s="2102"/>
      <c r="I795" s="2085"/>
      <c r="J795" s="2103" t="s">
        <v>5</v>
      </c>
      <c r="K795" s="2100" t="s">
        <v>6</v>
      </c>
      <c r="L795" s="2085"/>
      <c r="M795" s="97" t="s">
        <v>32</v>
      </c>
      <c r="N795" s="98"/>
      <c r="O795" s="2084" t="s">
        <v>7</v>
      </c>
    </row>
    <row r="796" spans="1:15" ht="15.5" x14ac:dyDescent="0.35">
      <c r="A796" s="2097"/>
      <c r="B796" s="2099"/>
      <c r="C796" s="2086" t="s">
        <v>1108</v>
      </c>
      <c r="D796" s="2087"/>
      <c r="E796" s="87" t="s">
        <v>9</v>
      </c>
      <c r="F796" s="2097"/>
      <c r="G796" s="2">
        <f>'NORTH-1'!$G$8</f>
        <v>44774</v>
      </c>
      <c r="H796" s="2">
        <f>'NORTH-1'!$H$8</f>
        <v>44805</v>
      </c>
      <c r="I796" s="1" t="s">
        <v>10</v>
      </c>
      <c r="J796" s="2097"/>
      <c r="K796" s="1" t="s">
        <v>11</v>
      </c>
      <c r="L796" s="1" t="s">
        <v>12</v>
      </c>
      <c r="M796" s="617" t="s">
        <v>33</v>
      </c>
      <c r="N796" s="76" t="s">
        <v>47</v>
      </c>
      <c r="O796" s="2085"/>
    </row>
    <row r="797" spans="1:15" ht="15.5" x14ac:dyDescent="0.35">
      <c r="A797" s="3">
        <v>1</v>
      </c>
      <c r="B797" s="88">
        <v>2</v>
      </c>
      <c r="C797" s="2088">
        <v>4</v>
      </c>
      <c r="D797" s="2089"/>
      <c r="E797" s="88">
        <v>5</v>
      </c>
      <c r="F797" s="3">
        <v>7</v>
      </c>
      <c r="G797" s="3">
        <v>8</v>
      </c>
      <c r="H797" s="3">
        <v>9</v>
      </c>
      <c r="I797" s="3" t="s">
        <v>13</v>
      </c>
      <c r="J797" s="3">
        <v>11</v>
      </c>
      <c r="K797" s="3" t="s">
        <v>19</v>
      </c>
      <c r="L797" s="3" t="s">
        <v>20</v>
      </c>
      <c r="M797" s="3">
        <v>14</v>
      </c>
      <c r="N797" s="77">
        <v>15</v>
      </c>
      <c r="O797" s="3">
        <v>16</v>
      </c>
    </row>
    <row r="798" spans="1:15" ht="15.5" x14ac:dyDescent="0.35">
      <c r="A798" s="631"/>
      <c r="B798" s="624" t="s">
        <v>1100</v>
      </c>
      <c r="C798" s="625"/>
      <c r="D798" s="625"/>
      <c r="E798" s="625"/>
      <c r="F798" s="625"/>
      <c r="G798" s="625"/>
      <c r="H798" s="625"/>
      <c r="I798" s="625"/>
      <c r="J798" s="625"/>
      <c r="K798" s="695"/>
      <c r="L798" s="625"/>
      <c r="M798" s="626"/>
      <c r="N798" s="627"/>
      <c r="O798" s="616"/>
    </row>
    <row r="799" spans="1:15" ht="15.5" x14ac:dyDescent="0.35">
      <c r="A799" s="11">
        <v>1</v>
      </c>
      <c r="B799" s="100" t="s">
        <v>2893</v>
      </c>
      <c r="C799" s="52">
        <v>33</v>
      </c>
      <c r="D799" s="2105" t="s">
        <v>339</v>
      </c>
      <c r="E799" s="52" t="s">
        <v>2788</v>
      </c>
      <c r="F799" s="4">
        <v>1</v>
      </c>
      <c r="G799" s="21">
        <v>2613.5</v>
      </c>
      <c r="H799" s="21">
        <v>2613.5</v>
      </c>
      <c r="I799" s="21">
        <f>H799-G799</f>
        <v>0</v>
      </c>
      <c r="J799" s="616">
        <v>180000</v>
      </c>
      <c r="K799" s="696">
        <f>F799*I799*J799</f>
        <v>0</v>
      </c>
      <c r="L799" s="22"/>
      <c r="M799" s="22"/>
      <c r="N799" s="82"/>
      <c r="O799" s="9" t="s">
        <v>2628</v>
      </c>
    </row>
    <row r="800" spans="1:15" ht="15.5" x14ac:dyDescent="0.35">
      <c r="A800" s="631">
        <v>2</v>
      </c>
      <c r="B800" s="100" t="s">
        <v>2894</v>
      </c>
      <c r="C800" s="52">
        <v>33</v>
      </c>
      <c r="D800" s="2151" t="s">
        <v>339</v>
      </c>
      <c r="E800" s="52">
        <v>6604328</v>
      </c>
      <c r="F800" s="4">
        <v>1</v>
      </c>
      <c r="G800" s="21">
        <v>0</v>
      </c>
      <c r="H800" s="21">
        <v>0</v>
      </c>
      <c r="I800" s="21">
        <f>H800-G800</f>
        <v>0</v>
      </c>
      <c r="J800" s="616">
        <v>180000</v>
      </c>
      <c r="K800" s="696">
        <f>F800*I800*J800</f>
        <v>0</v>
      </c>
      <c r="L800" s="22"/>
      <c r="M800" s="22"/>
      <c r="N800" s="82"/>
      <c r="O800" s="616" t="e">
        <f>(#REF!-#REF!)/#REF!*100</f>
        <v>#REF!</v>
      </c>
    </row>
    <row r="801" spans="1:15" ht="15.5" x14ac:dyDescent="0.35">
      <c r="A801" s="631"/>
      <c r="B801" s="102"/>
      <c r="C801" s="91"/>
      <c r="D801" s="726"/>
      <c r="E801" s="91"/>
      <c r="F801" s="47"/>
      <c r="G801" s="48"/>
      <c r="H801" s="48"/>
      <c r="I801" s="48"/>
      <c r="J801" s="96" t="s">
        <v>30</v>
      </c>
      <c r="K801" s="43">
        <f>SUM(K799:K800)</f>
        <v>0</v>
      </c>
      <c r="L801" s="43">
        <f>SUM(L799:L800)</f>
        <v>0</v>
      </c>
      <c r="M801" s="43">
        <f>SUM(M799:M800)</f>
        <v>0</v>
      </c>
      <c r="N801" s="646" t="e">
        <f>(M801-L801)/L801*100</f>
        <v>#DIV/0!</v>
      </c>
      <c r="O801" s="616"/>
    </row>
    <row r="802" spans="1:15" ht="15.5" x14ac:dyDescent="0.35">
      <c r="A802" s="616"/>
      <c r="B802" s="624" t="s">
        <v>1113</v>
      </c>
      <c r="C802" s="625"/>
      <c r="D802" s="625"/>
      <c r="E802" s="625"/>
      <c r="F802" s="625"/>
      <c r="G802" s="625"/>
      <c r="H802" s="625"/>
      <c r="I802" s="625"/>
      <c r="J802" s="732"/>
      <c r="K802" s="733"/>
      <c r="L802" s="734"/>
      <c r="M802" s="734"/>
      <c r="N802" s="627"/>
      <c r="O802" s="12"/>
    </row>
    <row r="803" spans="1:15" ht="15.5" x14ac:dyDescent="0.35">
      <c r="A803" s="616">
        <v>2</v>
      </c>
      <c r="B803" s="100" t="s">
        <v>2848</v>
      </c>
      <c r="C803" s="52">
        <v>33</v>
      </c>
      <c r="D803" s="1770" t="s">
        <v>339</v>
      </c>
      <c r="E803" s="52" t="s">
        <v>2895</v>
      </c>
      <c r="F803" s="4">
        <v>1</v>
      </c>
      <c r="G803" s="21">
        <v>98077600</v>
      </c>
      <c r="H803" s="21">
        <v>99790800</v>
      </c>
      <c r="I803" s="20">
        <f>H803-G803</f>
        <v>1713200</v>
      </c>
      <c r="J803" s="616">
        <v>1</v>
      </c>
      <c r="K803" s="696">
        <f>F803*I803*J803</f>
        <v>1713200</v>
      </c>
      <c r="L803" s="22"/>
      <c r="M803" s="22"/>
      <c r="N803" s="82"/>
      <c r="O803" s="12"/>
    </row>
    <row r="804" spans="1:15" ht="15.5" x14ac:dyDescent="0.35">
      <c r="A804" s="616">
        <v>5</v>
      </c>
      <c r="B804" s="100" t="s">
        <v>2852</v>
      </c>
      <c r="C804" s="52">
        <v>33</v>
      </c>
      <c r="D804" s="1771" t="s">
        <v>339</v>
      </c>
      <c r="E804" s="52" t="s">
        <v>2896</v>
      </c>
      <c r="F804" s="4">
        <v>1</v>
      </c>
      <c r="G804" s="21">
        <v>191940600</v>
      </c>
      <c r="H804" s="21">
        <v>196611700</v>
      </c>
      <c r="I804" s="20">
        <f>H804-G804</f>
        <v>4671100</v>
      </c>
      <c r="J804" s="616">
        <v>1</v>
      </c>
      <c r="K804" s="696">
        <f>F804*I804*J804</f>
        <v>4671100</v>
      </c>
      <c r="L804" s="22"/>
      <c r="M804" s="22"/>
      <c r="N804" s="82"/>
      <c r="O804" s="12"/>
    </row>
    <row r="805" spans="1:15" ht="15.5" x14ac:dyDescent="0.35">
      <c r="A805" s="616"/>
      <c r="B805" s="102"/>
      <c r="C805" s="91"/>
      <c r="D805" s="726"/>
      <c r="E805" s="91"/>
      <c r="F805" s="47"/>
      <c r="G805" s="48"/>
      <c r="H805" s="48"/>
      <c r="I805" s="36"/>
      <c r="J805" s="96" t="s">
        <v>30</v>
      </c>
      <c r="K805" s="43">
        <f>SUM(K803:K804)</f>
        <v>6384300</v>
      </c>
      <c r="L805" s="43">
        <f>SUM(L803:L804)</f>
        <v>0</v>
      </c>
      <c r="M805" s="43">
        <f>SUM(M803:M804)</f>
        <v>0</v>
      </c>
      <c r="N805" s="85"/>
      <c r="O805" s="12"/>
    </row>
    <row r="806" spans="1:15" ht="15.5" x14ac:dyDescent="0.35">
      <c r="A806" s="616"/>
      <c r="B806" s="647" t="s">
        <v>1114</v>
      </c>
      <c r="C806" s="648"/>
      <c r="D806" s="648"/>
      <c r="E806" s="648"/>
      <c r="F806" s="648"/>
      <c r="G806" s="648"/>
      <c r="H806" s="648"/>
      <c r="I806" s="648"/>
      <c r="J806" s="648"/>
      <c r="K806" s="700"/>
      <c r="L806" s="648"/>
      <c r="M806" s="651"/>
      <c r="N806" s="649"/>
      <c r="O806" s="8"/>
    </row>
    <row r="807" spans="1:15" ht="15.5" x14ac:dyDescent="0.35">
      <c r="A807" s="616"/>
      <c r="B807" s="100" t="s">
        <v>1079</v>
      </c>
      <c r="C807" s="52">
        <v>132</v>
      </c>
      <c r="D807" s="2138" t="s">
        <v>1083</v>
      </c>
      <c r="E807" s="615"/>
      <c r="F807" s="4"/>
      <c r="G807" s="5"/>
      <c r="H807" s="5"/>
      <c r="I807" s="5"/>
      <c r="J807" s="616"/>
      <c r="K807" s="696"/>
      <c r="L807" s="16">
        <f>J807*I807*F807</f>
        <v>0</v>
      </c>
      <c r="M807" s="7"/>
      <c r="N807" s="78"/>
      <c r="O807" s="616"/>
    </row>
    <row r="808" spans="1:15" ht="15.5" x14ac:dyDescent="0.35">
      <c r="A808" s="616"/>
      <c r="B808" s="100" t="s">
        <v>1078</v>
      </c>
      <c r="C808" s="52">
        <v>132</v>
      </c>
      <c r="D808" s="2139"/>
      <c r="E808" s="615"/>
      <c r="F808" s="4"/>
      <c r="G808" s="5"/>
      <c r="H808" s="5"/>
      <c r="I808" s="5"/>
      <c r="J808" s="616"/>
      <c r="K808" s="696"/>
      <c r="L808" s="16">
        <f>J808*I808*F808</f>
        <v>0</v>
      </c>
      <c r="M808" s="16"/>
      <c r="N808" s="79"/>
      <c r="O808" s="616"/>
    </row>
    <row r="809" spans="1:15" ht="15.5" x14ac:dyDescent="0.35">
      <c r="A809" s="616"/>
      <c r="B809" s="95"/>
      <c r="C809" s="89"/>
      <c r="D809" s="89"/>
      <c r="E809" s="89"/>
      <c r="F809" s="37"/>
      <c r="G809" s="37"/>
      <c r="H809" s="37"/>
      <c r="I809" s="37"/>
      <c r="J809" s="95" t="s">
        <v>279</v>
      </c>
      <c r="K809" s="699"/>
      <c r="L809" s="55">
        <f>SUM(L807:L808)</f>
        <v>0</v>
      </c>
      <c r="M809" s="633"/>
      <c r="N809" s="634"/>
      <c r="O809" s="616"/>
    </row>
    <row r="810" spans="1:15" ht="15.5" x14ac:dyDescent="0.35">
      <c r="A810" s="616"/>
      <c r="B810" s="102"/>
      <c r="C810" s="91"/>
      <c r="D810" s="726"/>
      <c r="E810" s="91"/>
      <c r="F810" s="47"/>
      <c r="G810" s="48"/>
      <c r="H810" s="48"/>
      <c r="I810" s="36"/>
      <c r="J810" s="96"/>
      <c r="K810" s="706"/>
      <c r="L810" s="43"/>
      <c r="M810" s="43"/>
      <c r="N810" s="85"/>
      <c r="O810" s="12"/>
    </row>
    <row r="811" spans="1:15" ht="15.5" x14ac:dyDescent="0.35">
      <c r="A811" s="636"/>
      <c r="B811" s="647" t="s">
        <v>1110</v>
      </c>
      <c r="C811" s="648"/>
      <c r="D811" s="648"/>
      <c r="E811" s="648"/>
      <c r="F811" s="648"/>
      <c r="G811" s="648"/>
      <c r="H811" s="648"/>
      <c r="I811" s="648"/>
      <c r="J811" s="50"/>
      <c r="K811" s="710"/>
      <c r="L811" s="51"/>
      <c r="M811" s="51"/>
      <c r="N811" s="649"/>
      <c r="O811" s="12"/>
    </row>
    <row r="812" spans="1:15" ht="30" x14ac:dyDescent="0.35">
      <c r="A812" s="616">
        <v>3</v>
      </c>
      <c r="B812" s="100" t="s">
        <v>2897</v>
      </c>
      <c r="C812" s="52">
        <v>33</v>
      </c>
      <c r="D812" s="1774" t="s">
        <v>326</v>
      </c>
      <c r="E812" s="52" t="s">
        <v>2898</v>
      </c>
      <c r="F812" s="4">
        <v>1</v>
      </c>
      <c r="G812" s="21">
        <v>105122800</v>
      </c>
      <c r="H812" s="21">
        <v>106849200</v>
      </c>
      <c r="I812" s="21">
        <f>H812-G812</f>
        <v>1726400</v>
      </c>
      <c r="J812" s="31">
        <v>1</v>
      </c>
      <c r="K812" s="707"/>
      <c r="L812" s="22">
        <f>F812*I812*J812</f>
        <v>1726400</v>
      </c>
      <c r="M812" s="22"/>
      <c r="N812" s="83"/>
      <c r="O812" s="12" t="s">
        <v>2570</v>
      </c>
    </row>
    <row r="813" spans="1:15" ht="30" x14ac:dyDescent="0.35">
      <c r="A813" s="616">
        <v>4</v>
      </c>
      <c r="B813" s="100" t="s">
        <v>2899</v>
      </c>
      <c r="C813" s="52">
        <v>33</v>
      </c>
      <c r="D813" s="1776" t="s">
        <v>326</v>
      </c>
      <c r="E813" s="52" t="s">
        <v>2900</v>
      </c>
      <c r="F813" s="4">
        <v>1</v>
      </c>
      <c r="G813" s="21">
        <v>189429000</v>
      </c>
      <c r="H813" s="21">
        <v>194104200</v>
      </c>
      <c r="I813" s="21">
        <f>H813-G813</f>
        <v>4675200</v>
      </c>
      <c r="J813" s="31">
        <v>1</v>
      </c>
      <c r="K813" s="707"/>
      <c r="L813" s="22">
        <f>F813*I813*J813</f>
        <v>4675200</v>
      </c>
      <c r="M813" s="22"/>
      <c r="N813" s="83"/>
      <c r="O813" s="12" t="e">
        <f>(K816-L831)/K816*100</f>
        <v>#VALUE!</v>
      </c>
    </row>
    <row r="814" spans="1:15" ht="15" x14ac:dyDescent="0.35">
      <c r="A814" s="636"/>
      <c r="B814" s="96"/>
      <c r="C814" s="90"/>
      <c r="D814" s="90"/>
      <c r="E814" s="90"/>
      <c r="F814" s="38"/>
      <c r="G814" s="38"/>
      <c r="H814" s="38"/>
      <c r="I814" s="38"/>
      <c r="J814" s="96" t="s">
        <v>30</v>
      </c>
      <c r="K814" s="708"/>
      <c r="L814" s="43">
        <f>SUM(L812:L813)</f>
        <v>6401600</v>
      </c>
      <c r="M814" s="43">
        <f>SUM(M812:M813)</f>
        <v>0</v>
      </c>
      <c r="N814" s="650">
        <f>(M814-L814)/L814*100</f>
        <v>-100</v>
      </c>
      <c r="O814" s="12"/>
    </row>
    <row r="815" spans="1:15" ht="15.5" thickBot="1" x14ac:dyDescent="0.4">
      <c r="A815" s="702"/>
      <c r="B815" s="736"/>
      <c r="C815" s="92"/>
      <c r="D815" s="92"/>
      <c r="E815" s="92"/>
      <c r="F815" s="737"/>
      <c r="G815" s="737"/>
      <c r="H815" s="737"/>
      <c r="I815" s="737"/>
      <c r="J815" s="736"/>
      <c r="K815" s="738"/>
      <c r="L815" s="739"/>
      <c r="M815" s="739"/>
      <c r="N815" s="646"/>
      <c r="O815" s="740"/>
    </row>
    <row r="816" spans="1:15" ht="15" x14ac:dyDescent="0.35">
      <c r="A816" s="702"/>
      <c r="B816" s="2142" t="s">
        <v>1090</v>
      </c>
      <c r="C816" s="2143"/>
      <c r="D816" s="683" t="s">
        <v>14</v>
      </c>
      <c r="F816" s="2144" t="s">
        <v>1091</v>
      </c>
      <c r="G816" s="2145"/>
      <c r="H816" s="2146"/>
      <c r="I816" s="683" t="s">
        <v>14</v>
      </c>
      <c r="J816" s="620"/>
      <c r="K816" s="2147" t="s">
        <v>1092</v>
      </c>
      <c r="L816" s="2148"/>
      <c r="M816" s="684" t="s">
        <v>14</v>
      </c>
      <c r="N816" s="646"/>
      <c r="O816" s="740"/>
    </row>
    <row r="817" spans="1:15" ht="15" x14ac:dyDescent="0.35">
      <c r="A817" s="702"/>
      <c r="B817" s="2122" t="str">
        <f>B798</f>
        <v>MOGBAZAR 33 KV SIDE</v>
      </c>
      <c r="C817" s="2123"/>
      <c r="D817" s="689">
        <f>K801</f>
        <v>0</v>
      </c>
      <c r="F817" s="2124" t="s">
        <v>1093</v>
      </c>
      <c r="G817" s="2125"/>
      <c r="H817" s="2126"/>
      <c r="I817" s="685">
        <f>L809</f>
        <v>0</v>
      </c>
      <c r="J817" s="620"/>
      <c r="K817" s="2160" t="str">
        <f>F818</f>
        <v>MOGBAZAR T&amp;T 33 KV NET IMPORT</v>
      </c>
      <c r="L817" s="2161"/>
      <c r="M817" s="687">
        <f>I818</f>
        <v>0</v>
      </c>
      <c r="N817" s="646"/>
      <c r="O817" s="740"/>
    </row>
    <row r="818" spans="1:15" ht="15" x14ac:dyDescent="0.35">
      <c r="A818" s="702"/>
      <c r="B818" s="2122" t="s">
        <v>1116</v>
      </c>
      <c r="C818" s="2123"/>
      <c r="D818" s="741"/>
      <c r="F818" s="2124" t="s">
        <v>1119</v>
      </c>
      <c r="G818" s="2125"/>
      <c r="H818" s="2126"/>
      <c r="I818" s="685">
        <f>D821-I817</f>
        <v>0</v>
      </c>
      <c r="J818" s="620"/>
      <c r="K818" s="2162" t="s">
        <v>1120</v>
      </c>
      <c r="L818" s="2163"/>
      <c r="M818" s="685">
        <f>M846</f>
        <v>0</v>
      </c>
      <c r="N818" s="646"/>
      <c r="O818" s="740"/>
    </row>
    <row r="819" spans="1:15" ht="15" x14ac:dyDescent="0.35">
      <c r="A819" s="702"/>
      <c r="B819" s="2122" t="s">
        <v>1117</v>
      </c>
      <c r="C819" s="2123"/>
      <c r="D819" s="721"/>
      <c r="F819" s="2124" t="s">
        <v>1089</v>
      </c>
      <c r="G819" s="2125"/>
      <c r="H819" s="2126"/>
      <c r="I819" s="685">
        <f>I817+I818</f>
        <v>0</v>
      </c>
      <c r="J819" s="620"/>
      <c r="K819" s="2127" t="s">
        <v>284</v>
      </c>
      <c r="L819" s="2128"/>
      <c r="M819" s="685">
        <f>M817-M818</f>
        <v>0</v>
      </c>
      <c r="N819" s="646"/>
      <c r="O819" s="740"/>
    </row>
    <row r="820" spans="1:15" ht="16" thickBot="1" x14ac:dyDescent="0.4">
      <c r="A820" s="702"/>
      <c r="B820" s="2122" t="s">
        <v>1118</v>
      </c>
      <c r="C820" s="2123"/>
      <c r="D820" s="722"/>
      <c r="F820" s="2113" t="s">
        <v>1102</v>
      </c>
      <c r="G820" s="2114"/>
      <c r="H820" s="2115"/>
      <c r="I820" s="690" t="e">
        <f>(D821-I819)/I819</f>
        <v>#DIV/0!</v>
      </c>
      <c r="J820" s="620"/>
      <c r="K820" s="2134" t="s">
        <v>285</v>
      </c>
      <c r="L820" s="2135"/>
      <c r="M820" s="688" t="e">
        <f>M819/M817</f>
        <v>#DIV/0!</v>
      </c>
      <c r="N820" s="646"/>
      <c r="O820" s="740"/>
    </row>
    <row r="821" spans="1:15" ht="15.5" thickBot="1" x14ac:dyDescent="0.4">
      <c r="A821" s="702"/>
      <c r="B821" s="2158" t="s">
        <v>1082</v>
      </c>
      <c r="C821" s="2159"/>
      <c r="D821" s="686">
        <f>SUM(D817:D819)</f>
        <v>0</v>
      </c>
      <c r="F821" s="620"/>
      <c r="G821" s="620"/>
      <c r="H821" s="620"/>
      <c r="I821" s="620"/>
      <c r="J821" s="620"/>
      <c r="K821" s="702"/>
      <c r="L821" s="620"/>
      <c r="M821" s="620"/>
      <c r="N821" s="646"/>
      <c r="O821" s="740"/>
    </row>
    <row r="822" spans="1:15" ht="15" x14ac:dyDescent="0.35">
      <c r="A822" s="702"/>
      <c r="B822" s="736"/>
      <c r="C822" s="92"/>
      <c r="D822" s="92"/>
      <c r="E822" s="92"/>
      <c r="F822" s="737"/>
      <c r="G822" s="737"/>
      <c r="H822" s="737"/>
      <c r="I822" s="737"/>
      <c r="J822" s="736"/>
      <c r="K822" s="738"/>
      <c r="L822" s="739"/>
      <c r="M822" s="739"/>
      <c r="N822" s="646"/>
      <c r="O822" s="740"/>
    </row>
    <row r="823" spans="1:15" x14ac:dyDescent="0.35">
      <c r="A823" s="620"/>
      <c r="B823" s="632"/>
      <c r="C823" s="620"/>
      <c r="D823" s="728"/>
      <c r="E823" s="620"/>
      <c r="F823" s="620"/>
      <c r="G823" s="620"/>
      <c r="H823" s="620"/>
      <c r="I823" s="620"/>
      <c r="J823" s="620"/>
      <c r="K823" s="702"/>
      <c r="L823" s="620"/>
      <c r="M823" s="620"/>
      <c r="N823" s="620"/>
      <c r="O823" s="620"/>
    </row>
    <row r="824" spans="1:15" x14ac:dyDescent="0.35">
      <c r="A824" s="620"/>
      <c r="B824" s="632"/>
      <c r="C824" s="620"/>
      <c r="D824" s="728"/>
      <c r="E824" s="620"/>
      <c r="F824" s="620"/>
      <c r="G824" s="620"/>
      <c r="H824" s="620"/>
      <c r="I824" s="620"/>
      <c r="J824" s="620"/>
      <c r="K824" s="702"/>
      <c r="L824" s="620"/>
      <c r="M824" s="620"/>
      <c r="N824" s="620"/>
      <c r="O824" s="620"/>
    </row>
    <row r="825" spans="1:15" ht="25" x14ac:dyDescent="0.35">
      <c r="A825" s="2095" t="s">
        <v>1314</v>
      </c>
      <c r="B825" s="2095"/>
      <c r="C825" s="2095"/>
      <c r="D825" s="2095"/>
      <c r="E825" s="2095"/>
      <c r="F825" s="2095"/>
      <c r="G825" s="2095"/>
      <c r="H825" s="2095"/>
      <c r="I825" s="2095"/>
      <c r="J825" s="2095"/>
      <c r="K825" s="2095"/>
      <c r="L825" s="2095"/>
      <c r="M825" s="2095"/>
      <c r="N825" s="2095"/>
      <c r="O825" s="756" t="e">
        <f>$O$6</f>
        <v>#REF!</v>
      </c>
    </row>
    <row r="826" spans="1:15" ht="15.5" x14ac:dyDescent="0.35">
      <c r="A826" s="2096" t="s">
        <v>0</v>
      </c>
      <c r="B826" s="2098" t="s">
        <v>1</v>
      </c>
      <c r="C826" s="2100" t="s">
        <v>2</v>
      </c>
      <c r="D826" s="2101"/>
      <c r="E826" s="2102"/>
      <c r="F826" s="2103" t="s">
        <v>3</v>
      </c>
      <c r="G826" s="2100" t="s">
        <v>4</v>
      </c>
      <c r="H826" s="2102"/>
      <c r="I826" s="2085"/>
      <c r="J826" s="2103" t="s">
        <v>5</v>
      </c>
      <c r="K826" s="2100" t="s">
        <v>6</v>
      </c>
      <c r="L826" s="2085"/>
      <c r="M826" s="97" t="s">
        <v>32</v>
      </c>
      <c r="N826" s="98"/>
      <c r="O826" s="2084" t="s">
        <v>7</v>
      </c>
    </row>
    <row r="827" spans="1:15" ht="15.5" x14ac:dyDescent="0.35">
      <c r="A827" s="2097"/>
      <c r="B827" s="2099"/>
      <c r="C827" s="2086" t="s">
        <v>1108</v>
      </c>
      <c r="D827" s="2087"/>
      <c r="E827" s="87" t="s">
        <v>9</v>
      </c>
      <c r="F827" s="2097"/>
      <c r="G827" s="2">
        <f>'NORTH-1'!$G$8</f>
        <v>44774</v>
      </c>
      <c r="H827" s="2">
        <f>'NORTH-1'!$H$8</f>
        <v>44805</v>
      </c>
      <c r="I827" s="1" t="s">
        <v>10</v>
      </c>
      <c r="J827" s="2097"/>
      <c r="K827" s="1" t="s">
        <v>11</v>
      </c>
      <c r="L827" s="1" t="s">
        <v>12</v>
      </c>
      <c r="M827" s="617" t="s">
        <v>33</v>
      </c>
      <c r="N827" s="76" t="s">
        <v>47</v>
      </c>
      <c r="O827" s="2085"/>
    </row>
    <row r="828" spans="1:15" ht="15.5" x14ac:dyDescent="0.35">
      <c r="A828" s="3">
        <v>1</v>
      </c>
      <c r="B828" s="88">
        <v>2</v>
      </c>
      <c r="C828" s="2088">
        <v>4</v>
      </c>
      <c r="D828" s="2089"/>
      <c r="E828" s="88">
        <v>5</v>
      </c>
      <c r="F828" s="3">
        <v>7</v>
      </c>
      <c r="G828" s="3">
        <v>8</v>
      </c>
      <c r="H828" s="3">
        <v>9</v>
      </c>
      <c r="I828" s="3" t="s">
        <v>13</v>
      </c>
      <c r="J828" s="3">
        <v>11</v>
      </c>
      <c r="K828" s="3" t="s">
        <v>19</v>
      </c>
      <c r="L828" s="3" t="s">
        <v>20</v>
      </c>
      <c r="M828" s="3">
        <v>14</v>
      </c>
      <c r="N828" s="77">
        <v>15</v>
      </c>
      <c r="O828" s="3">
        <v>16</v>
      </c>
    </row>
    <row r="829" spans="1:15" ht="15.5" x14ac:dyDescent="0.35">
      <c r="A829" s="631"/>
      <c r="B829" s="624" t="s">
        <v>1121</v>
      </c>
      <c r="C829" s="625"/>
      <c r="D829" s="625"/>
      <c r="E829" s="625"/>
      <c r="F829" s="625"/>
      <c r="G829" s="625"/>
      <c r="H829" s="625"/>
      <c r="I829" s="625"/>
      <c r="J829" s="625"/>
      <c r="K829" s="695"/>
      <c r="L829" s="625"/>
      <c r="M829" s="626"/>
      <c r="N829" s="627"/>
      <c r="O829" s="616"/>
    </row>
    <row r="830" spans="1:15" ht="15.5" x14ac:dyDescent="0.35">
      <c r="A830" s="631">
        <v>6</v>
      </c>
      <c r="B830" s="100" t="s">
        <v>2901</v>
      </c>
      <c r="C830" s="52">
        <v>11</v>
      </c>
      <c r="D830" s="2105" t="s">
        <v>339</v>
      </c>
      <c r="E830" s="1938">
        <v>340180016886</v>
      </c>
      <c r="F830" s="4">
        <v>1</v>
      </c>
      <c r="G830" s="21">
        <v>105140599</v>
      </c>
      <c r="H830" s="21">
        <v>106872522</v>
      </c>
      <c r="I830" s="21">
        <f>H830-G830</f>
        <v>1731923</v>
      </c>
      <c r="J830" s="616">
        <v>1</v>
      </c>
      <c r="K830" s="696">
        <f>F830*I830*J830</f>
        <v>1731923</v>
      </c>
      <c r="L830" s="22"/>
      <c r="M830" s="22"/>
      <c r="N830" s="82"/>
      <c r="O830" s="616">
        <f>SUM(L825:L829)</f>
        <v>0</v>
      </c>
    </row>
    <row r="831" spans="1:15" ht="15.5" x14ac:dyDescent="0.35">
      <c r="A831" s="631">
        <v>7</v>
      </c>
      <c r="B831" s="100" t="s">
        <v>2902</v>
      </c>
      <c r="C831" s="52">
        <v>11</v>
      </c>
      <c r="D831" s="2151" t="s">
        <v>339</v>
      </c>
      <c r="E831" s="1938">
        <v>340180012685</v>
      </c>
      <c r="F831" s="4">
        <v>1</v>
      </c>
      <c r="G831" s="21">
        <v>192589239</v>
      </c>
      <c r="H831" s="21">
        <v>197285177</v>
      </c>
      <c r="I831" s="21">
        <f>H831-G831</f>
        <v>4695938</v>
      </c>
      <c r="J831" s="616">
        <v>1</v>
      </c>
      <c r="K831" s="696">
        <f>F831*I831*J831</f>
        <v>4695938</v>
      </c>
      <c r="L831" s="22"/>
      <c r="M831" s="22"/>
      <c r="N831" s="82"/>
      <c r="O831" s="616"/>
    </row>
    <row r="832" spans="1:15" ht="15.5" x14ac:dyDescent="0.35">
      <c r="A832" s="631"/>
      <c r="B832" s="102"/>
      <c r="C832" s="91"/>
      <c r="D832" s="726"/>
      <c r="E832" s="1939"/>
      <c r="F832" s="47"/>
      <c r="G832" s="48"/>
      <c r="H832" s="48"/>
      <c r="I832" s="48"/>
      <c r="J832" s="39" t="s">
        <v>30</v>
      </c>
      <c r="K832" s="43">
        <f>SUM(K830:K831)</f>
        <v>6427861</v>
      </c>
      <c r="L832" s="49"/>
      <c r="M832" s="43">
        <f>SUM(M830:M831)</f>
        <v>0</v>
      </c>
      <c r="N832" s="85"/>
      <c r="O832" s="616"/>
    </row>
    <row r="833" spans="1:15" ht="15.5" x14ac:dyDescent="0.35">
      <c r="A833" s="631"/>
      <c r="B833" s="647" t="s">
        <v>1121</v>
      </c>
      <c r="C833" s="648"/>
      <c r="D833" s="648"/>
      <c r="E833" s="1940"/>
      <c r="F833" s="648"/>
      <c r="G833" s="648"/>
      <c r="H833" s="648"/>
      <c r="I833" s="648"/>
      <c r="J833" s="50"/>
      <c r="K833" s="710"/>
      <c r="L833" s="51"/>
      <c r="M833" s="51"/>
      <c r="N833" s="649"/>
      <c r="O833" s="616"/>
    </row>
    <row r="834" spans="1:15" ht="15.75" customHeight="1" x14ac:dyDescent="0.35">
      <c r="A834" s="631">
        <v>1</v>
      </c>
      <c r="B834" s="100" t="s">
        <v>2903</v>
      </c>
      <c r="C834" s="73">
        <v>11</v>
      </c>
      <c r="D834" s="1781" t="s">
        <v>102</v>
      </c>
      <c r="E834" s="1938">
        <v>340180017728</v>
      </c>
      <c r="F834" s="32">
        <v>1</v>
      </c>
      <c r="G834" s="6">
        <v>33377707</v>
      </c>
      <c r="H834" s="6">
        <v>33862083</v>
      </c>
      <c r="I834" s="20">
        <f>H834-G834</f>
        <v>484376</v>
      </c>
      <c r="J834" s="616">
        <v>1</v>
      </c>
      <c r="K834" s="703"/>
      <c r="L834" s="22">
        <f t="shared" ref="L834:L843" si="26">F834*I834*J834</f>
        <v>484376</v>
      </c>
      <c r="M834" s="22"/>
      <c r="N834" s="72" t="s">
        <v>102</v>
      </c>
      <c r="O834" s="15"/>
    </row>
    <row r="835" spans="1:15" ht="30" x14ac:dyDescent="0.35">
      <c r="A835" s="631">
        <v>2</v>
      </c>
      <c r="B835" s="100" t="s">
        <v>2045</v>
      </c>
      <c r="C835" s="73">
        <v>11</v>
      </c>
      <c r="D835" s="1782" t="s">
        <v>102</v>
      </c>
      <c r="E835" s="1938">
        <v>340180025257</v>
      </c>
      <c r="F835" s="32">
        <v>1</v>
      </c>
      <c r="G835" s="6"/>
      <c r="H835" s="6"/>
      <c r="I835" s="20">
        <f>H835-G835</f>
        <v>0</v>
      </c>
      <c r="J835" s="616">
        <v>1</v>
      </c>
      <c r="K835" s="703"/>
      <c r="L835" s="22">
        <f t="shared" si="26"/>
        <v>0</v>
      </c>
      <c r="M835" s="22"/>
      <c r="N835" s="72" t="s">
        <v>102</v>
      </c>
      <c r="O835" s="15"/>
    </row>
    <row r="836" spans="1:15" ht="15" customHeight="1" x14ac:dyDescent="0.35">
      <c r="A836" s="631">
        <v>3</v>
      </c>
      <c r="B836" s="100" t="s">
        <v>2904</v>
      </c>
      <c r="C836" s="73">
        <v>11</v>
      </c>
      <c r="D836" s="1782" t="s">
        <v>102</v>
      </c>
      <c r="E836" s="1938">
        <v>340180016897</v>
      </c>
      <c r="F836" s="32">
        <v>1</v>
      </c>
      <c r="G836" s="6"/>
      <c r="H836" s="6"/>
      <c r="I836" s="20">
        <f>H836-G836</f>
        <v>0</v>
      </c>
      <c r="J836" s="616">
        <v>1</v>
      </c>
      <c r="K836" s="703"/>
      <c r="L836" s="22">
        <f t="shared" si="26"/>
        <v>0</v>
      </c>
      <c r="M836" s="22"/>
      <c r="N836" s="72" t="s">
        <v>102</v>
      </c>
      <c r="O836" s="15"/>
    </row>
    <row r="837" spans="1:15" s="1952" customFormat="1" ht="15.75" customHeight="1" x14ac:dyDescent="0.35">
      <c r="A837" s="1941">
        <v>4</v>
      </c>
      <c r="B837" s="1917" t="s">
        <v>2905</v>
      </c>
      <c r="C837" s="1942">
        <v>11</v>
      </c>
      <c r="D837" s="1943" t="s">
        <v>93</v>
      </c>
      <c r="E837" s="1944">
        <v>340180016042</v>
      </c>
      <c r="F837" s="1945">
        <v>1</v>
      </c>
      <c r="G837" s="1946">
        <v>40961229</v>
      </c>
      <c r="H837" s="1946">
        <v>41743215</v>
      </c>
      <c r="I837" s="1947">
        <f>H837-G837</f>
        <v>781986</v>
      </c>
      <c r="J837" s="1948">
        <v>1</v>
      </c>
      <c r="K837" s="1949"/>
      <c r="L837" s="1950">
        <f t="shared" si="26"/>
        <v>781986</v>
      </c>
      <c r="M837" s="1950"/>
      <c r="N837" s="1934" t="s">
        <v>93</v>
      </c>
      <c r="O837" s="1951"/>
    </row>
    <row r="838" spans="1:15" ht="18" customHeight="1" x14ac:dyDescent="0.35">
      <c r="A838" s="631">
        <v>5</v>
      </c>
      <c r="B838" s="100" t="s">
        <v>2906</v>
      </c>
      <c r="C838" s="73">
        <v>11</v>
      </c>
      <c r="D838" s="1782" t="s">
        <v>102</v>
      </c>
      <c r="E838" s="1938">
        <v>340180015747</v>
      </c>
      <c r="F838" s="32">
        <v>1</v>
      </c>
      <c r="G838" s="6">
        <v>15743126</v>
      </c>
      <c r="H838" s="6">
        <v>16164109</v>
      </c>
      <c r="I838" s="20">
        <f>H838-G838</f>
        <v>420983</v>
      </c>
      <c r="J838" s="616">
        <v>1</v>
      </c>
      <c r="K838" s="703"/>
      <c r="L838" s="22">
        <f t="shared" si="26"/>
        <v>420983</v>
      </c>
      <c r="M838" s="22"/>
      <c r="N838" s="72" t="s">
        <v>102</v>
      </c>
      <c r="O838" s="15"/>
    </row>
    <row r="839" spans="1:15" ht="30" x14ac:dyDescent="0.35">
      <c r="A839" s="631">
        <v>8</v>
      </c>
      <c r="B839" s="100" t="s">
        <v>2907</v>
      </c>
      <c r="C839" s="73">
        <v>11</v>
      </c>
      <c r="D839" s="1782" t="s">
        <v>102</v>
      </c>
      <c r="E839" s="1938">
        <v>340180012709</v>
      </c>
      <c r="F839" s="32">
        <v>1</v>
      </c>
      <c r="G839" s="6">
        <v>35644749</v>
      </c>
      <c r="H839" s="6">
        <v>36662689</v>
      </c>
      <c r="I839" s="20">
        <f t="shared" ref="I839:I845" si="27">H839-G839</f>
        <v>1017940</v>
      </c>
      <c r="J839" s="616">
        <v>1</v>
      </c>
      <c r="K839" s="703"/>
      <c r="L839" s="22">
        <f t="shared" si="26"/>
        <v>1017940</v>
      </c>
      <c r="M839" s="22"/>
      <c r="N839" s="72" t="s">
        <v>102</v>
      </c>
      <c r="O839" s="15"/>
    </row>
    <row r="840" spans="1:15" ht="30" x14ac:dyDescent="0.35">
      <c r="A840" s="631">
        <v>9</v>
      </c>
      <c r="B840" s="100" t="s">
        <v>2908</v>
      </c>
      <c r="C840" s="73">
        <v>11</v>
      </c>
      <c r="D840" s="1782" t="s">
        <v>102</v>
      </c>
      <c r="E840" s="1938">
        <v>340180016889</v>
      </c>
      <c r="F840" s="32">
        <v>1</v>
      </c>
      <c r="G840" s="6">
        <v>53737679</v>
      </c>
      <c r="H840" s="6">
        <v>55355834</v>
      </c>
      <c r="I840" s="20">
        <f t="shared" si="27"/>
        <v>1618155</v>
      </c>
      <c r="J840" s="616">
        <v>1</v>
      </c>
      <c r="K840" s="703"/>
      <c r="L840" s="22">
        <f t="shared" si="26"/>
        <v>1618155</v>
      </c>
      <c r="M840" s="22"/>
      <c r="N840" s="72" t="s">
        <v>102</v>
      </c>
      <c r="O840" s="15"/>
    </row>
    <row r="841" spans="1:15" ht="30" x14ac:dyDescent="0.35">
      <c r="A841" s="631">
        <v>10</v>
      </c>
      <c r="B841" s="100" t="s">
        <v>2909</v>
      </c>
      <c r="C841" s="73">
        <v>11</v>
      </c>
      <c r="D841" s="1782" t="s">
        <v>102</v>
      </c>
      <c r="E841" s="1938">
        <v>340180015534</v>
      </c>
      <c r="F841" s="32">
        <v>1</v>
      </c>
      <c r="G841" s="6">
        <v>20978069</v>
      </c>
      <c r="H841" s="6">
        <v>22389877</v>
      </c>
      <c r="I841" s="20">
        <f t="shared" si="27"/>
        <v>1411808</v>
      </c>
      <c r="J841" s="616">
        <v>1</v>
      </c>
      <c r="K841" s="703"/>
      <c r="L841" s="22">
        <f t="shared" si="26"/>
        <v>1411808</v>
      </c>
      <c r="M841" s="22"/>
      <c r="N841" s="72" t="s">
        <v>102</v>
      </c>
      <c r="O841" s="15"/>
    </row>
    <row r="842" spans="1:15" ht="18.75" customHeight="1" x14ac:dyDescent="0.35">
      <c r="A842" s="631">
        <v>11</v>
      </c>
      <c r="B842" s="100" t="s">
        <v>2910</v>
      </c>
      <c r="C842" s="73">
        <v>11</v>
      </c>
      <c r="D842" s="1782" t="s">
        <v>102</v>
      </c>
      <c r="E842" s="1938">
        <v>340180025261</v>
      </c>
      <c r="F842" s="32">
        <v>1</v>
      </c>
      <c r="G842" s="6">
        <v>53954316</v>
      </c>
      <c r="H842" s="6">
        <v>53954316</v>
      </c>
      <c r="I842" s="20">
        <f t="shared" si="27"/>
        <v>0</v>
      </c>
      <c r="J842" s="616">
        <v>1</v>
      </c>
      <c r="K842" s="703"/>
      <c r="L842" s="22">
        <f t="shared" si="26"/>
        <v>0</v>
      </c>
      <c r="M842" s="22"/>
      <c r="N842" s="72" t="s">
        <v>102</v>
      </c>
      <c r="O842" s="15"/>
    </row>
    <row r="843" spans="1:15" s="1952" customFormat="1" ht="15.75" customHeight="1" x14ac:dyDescent="0.35">
      <c r="A843" s="1941">
        <v>12</v>
      </c>
      <c r="B843" s="1917" t="s">
        <v>2911</v>
      </c>
      <c r="C843" s="1942">
        <v>11</v>
      </c>
      <c r="D843" s="1943" t="s">
        <v>97</v>
      </c>
      <c r="E843" s="1944">
        <v>340180025212</v>
      </c>
      <c r="F843" s="1945">
        <v>1</v>
      </c>
      <c r="G843" s="1946">
        <v>42630089</v>
      </c>
      <c r="H843" s="1946">
        <v>43320509</v>
      </c>
      <c r="I843" s="1947">
        <f t="shared" si="27"/>
        <v>690420</v>
      </c>
      <c r="J843" s="1948">
        <v>1</v>
      </c>
      <c r="K843" s="1949"/>
      <c r="L843" s="1950">
        <f t="shared" si="26"/>
        <v>690420</v>
      </c>
      <c r="M843" s="1950"/>
      <c r="N843" s="1934" t="s">
        <v>97</v>
      </c>
      <c r="O843" s="1951"/>
    </row>
    <row r="844" spans="1:15" ht="15.5" x14ac:dyDescent="0.35">
      <c r="A844" s="631">
        <v>13</v>
      </c>
      <c r="B844" s="100" t="s">
        <v>305</v>
      </c>
      <c r="C844" s="73">
        <v>0.4</v>
      </c>
      <c r="D844" s="1782"/>
      <c r="E844" s="1938" t="s">
        <v>2912</v>
      </c>
      <c r="F844" s="32">
        <v>1</v>
      </c>
      <c r="G844" s="6">
        <v>524.28</v>
      </c>
      <c r="H844" s="6">
        <v>546.39</v>
      </c>
      <c r="I844" s="20">
        <f t="shared" si="27"/>
        <v>22.110000000000014</v>
      </c>
      <c r="J844" s="616">
        <v>100</v>
      </c>
      <c r="K844" s="703"/>
      <c r="L844" s="22">
        <f>F844*I844*J844</f>
        <v>2211.0000000000014</v>
      </c>
      <c r="M844" s="22"/>
      <c r="N844" s="72" t="s">
        <v>102</v>
      </c>
      <c r="O844" s="15"/>
    </row>
    <row r="845" spans="1:15" ht="15.5" x14ac:dyDescent="0.35">
      <c r="A845" s="631">
        <v>14</v>
      </c>
      <c r="B845" s="100" t="s">
        <v>306</v>
      </c>
      <c r="C845" s="73">
        <v>0.4</v>
      </c>
      <c r="D845" s="1783"/>
      <c r="E845" s="1938" t="s">
        <v>2913</v>
      </c>
      <c r="F845" s="32">
        <v>1</v>
      </c>
      <c r="G845" s="6">
        <v>634.5</v>
      </c>
      <c r="H845" s="6">
        <v>636.59</v>
      </c>
      <c r="I845" s="20">
        <f t="shared" si="27"/>
        <v>2.0900000000000318</v>
      </c>
      <c r="J845" s="616">
        <v>100</v>
      </c>
      <c r="K845" s="703"/>
      <c r="L845" s="22">
        <f>F845*I845*J845</f>
        <v>209.00000000000318</v>
      </c>
      <c r="M845" s="22"/>
      <c r="N845" s="72" t="s">
        <v>102</v>
      </c>
      <c r="O845" s="15"/>
    </row>
    <row r="846" spans="1:15" ht="28" x14ac:dyDescent="0.35">
      <c r="A846" s="636"/>
      <c r="B846" s="96"/>
      <c r="C846" s="90"/>
      <c r="D846" s="90"/>
      <c r="E846" s="90"/>
      <c r="F846" s="38"/>
      <c r="G846" s="38"/>
      <c r="H846" s="38"/>
      <c r="I846" s="38"/>
      <c r="J846" s="53" t="s">
        <v>44</v>
      </c>
      <c r="K846" s="43">
        <f>K832</f>
        <v>6427861</v>
      </c>
      <c r="L846" s="43">
        <f>SUM(L834:L845)</f>
        <v>6428088</v>
      </c>
      <c r="M846" s="43">
        <f>SUM(M834:M845)</f>
        <v>0</v>
      </c>
      <c r="N846" s="84">
        <f>(M846-L846)/L846*100</f>
        <v>-100</v>
      </c>
      <c r="O846" s="29"/>
    </row>
    <row r="848" spans="1:15" ht="15" x14ac:dyDescent="0.35">
      <c r="A848" s="620"/>
      <c r="B848" s="635"/>
      <c r="C848" s="632"/>
      <c r="D848" s="720"/>
      <c r="F848" s="2092" t="s">
        <v>1099</v>
      </c>
      <c r="G848" s="2092"/>
      <c r="H848" s="2092"/>
      <c r="I848" s="677" t="s">
        <v>14</v>
      </c>
      <c r="J848" s="620"/>
      <c r="K848" s="702"/>
      <c r="L848" s="620"/>
      <c r="M848" s="620"/>
      <c r="N848" s="632"/>
      <c r="O848" s="620"/>
    </row>
    <row r="849" spans="1:15" ht="15.5" x14ac:dyDescent="0.35">
      <c r="A849" s="620"/>
      <c r="B849" s="635"/>
      <c r="C849" s="632"/>
      <c r="D849" s="720"/>
      <c r="F849" s="2153" t="s">
        <v>232</v>
      </c>
      <c r="G849" s="2154"/>
      <c r="H849" s="2155"/>
      <c r="I849" s="643">
        <f>SUM(M834:M835,M838)</f>
        <v>0</v>
      </c>
      <c r="J849" s="620"/>
      <c r="K849" s="702"/>
      <c r="L849" s="620"/>
      <c r="M849" s="620"/>
      <c r="N849" s="632"/>
      <c r="O849" s="620" t="s">
        <v>237</v>
      </c>
    </row>
    <row r="850" spans="1:15" ht="15.5" x14ac:dyDescent="0.35">
      <c r="A850" s="620"/>
      <c r="B850" s="635"/>
      <c r="C850" s="632"/>
      <c r="D850" s="720"/>
      <c r="F850" s="2153" t="s">
        <v>268</v>
      </c>
      <c r="G850" s="2154"/>
      <c r="H850" s="2155"/>
      <c r="I850" s="643">
        <f>SUM(M836:M837,M839,M841,M842,M845)</f>
        <v>0</v>
      </c>
      <c r="J850" s="620"/>
      <c r="K850" s="702"/>
      <c r="L850" s="620"/>
      <c r="M850" s="620"/>
      <c r="N850" s="632"/>
      <c r="O850" s="620"/>
    </row>
    <row r="851" spans="1:15" ht="16" thickBot="1" x14ac:dyDescent="0.4">
      <c r="A851" s="620"/>
      <c r="B851" s="635"/>
      <c r="C851" s="632"/>
      <c r="D851" s="720"/>
      <c r="F851" s="2153" t="s">
        <v>269</v>
      </c>
      <c r="G851" s="2154"/>
      <c r="H851" s="2155"/>
      <c r="I851" s="643">
        <f>SUM(M840,M844)</f>
        <v>0</v>
      </c>
      <c r="J851" s="620"/>
      <c r="K851" s="702"/>
      <c r="L851" s="620"/>
      <c r="M851" s="620"/>
      <c r="N851" s="632"/>
      <c r="O851" s="620"/>
    </row>
    <row r="852" spans="1:15" ht="20.5" thickBot="1" x14ac:dyDescent="0.4">
      <c r="A852" s="620"/>
      <c r="B852" s="635"/>
      <c r="C852" s="632"/>
      <c r="D852" s="720"/>
      <c r="E852" s="632"/>
      <c r="F852" s="2156" t="s">
        <v>210</v>
      </c>
      <c r="G852" s="2156"/>
      <c r="H852" s="2156"/>
      <c r="I852" s="656">
        <f>SUM(I849:I851)</f>
        <v>0</v>
      </c>
      <c r="J852" s="682">
        <f>I852-M846</f>
        <v>0</v>
      </c>
      <c r="K852" s="702"/>
      <c r="L852" s="620"/>
      <c r="M852" s="620"/>
      <c r="N852" s="632"/>
      <c r="O852" s="620"/>
    </row>
    <row r="860" spans="1:15" x14ac:dyDescent="0.35">
      <c r="A860" s="620"/>
      <c r="B860" s="635"/>
      <c r="C860" s="632"/>
      <c r="D860" s="720"/>
      <c r="E860" s="632"/>
      <c r="F860" s="620"/>
      <c r="G860" s="620"/>
      <c r="H860" s="620"/>
      <c r="I860" s="620"/>
      <c r="J860" s="620"/>
      <c r="K860" s="702"/>
      <c r="L860" s="620"/>
      <c r="M860" s="620"/>
      <c r="N860" s="632"/>
      <c r="O860" s="620"/>
    </row>
    <row r="861" spans="1:15" x14ac:dyDescent="0.35">
      <c r="A861" s="620"/>
      <c r="B861" s="635"/>
      <c r="C861" s="632"/>
      <c r="D861" s="720"/>
      <c r="E861" s="632"/>
      <c r="F861" s="620"/>
      <c r="G861" s="620"/>
      <c r="H861" s="620"/>
      <c r="I861" s="620"/>
      <c r="J861" s="620"/>
      <c r="K861" s="702"/>
      <c r="L861" s="620"/>
      <c r="M861" s="620"/>
      <c r="N861" s="632"/>
      <c r="O861" s="620"/>
    </row>
    <row r="862" spans="1:15" ht="25" x14ac:dyDescent="0.35">
      <c r="A862" s="46"/>
      <c r="B862" s="2152"/>
      <c r="C862" s="2152"/>
      <c r="D862" s="2152"/>
      <c r="E862" s="2152"/>
      <c r="F862" s="2152"/>
      <c r="G862" s="2152"/>
      <c r="H862" s="2152"/>
      <c r="I862" s="2152"/>
      <c r="J862" s="2152"/>
      <c r="K862" s="2152"/>
      <c r="L862" s="2152"/>
      <c r="M862" s="2152"/>
      <c r="N862" s="75"/>
      <c r="O862" s="28"/>
    </row>
    <row r="863" spans="1:15" x14ac:dyDescent="0.35">
      <c r="A863" s="620"/>
      <c r="B863" s="635"/>
      <c r="C863" s="632"/>
      <c r="D863" s="720"/>
      <c r="E863" s="632"/>
      <c r="F863" s="620"/>
      <c r="G863" s="620"/>
      <c r="H863" s="620"/>
      <c r="I863" s="620"/>
      <c r="J863" s="620"/>
      <c r="K863" s="702"/>
      <c r="L863" s="620"/>
      <c r="M863" s="620"/>
      <c r="N863" s="632"/>
      <c r="O863" s="620"/>
    </row>
    <row r="864" spans="1:15" x14ac:dyDescent="0.35">
      <c r="A864" s="620"/>
      <c r="B864" s="635"/>
      <c r="C864" s="632"/>
      <c r="D864" s="720"/>
      <c r="E864" s="632"/>
      <c r="F864" s="620"/>
      <c r="G864" s="620"/>
      <c r="H864" s="620"/>
      <c r="I864" s="620"/>
      <c r="J864" s="620"/>
      <c r="K864" s="702"/>
      <c r="L864" s="620"/>
      <c r="M864" s="620"/>
      <c r="N864" s="632"/>
      <c r="O864" s="620"/>
    </row>
    <row r="865" spans="1:15" ht="25" x14ac:dyDescent="0.35">
      <c r="A865" s="2095" t="s">
        <v>1315</v>
      </c>
      <c r="B865" s="2095"/>
      <c r="C865" s="2095"/>
      <c r="D865" s="2095"/>
      <c r="E865" s="2095"/>
      <c r="F865" s="2095"/>
      <c r="G865" s="2095"/>
      <c r="H865" s="2095"/>
      <c r="I865" s="2095"/>
      <c r="J865" s="2095"/>
      <c r="K865" s="2095"/>
      <c r="L865" s="2095"/>
      <c r="M865" s="2095"/>
      <c r="N865" s="2095"/>
      <c r="O865" s="756" t="e">
        <f>#REF!</f>
        <v>#REF!</v>
      </c>
    </row>
    <row r="866" spans="1:15" ht="15.5" x14ac:dyDescent="0.35">
      <c r="A866" s="2096" t="s">
        <v>0</v>
      </c>
      <c r="B866" s="2098" t="s">
        <v>1</v>
      </c>
      <c r="C866" s="2100" t="s">
        <v>2</v>
      </c>
      <c r="D866" s="2101"/>
      <c r="E866" s="2102"/>
      <c r="F866" s="2103" t="s">
        <v>3</v>
      </c>
      <c r="G866" s="2100" t="s">
        <v>4</v>
      </c>
      <c r="H866" s="2102"/>
      <c r="I866" s="2085"/>
      <c r="J866" s="2103" t="s">
        <v>5</v>
      </c>
      <c r="K866" s="2100" t="s">
        <v>6</v>
      </c>
      <c r="L866" s="2102"/>
      <c r="M866" s="97" t="s">
        <v>1088</v>
      </c>
      <c r="N866" s="98"/>
      <c r="O866" s="2084" t="s">
        <v>7</v>
      </c>
    </row>
    <row r="867" spans="1:15" ht="15.5" x14ac:dyDescent="0.35">
      <c r="A867" s="2097"/>
      <c r="B867" s="2099"/>
      <c r="C867" s="2086" t="s">
        <v>1108</v>
      </c>
      <c r="D867" s="2087"/>
      <c r="E867" s="87" t="s">
        <v>9</v>
      </c>
      <c r="F867" s="2097"/>
      <c r="G867" s="2">
        <f>'NORTH-1'!$G$8</f>
        <v>44774</v>
      </c>
      <c r="H867" s="2">
        <f>'NORTH-1'!$H$8</f>
        <v>44805</v>
      </c>
      <c r="I867" s="1" t="s">
        <v>10</v>
      </c>
      <c r="J867" s="2097"/>
      <c r="K867" s="1" t="s">
        <v>11</v>
      </c>
      <c r="L867" s="1" t="s">
        <v>12</v>
      </c>
      <c r="M867" s="617" t="s">
        <v>33</v>
      </c>
      <c r="N867" s="76" t="s">
        <v>47</v>
      </c>
      <c r="O867" s="2085"/>
    </row>
    <row r="868" spans="1:15" ht="15.5" x14ac:dyDescent="0.35">
      <c r="A868" s="3">
        <v>1</v>
      </c>
      <c r="B868" s="88">
        <v>2</v>
      </c>
      <c r="C868" s="2088">
        <v>4</v>
      </c>
      <c r="D868" s="2089"/>
      <c r="E868" s="88">
        <v>5</v>
      </c>
      <c r="F868" s="3">
        <v>7</v>
      </c>
      <c r="G868" s="3">
        <v>8</v>
      </c>
      <c r="H868" s="3">
        <v>9</v>
      </c>
      <c r="I868" s="3" t="s">
        <v>13</v>
      </c>
      <c r="J868" s="3">
        <v>11</v>
      </c>
      <c r="K868" s="3" t="s">
        <v>19</v>
      </c>
      <c r="L868" s="3" t="s">
        <v>20</v>
      </c>
      <c r="M868" s="3">
        <v>14</v>
      </c>
      <c r="N868" s="77">
        <v>15</v>
      </c>
      <c r="O868" s="3">
        <v>16</v>
      </c>
    </row>
    <row r="869" spans="1:15" ht="15.5" x14ac:dyDescent="0.35">
      <c r="A869" s="11"/>
      <c r="B869" s="624" t="s">
        <v>4628</v>
      </c>
      <c r="C869" s="625"/>
      <c r="D869" s="625"/>
      <c r="E869" s="667"/>
      <c r="F869" s="625"/>
      <c r="G869" s="625"/>
      <c r="H869" s="625"/>
      <c r="I869" s="625"/>
      <c r="J869" s="625"/>
      <c r="K869" s="695"/>
      <c r="L869" s="625"/>
      <c r="M869" s="626"/>
      <c r="N869" s="627"/>
      <c r="O869" s="8"/>
    </row>
    <row r="870" spans="1:15" ht="15.5" x14ac:dyDescent="0.35">
      <c r="A870" s="631">
        <v>1</v>
      </c>
      <c r="B870" s="100" t="s">
        <v>2914</v>
      </c>
      <c r="C870" s="52">
        <v>132</v>
      </c>
      <c r="D870" s="2105" t="s">
        <v>339</v>
      </c>
      <c r="E870" s="2149" t="s">
        <v>2915</v>
      </c>
      <c r="F870" s="4">
        <v>1</v>
      </c>
      <c r="G870" s="5">
        <v>509989</v>
      </c>
      <c r="H870" s="5">
        <v>536592</v>
      </c>
      <c r="I870" s="5">
        <f>H870-G870</f>
        <v>26603</v>
      </c>
      <c r="J870" s="616">
        <f>J394</f>
        <v>1000</v>
      </c>
      <c r="K870" s="696">
        <f>F870*I870*J870</f>
        <v>26603000</v>
      </c>
      <c r="L870" s="7"/>
      <c r="M870" s="7"/>
      <c r="N870" s="78"/>
      <c r="O870" s="616" t="s">
        <v>2916</v>
      </c>
    </row>
    <row r="871" spans="1:15" ht="15.5" x14ac:dyDescent="0.35">
      <c r="A871" s="631">
        <v>2</v>
      </c>
      <c r="B871" s="100" t="s">
        <v>2917</v>
      </c>
      <c r="C871" s="52">
        <v>132</v>
      </c>
      <c r="D871" s="2106" t="s">
        <v>339</v>
      </c>
      <c r="E871" s="2150" t="s">
        <v>2918</v>
      </c>
      <c r="F871" s="4">
        <v>1</v>
      </c>
      <c r="G871" s="5">
        <v>394548</v>
      </c>
      <c r="H871" s="5">
        <v>413872</v>
      </c>
      <c r="I871" s="5">
        <f>H871-G871</f>
        <v>19324</v>
      </c>
      <c r="J871" s="616">
        <f>J394</f>
        <v>1000</v>
      </c>
      <c r="K871" s="696">
        <f>F871*I871*J871</f>
        <v>19324000</v>
      </c>
      <c r="L871" s="16"/>
      <c r="M871" s="16"/>
      <c r="N871" s="79"/>
      <c r="O871" s="616">
        <f>(K872-K885)/K872*100</f>
        <v>100</v>
      </c>
    </row>
    <row r="872" spans="1:15" ht="15.5" x14ac:dyDescent="0.35">
      <c r="A872" s="631"/>
      <c r="B872" s="95"/>
      <c r="C872" s="89"/>
      <c r="D872" s="89"/>
      <c r="E872" s="89"/>
      <c r="F872" s="37"/>
      <c r="G872" s="37"/>
      <c r="H872" s="37"/>
      <c r="I872" s="2136" t="s">
        <v>236</v>
      </c>
      <c r="J872" s="2137"/>
      <c r="K872" s="698">
        <f>SUM(K870:K871)</f>
        <v>45927000</v>
      </c>
      <c r="L872" s="94">
        <f>SUM(L870:L871)</f>
        <v>0</v>
      </c>
      <c r="M872" s="18"/>
      <c r="N872" s="81"/>
      <c r="O872" s="616"/>
    </row>
    <row r="873" spans="1:15" ht="15.5" x14ac:dyDescent="0.35">
      <c r="A873" s="631"/>
      <c r="B873" s="95"/>
      <c r="C873" s="89"/>
      <c r="D873" s="89"/>
      <c r="E873" s="89"/>
      <c r="F873" s="37"/>
      <c r="G873" s="37"/>
      <c r="H873" s="37"/>
      <c r="I873" s="665"/>
      <c r="J873" s="665" t="s">
        <v>31</v>
      </c>
      <c r="K873" s="699">
        <f>K872-L872</f>
        <v>45927000</v>
      </c>
      <c r="L873" s="40"/>
      <c r="M873" s="41"/>
      <c r="N873" s="632"/>
      <c r="O873" s="616"/>
    </row>
    <row r="874" spans="1:15" ht="15.5" x14ac:dyDescent="0.35">
      <c r="A874" s="631"/>
      <c r="B874" s="624" t="s">
        <v>4640</v>
      </c>
      <c r="C874" s="625"/>
      <c r="D874" s="625"/>
      <c r="E874" s="625"/>
      <c r="F874" s="625"/>
      <c r="G874" s="625"/>
      <c r="H874" s="625"/>
      <c r="I874" s="625"/>
      <c r="J874" s="625"/>
      <c r="K874" s="695"/>
      <c r="L874" s="625"/>
      <c r="M874" s="626"/>
      <c r="N874" s="627"/>
      <c r="O874" s="616"/>
    </row>
    <row r="875" spans="1:15" ht="15.5" x14ac:dyDescent="0.35">
      <c r="A875" s="631">
        <v>3</v>
      </c>
      <c r="B875" s="100" t="s">
        <v>2919</v>
      </c>
      <c r="C875" s="52">
        <v>132</v>
      </c>
      <c r="D875" s="1770" t="s">
        <v>1650</v>
      </c>
      <c r="E875" s="2149">
        <v>41812909505</v>
      </c>
      <c r="F875" s="4">
        <v>1</v>
      </c>
      <c r="G875" s="5">
        <v>425.13</v>
      </c>
      <c r="H875" s="5">
        <v>447.39</v>
      </c>
      <c r="I875" s="5">
        <f>H875-G875</f>
        <v>22.259999999999991</v>
      </c>
      <c r="J875" s="616">
        <v>1200000</v>
      </c>
      <c r="K875" s="696">
        <f>F875*I875*J875</f>
        <v>26711999.999999989</v>
      </c>
      <c r="L875" s="16"/>
      <c r="M875" s="16"/>
      <c r="N875" s="79"/>
      <c r="O875" s="616"/>
    </row>
    <row r="876" spans="1:15" ht="15.5" x14ac:dyDescent="0.35">
      <c r="A876" s="631"/>
      <c r="B876" s="100"/>
      <c r="C876" s="52">
        <v>132</v>
      </c>
      <c r="D876" s="1771" t="s">
        <v>1651</v>
      </c>
      <c r="E876" s="2150">
        <v>41812909603</v>
      </c>
      <c r="F876" s="4">
        <v>1</v>
      </c>
      <c r="G876" s="5">
        <v>425.11</v>
      </c>
      <c r="H876" s="5">
        <v>447.38</v>
      </c>
      <c r="I876" s="5">
        <f>H876-G876</f>
        <v>22.269999999999982</v>
      </c>
      <c r="J876" s="616">
        <v>1200000</v>
      </c>
      <c r="K876" s="696">
        <f>F876*I876*J876</f>
        <v>26723999.999999978</v>
      </c>
      <c r="L876" s="16"/>
      <c r="M876" s="16"/>
      <c r="N876" s="79"/>
      <c r="O876" s="616" t="s">
        <v>2920</v>
      </c>
    </row>
    <row r="877" spans="1:15" ht="15.5" x14ac:dyDescent="0.35">
      <c r="A877" s="631">
        <v>6</v>
      </c>
      <c r="B877" s="100" t="s">
        <v>2921</v>
      </c>
      <c r="C877" s="52">
        <v>132</v>
      </c>
      <c r="D877" s="1771" t="s">
        <v>1650</v>
      </c>
      <c r="E877" s="2149">
        <v>41812909540</v>
      </c>
      <c r="F877" s="4">
        <v>1</v>
      </c>
      <c r="G877" s="5">
        <v>328.08</v>
      </c>
      <c r="H877" s="5">
        <v>344.17</v>
      </c>
      <c r="I877" s="5">
        <f>H877-G877</f>
        <v>16.090000000000032</v>
      </c>
      <c r="J877" s="616">
        <v>1200000</v>
      </c>
      <c r="K877" s="696">
        <f>F877*I877*J877</f>
        <v>19308000.000000037</v>
      </c>
      <c r="L877" s="16"/>
      <c r="M877" s="16"/>
      <c r="N877" s="79"/>
      <c r="O877" s="616"/>
    </row>
    <row r="878" spans="1:15" ht="15.5" x14ac:dyDescent="0.35">
      <c r="A878" s="631"/>
      <c r="B878" s="100"/>
      <c r="C878" s="52">
        <v>132</v>
      </c>
      <c r="D878" s="1772" t="s">
        <v>1651</v>
      </c>
      <c r="E878" s="2150">
        <v>41812909587</v>
      </c>
      <c r="F878" s="4">
        <v>1</v>
      </c>
      <c r="G878" s="5">
        <v>328.09</v>
      </c>
      <c r="H878" s="5">
        <v>344.97</v>
      </c>
      <c r="I878" s="5">
        <f>H878-G878</f>
        <v>16.880000000000052</v>
      </c>
      <c r="J878" s="616">
        <v>1200000</v>
      </c>
      <c r="K878" s="697">
        <f>F878*I878*J878</f>
        <v>20256000.000000063</v>
      </c>
      <c r="L878" s="17"/>
      <c r="M878" s="17"/>
      <c r="N878" s="80"/>
      <c r="O878" s="616" t="s">
        <v>2922</v>
      </c>
    </row>
    <row r="879" spans="1:15" ht="15.5" x14ac:dyDescent="0.35">
      <c r="A879" s="631"/>
      <c r="B879" s="95"/>
      <c r="C879" s="89"/>
      <c r="D879" s="89"/>
      <c r="E879" s="89"/>
      <c r="F879" s="37"/>
      <c r="G879" s="37"/>
      <c r="H879" s="37"/>
      <c r="I879" s="2136" t="s">
        <v>303</v>
      </c>
      <c r="J879" s="2137"/>
      <c r="K879" s="698">
        <f>K875+K877</f>
        <v>46020000.00000003</v>
      </c>
      <c r="L879" s="94">
        <f>SUM(L875:L878)</f>
        <v>0</v>
      </c>
      <c r="M879" s="18"/>
      <c r="N879" s="81"/>
      <c r="O879" s="633"/>
    </row>
    <row r="880" spans="1:15" ht="15.5" x14ac:dyDescent="0.35">
      <c r="A880" s="631"/>
      <c r="B880" s="95"/>
      <c r="C880" s="89"/>
      <c r="D880" s="89"/>
      <c r="E880" s="89"/>
      <c r="F880" s="37"/>
      <c r="G880" s="37"/>
      <c r="H880" s="37"/>
      <c r="I880" s="2136" t="s">
        <v>31</v>
      </c>
      <c r="J880" s="2137"/>
      <c r="K880" s="699">
        <f>K879-L879</f>
        <v>46020000.00000003</v>
      </c>
      <c r="L880" s="40"/>
      <c r="M880" s="42"/>
      <c r="N880" s="634"/>
      <c r="O880" s="633"/>
    </row>
    <row r="881" spans="1:15" ht="15.5" x14ac:dyDescent="0.35">
      <c r="A881" s="11"/>
      <c r="B881" s="647" t="s">
        <v>4641</v>
      </c>
      <c r="C881" s="648"/>
      <c r="D881" s="648"/>
      <c r="E881" s="648"/>
      <c r="F881" s="648"/>
      <c r="G881" s="648"/>
      <c r="H881" s="648"/>
      <c r="I881" s="648"/>
      <c r="J881" s="648"/>
      <c r="K881" s="700"/>
      <c r="L881" s="648"/>
      <c r="M881" s="651"/>
      <c r="N881" s="649"/>
      <c r="O881" s="8"/>
    </row>
    <row r="882" spans="1:15" ht="15.5" x14ac:dyDescent="0.35">
      <c r="A882" s="631"/>
      <c r="B882" s="100" t="s">
        <v>1079</v>
      </c>
      <c r="C882" s="52">
        <v>132</v>
      </c>
      <c r="D882" s="2138" t="s">
        <v>1083</v>
      </c>
      <c r="E882" s="615"/>
      <c r="F882" s="4"/>
      <c r="G882" s="5"/>
      <c r="H882" s="5"/>
      <c r="I882" s="5"/>
      <c r="J882" s="616"/>
      <c r="K882" s="696"/>
      <c r="L882" s="16">
        <f>J882*I882*F882</f>
        <v>0</v>
      </c>
      <c r="M882" s="7"/>
      <c r="N882" s="78"/>
      <c r="O882" s="616"/>
    </row>
    <row r="883" spans="1:15" ht="15.5" x14ac:dyDescent="0.35">
      <c r="A883" s="631"/>
      <c r="B883" s="100" t="s">
        <v>1078</v>
      </c>
      <c r="C883" s="52">
        <v>132</v>
      </c>
      <c r="D883" s="2139"/>
      <c r="E883" s="615"/>
      <c r="F883" s="4"/>
      <c r="G883" s="5"/>
      <c r="H883" s="5"/>
      <c r="I883" s="5"/>
      <c r="J883" s="616"/>
      <c r="K883" s="696"/>
      <c r="L883" s="16">
        <f>J883*I883*F883</f>
        <v>0</v>
      </c>
      <c r="M883" s="16"/>
      <c r="N883" s="79"/>
      <c r="O883" s="616"/>
    </row>
    <row r="884" spans="1:15" ht="15.5" x14ac:dyDescent="0.35">
      <c r="A884" s="631"/>
      <c r="B884" s="95"/>
      <c r="C884" s="89"/>
      <c r="D884" s="89"/>
      <c r="E884" s="89"/>
      <c r="F884" s="37"/>
      <c r="G884" s="37"/>
      <c r="H884" s="37"/>
      <c r="I884" s="37"/>
      <c r="J884" s="95" t="s">
        <v>279</v>
      </c>
      <c r="K884" s="699"/>
      <c r="L884" s="55">
        <f>SUM(L882:L883)</f>
        <v>0</v>
      </c>
      <c r="M884" s="633"/>
      <c r="N884" s="634"/>
      <c r="O884" s="616"/>
    </row>
    <row r="885" spans="1:15" ht="15.5" x14ac:dyDescent="0.35">
      <c r="A885" s="11"/>
      <c r="B885" s="647" t="s">
        <v>4642</v>
      </c>
      <c r="C885" s="648"/>
      <c r="D885" s="648"/>
      <c r="E885" s="648"/>
      <c r="F885" s="648"/>
      <c r="G885" s="648"/>
      <c r="H885" s="648"/>
      <c r="I885" s="648"/>
      <c r="J885" s="648"/>
      <c r="K885" s="700"/>
      <c r="L885" s="648"/>
      <c r="M885" s="651"/>
      <c r="N885" s="649"/>
      <c r="O885" s="8"/>
    </row>
    <row r="886" spans="1:15" ht="15.5" x14ac:dyDescent="0.35">
      <c r="A886" s="631">
        <v>4</v>
      </c>
      <c r="B886" s="100" t="s">
        <v>2923</v>
      </c>
      <c r="C886" s="52">
        <v>132</v>
      </c>
      <c r="D886" s="1770" t="s">
        <v>1650</v>
      </c>
      <c r="E886" s="2149">
        <v>41812909542</v>
      </c>
      <c r="F886" s="4">
        <v>1</v>
      </c>
      <c r="G886" s="5">
        <v>425.5</v>
      </c>
      <c r="H886" s="5">
        <v>447.73</v>
      </c>
      <c r="I886" s="5">
        <f>H886-G886</f>
        <v>22.230000000000018</v>
      </c>
      <c r="J886" s="616">
        <v>1200000</v>
      </c>
      <c r="K886" s="696"/>
      <c r="L886" s="16">
        <f>F886*I886*J886</f>
        <v>26676000.000000022</v>
      </c>
      <c r="M886" s="16"/>
      <c r="N886" s="79"/>
      <c r="O886" s="616" t="e">
        <f>(K883-L896)/K883*100</f>
        <v>#DIV/0!</v>
      </c>
    </row>
    <row r="887" spans="1:15" ht="15.5" x14ac:dyDescent="0.35">
      <c r="A887" s="631"/>
      <c r="B887" s="100"/>
      <c r="C887" s="52">
        <v>132</v>
      </c>
      <c r="D887" s="1771" t="s">
        <v>1651</v>
      </c>
      <c r="E887" s="2150">
        <v>41812909589</v>
      </c>
      <c r="F887" s="4">
        <v>1</v>
      </c>
      <c r="G887" s="5">
        <v>425.74</v>
      </c>
      <c r="H887" s="5">
        <v>447.99</v>
      </c>
      <c r="I887" s="5">
        <f>H887-G887</f>
        <v>22.25</v>
      </c>
      <c r="J887" s="616">
        <v>1200000</v>
      </c>
      <c r="K887" s="696"/>
      <c r="L887" s="16">
        <f>F887*I887*J887</f>
        <v>26700000</v>
      </c>
      <c r="M887" s="16"/>
      <c r="N887" s="79"/>
      <c r="O887" s="616"/>
    </row>
    <row r="888" spans="1:15" ht="15.5" x14ac:dyDescent="0.35">
      <c r="A888" s="631">
        <v>7</v>
      </c>
      <c r="B888" s="100" t="s">
        <v>2924</v>
      </c>
      <c r="C888" s="52">
        <v>132</v>
      </c>
      <c r="D888" s="1771" t="s">
        <v>1650</v>
      </c>
      <c r="E888" s="2149">
        <v>41812909501</v>
      </c>
      <c r="F888" s="4">
        <v>1</v>
      </c>
      <c r="G888" s="5">
        <v>327.84</v>
      </c>
      <c r="H888" s="5">
        <v>344.01</v>
      </c>
      <c r="I888" s="5">
        <f>H888-G888</f>
        <v>16.170000000000016</v>
      </c>
      <c r="J888" s="616">
        <v>1200000</v>
      </c>
      <c r="K888" s="696"/>
      <c r="L888" s="16">
        <f>F888*I888*J888</f>
        <v>19404000.000000019</v>
      </c>
      <c r="M888" s="16"/>
      <c r="N888" s="79"/>
      <c r="O888" s="616">
        <f>(K879-L929)/K879*100</f>
        <v>80.216427640156454</v>
      </c>
    </row>
    <row r="889" spans="1:15" ht="15.5" x14ac:dyDescent="0.35">
      <c r="A889" s="631"/>
      <c r="B889" s="100"/>
      <c r="C889" s="52">
        <v>132</v>
      </c>
      <c r="D889" s="1772" t="s">
        <v>1651</v>
      </c>
      <c r="E889" s="2150">
        <v>41812909606</v>
      </c>
      <c r="F889" s="4">
        <v>1</v>
      </c>
      <c r="G889" s="5">
        <v>327.8</v>
      </c>
      <c r="H889" s="5">
        <v>343.97</v>
      </c>
      <c r="I889" s="5">
        <f>H889-G889</f>
        <v>16.170000000000016</v>
      </c>
      <c r="J889" s="616">
        <v>1200000</v>
      </c>
      <c r="K889" s="697"/>
      <c r="L889" s="17">
        <f>F889*I889*J889</f>
        <v>19404000.000000019</v>
      </c>
      <c r="M889" s="17"/>
      <c r="N889" s="80"/>
      <c r="O889" s="616"/>
    </row>
    <row r="890" spans="1:15" ht="15.5" x14ac:dyDescent="0.35">
      <c r="A890" s="631"/>
      <c r="B890" s="95"/>
      <c r="C890" s="89"/>
      <c r="D890" s="89"/>
      <c r="E890" s="65"/>
      <c r="F890" s="65"/>
      <c r="G890" s="65"/>
      <c r="H890" s="65"/>
      <c r="I890" s="65"/>
      <c r="J890" s="95" t="s">
        <v>30</v>
      </c>
      <c r="K890" s="701"/>
      <c r="L890" s="699">
        <f>L888+L886</f>
        <v>46080000.000000045</v>
      </c>
      <c r="M890" s="55"/>
      <c r="N890" s="78"/>
      <c r="O890" s="616"/>
    </row>
    <row r="891" spans="1:15" ht="15" thickBot="1" x14ac:dyDescent="0.4">
      <c r="A891" s="620"/>
      <c r="B891" s="635"/>
      <c r="C891" s="632"/>
      <c r="D891" s="720"/>
      <c r="K891" s="702"/>
      <c r="L891" s="620"/>
      <c r="M891" s="620"/>
      <c r="N891" s="632"/>
      <c r="O891" s="620"/>
    </row>
    <row r="892" spans="1:15" s="620" customFormat="1" x14ac:dyDescent="0.35">
      <c r="B892" s="2142" t="s">
        <v>1090</v>
      </c>
      <c r="C892" s="2143"/>
      <c r="D892" s="683" t="s">
        <v>14</v>
      </c>
      <c r="E892"/>
      <c r="F892" s="2144" t="s">
        <v>1091</v>
      </c>
      <c r="G892" s="2145"/>
      <c r="H892" s="2146"/>
      <c r="I892" s="683" t="s">
        <v>14</v>
      </c>
      <c r="K892" s="2147" t="s">
        <v>1092</v>
      </c>
      <c r="L892" s="2148"/>
      <c r="M892" s="684" t="s">
        <v>14</v>
      </c>
      <c r="N892" s="632"/>
    </row>
    <row r="893" spans="1:15" s="620" customFormat="1" x14ac:dyDescent="0.35">
      <c r="B893" s="2122" t="str">
        <f>B869</f>
        <v>132 KV SIDE (SENDING)</v>
      </c>
      <c r="C893" s="2123"/>
      <c r="D893" s="689">
        <f>K873</f>
        <v>45927000</v>
      </c>
      <c r="E893"/>
      <c r="F893" s="2124" t="s">
        <v>1093</v>
      </c>
      <c r="G893" s="2125"/>
      <c r="H893" s="2126"/>
      <c r="I893" s="689">
        <f>L884</f>
        <v>0</v>
      </c>
      <c r="K893" s="2129" t="s">
        <v>4625</v>
      </c>
      <c r="L893" s="2130"/>
      <c r="M893" s="687">
        <f>I894</f>
        <v>46080000.000000045</v>
      </c>
      <c r="N893" s="632"/>
    </row>
    <row r="894" spans="1:15" s="620" customFormat="1" x14ac:dyDescent="0.35">
      <c r="B894" s="2122" t="s">
        <v>1116</v>
      </c>
      <c r="C894" s="2123"/>
      <c r="D894" s="689"/>
      <c r="E894"/>
      <c r="F894" s="2124" t="s">
        <v>4625</v>
      </c>
      <c r="G894" s="2125"/>
      <c r="H894" s="2126"/>
      <c r="I894" s="687">
        <f>L890</f>
        <v>46080000.000000045</v>
      </c>
      <c r="K894" s="2127" t="s">
        <v>2455</v>
      </c>
      <c r="L894" s="2128"/>
      <c r="M894" s="1908">
        <f>D898</f>
        <v>45820799.999999985</v>
      </c>
      <c r="N894" s="632"/>
    </row>
    <row r="895" spans="1:15" s="620" customFormat="1" x14ac:dyDescent="0.35">
      <c r="B895" s="2122" t="s">
        <v>1117</v>
      </c>
      <c r="C895" s="2123"/>
      <c r="D895" s="689"/>
      <c r="E895"/>
      <c r="F895" s="2124" t="s">
        <v>1089</v>
      </c>
      <c r="G895" s="2125"/>
      <c r="H895" s="2126"/>
      <c r="I895" s="689">
        <f>I893+I894</f>
        <v>46080000.000000045</v>
      </c>
      <c r="K895" s="2129" t="s">
        <v>4622</v>
      </c>
      <c r="L895" s="2130"/>
      <c r="M895" s="689">
        <f>M893-M894</f>
        <v>259200.0000000596</v>
      </c>
      <c r="N895" s="632"/>
    </row>
    <row r="896" spans="1:15" s="620" customFormat="1" ht="15" thickBot="1" x14ac:dyDescent="0.4">
      <c r="B896" s="2122" t="s">
        <v>1118</v>
      </c>
      <c r="C896" s="2123"/>
      <c r="D896" s="722"/>
      <c r="E896"/>
      <c r="F896" s="2131" t="s">
        <v>4626</v>
      </c>
      <c r="G896" s="2132"/>
      <c r="H896" s="2133"/>
      <c r="I896" s="689">
        <f>D897-I895</f>
        <v>-153000.0000000447</v>
      </c>
      <c r="K896" s="2134" t="s">
        <v>285</v>
      </c>
      <c r="L896" s="2135"/>
      <c r="M896" s="1905">
        <f>M895/M893</f>
        <v>5.6250000000012878E-3</v>
      </c>
      <c r="N896" s="632"/>
    </row>
    <row r="897" spans="1:15" s="620" customFormat="1" ht="15" thickBot="1" x14ac:dyDescent="0.4">
      <c r="B897" s="2109" t="s">
        <v>4620</v>
      </c>
      <c r="C897" s="2110"/>
      <c r="D897" s="1435">
        <f>SUM(D893:D896)</f>
        <v>45927000</v>
      </c>
      <c r="E897"/>
      <c r="F897" s="2113" t="s">
        <v>2454</v>
      </c>
      <c r="G897" s="2114"/>
      <c r="H897" s="2115"/>
      <c r="I897" s="1904">
        <f>I896/I895</f>
        <v>-3.320312500000967E-3</v>
      </c>
      <c r="K897" s="702"/>
      <c r="N897" s="632"/>
    </row>
    <row r="898" spans="1:15" s="620" customFormat="1" x14ac:dyDescent="0.35">
      <c r="B898" s="2116" t="s">
        <v>4624</v>
      </c>
      <c r="C898" s="2117"/>
      <c r="D898" s="1908">
        <f>K913</f>
        <v>45820799.999999985</v>
      </c>
      <c r="E898"/>
      <c r="F898" s="791"/>
      <c r="G898"/>
      <c r="H898"/>
      <c r="I898"/>
      <c r="J898"/>
      <c r="K898" s="702"/>
      <c r="N898" s="632"/>
    </row>
    <row r="899" spans="1:15" s="620" customFormat="1" x14ac:dyDescent="0.35">
      <c r="B899" s="2118" t="s">
        <v>4627</v>
      </c>
      <c r="C899" s="2119"/>
      <c r="D899" s="1436">
        <f>D897-D898</f>
        <v>106200.0000000149</v>
      </c>
      <c r="E899"/>
      <c r="F899" s="791"/>
      <c r="G899"/>
      <c r="H899"/>
      <c r="I899"/>
      <c r="J899"/>
      <c r="K899" s="702"/>
      <c r="N899" s="632"/>
    </row>
    <row r="900" spans="1:15" s="620" customFormat="1" ht="15" thickBot="1" x14ac:dyDescent="0.4">
      <c r="B900" s="2120" t="str">
        <f>K896</f>
        <v>LOSS % IN =&gt;</v>
      </c>
      <c r="C900" s="2121"/>
      <c r="D900" s="1899">
        <f>D899/D893</f>
        <v>2.3123652753285627E-3</v>
      </c>
      <c r="E900"/>
      <c r="F900" s="791"/>
      <c r="G900" s="678"/>
      <c r="H900" s="678"/>
      <c r="I900" s="678"/>
      <c r="J900" s="679"/>
      <c r="K900" s="702"/>
      <c r="N900" s="632"/>
    </row>
    <row r="901" spans="1:15" x14ac:dyDescent="0.35">
      <c r="A901" s="620"/>
      <c r="B901" s="635"/>
      <c r="C901" s="632"/>
      <c r="D901" s="720"/>
      <c r="G901" s="678"/>
      <c r="H901" s="678"/>
      <c r="I901" s="678"/>
      <c r="J901" s="679"/>
      <c r="K901" s="702"/>
      <c r="L901" s="620"/>
      <c r="M901" s="620"/>
      <c r="N901" s="632"/>
      <c r="O901" s="620"/>
    </row>
    <row r="902" spans="1:15" x14ac:dyDescent="0.35">
      <c r="A902" s="620"/>
      <c r="B902" s="635"/>
      <c r="C902" s="632"/>
      <c r="D902" s="720"/>
      <c r="G902" s="678"/>
      <c r="H902" s="678"/>
      <c r="I902" s="678"/>
      <c r="J902" s="679"/>
      <c r="K902" s="702"/>
      <c r="L902" s="620"/>
      <c r="M902" s="620"/>
      <c r="N902" s="632"/>
      <c r="O902" s="620"/>
    </row>
    <row r="903" spans="1:15" x14ac:dyDescent="0.35">
      <c r="A903" s="620"/>
      <c r="B903" s="635"/>
      <c r="C903" s="632"/>
      <c r="D903" s="720"/>
      <c r="E903" s="632"/>
      <c r="F903" s="620"/>
      <c r="G903" s="620"/>
      <c r="H903" s="620"/>
      <c r="I903" s="620"/>
      <c r="J903" s="620"/>
      <c r="K903" s="702"/>
      <c r="L903" s="620"/>
      <c r="M903" s="620"/>
      <c r="N903" s="632"/>
      <c r="O903" s="620"/>
    </row>
    <row r="904" spans="1:15" ht="25" x14ac:dyDescent="0.35">
      <c r="A904" s="2095" t="s">
        <v>1316</v>
      </c>
      <c r="B904" s="2095"/>
      <c r="C904" s="2095"/>
      <c r="D904" s="2095"/>
      <c r="E904" s="2095"/>
      <c r="F904" s="2095"/>
      <c r="G904" s="2095"/>
      <c r="H904" s="2095"/>
      <c r="I904" s="2095"/>
      <c r="J904" s="2095"/>
      <c r="K904" s="2095"/>
      <c r="L904" s="2095"/>
      <c r="M904" s="2095"/>
      <c r="N904" s="2095"/>
      <c r="O904" s="756" t="e">
        <f>$O$6</f>
        <v>#REF!</v>
      </c>
    </row>
    <row r="905" spans="1:15" ht="15.5" x14ac:dyDescent="0.35">
      <c r="A905" s="2096" t="s">
        <v>0</v>
      </c>
      <c r="B905" s="2098" t="s">
        <v>1</v>
      </c>
      <c r="C905" s="2100" t="s">
        <v>2</v>
      </c>
      <c r="D905" s="2101"/>
      <c r="E905" s="2102"/>
      <c r="F905" s="2103" t="s">
        <v>3</v>
      </c>
      <c r="G905" s="2100" t="s">
        <v>4</v>
      </c>
      <c r="H905" s="2102"/>
      <c r="I905" s="2085"/>
      <c r="J905" s="2103" t="s">
        <v>5</v>
      </c>
      <c r="K905" s="2100" t="s">
        <v>6</v>
      </c>
      <c r="L905" s="2085"/>
      <c r="M905" s="97" t="s">
        <v>32</v>
      </c>
      <c r="N905" s="98"/>
      <c r="O905" s="2084" t="s">
        <v>7</v>
      </c>
    </row>
    <row r="906" spans="1:15" ht="15.5" x14ac:dyDescent="0.35">
      <c r="A906" s="2111"/>
      <c r="B906" s="2112"/>
      <c r="C906" s="2086" t="s">
        <v>1108</v>
      </c>
      <c r="D906" s="2087"/>
      <c r="E906" s="675" t="s">
        <v>9</v>
      </c>
      <c r="F906" s="2111"/>
      <c r="G906" s="2">
        <f>'NORTH-1'!$G$8</f>
        <v>44774</v>
      </c>
      <c r="H906" s="2">
        <f>'NORTH-1'!$H$8</f>
        <v>44805</v>
      </c>
      <c r="I906" s="676" t="s">
        <v>10</v>
      </c>
      <c r="J906" s="2111"/>
      <c r="K906" s="676" t="s">
        <v>11</v>
      </c>
      <c r="L906" s="676" t="s">
        <v>12</v>
      </c>
      <c r="M906" s="715" t="s">
        <v>33</v>
      </c>
      <c r="N906" s="716" t="s">
        <v>47</v>
      </c>
      <c r="O906" s="2104"/>
    </row>
    <row r="907" spans="1:15" ht="15.5" x14ac:dyDescent="0.35">
      <c r="A907" s="717">
        <v>1</v>
      </c>
      <c r="B907" s="673">
        <v>2</v>
      </c>
      <c r="C907" s="2088">
        <v>4</v>
      </c>
      <c r="D907" s="2089"/>
      <c r="E907" s="673">
        <v>5</v>
      </c>
      <c r="F907" s="717">
        <v>7</v>
      </c>
      <c r="G907" s="717">
        <v>8</v>
      </c>
      <c r="H907" s="717">
        <v>9</v>
      </c>
      <c r="I907" s="717" t="s">
        <v>13</v>
      </c>
      <c r="J907" s="717">
        <v>11</v>
      </c>
      <c r="K907" s="717" t="s">
        <v>19</v>
      </c>
      <c r="L907" s="717" t="s">
        <v>20</v>
      </c>
      <c r="M907" s="717">
        <v>14</v>
      </c>
      <c r="N907" s="673">
        <v>15</v>
      </c>
      <c r="O907" s="717">
        <v>16</v>
      </c>
    </row>
    <row r="908" spans="1:15" ht="15.5" x14ac:dyDescent="0.35">
      <c r="A908" s="11"/>
      <c r="B908" s="624" t="s">
        <v>1100</v>
      </c>
      <c r="C908" s="625"/>
      <c r="D908" s="625"/>
      <c r="E908" s="625"/>
      <c r="F908" s="625"/>
      <c r="G908" s="625"/>
      <c r="H908" s="625"/>
      <c r="I908" s="625"/>
      <c r="J908" s="625"/>
      <c r="K908" s="695"/>
      <c r="L908" s="625"/>
      <c r="M908" s="626"/>
      <c r="N908" s="627"/>
      <c r="O908" s="8"/>
    </row>
    <row r="909" spans="1:15" ht="15.5" x14ac:dyDescent="0.35">
      <c r="A909" s="631">
        <v>15</v>
      </c>
      <c r="B909" s="100" t="s">
        <v>2925</v>
      </c>
      <c r="C909" s="52">
        <v>33</v>
      </c>
      <c r="D909" s="1770" t="s">
        <v>1650</v>
      </c>
      <c r="E909" s="52">
        <v>41812909533</v>
      </c>
      <c r="F909" s="4">
        <v>1</v>
      </c>
      <c r="G909" s="5">
        <v>706.32</v>
      </c>
      <c r="H909" s="5">
        <v>743.09</v>
      </c>
      <c r="I909" s="5">
        <f>H909-G909</f>
        <v>36.769999999999982</v>
      </c>
      <c r="J909" s="616">
        <v>720000</v>
      </c>
      <c r="K909" s="696">
        <f>F909*I909*J909</f>
        <v>26474399.999999985</v>
      </c>
      <c r="L909" s="7"/>
      <c r="M909" s="7"/>
      <c r="N909" s="78"/>
      <c r="O909" s="616" t="e">
        <f>SUM(L897+L899+L901+L903+L905+L907)</f>
        <v>#VALUE!</v>
      </c>
    </row>
    <row r="910" spans="1:15" ht="15.5" x14ac:dyDescent="0.35">
      <c r="A910" s="631"/>
      <c r="B910" s="100"/>
      <c r="C910" s="52">
        <v>33</v>
      </c>
      <c r="D910" s="1771" t="s">
        <v>1651</v>
      </c>
      <c r="E910" s="52">
        <v>41812909582</v>
      </c>
      <c r="F910" s="4">
        <v>1</v>
      </c>
      <c r="G910" s="5">
        <v>706.39</v>
      </c>
      <c r="H910" s="5">
        <v>743.16</v>
      </c>
      <c r="I910" s="5">
        <f>H910-G910</f>
        <v>36.769999999999982</v>
      </c>
      <c r="J910" s="616">
        <v>720000</v>
      </c>
      <c r="K910" s="696">
        <f>F910*I910*J910</f>
        <v>26474399.999999985</v>
      </c>
      <c r="L910" s="7"/>
      <c r="M910" s="7"/>
      <c r="N910" s="78"/>
      <c r="O910" s="616"/>
    </row>
    <row r="911" spans="1:15" ht="15.5" x14ac:dyDescent="0.35">
      <c r="A911" s="631">
        <v>16</v>
      </c>
      <c r="B911" s="100" t="s">
        <v>2926</v>
      </c>
      <c r="C911" s="52">
        <v>33</v>
      </c>
      <c r="D911" s="1771" t="s">
        <v>1650</v>
      </c>
      <c r="E911" s="52">
        <v>41812909479</v>
      </c>
      <c r="F911" s="4">
        <v>1</v>
      </c>
      <c r="G911" s="5">
        <v>544.66</v>
      </c>
      <c r="H911" s="5">
        <v>571.53</v>
      </c>
      <c r="I911" s="5">
        <f>H911-G911</f>
        <v>26.870000000000005</v>
      </c>
      <c r="J911" s="616">
        <v>720000</v>
      </c>
      <c r="K911" s="696">
        <f>F911*I911*J911</f>
        <v>19346400.000000004</v>
      </c>
      <c r="L911" s="7"/>
      <c r="M911" s="7"/>
      <c r="N911" s="78"/>
      <c r="O911" s="616"/>
    </row>
    <row r="912" spans="1:15" ht="15.5" x14ac:dyDescent="0.35">
      <c r="A912" s="631"/>
      <c r="B912" s="100"/>
      <c r="C912" s="52">
        <v>33</v>
      </c>
      <c r="D912" s="1772" t="s">
        <v>1651</v>
      </c>
      <c r="E912" s="52">
        <v>41812909622</v>
      </c>
      <c r="F912" s="4">
        <v>1</v>
      </c>
      <c r="G912" s="5">
        <v>544.59</v>
      </c>
      <c r="H912" s="5">
        <v>571.46</v>
      </c>
      <c r="I912" s="5">
        <f>H912-G912</f>
        <v>26.870000000000005</v>
      </c>
      <c r="J912" s="616">
        <v>720000</v>
      </c>
      <c r="K912" s="696">
        <f>F912*I912*J912</f>
        <v>19346400.000000004</v>
      </c>
      <c r="L912" s="7"/>
      <c r="M912" s="7"/>
      <c r="N912" s="78"/>
      <c r="O912" s="616"/>
    </row>
    <row r="913" spans="1:15" ht="15.5" x14ac:dyDescent="0.35">
      <c r="A913" s="631"/>
      <c r="B913" s="95"/>
      <c r="C913" s="89"/>
      <c r="D913" s="89"/>
      <c r="E913" s="89"/>
      <c r="F913" s="37"/>
      <c r="G913" s="37"/>
      <c r="H913" s="37"/>
      <c r="I913" s="37"/>
      <c r="J913" s="95" t="s">
        <v>30</v>
      </c>
      <c r="K913" s="1908">
        <f>K911+K909</f>
        <v>45820799.999999985</v>
      </c>
      <c r="L913" s="40"/>
      <c r="M913" s="40">
        <f>SUM(M909:M912)</f>
        <v>0</v>
      </c>
      <c r="N913" s="78"/>
      <c r="O913" s="616"/>
    </row>
    <row r="914" spans="1:15" ht="15.5" x14ac:dyDescent="0.35">
      <c r="A914" s="631"/>
      <c r="B914" s="647" t="s">
        <v>1103</v>
      </c>
      <c r="C914" s="648"/>
      <c r="D914" s="648"/>
      <c r="E914" s="648"/>
      <c r="F914" s="648"/>
      <c r="G914" s="648"/>
      <c r="H914" s="648"/>
      <c r="I914" s="648"/>
      <c r="J914" s="648"/>
      <c r="K914" s="700"/>
      <c r="L914" s="648"/>
      <c r="M914" s="651"/>
      <c r="N914" s="649"/>
      <c r="O914" s="616"/>
    </row>
    <row r="915" spans="1:15" ht="15.5" x14ac:dyDescent="0.35">
      <c r="A915" s="631"/>
      <c r="B915" s="662" t="s">
        <v>1106</v>
      </c>
      <c r="C915" s="52"/>
      <c r="D915" s="1777" t="s">
        <v>1083</v>
      </c>
      <c r="E915" s="52"/>
      <c r="F915" s="4"/>
      <c r="G915" s="5"/>
      <c r="H915" s="5"/>
      <c r="I915" s="6"/>
      <c r="J915" s="616"/>
      <c r="K915" s="696"/>
      <c r="L915" s="7"/>
      <c r="M915" s="7"/>
      <c r="N915" s="78"/>
      <c r="O915" s="616"/>
    </row>
    <row r="916" spans="1:15" ht="15.5" x14ac:dyDescent="0.35">
      <c r="A916" s="11">
        <v>9</v>
      </c>
      <c r="B916" s="100" t="s">
        <v>2927</v>
      </c>
      <c r="C916" s="661">
        <v>33</v>
      </c>
      <c r="D916" s="1773" t="s">
        <v>1650</v>
      </c>
      <c r="E916" s="674">
        <v>41812909465</v>
      </c>
      <c r="F916" s="4">
        <v>1</v>
      </c>
      <c r="G916" s="21">
        <v>715.36</v>
      </c>
      <c r="H916" s="21">
        <v>745.78</v>
      </c>
      <c r="I916" s="21">
        <f t="shared" ref="I916:I925" si="28">H916-G916</f>
        <v>30.419999999999959</v>
      </c>
      <c r="J916" s="616">
        <v>240000</v>
      </c>
      <c r="K916" s="696"/>
      <c r="L916" s="22">
        <f t="shared" ref="L916:L924" si="29">F916*I916*J916</f>
        <v>7300799.9999999898</v>
      </c>
      <c r="M916" s="22"/>
      <c r="N916" s="82"/>
      <c r="O916" s="9" t="s">
        <v>2928</v>
      </c>
    </row>
    <row r="917" spans="1:15" ht="15.5" x14ac:dyDescent="0.35">
      <c r="A917" s="11"/>
      <c r="B917" s="100"/>
      <c r="C917" s="661">
        <v>33</v>
      </c>
      <c r="D917" s="1773" t="s">
        <v>1651</v>
      </c>
      <c r="E917" s="674">
        <v>41812909596</v>
      </c>
      <c r="F917" s="4">
        <v>1</v>
      </c>
      <c r="G917" s="21">
        <v>715.17</v>
      </c>
      <c r="H917" s="21">
        <v>745.59</v>
      </c>
      <c r="I917" s="21">
        <f t="shared" si="28"/>
        <v>30.420000000000073</v>
      </c>
      <c r="J917" s="616">
        <v>240000</v>
      </c>
      <c r="K917" s="696"/>
      <c r="L917" s="22">
        <f t="shared" si="29"/>
        <v>7300800.0000000177</v>
      </c>
      <c r="M917" s="22"/>
      <c r="N917" s="82"/>
      <c r="O917" s="9" t="e">
        <f>(L915-K948)/L915*100</f>
        <v>#DIV/0!</v>
      </c>
    </row>
    <row r="918" spans="1:15" ht="15.5" x14ac:dyDescent="0.35">
      <c r="A918" s="11">
        <v>13</v>
      </c>
      <c r="B918" s="100" t="s">
        <v>2929</v>
      </c>
      <c r="C918" s="661">
        <v>33</v>
      </c>
      <c r="D918" s="1773" t="s">
        <v>1650</v>
      </c>
      <c r="E918" s="674">
        <v>41812909536</v>
      </c>
      <c r="F918" s="4">
        <v>1</v>
      </c>
      <c r="G918" s="21">
        <v>44.57</v>
      </c>
      <c r="H918" s="21">
        <v>52.55</v>
      </c>
      <c r="I918" s="21">
        <f t="shared" si="28"/>
        <v>7.9799999999999969</v>
      </c>
      <c r="J918" s="616">
        <v>360000</v>
      </c>
      <c r="K918" s="696"/>
      <c r="L918" s="22">
        <f t="shared" si="29"/>
        <v>2872799.9999999991</v>
      </c>
      <c r="M918" s="22"/>
      <c r="N918" s="82"/>
      <c r="O918" s="9" t="e">
        <f>(K922-O922)/K922*100</f>
        <v>#VALUE!</v>
      </c>
    </row>
    <row r="919" spans="1:15" ht="15.5" x14ac:dyDescent="0.35">
      <c r="A919" s="11"/>
      <c r="B919" s="100"/>
      <c r="C919" s="661">
        <v>33</v>
      </c>
      <c r="D919" s="1773" t="s">
        <v>1651</v>
      </c>
      <c r="E919" s="674">
        <v>41812909578</v>
      </c>
      <c r="F919" s="4">
        <v>1</v>
      </c>
      <c r="G919" s="21">
        <v>44.58</v>
      </c>
      <c r="H919" s="21">
        <v>52.56</v>
      </c>
      <c r="I919" s="21">
        <f t="shared" si="28"/>
        <v>7.980000000000004</v>
      </c>
      <c r="J919" s="616">
        <v>360000</v>
      </c>
      <c r="K919" s="696"/>
      <c r="L919" s="22">
        <f t="shared" si="29"/>
        <v>2872800.0000000014</v>
      </c>
      <c r="M919" s="22"/>
      <c r="N919" s="82"/>
      <c r="O919" s="9"/>
    </row>
    <row r="920" spans="1:15" ht="15.5" x14ac:dyDescent="0.35">
      <c r="A920" s="11">
        <v>14</v>
      </c>
      <c r="B920" s="100" t="s">
        <v>2930</v>
      </c>
      <c r="C920" s="661">
        <v>33</v>
      </c>
      <c r="D920" s="1773" t="s">
        <v>1650</v>
      </c>
      <c r="E920" s="674">
        <v>41812909554</v>
      </c>
      <c r="F920" s="4">
        <v>1</v>
      </c>
      <c r="G920" s="21">
        <v>737.17</v>
      </c>
      <c r="H920" s="21">
        <v>767.59</v>
      </c>
      <c r="I920" s="21">
        <f t="shared" si="28"/>
        <v>30.420000000000073</v>
      </c>
      <c r="J920" s="616">
        <v>240000</v>
      </c>
      <c r="K920" s="696"/>
      <c r="L920" s="22">
        <f t="shared" si="29"/>
        <v>7300800.0000000177</v>
      </c>
      <c r="M920" s="22"/>
      <c r="N920" s="82"/>
      <c r="O920" s="9"/>
    </row>
    <row r="921" spans="1:15" ht="15.5" x14ac:dyDescent="0.35">
      <c r="A921" s="631"/>
      <c r="B921" s="100"/>
      <c r="C921" s="661">
        <v>33</v>
      </c>
      <c r="D921" s="1773" t="s">
        <v>1651</v>
      </c>
      <c r="E921" s="674">
        <v>41812909613</v>
      </c>
      <c r="F921" s="4">
        <v>1</v>
      </c>
      <c r="G921" s="21">
        <v>736.46</v>
      </c>
      <c r="H921" s="21">
        <v>766.84</v>
      </c>
      <c r="I921" s="21">
        <f t="shared" si="28"/>
        <v>30.379999999999995</v>
      </c>
      <c r="J921" s="616">
        <v>240000</v>
      </c>
      <c r="K921" s="696"/>
      <c r="L921" s="22">
        <f t="shared" si="29"/>
        <v>7291199.9999999991</v>
      </c>
      <c r="M921" s="22"/>
      <c r="N921" s="82"/>
      <c r="O921" s="616" t="s">
        <v>2931</v>
      </c>
    </row>
    <row r="922" spans="1:15" ht="15.5" x14ac:dyDescent="0.35">
      <c r="A922" s="631">
        <v>17</v>
      </c>
      <c r="B922" s="100" t="s">
        <v>2932</v>
      </c>
      <c r="C922" s="661">
        <v>33</v>
      </c>
      <c r="D922" s="1773" t="s">
        <v>1650</v>
      </c>
      <c r="E922" s="674">
        <v>41812909544</v>
      </c>
      <c r="F922" s="4">
        <v>1</v>
      </c>
      <c r="G922" s="21">
        <v>673.32</v>
      </c>
      <c r="H922" s="21">
        <v>696.65</v>
      </c>
      <c r="I922" s="21">
        <f t="shared" si="28"/>
        <v>23.329999999999927</v>
      </c>
      <c r="J922" s="616">
        <v>240000</v>
      </c>
      <c r="K922" s="696"/>
      <c r="L922" s="22">
        <f t="shared" si="29"/>
        <v>5599199.9999999823</v>
      </c>
      <c r="M922" s="22"/>
      <c r="N922" s="82"/>
      <c r="O922" s="616" t="s">
        <v>2933</v>
      </c>
    </row>
    <row r="923" spans="1:15" ht="15.5" x14ac:dyDescent="0.35">
      <c r="A923" s="631"/>
      <c r="B923" s="100"/>
      <c r="C923" s="661">
        <v>33</v>
      </c>
      <c r="D923" s="1773" t="s">
        <v>1651</v>
      </c>
      <c r="E923" s="674">
        <v>41812909614</v>
      </c>
      <c r="F923" s="4">
        <v>1</v>
      </c>
      <c r="G923" s="21">
        <v>673.34</v>
      </c>
      <c r="H923" s="21">
        <v>696.65</v>
      </c>
      <c r="I923" s="21">
        <f t="shared" si="28"/>
        <v>23.309999999999945</v>
      </c>
      <c r="J923" s="616">
        <v>240000</v>
      </c>
      <c r="K923" s="696"/>
      <c r="L923" s="22">
        <f t="shared" si="29"/>
        <v>5594399.999999987</v>
      </c>
      <c r="M923" s="22"/>
      <c r="N923" s="82"/>
      <c r="O923" s="616">
        <f>SUM(L922+L924+L926+L928+L930+L932)</f>
        <v>44866799.99999997</v>
      </c>
    </row>
    <row r="924" spans="1:15" ht="15.5" x14ac:dyDescent="0.35">
      <c r="A924" s="616">
        <v>22</v>
      </c>
      <c r="B924" s="100" t="s">
        <v>2934</v>
      </c>
      <c r="C924" s="661">
        <v>33</v>
      </c>
      <c r="D924" s="1773" t="s">
        <v>1650</v>
      </c>
      <c r="E924" s="674">
        <v>41812909506</v>
      </c>
      <c r="F924" s="4">
        <v>1</v>
      </c>
      <c r="G924" s="21">
        <v>325.37</v>
      </c>
      <c r="H924" s="21">
        <v>340.14</v>
      </c>
      <c r="I924" s="21">
        <f t="shared" si="28"/>
        <v>14.769999999999982</v>
      </c>
      <c r="J924" s="616">
        <v>240000</v>
      </c>
      <c r="K924" s="696"/>
      <c r="L924" s="22">
        <f t="shared" si="29"/>
        <v>3544799.9999999958</v>
      </c>
      <c r="M924" s="22"/>
      <c r="N924" s="82"/>
      <c r="O924" s="616"/>
    </row>
    <row r="925" spans="1:15" ht="15.5" x14ac:dyDescent="0.35">
      <c r="A925" s="616"/>
      <c r="B925" s="100"/>
      <c r="C925" s="661">
        <v>33</v>
      </c>
      <c r="D925" s="1773" t="s">
        <v>1651</v>
      </c>
      <c r="E925" s="674">
        <v>41812909602</v>
      </c>
      <c r="F925" s="4">
        <v>1</v>
      </c>
      <c r="G925" s="21">
        <v>325.51</v>
      </c>
      <c r="H925" s="21">
        <v>340.23</v>
      </c>
      <c r="I925" s="21">
        <f t="shared" si="28"/>
        <v>14.720000000000027</v>
      </c>
      <c r="J925" s="616">
        <v>240000</v>
      </c>
      <c r="K925" s="696"/>
      <c r="L925" s="22">
        <f>F925*I925*J925</f>
        <v>3532800.0000000065</v>
      </c>
      <c r="M925" s="22"/>
      <c r="N925" s="82"/>
      <c r="O925" s="12"/>
    </row>
    <row r="926" spans="1:15" ht="15.5" x14ac:dyDescent="0.35">
      <c r="A926" s="616"/>
      <c r="B926" s="662" t="s">
        <v>1107</v>
      </c>
      <c r="C926" s="89"/>
      <c r="D926" s="1773"/>
      <c r="E926" s="89"/>
      <c r="F926" s="37"/>
      <c r="G926" s="37"/>
      <c r="H926" s="37"/>
      <c r="I926" s="37"/>
      <c r="J926" s="95" t="s">
        <v>30</v>
      </c>
      <c r="K926" s="696"/>
      <c r="L926" s="43">
        <f>L916+L918+L920+L922+L924</f>
        <v>26618399.999999985</v>
      </c>
      <c r="M926" s="43">
        <f>SUM(M916:M925)</f>
        <v>0</v>
      </c>
      <c r="N926" s="83"/>
      <c r="O926" s="12"/>
    </row>
    <row r="927" spans="1:15" ht="15.5" x14ac:dyDescent="0.35">
      <c r="A927" s="636">
        <v>10</v>
      </c>
      <c r="B927" s="100" t="s">
        <v>2935</v>
      </c>
      <c r="C927" s="661">
        <v>33</v>
      </c>
      <c r="D927" s="1773" t="s">
        <v>1650</v>
      </c>
      <c r="E927" s="674">
        <v>41812909534</v>
      </c>
      <c r="F927" s="4">
        <v>1</v>
      </c>
      <c r="G927" s="6"/>
      <c r="H927" s="6"/>
      <c r="I927" s="20">
        <f t="shared" ref="I927:I940" si="30">H927-G927</f>
        <v>0</v>
      </c>
      <c r="J927" s="616">
        <v>360000</v>
      </c>
      <c r="K927" s="703"/>
      <c r="L927" s="22">
        <f t="shared" ref="L927:L940" si="31">F927*I927*J927</f>
        <v>0</v>
      </c>
      <c r="M927" s="22"/>
      <c r="N927" s="82"/>
      <c r="O927" s="15"/>
    </row>
    <row r="928" spans="1:15" ht="15.5" x14ac:dyDescent="0.35">
      <c r="A928" s="636"/>
      <c r="B928" s="100"/>
      <c r="C928" s="661">
        <v>33</v>
      </c>
      <c r="D928" s="1773" t="s">
        <v>1651</v>
      </c>
      <c r="E928" s="691">
        <v>41812909580</v>
      </c>
      <c r="F928" s="4">
        <v>1</v>
      </c>
      <c r="G928" s="6"/>
      <c r="H928" s="6"/>
      <c r="I928" s="20">
        <f t="shared" si="30"/>
        <v>0</v>
      </c>
      <c r="J928" s="616">
        <v>360000</v>
      </c>
      <c r="K928" s="704"/>
      <c r="L928" s="22">
        <f t="shared" si="31"/>
        <v>0</v>
      </c>
      <c r="M928" s="22"/>
      <c r="N928" s="82"/>
      <c r="O928" s="14" t="s">
        <v>2936</v>
      </c>
    </row>
    <row r="929" spans="1:15" ht="15.5" x14ac:dyDescent="0.35">
      <c r="A929" s="636">
        <v>11</v>
      </c>
      <c r="B929" s="100" t="s">
        <v>2944</v>
      </c>
      <c r="C929" s="661">
        <v>33</v>
      </c>
      <c r="D929" s="1773" t="s">
        <v>1650</v>
      </c>
      <c r="E929" s="691">
        <v>41812909531</v>
      </c>
      <c r="F929" s="4">
        <v>1</v>
      </c>
      <c r="G929" s="6">
        <v>400.37</v>
      </c>
      <c r="H929" s="6">
        <v>425.66</v>
      </c>
      <c r="I929" s="20">
        <f t="shared" si="30"/>
        <v>25.29000000000002</v>
      </c>
      <c r="J929" s="616">
        <v>360000</v>
      </c>
      <c r="K929" s="704"/>
      <c r="L929" s="22">
        <f t="shared" si="31"/>
        <v>9104400.0000000075</v>
      </c>
      <c r="M929" s="22"/>
      <c r="N929" s="82"/>
      <c r="O929" s="14" t="e">
        <f>(K954-L954)/K954*100</f>
        <v>#DIV/0!</v>
      </c>
    </row>
    <row r="930" spans="1:15" ht="15.5" x14ac:dyDescent="0.35">
      <c r="A930" s="636"/>
      <c r="B930" s="100"/>
      <c r="C930" s="661">
        <v>33</v>
      </c>
      <c r="D930" s="1773" t="s">
        <v>1651</v>
      </c>
      <c r="E930" s="674">
        <v>41812909581</v>
      </c>
      <c r="F930" s="4">
        <v>1</v>
      </c>
      <c r="G930" s="6">
        <v>400.32</v>
      </c>
      <c r="H930" s="6">
        <v>425.61</v>
      </c>
      <c r="I930" s="20">
        <f t="shared" si="30"/>
        <v>25.29000000000002</v>
      </c>
      <c r="J930" s="616">
        <v>360000</v>
      </c>
      <c r="K930" s="704"/>
      <c r="L930" s="22">
        <f t="shared" si="31"/>
        <v>9104400.0000000075</v>
      </c>
      <c r="M930" s="22"/>
      <c r="N930" s="82"/>
      <c r="O930" s="14"/>
    </row>
    <row r="931" spans="1:15" ht="15.5" x14ac:dyDescent="0.35">
      <c r="A931" s="636">
        <v>12</v>
      </c>
      <c r="B931" s="100" t="s">
        <v>2937</v>
      </c>
      <c r="C931" s="661">
        <v>33</v>
      </c>
      <c r="D931" s="1773" t="s">
        <v>1650</v>
      </c>
      <c r="E931" s="674">
        <v>41812909529</v>
      </c>
      <c r="F931" s="4">
        <v>1</v>
      </c>
      <c r="G931" s="6"/>
      <c r="H931" s="6"/>
      <c r="I931" s="20">
        <f t="shared" si="30"/>
        <v>0</v>
      </c>
      <c r="J931" s="616">
        <v>360000</v>
      </c>
      <c r="K931" s="703"/>
      <c r="L931" s="22">
        <f t="shared" si="31"/>
        <v>0</v>
      </c>
      <c r="M931" s="22"/>
      <c r="N931" s="82"/>
      <c r="O931" s="15"/>
    </row>
    <row r="932" spans="1:15" ht="15.5" x14ac:dyDescent="0.35">
      <c r="A932" s="636"/>
      <c r="B932" s="100"/>
      <c r="C932" s="661">
        <v>33</v>
      </c>
      <c r="D932" s="1773" t="s">
        <v>1651</v>
      </c>
      <c r="E932" s="674">
        <v>41812909574</v>
      </c>
      <c r="F932" s="4">
        <v>1</v>
      </c>
      <c r="G932" s="6"/>
      <c r="H932" s="6"/>
      <c r="I932" s="20">
        <f t="shared" si="30"/>
        <v>0</v>
      </c>
      <c r="J932" s="616">
        <v>360000</v>
      </c>
      <c r="K932" s="704"/>
      <c r="L932" s="22">
        <f t="shared" si="31"/>
        <v>0</v>
      </c>
      <c r="M932" s="22"/>
      <c r="N932" s="82"/>
      <c r="O932" s="10" t="s">
        <v>2938</v>
      </c>
    </row>
    <row r="933" spans="1:15" ht="15.5" x14ac:dyDescent="0.35">
      <c r="A933" s="636">
        <v>18</v>
      </c>
      <c r="B933" s="100" t="s">
        <v>2939</v>
      </c>
      <c r="C933" s="661">
        <v>33</v>
      </c>
      <c r="D933" s="1773" t="s">
        <v>1650</v>
      </c>
      <c r="E933" s="674">
        <v>41812909545</v>
      </c>
      <c r="F933" s="4">
        <v>1</v>
      </c>
      <c r="G933" s="6"/>
      <c r="H933" s="6"/>
      <c r="I933" s="20">
        <f t="shared" si="30"/>
        <v>0</v>
      </c>
      <c r="J933" s="616">
        <v>360000</v>
      </c>
      <c r="K933" s="703"/>
      <c r="L933" s="22">
        <f t="shared" si="31"/>
        <v>0</v>
      </c>
      <c r="M933" s="22"/>
      <c r="N933" s="82"/>
      <c r="O933" s="13" t="s">
        <v>2940</v>
      </c>
    </row>
    <row r="934" spans="1:15" ht="15.5" x14ac:dyDescent="0.35">
      <c r="A934" s="636"/>
      <c r="B934" s="100"/>
      <c r="C934" s="661">
        <v>33</v>
      </c>
      <c r="D934" s="1773" t="s">
        <v>1651</v>
      </c>
      <c r="E934" s="674">
        <v>41812909618</v>
      </c>
      <c r="F934" s="4">
        <v>1</v>
      </c>
      <c r="G934" s="6"/>
      <c r="H934" s="6"/>
      <c r="I934" s="20">
        <f t="shared" si="30"/>
        <v>0</v>
      </c>
      <c r="J934" s="616">
        <v>360000</v>
      </c>
      <c r="K934" s="703"/>
      <c r="L934" s="22">
        <f t="shared" si="31"/>
        <v>0</v>
      </c>
      <c r="M934" s="22"/>
      <c r="N934" s="82"/>
      <c r="O934" s="13" t="e">
        <f>(K929-O932)/K929*100</f>
        <v>#VALUE!</v>
      </c>
    </row>
    <row r="935" spans="1:15" ht="15.5" x14ac:dyDescent="0.35">
      <c r="A935" s="636">
        <v>19</v>
      </c>
      <c r="B935" s="100" t="s">
        <v>2941</v>
      </c>
      <c r="C935" s="661">
        <v>33</v>
      </c>
      <c r="D935" s="1773" t="s">
        <v>1650</v>
      </c>
      <c r="E935" s="674">
        <v>41812909481</v>
      </c>
      <c r="F935" s="4">
        <v>1</v>
      </c>
      <c r="G935" s="6"/>
      <c r="H935" s="6"/>
      <c r="I935" s="20">
        <f t="shared" si="30"/>
        <v>0</v>
      </c>
      <c r="J935" s="616">
        <v>360000</v>
      </c>
      <c r="K935" s="703"/>
      <c r="L935" s="22">
        <f t="shared" si="31"/>
        <v>0</v>
      </c>
      <c r="M935" s="22"/>
      <c r="N935" s="82"/>
      <c r="O935" s="13"/>
    </row>
    <row r="936" spans="1:15" ht="15.5" x14ac:dyDescent="0.35">
      <c r="A936" s="636"/>
      <c r="B936" s="100"/>
      <c r="C936" s="661">
        <v>33</v>
      </c>
      <c r="D936" s="1773" t="s">
        <v>1651</v>
      </c>
      <c r="E936" s="674">
        <v>41812909560</v>
      </c>
      <c r="F936" s="4">
        <v>1</v>
      </c>
      <c r="G936" s="6"/>
      <c r="H936" s="6"/>
      <c r="I936" s="20">
        <f t="shared" si="30"/>
        <v>0</v>
      </c>
      <c r="J936" s="616">
        <v>360000</v>
      </c>
      <c r="K936" s="703"/>
      <c r="L936" s="22">
        <f t="shared" si="31"/>
        <v>0</v>
      </c>
      <c r="M936" s="22"/>
      <c r="N936" s="82"/>
      <c r="O936" s="13"/>
    </row>
    <row r="937" spans="1:15" ht="15.5" x14ac:dyDescent="0.35">
      <c r="A937" s="636">
        <v>20</v>
      </c>
      <c r="B937" s="101" t="s">
        <v>2942</v>
      </c>
      <c r="C937" s="661">
        <v>33</v>
      </c>
      <c r="D937" s="1773" t="s">
        <v>1650</v>
      </c>
      <c r="E937" s="674">
        <v>41812909523</v>
      </c>
      <c r="F937" s="4">
        <v>1</v>
      </c>
      <c r="G937" s="6"/>
      <c r="H937" s="6">
        <v>0</v>
      </c>
      <c r="I937" s="20">
        <f t="shared" si="30"/>
        <v>0</v>
      </c>
      <c r="J937" s="616">
        <v>360000</v>
      </c>
      <c r="K937" s="705"/>
      <c r="L937" s="22">
        <f t="shared" si="31"/>
        <v>0</v>
      </c>
      <c r="M937" s="22"/>
      <c r="N937" s="82"/>
      <c r="O937" s="30"/>
    </row>
    <row r="938" spans="1:15" ht="15.5" x14ac:dyDescent="0.35">
      <c r="A938" s="636"/>
      <c r="B938" s="100"/>
      <c r="C938" s="661">
        <v>33</v>
      </c>
      <c r="D938" s="1773" t="s">
        <v>1651</v>
      </c>
      <c r="E938" s="674">
        <v>41812909565</v>
      </c>
      <c r="F938" s="4">
        <v>1</v>
      </c>
      <c r="G938" s="6"/>
      <c r="H938" s="6">
        <v>0</v>
      </c>
      <c r="I938" s="20">
        <f t="shared" si="30"/>
        <v>0</v>
      </c>
      <c r="J938" s="616">
        <v>360000</v>
      </c>
      <c r="K938" s="696"/>
      <c r="L938" s="22">
        <f t="shared" si="31"/>
        <v>0</v>
      </c>
      <c r="M938" s="22"/>
      <c r="N938" s="82"/>
      <c r="O938" s="616"/>
    </row>
    <row r="939" spans="1:15" ht="15.5" x14ac:dyDescent="0.35">
      <c r="A939" s="636">
        <v>21</v>
      </c>
      <c r="B939" s="101" t="s">
        <v>2943</v>
      </c>
      <c r="C939" s="661">
        <v>33</v>
      </c>
      <c r="D939" s="1773" t="s">
        <v>1650</v>
      </c>
      <c r="E939" s="674">
        <v>41812909521</v>
      </c>
      <c r="F939" s="4">
        <v>1</v>
      </c>
      <c r="G939" s="6">
        <v>423.98</v>
      </c>
      <c r="H939" s="6">
        <v>452.35</v>
      </c>
      <c r="I939" s="20">
        <f t="shared" si="30"/>
        <v>28.370000000000005</v>
      </c>
      <c r="J939" s="616">
        <v>360000</v>
      </c>
      <c r="K939" s="705"/>
      <c r="L939" s="22">
        <f t="shared" si="31"/>
        <v>10213200.000000002</v>
      </c>
      <c r="M939" s="22"/>
      <c r="N939" s="82"/>
      <c r="O939" s="13"/>
    </row>
    <row r="940" spans="1:15" ht="15.5" x14ac:dyDescent="0.35">
      <c r="A940" s="636"/>
      <c r="B940" s="100"/>
      <c r="C940" s="661">
        <v>33</v>
      </c>
      <c r="D940" s="1850" t="s">
        <v>1651</v>
      </c>
      <c r="E940" s="674">
        <v>41812909563</v>
      </c>
      <c r="F940" s="4">
        <v>1</v>
      </c>
      <c r="G940" s="6">
        <v>424.12</v>
      </c>
      <c r="H940" s="6">
        <v>452.51</v>
      </c>
      <c r="I940" s="20">
        <f t="shared" si="30"/>
        <v>28.389999999999986</v>
      </c>
      <c r="J940" s="616">
        <v>360000</v>
      </c>
      <c r="K940" s="696"/>
      <c r="L940" s="22">
        <f t="shared" si="31"/>
        <v>10220399.999999994</v>
      </c>
      <c r="M940" s="22"/>
      <c r="N940" s="82"/>
      <c r="O940" s="616"/>
    </row>
    <row r="941" spans="1:15" ht="15.5" x14ac:dyDescent="0.35">
      <c r="A941" s="636"/>
      <c r="B941" s="96"/>
      <c r="C941" s="90"/>
      <c r="D941" s="90"/>
      <c r="E941" s="90"/>
      <c r="F941" s="38"/>
      <c r="G941" s="38"/>
      <c r="H941" s="38"/>
      <c r="I941" s="38"/>
      <c r="J941" s="95" t="s">
        <v>30</v>
      </c>
      <c r="K941" s="696"/>
      <c r="L941" s="43">
        <f>L927+L929+L931+L933+L935+L937+L939</f>
        <v>19317600.000000007</v>
      </c>
      <c r="M941" s="43">
        <f>SUM(M927:M940)</f>
        <v>0</v>
      </c>
      <c r="N941" s="83"/>
      <c r="O941" s="13"/>
    </row>
    <row r="942" spans="1:15" ht="20" x14ac:dyDescent="0.35">
      <c r="A942" s="636"/>
      <c r="B942" s="96"/>
      <c r="C942" s="90"/>
      <c r="D942" s="90"/>
      <c r="E942" s="90"/>
      <c r="F942" s="38"/>
      <c r="G942" s="38"/>
      <c r="H942" s="38"/>
      <c r="I942" s="2107" t="s">
        <v>44</v>
      </c>
      <c r="J942" s="2108"/>
      <c r="K942" s="698">
        <f>K913</f>
        <v>45820799.999999985</v>
      </c>
      <c r="L942" s="44">
        <f>L926+L941</f>
        <v>45935999.999999993</v>
      </c>
      <c r="M942" s="44">
        <f>M941+M926</f>
        <v>0</v>
      </c>
      <c r="N942" s="1908">
        <f>(M942-L942)/L942*100</f>
        <v>-100</v>
      </c>
      <c r="O942" s="29"/>
    </row>
    <row r="943" spans="1:15" x14ac:dyDescent="0.35">
      <c r="A943" s="620"/>
      <c r="B943" s="635"/>
      <c r="C943" s="632"/>
      <c r="D943" s="720"/>
      <c r="K943" s="702"/>
      <c r="L943" s="620"/>
      <c r="M943" s="620"/>
      <c r="N943" s="632"/>
      <c r="O943" s="620"/>
    </row>
    <row r="944" spans="1:15" ht="15" x14ac:dyDescent="0.35">
      <c r="A944" s="620"/>
      <c r="D944" s="725"/>
      <c r="G944" s="2092" t="s">
        <v>1096</v>
      </c>
      <c r="H944" s="2092"/>
      <c r="I944" s="2092"/>
      <c r="J944" s="677" t="s">
        <v>14</v>
      </c>
      <c r="K944" s="69" t="s">
        <v>1098</v>
      </c>
      <c r="L944" s="1853"/>
      <c r="M944" s="620"/>
      <c r="N944" s="632"/>
      <c r="O944" s="620"/>
    </row>
    <row r="945" spans="1:15" ht="17.5" x14ac:dyDescent="0.35">
      <c r="A945" s="620"/>
      <c r="D945" s="725"/>
      <c r="G945" s="2093" t="s">
        <v>1071</v>
      </c>
      <c r="H945" s="2093"/>
      <c r="I945" s="2093"/>
      <c r="J945" s="692">
        <f>M926</f>
        <v>0</v>
      </c>
      <c r="K945" s="70">
        <v>6.933634163553025</v>
      </c>
      <c r="L945" s="620"/>
      <c r="M945" s="620"/>
      <c r="N945" s="632"/>
      <c r="O945" s="620"/>
    </row>
    <row r="946" spans="1:15" ht="17.5" x14ac:dyDescent="0.35">
      <c r="A946" s="620"/>
      <c r="D946" s="725"/>
      <c r="G946" s="2093" t="s">
        <v>206</v>
      </c>
      <c r="H946" s="2093"/>
      <c r="I946" s="2093"/>
      <c r="J946" s="692">
        <f>M927+M928+M929</f>
        <v>0</v>
      </c>
      <c r="K946" s="70">
        <v>-0.33769527905653496</v>
      </c>
      <c r="L946" s="620"/>
      <c r="M946" s="620"/>
      <c r="N946" s="632"/>
      <c r="O946" s="620"/>
    </row>
    <row r="947" spans="1:15" ht="17.5" x14ac:dyDescent="0.35">
      <c r="A947" s="620"/>
      <c r="D947" s="725"/>
      <c r="G947" s="2093" t="s">
        <v>207</v>
      </c>
      <c r="H947" s="2093"/>
      <c r="I947" s="2093"/>
      <c r="J947" s="692">
        <f>M930+M931</f>
        <v>0</v>
      </c>
      <c r="K947" s="70"/>
      <c r="L947" s="620"/>
      <c r="M947" s="620"/>
      <c r="N947" s="632"/>
      <c r="O947" s="620"/>
    </row>
    <row r="948" spans="1:15" ht="17.5" x14ac:dyDescent="0.35">
      <c r="A948" s="620"/>
      <c r="D948" s="725"/>
      <c r="G948" s="2093" t="s">
        <v>208</v>
      </c>
      <c r="H948" s="2093"/>
      <c r="I948" s="2093"/>
      <c r="J948" s="692">
        <f>M932</f>
        <v>0</v>
      </c>
      <c r="K948" s="70">
        <v>0.58957194954853154</v>
      </c>
      <c r="L948" s="620"/>
      <c r="M948" s="620"/>
      <c r="N948" s="632"/>
      <c r="O948" s="620"/>
    </row>
    <row r="949" spans="1:15" ht="17.5" x14ac:dyDescent="0.35">
      <c r="A949" s="620"/>
      <c r="B949" s="635"/>
      <c r="C949" s="632"/>
      <c r="D949" s="720"/>
      <c r="G949" s="2093" t="s">
        <v>209</v>
      </c>
      <c r="H949" s="2093"/>
      <c r="I949" s="2093"/>
      <c r="J949" s="692">
        <f>M933</f>
        <v>0</v>
      </c>
      <c r="K949" s="70"/>
      <c r="L949" s="620"/>
      <c r="M949" s="620"/>
      <c r="N949" s="632"/>
      <c r="O949" s="620"/>
    </row>
    <row r="950" spans="1:15" ht="17.5" x14ac:dyDescent="0.35">
      <c r="A950" s="620"/>
      <c r="B950" s="635"/>
      <c r="C950" s="632"/>
      <c r="D950" s="720"/>
      <c r="G950" s="2093" t="s">
        <v>40</v>
      </c>
      <c r="H950" s="2093"/>
      <c r="I950" s="2093"/>
      <c r="J950" s="692">
        <f>M937+M938</f>
        <v>0</v>
      </c>
      <c r="K950" s="70">
        <v>2.4391608198671739</v>
      </c>
      <c r="L950" s="620"/>
      <c r="M950" s="620"/>
      <c r="N950" s="632"/>
      <c r="O950" s="620"/>
    </row>
    <row r="951" spans="1:15" x14ac:dyDescent="0.35">
      <c r="A951" s="620"/>
      <c r="B951" s="635"/>
      <c r="C951" s="632"/>
      <c r="D951" s="720"/>
      <c r="G951" s="2094" t="s">
        <v>42</v>
      </c>
      <c r="H951" s="2094"/>
      <c r="I951" s="2094"/>
      <c r="J951" s="693">
        <f>M939</f>
        <v>0</v>
      </c>
      <c r="K951" s="694" t="s">
        <v>1097</v>
      </c>
      <c r="L951" s="620"/>
      <c r="M951" s="620"/>
      <c r="N951" s="632"/>
      <c r="O951" s="620"/>
    </row>
    <row r="952" spans="1:15" ht="18" thickBot="1" x14ac:dyDescent="0.4">
      <c r="A952" s="620"/>
      <c r="B952" s="635"/>
      <c r="C952" s="632"/>
      <c r="D952" s="720"/>
      <c r="E952" s="632"/>
      <c r="F952" s="620"/>
      <c r="G952" s="2093" t="s">
        <v>41</v>
      </c>
      <c r="H952" s="2093"/>
      <c r="I952" s="2093"/>
      <c r="J952" s="692">
        <f>M940</f>
        <v>0</v>
      </c>
      <c r="K952" s="681">
        <v>1.4463055987403735</v>
      </c>
      <c r="L952" s="620"/>
      <c r="M952" s="620"/>
      <c r="N952" s="632"/>
      <c r="O952" s="620"/>
    </row>
    <row r="953" spans="1:15" ht="20.5" thickBot="1" x14ac:dyDescent="0.4">
      <c r="A953" s="620"/>
      <c r="B953" s="635"/>
      <c r="C953" s="632"/>
      <c r="D953" s="720"/>
      <c r="E953" s="632"/>
      <c r="F953" s="620"/>
      <c r="G953" s="620"/>
      <c r="H953" s="620"/>
      <c r="I953" s="642" t="s">
        <v>210</v>
      </c>
      <c r="J953" s="680">
        <f>SUM(J945:J952)</f>
        <v>0</v>
      </c>
      <c r="K953" s="682">
        <f>J953-M942</f>
        <v>0</v>
      </c>
      <c r="L953" s="620"/>
      <c r="M953" s="620"/>
      <c r="N953" s="632"/>
      <c r="O953" s="620"/>
    </row>
    <row r="954" spans="1:15" x14ac:dyDescent="0.35">
      <c r="A954" s="620"/>
      <c r="B954" s="635"/>
      <c r="C954" s="632"/>
      <c r="D954" s="720"/>
      <c r="E954" s="632"/>
      <c r="F954" s="620"/>
      <c r="G954" s="620"/>
      <c r="H954" s="620"/>
      <c r="I954" s="620"/>
      <c r="J954" s="620"/>
      <c r="K954" s="702"/>
      <c r="L954" s="620"/>
      <c r="M954" s="620"/>
      <c r="N954" s="632"/>
      <c r="O954" s="620"/>
    </row>
    <row r="955" spans="1:15" ht="25" x14ac:dyDescent="0.35">
      <c r="A955" s="2095" t="s">
        <v>1317</v>
      </c>
      <c r="B955" s="2095"/>
      <c r="C955" s="2095"/>
      <c r="D955" s="2095"/>
      <c r="E955" s="2095"/>
      <c r="F955" s="2095"/>
      <c r="G955" s="2095"/>
      <c r="H955" s="2095"/>
      <c r="I955" s="2095"/>
      <c r="J955" s="2095"/>
      <c r="K955" s="2095"/>
      <c r="L955" s="2095"/>
      <c r="M955" s="2095"/>
      <c r="N955" s="2095"/>
      <c r="O955" s="756" t="e">
        <f>$O$6</f>
        <v>#REF!</v>
      </c>
    </row>
    <row r="956" spans="1:15" ht="15.5" x14ac:dyDescent="0.35">
      <c r="A956" s="2096" t="s">
        <v>0</v>
      </c>
      <c r="B956" s="2098" t="s">
        <v>1</v>
      </c>
      <c r="C956" s="2100" t="s">
        <v>2</v>
      </c>
      <c r="D956" s="2101"/>
      <c r="E956" s="2102"/>
      <c r="F956" s="2103" t="s">
        <v>3</v>
      </c>
      <c r="G956" s="2100" t="s">
        <v>4</v>
      </c>
      <c r="H956" s="2102"/>
      <c r="I956" s="2085"/>
      <c r="J956" s="2103" t="s">
        <v>5</v>
      </c>
      <c r="K956" s="2100" t="s">
        <v>6</v>
      </c>
      <c r="L956" s="2085"/>
      <c r="M956" s="97" t="s">
        <v>32</v>
      </c>
      <c r="N956" s="98"/>
      <c r="O956" s="2084" t="s">
        <v>7</v>
      </c>
    </row>
    <row r="957" spans="1:15" ht="15.5" x14ac:dyDescent="0.35">
      <c r="A957" s="2097"/>
      <c r="B957" s="2099"/>
      <c r="C957" s="2086" t="s">
        <v>1108</v>
      </c>
      <c r="D957" s="2087"/>
      <c r="E957" s="87" t="s">
        <v>9</v>
      </c>
      <c r="F957" s="2097"/>
      <c r="G957" s="2">
        <f>'NORTH-1'!$G$8</f>
        <v>44774</v>
      </c>
      <c r="H957" s="2">
        <f>'NORTH-1'!$H$8</f>
        <v>44805</v>
      </c>
      <c r="I957" s="1" t="s">
        <v>10</v>
      </c>
      <c r="J957" s="2097"/>
      <c r="K957" s="1" t="s">
        <v>11</v>
      </c>
      <c r="L957" s="1" t="s">
        <v>12</v>
      </c>
      <c r="M957" s="617" t="s">
        <v>33</v>
      </c>
      <c r="N957" s="76" t="s">
        <v>47</v>
      </c>
      <c r="O957" s="2085"/>
    </row>
    <row r="958" spans="1:15" ht="15.5" x14ac:dyDescent="0.35">
      <c r="A958" s="3">
        <v>1</v>
      </c>
      <c r="B958" s="88">
        <v>2</v>
      </c>
      <c r="C958" s="2088">
        <v>4</v>
      </c>
      <c r="D958" s="2089"/>
      <c r="E958" s="88">
        <v>5</v>
      </c>
      <c r="F958" s="3">
        <v>7</v>
      </c>
      <c r="G958" s="3">
        <v>8</v>
      </c>
      <c r="H958" s="3">
        <v>9</v>
      </c>
      <c r="I958" s="3" t="s">
        <v>13</v>
      </c>
      <c r="J958" s="3">
        <v>11</v>
      </c>
      <c r="K958" s="3" t="s">
        <v>19</v>
      </c>
      <c r="L958" s="3" t="s">
        <v>20</v>
      </c>
      <c r="M958" s="3">
        <v>14</v>
      </c>
      <c r="N958" s="77">
        <v>15</v>
      </c>
      <c r="O958" s="3">
        <v>16</v>
      </c>
    </row>
    <row r="959" spans="1:15" ht="15" x14ac:dyDescent="0.35">
      <c r="A959" s="636"/>
      <c r="B959" s="624" t="s">
        <v>1104</v>
      </c>
      <c r="C959" s="625"/>
      <c r="D959" s="625"/>
      <c r="E959" s="625"/>
      <c r="F959" s="625"/>
      <c r="G959" s="625"/>
      <c r="H959" s="625"/>
      <c r="I959" s="625"/>
      <c r="J959" s="625"/>
      <c r="K959" s="695"/>
      <c r="L959" s="625"/>
      <c r="M959" s="626"/>
      <c r="N959" s="627"/>
      <c r="O959" s="12"/>
    </row>
    <row r="960" spans="1:15" ht="15.5" x14ac:dyDescent="0.35">
      <c r="A960" s="616">
        <v>16</v>
      </c>
      <c r="B960" s="100" t="s">
        <v>2858</v>
      </c>
      <c r="C960" s="73">
        <v>11</v>
      </c>
      <c r="D960" s="1779"/>
      <c r="E960" s="52" t="s">
        <v>2945</v>
      </c>
      <c r="F960" s="32">
        <v>1</v>
      </c>
      <c r="G960" s="5">
        <v>7407620</v>
      </c>
      <c r="H960" s="5">
        <v>7448034.5</v>
      </c>
      <c r="I960" s="21">
        <f>H960-G960</f>
        <v>40414.5</v>
      </c>
      <c r="J960" s="616">
        <v>180</v>
      </c>
      <c r="K960" s="22">
        <f>F960*I960*J960</f>
        <v>7274610</v>
      </c>
      <c r="L960" s="22"/>
      <c r="M960" s="22"/>
      <c r="N960" s="83"/>
      <c r="O960" s="12">
        <f>SUM(L961:L967)</f>
        <v>1143251.9999999972</v>
      </c>
    </row>
    <row r="961" spans="1:15" ht="15.5" x14ac:dyDescent="0.35">
      <c r="A961" s="616">
        <v>24</v>
      </c>
      <c r="B961" s="100" t="s">
        <v>2800</v>
      </c>
      <c r="C961" s="73">
        <v>11</v>
      </c>
      <c r="D961" s="1780"/>
      <c r="E961" s="52" t="s">
        <v>2946</v>
      </c>
      <c r="F961" s="32">
        <v>1</v>
      </c>
      <c r="G961" s="5">
        <v>133086.70000000001</v>
      </c>
      <c r="H961" s="5">
        <v>164622.79999999999</v>
      </c>
      <c r="I961" s="21">
        <f>H961-G961</f>
        <v>31536.099999999977</v>
      </c>
      <c r="J961" s="616">
        <v>180</v>
      </c>
      <c r="K961" s="22">
        <f>F961*I961*J961</f>
        <v>5676497.9999999963</v>
      </c>
      <c r="L961" s="22"/>
      <c r="M961" s="22"/>
      <c r="N961" s="83"/>
      <c r="O961" s="12">
        <f>SUM(L962:L966)</f>
        <v>0</v>
      </c>
    </row>
    <row r="962" spans="1:15" ht="15.5" x14ac:dyDescent="0.35">
      <c r="A962" s="616">
        <v>30</v>
      </c>
      <c r="B962" s="100" t="s">
        <v>2947</v>
      </c>
      <c r="C962" s="73">
        <v>11</v>
      </c>
      <c r="D962" s="1780"/>
      <c r="E962" s="52" t="s">
        <v>2948</v>
      </c>
      <c r="F962" s="32">
        <v>1</v>
      </c>
      <c r="G962" s="5">
        <v>416296.4</v>
      </c>
      <c r="H962" s="5">
        <v>456234.5</v>
      </c>
      <c r="I962" s="21">
        <f>H962-G962</f>
        <v>39938.099999999977</v>
      </c>
      <c r="J962" s="616">
        <v>180</v>
      </c>
      <c r="K962" s="22">
        <f>F962*I962*J962</f>
        <v>7188857.9999999963</v>
      </c>
      <c r="L962" s="22"/>
      <c r="M962" s="22"/>
      <c r="N962" s="83"/>
      <c r="O962" s="12">
        <f>SUM(L963:L968)</f>
        <v>1143251.9999999972</v>
      </c>
    </row>
    <row r="963" spans="1:15" ht="15.5" x14ac:dyDescent="0.35">
      <c r="A963" s="616">
        <v>39</v>
      </c>
      <c r="B963" s="100" t="s">
        <v>2949</v>
      </c>
      <c r="C963" s="73">
        <v>11</v>
      </c>
      <c r="D963" s="1780"/>
      <c r="E963" s="52" t="s">
        <v>2950</v>
      </c>
      <c r="F963" s="32">
        <v>1</v>
      </c>
      <c r="G963" s="5">
        <v>19486.5</v>
      </c>
      <c r="H963" s="5">
        <v>20346.3</v>
      </c>
      <c r="I963" s="21">
        <f>H963-G963</f>
        <v>859.79999999999927</v>
      </c>
      <c r="J963" s="616">
        <v>4000</v>
      </c>
      <c r="K963" s="22">
        <f>F963*I963*J963</f>
        <v>3439199.9999999972</v>
      </c>
      <c r="L963" s="22"/>
      <c r="M963" s="22"/>
      <c r="N963" s="83"/>
      <c r="O963" s="12">
        <f>SUM(L961:L965)</f>
        <v>0</v>
      </c>
    </row>
    <row r="964" spans="1:15" ht="15.5" x14ac:dyDescent="0.35">
      <c r="A964" s="616">
        <v>42</v>
      </c>
      <c r="B964" s="100" t="s">
        <v>2951</v>
      </c>
      <c r="C964" s="73">
        <v>11</v>
      </c>
      <c r="D964" s="1851"/>
      <c r="E964" s="52" t="s">
        <v>2952</v>
      </c>
      <c r="F964" s="32">
        <v>1</v>
      </c>
      <c r="G964" s="5">
        <v>76532.100000000006</v>
      </c>
      <c r="H964" s="5">
        <v>79735.100000000006</v>
      </c>
      <c r="I964" s="21">
        <f>H964-G964</f>
        <v>3203</v>
      </c>
      <c r="J964" s="616">
        <v>888.8</v>
      </c>
      <c r="K964" s="22">
        <f>F964*I964*J964</f>
        <v>2846826.4</v>
      </c>
      <c r="L964" s="22"/>
      <c r="M964" s="22"/>
      <c r="N964" s="83"/>
      <c r="O964" s="12">
        <f>SUM(L962:L968)</f>
        <v>1143251.9999999972</v>
      </c>
    </row>
    <row r="965" spans="1:15" ht="15" x14ac:dyDescent="0.35">
      <c r="A965" s="636"/>
      <c r="B965" s="96"/>
      <c r="C965" s="90"/>
      <c r="D965" s="90"/>
      <c r="E965" s="90"/>
      <c r="F965" s="38"/>
      <c r="G965" s="38"/>
      <c r="H965" s="38"/>
      <c r="I965" s="38"/>
      <c r="J965" s="96" t="s">
        <v>30</v>
      </c>
      <c r="K965" s="43">
        <f>SUM(K960:K964)</f>
        <v>26425992.399999987</v>
      </c>
      <c r="L965" s="43"/>
      <c r="M965" s="43">
        <f>SUM(M960:M964)</f>
        <v>0</v>
      </c>
      <c r="N965" s="83"/>
      <c r="O965" s="12"/>
    </row>
    <row r="966" spans="1:15" ht="15.5" x14ac:dyDescent="0.35">
      <c r="A966" s="631"/>
      <c r="B966" s="647" t="s">
        <v>1105</v>
      </c>
      <c r="C966" s="648"/>
      <c r="D966" s="648"/>
      <c r="E966" s="648"/>
      <c r="F966" s="648"/>
      <c r="G966" s="648"/>
      <c r="H966" s="648"/>
      <c r="I966" s="648"/>
      <c r="J966" s="648"/>
      <c r="K966" s="700"/>
      <c r="L966" s="648"/>
      <c r="M966" s="651"/>
      <c r="N966" s="649"/>
      <c r="O966" s="616"/>
    </row>
    <row r="967" spans="1:15" ht="15.5" x14ac:dyDescent="0.35">
      <c r="A967" s="631">
        <v>17</v>
      </c>
      <c r="B967" s="100" t="s">
        <v>2953</v>
      </c>
      <c r="C967" s="73">
        <v>11</v>
      </c>
      <c r="D967" s="1781" t="s">
        <v>91</v>
      </c>
      <c r="E967" s="52" t="s">
        <v>2954</v>
      </c>
      <c r="F967" s="32">
        <v>1</v>
      </c>
      <c r="G967" s="6">
        <v>649307.9</v>
      </c>
      <c r="H967" s="6">
        <v>668362.1</v>
      </c>
      <c r="I967" s="20">
        <f t="shared" ref="I967:I994" si="32">H967-G967</f>
        <v>19054.199999999953</v>
      </c>
      <c r="J967" s="616">
        <v>60</v>
      </c>
      <c r="K967" s="703"/>
      <c r="L967" s="22">
        <f t="shared" ref="L967:L973" si="33">F967*I967*J967</f>
        <v>1143251.9999999972</v>
      </c>
      <c r="M967" s="22"/>
      <c r="N967" s="72" t="s">
        <v>91</v>
      </c>
      <c r="O967" s="15"/>
    </row>
    <row r="968" spans="1:15" ht="15.5" x14ac:dyDescent="0.35">
      <c r="A968" s="631">
        <v>18</v>
      </c>
      <c r="B968" s="100" t="s">
        <v>2955</v>
      </c>
      <c r="C968" s="73">
        <v>11</v>
      </c>
      <c r="D968" s="1782" t="s">
        <v>91</v>
      </c>
      <c r="E968" s="52" t="s">
        <v>2956</v>
      </c>
      <c r="F968" s="32">
        <v>3</v>
      </c>
      <c r="G968" s="6">
        <v>38764513</v>
      </c>
      <c r="H968" s="6">
        <v>38764513</v>
      </c>
      <c r="I968" s="20">
        <f t="shared" si="32"/>
        <v>0</v>
      </c>
      <c r="J968" s="616">
        <v>1</v>
      </c>
      <c r="K968" s="703"/>
      <c r="L968" s="22">
        <f t="shared" si="33"/>
        <v>0</v>
      </c>
      <c r="M968" s="22"/>
      <c r="N968" s="72" t="s">
        <v>91</v>
      </c>
      <c r="O968" s="15"/>
    </row>
    <row r="969" spans="1:15" ht="15.5" x14ac:dyDescent="0.35">
      <c r="A969" s="631">
        <v>19</v>
      </c>
      <c r="B969" s="100" t="s">
        <v>2957</v>
      </c>
      <c r="C969" s="73">
        <v>11</v>
      </c>
      <c r="D969" s="1782" t="s">
        <v>91</v>
      </c>
      <c r="E969" s="52" t="s">
        <v>2958</v>
      </c>
      <c r="F969" s="32">
        <v>1</v>
      </c>
      <c r="G969" s="6">
        <v>94698216</v>
      </c>
      <c r="H969" s="6">
        <v>94698216</v>
      </c>
      <c r="I969" s="20">
        <f t="shared" si="32"/>
        <v>0</v>
      </c>
      <c r="J969" s="616">
        <v>1</v>
      </c>
      <c r="K969" s="703"/>
      <c r="L969" s="22">
        <f t="shared" si="33"/>
        <v>0</v>
      </c>
      <c r="M969" s="22"/>
      <c r="N969" s="72" t="s">
        <v>91</v>
      </c>
      <c r="O969" s="15"/>
    </row>
    <row r="970" spans="1:15" ht="15.75" customHeight="1" x14ac:dyDescent="0.35">
      <c r="A970" s="631">
        <v>20</v>
      </c>
      <c r="B970" s="100" t="s">
        <v>2959</v>
      </c>
      <c r="C970" s="73">
        <v>11</v>
      </c>
      <c r="D970" s="1782" t="s">
        <v>98</v>
      </c>
      <c r="E970" s="52" t="s">
        <v>2960</v>
      </c>
      <c r="F970" s="32">
        <v>1</v>
      </c>
      <c r="G970" s="6">
        <v>36963712</v>
      </c>
      <c r="H970" s="6">
        <v>36963725</v>
      </c>
      <c r="I970" s="20">
        <f t="shared" si="32"/>
        <v>13</v>
      </c>
      <c r="J970" s="616">
        <v>1000</v>
      </c>
      <c r="K970" s="703"/>
      <c r="L970" s="22">
        <f t="shared" si="33"/>
        <v>13000</v>
      </c>
      <c r="M970" s="22"/>
      <c r="N970" s="72" t="s">
        <v>98</v>
      </c>
      <c r="O970" s="15"/>
    </row>
    <row r="971" spans="1:15" ht="15.5" x14ac:dyDescent="0.35">
      <c r="A971" s="631">
        <v>21</v>
      </c>
      <c r="B971" s="100" t="s">
        <v>2961</v>
      </c>
      <c r="C971" s="73">
        <v>11</v>
      </c>
      <c r="D971" s="1782" t="s">
        <v>91</v>
      </c>
      <c r="E971" s="52" t="s">
        <v>2962</v>
      </c>
      <c r="F971" s="32">
        <v>1</v>
      </c>
      <c r="G971" s="6">
        <v>4111597</v>
      </c>
      <c r="H971" s="6">
        <v>4111597</v>
      </c>
      <c r="I971" s="20">
        <f t="shared" si="32"/>
        <v>0</v>
      </c>
      <c r="J971" s="616">
        <v>1</v>
      </c>
      <c r="K971" s="703"/>
      <c r="L971" s="22">
        <f t="shared" si="33"/>
        <v>0</v>
      </c>
      <c r="M971" s="22"/>
      <c r="N971" s="72" t="s">
        <v>91</v>
      </c>
      <c r="O971" s="15"/>
    </row>
    <row r="972" spans="1:15" ht="15.5" x14ac:dyDescent="0.35">
      <c r="A972" s="631">
        <v>22</v>
      </c>
      <c r="B972" s="100" t="s">
        <v>2963</v>
      </c>
      <c r="C972" s="73">
        <v>11</v>
      </c>
      <c r="D972" s="1782" t="s">
        <v>99</v>
      </c>
      <c r="E972" s="52" t="s">
        <v>2964</v>
      </c>
      <c r="F972" s="32">
        <v>1</v>
      </c>
      <c r="G972" s="6">
        <v>100435.4</v>
      </c>
      <c r="H972" s="6">
        <v>101738.9</v>
      </c>
      <c r="I972" s="20">
        <f t="shared" si="32"/>
        <v>1303.5</v>
      </c>
      <c r="J972" s="616">
        <v>1000</v>
      </c>
      <c r="K972" s="703"/>
      <c r="L972" s="22">
        <f t="shared" si="33"/>
        <v>1303500</v>
      </c>
      <c r="M972" s="22"/>
      <c r="N972" s="72" t="s">
        <v>99</v>
      </c>
      <c r="O972" s="15"/>
    </row>
    <row r="973" spans="1:15" ht="15.5" x14ac:dyDescent="0.35">
      <c r="A973" s="631">
        <v>23</v>
      </c>
      <c r="B973" s="100" t="s">
        <v>2965</v>
      </c>
      <c r="C973" s="73">
        <v>11</v>
      </c>
      <c r="D973" s="1782" t="s">
        <v>91</v>
      </c>
      <c r="E973" s="52" t="s">
        <v>2966</v>
      </c>
      <c r="F973" s="32">
        <v>1</v>
      </c>
      <c r="G973" s="6">
        <v>41024544</v>
      </c>
      <c r="H973" s="6">
        <v>41024544</v>
      </c>
      <c r="I973" s="20">
        <f t="shared" si="32"/>
        <v>0</v>
      </c>
      <c r="J973" s="616">
        <v>1</v>
      </c>
      <c r="K973" s="703"/>
      <c r="L973" s="22">
        <f t="shared" si="33"/>
        <v>0</v>
      </c>
      <c r="M973" s="22"/>
      <c r="N973" s="72" t="s">
        <v>91</v>
      </c>
      <c r="O973" s="15"/>
    </row>
    <row r="974" spans="1:15" ht="15.5" x14ac:dyDescent="0.35">
      <c r="A974" s="631">
        <v>25</v>
      </c>
      <c r="B974" s="100" t="s">
        <v>2967</v>
      </c>
      <c r="C974" s="73">
        <v>11</v>
      </c>
      <c r="D974" s="1782" t="s">
        <v>99</v>
      </c>
      <c r="E974" s="52" t="s">
        <v>2968</v>
      </c>
      <c r="F974" s="32">
        <v>1</v>
      </c>
      <c r="G974" s="6">
        <v>474345.7</v>
      </c>
      <c r="H974" s="6">
        <v>497936.5</v>
      </c>
      <c r="I974" s="20">
        <f t="shared" si="32"/>
        <v>23590.799999999988</v>
      </c>
      <c r="J974" s="616">
        <v>60</v>
      </c>
      <c r="K974" s="703"/>
      <c r="L974" s="22">
        <f>F974*I974*J974</f>
        <v>1415447.9999999993</v>
      </c>
      <c r="M974" s="22"/>
      <c r="N974" s="72" t="s">
        <v>99</v>
      </c>
      <c r="O974" s="15"/>
    </row>
    <row r="975" spans="1:15" ht="15.5" x14ac:dyDescent="0.35">
      <c r="A975" s="631">
        <v>26</v>
      </c>
      <c r="B975" s="100" t="s">
        <v>2969</v>
      </c>
      <c r="C975" s="73">
        <v>11</v>
      </c>
      <c r="D975" s="1782" t="s">
        <v>91</v>
      </c>
      <c r="E975" s="52" t="s">
        <v>2970</v>
      </c>
      <c r="F975" s="32">
        <v>1</v>
      </c>
      <c r="G975" s="6">
        <v>464416.2</v>
      </c>
      <c r="H975" s="6">
        <v>482159.8</v>
      </c>
      <c r="I975" s="20">
        <f t="shared" si="32"/>
        <v>17743.599999999977</v>
      </c>
      <c r="J975" s="616">
        <v>60</v>
      </c>
      <c r="K975" s="703"/>
      <c r="L975" s="22">
        <f>F975*I975*J975</f>
        <v>1064615.9999999986</v>
      </c>
      <c r="M975" s="22"/>
      <c r="N975" s="72" t="s">
        <v>91</v>
      </c>
      <c r="O975" s="15"/>
    </row>
    <row r="976" spans="1:15" ht="15.5" x14ac:dyDescent="0.35">
      <c r="A976" s="631">
        <v>27</v>
      </c>
      <c r="B976" s="100" t="s">
        <v>2971</v>
      </c>
      <c r="C976" s="73">
        <v>11</v>
      </c>
      <c r="D976" s="1782" t="s">
        <v>91</v>
      </c>
      <c r="E976" s="52" t="s">
        <v>2972</v>
      </c>
      <c r="F976" s="32">
        <v>1</v>
      </c>
      <c r="G976" s="6">
        <v>736182.12</v>
      </c>
      <c r="H976" s="6">
        <v>768979.2</v>
      </c>
      <c r="I976" s="20">
        <f t="shared" si="32"/>
        <v>32797.079999999958</v>
      </c>
      <c r="J976" s="616">
        <v>60</v>
      </c>
      <c r="K976" s="703"/>
      <c r="L976" s="22">
        <f>F976*I976*J976</f>
        <v>1967824.7999999975</v>
      </c>
      <c r="M976" s="22"/>
      <c r="N976" s="72" t="s">
        <v>91</v>
      </c>
      <c r="O976" s="15"/>
    </row>
    <row r="977" spans="1:15" ht="15.5" x14ac:dyDescent="0.35">
      <c r="A977" s="631">
        <v>28</v>
      </c>
      <c r="B977" s="100" t="s">
        <v>2973</v>
      </c>
      <c r="C977" s="73">
        <v>11</v>
      </c>
      <c r="D977" s="1782" t="s">
        <v>91</v>
      </c>
      <c r="E977" s="52" t="s">
        <v>2974</v>
      </c>
      <c r="F977" s="32">
        <v>1</v>
      </c>
      <c r="G977" s="6">
        <v>104600.4</v>
      </c>
      <c r="H977" s="6">
        <v>104600.4</v>
      </c>
      <c r="I977" s="20">
        <f t="shared" si="32"/>
        <v>0</v>
      </c>
      <c r="J977" s="616">
        <v>60</v>
      </c>
      <c r="K977" s="703"/>
      <c r="L977" s="22">
        <f>F977*I977*J977</f>
        <v>0</v>
      </c>
      <c r="M977" s="22"/>
      <c r="N977" s="72" t="s">
        <v>91</v>
      </c>
      <c r="O977" s="15"/>
    </row>
    <row r="978" spans="1:15" ht="13.5" customHeight="1" x14ac:dyDescent="0.35">
      <c r="A978" s="631">
        <v>29</v>
      </c>
      <c r="B978" s="100" t="s">
        <v>2975</v>
      </c>
      <c r="C978" s="73">
        <v>11</v>
      </c>
      <c r="D978" s="1782" t="s">
        <v>101</v>
      </c>
      <c r="E978" s="52" t="s">
        <v>2976</v>
      </c>
      <c r="F978" s="32">
        <v>1</v>
      </c>
      <c r="G978" s="6">
        <v>27667.8</v>
      </c>
      <c r="H978" s="6">
        <v>48216.4</v>
      </c>
      <c r="I978" s="20">
        <f t="shared" si="32"/>
        <v>20548.600000000002</v>
      </c>
      <c r="J978" s="616">
        <v>60</v>
      </c>
      <c r="K978" s="703"/>
      <c r="L978" s="22">
        <f>F978*I978*J978</f>
        <v>1232916.0000000002</v>
      </c>
      <c r="M978" s="22"/>
      <c r="N978" s="72" t="s">
        <v>101</v>
      </c>
      <c r="O978" s="15"/>
    </row>
    <row r="979" spans="1:15" ht="15.5" x14ac:dyDescent="0.35">
      <c r="A979" s="631">
        <v>31</v>
      </c>
      <c r="B979" s="100" t="s">
        <v>2977</v>
      </c>
      <c r="C979" s="73">
        <v>11</v>
      </c>
      <c r="D979" s="1782" t="s">
        <v>99</v>
      </c>
      <c r="E979" s="52" t="s">
        <v>2978</v>
      </c>
      <c r="F979" s="32">
        <v>1</v>
      </c>
      <c r="G979" s="6">
        <v>856501.4</v>
      </c>
      <c r="H979" s="6">
        <v>881190.5</v>
      </c>
      <c r="I979" s="20">
        <f t="shared" si="32"/>
        <v>24689.099999999977</v>
      </c>
      <c r="J979" s="616">
        <v>60</v>
      </c>
      <c r="K979" s="703"/>
      <c r="L979" s="22">
        <f t="shared" ref="L979:L986" si="34">F979*I979*J979</f>
        <v>1481345.9999999986</v>
      </c>
      <c r="M979" s="22"/>
      <c r="N979" s="72" t="s">
        <v>99</v>
      </c>
      <c r="O979" s="15"/>
    </row>
    <row r="980" spans="1:15" ht="15" customHeight="1" x14ac:dyDescent="0.35">
      <c r="A980" s="631">
        <v>32</v>
      </c>
      <c r="B980" s="100" t="s">
        <v>2979</v>
      </c>
      <c r="C980" s="73">
        <v>11</v>
      </c>
      <c r="D980" s="1782" t="s">
        <v>2980</v>
      </c>
      <c r="E980" s="52" t="s">
        <v>2981</v>
      </c>
      <c r="F980" s="32">
        <v>1</v>
      </c>
      <c r="G980" s="6">
        <v>5078.8999999999996</v>
      </c>
      <c r="H980" s="6">
        <v>27917</v>
      </c>
      <c r="I980" s="20">
        <f t="shared" si="32"/>
        <v>22838.1</v>
      </c>
      <c r="J980" s="616">
        <v>60</v>
      </c>
      <c r="K980" s="703"/>
      <c r="L980" s="22">
        <f t="shared" si="34"/>
        <v>1370286</v>
      </c>
      <c r="M980" s="22"/>
      <c r="N980" s="72" t="s">
        <v>100</v>
      </c>
      <c r="O980" s="15"/>
    </row>
    <row r="981" spans="1:15" ht="15" customHeight="1" x14ac:dyDescent="0.35">
      <c r="A981" s="631">
        <v>33</v>
      </c>
      <c r="B981" s="101" t="s">
        <v>2982</v>
      </c>
      <c r="C981" s="73">
        <v>11</v>
      </c>
      <c r="D981" s="1782" t="s">
        <v>116</v>
      </c>
      <c r="E981" s="52" t="s">
        <v>2983</v>
      </c>
      <c r="F981" s="32">
        <v>1</v>
      </c>
      <c r="G981" s="6">
        <v>262492.59999999998</v>
      </c>
      <c r="H981" s="6">
        <v>286419.90000000002</v>
      </c>
      <c r="I981" s="20">
        <f t="shared" si="32"/>
        <v>23927.300000000047</v>
      </c>
      <c r="J981" s="616">
        <v>60</v>
      </c>
      <c r="K981" s="703"/>
      <c r="L981" s="22">
        <f t="shared" si="34"/>
        <v>1435638.0000000028</v>
      </c>
      <c r="M981" s="22"/>
      <c r="N981" s="72" t="s">
        <v>116</v>
      </c>
      <c r="O981" s="15"/>
    </row>
    <row r="982" spans="1:15" ht="15.5" x14ac:dyDescent="0.35">
      <c r="A982" s="631">
        <v>34</v>
      </c>
      <c r="B982" s="100" t="s">
        <v>2984</v>
      </c>
      <c r="C982" s="73">
        <v>11</v>
      </c>
      <c r="D982" s="1782" t="s">
        <v>99</v>
      </c>
      <c r="E982" s="52" t="s">
        <v>2985</v>
      </c>
      <c r="F982" s="32">
        <v>1</v>
      </c>
      <c r="G982" s="6">
        <v>1762776</v>
      </c>
      <c r="H982" s="6">
        <v>1783935</v>
      </c>
      <c r="I982" s="20">
        <f t="shared" si="32"/>
        <v>21159</v>
      </c>
      <c r="J982" s="616">
        <v>60</v>
      </c>
      <c r="K982" s="703"/>
      <c r="L982" s="22">
        <f t="shared" si="34"/>
        <v>1269540</v>
      </c>
      <c r="M982" s="22"/>
      <c r="N982" s="72" t="s">
        <v>99</v>
      </c>
      <c r="O982" s="15"/>
    </row>
    <row r="983" spans="1:15" ht="15.5" x14ac:dyDescent="0.35">
      <c r="A983" s="631">
        <v>35</v>
      </c>
      <c r="B983" s="100" t="s">
        <v>2986</v>
      </c>
      <c r="C983" s="73">
        <v>11</v>
      </c>
      <c r="D983" s="1782" t="s">
        <v>91</v>
      </c>
      <c r="E983" s="52" t="s">
        <v>2987</v>
      </c>
      <c r="F983" s="32">
        <v>1</v>
      </c>
      <c r="G983" s="6">
        <v>17926112</v>
      </c>
      <c r="H983" s="6">
        <v>19345109</v>
      </c>
      <c r="I983" s="20">
        <f t="shared" si="32"/>
        <v>1418997</v>
      </c>
      <c r="J983" s="616">
        <v>1</v>
      </c>
      <c r="K983" s="703"/>
      <c r="L983" s="22">
        <f t="shared" si="34"/>
        <v>1418997</v>
      </c>
      <c r="M983" s="22"/>
      <c r="N983" s="72" t="s">
        <v>91</v>
      </c>
      <c r="O983" s="15"/>
    </row>
    <row r="984" spans="1:15" ht="15.5" x14ac:dyDescent="0.35">
      <c r="A984" s="631">
        <v>36</v>
      </c>
      <c r="B984" s="100" t="s">
        <v>2988</v>
      </c>
      <c r="C984" s="73">
        <v>11</v>
      </c>
      <c r="D984" s="1782" t="s">
        <v>91</v>
      </c>
      <c r="E984" s="52" t="s">
        <v>2989</v>
      </c>
      <c r="F984" s="32">
        <v>1</v>
      </c>
      <c r="G984" s="6">
        <v>22030276</v>
      </c>
      <c r="H984" s="6">
        <v>22469436</v>
      </c>
      <c r="I984" s="20">
        <f t="shared" si="32"/>
        <v>439160</v>
      </c>
      <c r="J984" s="616">
        <v>1</v>
      </c>
      <c r="K984" s="703"/>
      <c r="L984" s="22">
        <f t="shared" si="34"/>
        <v>439160</v>
      </c>
      <c r="M984" s="22"/>
      <c r="N984" s="72" t="s">
        <v>91</v>
      </c>
      <c r="O984" s="15"/>
    </row>
    <row r="985" spans="1:15" ht="15.5" x14ac:dyDescent="0.35">
      <c r="A985" s="631">
        <v>37</v>
      </c>
      <c r="B985" s="100" t="s">
        <v>2990</v>
      </c>
      <c r="C985" s="73">
        <v>11</v>
      </c>
      <c r="D985" s="1782" t="s">
        <v>91</v>
      </c>
      <c r="E985" s="52" t="s">
        <v>2991</v>
      </c>
      <c r="F985" s="32">
        <v>1</v>
      </c>
      <c r="G985" s="6">
        <v>1976.8</v>
      </c>
      <c r="H985" s="6">
        <v>2140.5</v>
      </c>
      <c r="I985" s="20">
        <f t="shared" si="32"/>
        <v>163.70000000000005</v>
      </c>
      <c r="J985" s="616">
        <v>10000</v>
      </c>
      <c r="K985" s="703"/>
      <c r="L985" s="22">
        <f t="shared" si="34"/>
        <v>1637000.0000000005</v>
      </c>
      <c r="M985" s="22"/>
      <c r="N985" s="72" t="s">
        <v>91</v>
      </c>
      <c r="O985" s="15"/>
    </row>
    <row r="986" spans="1:15" ht="15.5" x14ac:dyDescent="0.35">
      <c r="A986" s="633">
        <v>38</v>
      </c>
      <c r="B986" s="100" t="s">
        <v>2992</v>
      </c>
      <c r="C986" s="73">
        <v>11</v>
      </c>
      <c r="D986" s="1782" t="s">
        <v>91</v>
      </c>
      <c r="E986" s="52" t="s">
        <v>2993</v>
      </c>
      <c r="F986" s="32">
        <v>1</v>
      </c>
      <c r="G986" s="6">
        <v>5216.7</v>
      </c>
      <c r="H986" s="6">
        <v>5216.7</v>
      </c>
      <c r="I986" s="20">
        <f t="shared" si="32"/>
        <v>0</v>
      </c>
      <c r="J986" s="616">
        <v>4000</v>
      </c>
      <c r="K986" s="704"/>
      <c r="L986" s="22">
        <f t="shared" si="34"/>
        <v>0</v>
      </c>
      <c r="M986" s="22"/>
      <c r="N986" s="72" t="s">
        <v>91</v>
      </c>
      <c r="O986" s="14"/>
    </row>
    <row r="987" spans="1:15" ht="15.5" x14ac:dyDescent="0.35">
      <c r="A987" s="633">
        <v>40</v>
      </c>
      <c r="B987" s="100" t="s">
        <v>2994</v>
      </c>
      <c r="C987" s="73">
        <v>11</v>
      </c>
      <c r="D987" s="1782" t="s">
        <v>91</v>
      </c>
      <c r="E987" s="52" t="s">
        <v>2995</v>
      </c>
      <c r="F987" s="32">
        <v>1</v>
      </c>
      <c r="G987" s="6">
        <v>475.3</v>
      </c>
      <c r="H987" s="6">
        <v>475.3</v>
      </c>
      <c r="I987" s="20">
        <f t="shared" si="32"/>
        <v>0</v>
      </c>
      <c r="J987" s="616">
        <v>4000</v>
      </c>
      <c r="K987" s="704"/>
      <c r="L987" s="22">
        <f t="shared" ref="L987:L992" si="35">F987*I987*J987</f>
        <v>0</v>
      </c>
      <c r="M987" s="22"/>
      <c r="N987" s="72" t="s">
        <v>91</v>
      </c>
      <c r="O987" s="14"/>
    </row>
    <row r="988" spans="1:15" ht="15.5" x14ac:dyDescent="0.35">
      <c r="A988" s="633">
        <v>41</v>
      </c>
      <c r="B988" s="100" t="s">
        <v>2996</v>
      </c>
      <c r="C988" s="73">
        <v>11</v>
      </c>
      <c r="D988" s="1782" t="s">
        <v>91</v>
      </c>
      <c r="E988" s="52" t="s">
        <v>2997</v>
      </c>
      <c r="F988" s="32">
        <v>1</v>
      </c>
      <c r="G988" s="6">
        <v>9537.2999999999993</v>
      </c>
      <c r="H988" s="6">
        <v>9537.2999999999993</v>
      </c>
      <c r="I988" s="20">
        <f t="shared" si="32"/>
        <v>0</v>
      </c>
      <c r="J988" s="616">
        <v>4000</v>
      </c>
      <c r="K988" s="704"/>
      <c r="L988" s="22">
        <f t="shared" si="35"/>
        <v>0</v>
      </c>
      <c r="M988" s="22"/>
      <c r="N988" s="72" t="s">
        <v>91</v>
      </c>
      <c r="O988" s="14"/>
    </row>
    <row r="989" spans="1:15" ht="15.5" x14ac:dyDescent="0.35">
      <c r="A989" s="633">
        <v>43</v>
      </c>
      <c r="B989" s="100" t="s">
        <v>2045</v>
      </c>
      <c r="C989" s="73">
        <v>11</v>
      </c>
      <c r="D989" s="1782"/>
      <c r="E989" s="52"/>
      <c r="F989" s="32">
        <v>1</v>
      </c>
      <c r="G989" s="6"/>
      <c r="H989" s="6"/>
      <c r="I989" s="20">
        <f t="shared" si="32"/>
        <v>0</v>
      </c>
      <c r="J989" s="616">
        <v>1000</v>
      </c>
      <c r="K989" s="703"/>
      <c r="L989" s="22">
        <f t="shared" si="35"/>
        <v>0</v>
      </c>
      <c r="M989" s="22"/>
      <c r="N989" s="72" t="s">
        <v>91</v>
      </c>
      <c r="O989" s="15"/>
    </row>
    <row r="990" spans="1:15" ht="15.5" x14ac:dyDescent="0.35">
      <c r="A990" s="633">
        <v>44</v>
      </c>
      <c r="B990" s="100" t="s">
        <v>2998</v>
      </c>
      <c r="C990" s="73">
        <v>11</v>
      </c>
      <c r="D990" s="1782" t="s">
        <v>91</v>
      </c>
      <c r="E990" s="52">
        <v>61903661</v>
      </c>
      <c r="F990" s="32">
        <v>1</v>
      </c>
      <c r="G990" s="6">
        <v>17362.7</v>
      </c>
      <c r="H990" s="6">
        <v>17820.900000000001</v>
      </c>
      <c r="I990" s="20">
        <f t="shared" si="32"/>
        <v>458.20000000000073</v>
      </c>
      <c r="J990" s="616">
        <v>1000</v>
      </c>
      <c r="K990" s="704"/>
      <c r="L990" s="22">
        <f t="shared" si="35"/>
        <v>458200.0000000007</v>
      </c>
      <c r="M990" s="22"/>
      <c r="N990" s="72" t="s">
        <v>91</v>
      </c>
      <c r="O990" s="10"/>
    </row>
    <row r="991" spans="1:15" ht="15.5" x14ac:dyDescent="0.35">
      <c r="A991" s="633">
        <v>45</v>
      </c>
      <c r="B991" s="101" t="s">
        <v>2999</v>
      </c>
      <c r="C991" s="73">
        <v>11</v>
      </c>
      <c r="D991" s="1782" t="s">
        <v>91</v>
      </c>
      <c r="E991" s="52">
        <v>61903675</v>
      </c>
      <c r="F991" s="32">
        <v>1</v>
      </c>
      <c r="G991" s="6">
        <v>12872.7</v>
      </c>
      <c r="H991" s="6">
        <v>13482.4</v>
      </c>
      <c r="I991" s="20">
        <f t="shared" si="32"/>
        <v>609.69999999999891</v>
      </c>
      <c r="J991" s="616">
        <v>2000</v>
      </c>
      <c r="K991" s="703"/>
      <c r="L991" s="22">
        <f t="shared" si="35"/>
        <v>1219399.9999999979</v>
      </c>
      <c r="M991" s="22"/>
      <c r="N991" s="72" t="s">
        <v>91</v>
      </c>
      <c r="O991" s="13"/>
    </row>
    <row r="992" spans="1:15" ht="15.75" customHeight="1" x14ac:dyDescent="0.35">
      <c r="A992" s="633">
        <v>46</v>
      </c>
      <c r="B992" s="100" t="s">
        <v>3000</v>
      </c>
      <c r="C992" s="73">
        <v>11</v>
      </c>
      <c r="D992" s="1782" t="s">
        <v>98</v>
      </c>
      <c r="E992" s="52">
        <v>61903557</v>
      </c>
      <c r="F992" s="32">
        <v>1</v>
      </c>
      <c r="G992" s="6">
        <v>32128.799999999999</v>
      </c>
      <c r="H992" s="6">
        <v>32423</v>
      </c>
      <c r="I992" s="20">
        <f t="shared" si="32"/>
        <v>294.20000000000073</v>
      </c>
      <c r="J992" s="616">
        <v>2000</v>
      </c>
      <c r="K992" s="705"/>
      <c r="L992" s="22">
        <f t="shared" si="35"/>
        <v>588400.0000000014</v>
      </c>
      <c r="M992" s="22"/>
      <c r="N992" s="72" t="s">
        <v>98</v>
      </c>
      <c r="O992" s="30"/>
    </row>
    <row r="993" spans="1:15" ht="15.5" x14ac:dyDescent="0.35">
      <c r="A993" s="633">
        <v>47</v>
      </c>
      <c r="B993" s="101" t="s">
        <v>3001</v>
      </c>
      <c r="C993" s="74">
        <v>0.4</v>
      </c>
      <c r="D993" s="1782"/>
      <c r="E993" s="52">
        <v>503043</v>
      </c>
      <c r="F993" s="32">
        <v>1</v>
      </c>
      <c r="G993" s="6">
        <v>95647</v>
      </c>
      <c r="H993" s="6">
        <v>95647</v>
      </c>
      <c r="I993" s="20">
        <f t="shared" si="32"/>
        <v>0</v>
      </c>
      <c r="J993" s="616">
        <v>10</v>
      </c>
      <c r="K993" s="696">
        <f>F993*I993*J993</f>
        <v>0</v>
      </c>
      <c r="L993" s="22"/>
      <c r="M993" s="22"/>
      <c r="N993" s="72" t="s">
        <v>91</v>
      </c>
      <c r="O993" s="616"/>
    </row>
    <row r="994" spans="1:15" ht="15.5" x14ac:dyDescent="0.35">
      <c r="A994" s="633">
        <v>48</v>
      </c>
      <c r="B994" s="101" t="s">
        <v>3002</v>
      </c>
      <c r="C994" s="74">
        <v>0.4</v>
      </c>
      <c r="D994" s="1782"/>
      <c r="E994" s="52">
        <v>503044</v>
      </c>
      <c r="F994" s="32">
        <v>1</v>
      </c>
      <c r="G994" s="6">
        <v>90327</v>
      </c>
      <c r="H994" s="6">
        <v>90327</v>
      </c>
      <c r="I994" s="20">
        <f t="shared" si="32"/>
        <v>0</v>
      </c>
      <c r="J994" s="616">
        <v>10</v>
      </c>
      <c r="K994" s="705">
        <f>F994*I994*J994</f>
        <v>0</v>
      </c>
      <c r="L994" s="22"/>
      <c r="M994" s="22"/>
      <c r="N994" s="72" t="s">
        <v>91</v>
      </c>
      <c r="O994" s="13"/>
    </row>
    <row r="995" spans="1:15" ht="15.5" x14ac:dyDescent="0.35">
      <c r="A995" s="633">
        <v>23</v>
      </c>
      <c r="B995" s="100" t="s">
        <v>1460</v>
      </c>
      <c r="C995" s="74">
        <v>0.4</v>
      </c>
      <c r="D995" s="1783"/>
      <c r="E995" s="52">
        <v>41901920685</v>
      </c>
      <c r="F995" s="32">
        <v>1</v>
      </c>
      <c r="G995" s="6">
        <v>1649.63</v>
      </c>
      <c r="H995" s="6">
        <v>1659.43</v>
      </c>
      <c r="I995" s="20">
        <f>H995-G995</f>
        <v>9.7999999999999545</v>
      </c>
      <c r="J995" s="616">
        <v>160</v>
      </c>
      <c r="K995" s="705"/>
      <c r="L995" s="22">
        <f>F995*I995*J995</f>
        <v>1567.9999999999927</v>
      </c>
      <c r="M995" s="22"/>
      <c r="N995" s="72" t="s">
        <v>91</v>
      </c>
      <c r="O995" s="13"/>
    </row>
    <row r="996" spans="1:15" ht="20" x14ac:dyDescent="0.35">
      <c r="A996" s="636"/>
      <c r="B996" s="96"/>
      <c r="C996" s="90"/>
      <c r="D996" s="90"/>
      <c r="E996" s="90"/>
      <c r="F996" s="38"/>
      <c r="G996" s="38"/>
      <c r="H996" s="38"/>
      <c r="I996" s="38"/>
      <c r="J996" s="96" t="s">
        <v>30</v>
      </c>
      <c r="K996" s="1852">
        <f>K965</f>
        <v>26425992.399999987</v>
      </c>
      <c r="L996" s="658">
        <f>SUM(L967:L995)</f>
        <v>19460091.79999999</v>
      </c>
      <c r="M996" s="43">
        <f>SUM(M967:M995)</f>
        <v>0</v>
      </c>
      <c r="N996" s="84">
        <f>(M996-L996)/L996*100</f>
        <v>-100</v>
      </c>
      <c r="O996" s="13"/>
    </row>
    <row r="997" spans="1:15" x14ac:dyDescent="0.35">
      <c r="D997" s="725"/>
      <c r="K997" s="34"/>
    </row>
    <row r="998" spans="1:15" ht="15" x14ac:dyDescent="0.35">
      <c r="A998" s="620"/>
      <c r="B998" s="635"/>
      <c r="C998" s="632"/>
      <c r="D998" s="720"/>
      <c r="G998" s="2092" t="s">
        <v>1099</v>
      </c>
      <c r="H998" s="2092"/>
      <c r="I998" s="2092"/>
      <c r="J998" s="677" t="s">
        <v>14</v>
      </c>
      <c r="K998" s="702"/>
      <c r="L998" s="620"/>
      <c r="M998" s="620"/>
      <c r="N998" s="632"/>
      <c r="O998" s="620"/>
    </row>
    <row r="999" spans="1:15" ht="15.5" x14ac:dyDescent="0.35">
      <c r="A999" s="620"/>
      <c r="B999" s="635"/>
      <c r="C999" s="632"/>
      <c r="D999" s="720"/>
      <c r="G999" s="2082" t="s">
        <v>232</v>
      </c>
      <c r="H999" s="2082"/>
      <c r="I999" s="2082"/>
      <c r="J999" s="643">
        <f>M973+M977+M979+M980+M981+M986+M987+M988+M992</f>
        <v>0</v>
      </c>
      <c r="K999" s="702"/>
      <c r="L999" s="620"/>
      <c r="M999" s="620"/>
      <c r="N999" s="632"/>
      <c r="O999" s="620" t="s">
        <v>237</v>
      </c>
    </row>
    <row r="1000" spans="1:15" ht="15.5" x14ac:dyDescent="0.35">
      <c r="A1000" s="620"/>
      <c r="B1000" s="635"/>
      <c r="C1000" s="632"/>
      <c r="D1000" s="720"/>
      <c r="G1000" s="2082" t="s">
        <v>233</v>
      </c>
      <c r="H1000" s="2082"/>
      <c r="I1000" s="2082"/>
      <c r="J1000" s="643">
        <f>M968+M969+M970+M974+M975+M976+M984+M989+M991</f>
        <v>0</v>
      </c>
      <c r="K1000" s="702"/>
      <c r="L1000" s="620"/>
      <c r="M1000" s="620"/>
      <c r="N1000" s="632"/>
      <c r="O1000" s="620"/>
    </row>
    <row r="1001" spans="1:15" ht="15.5" x14ac:dyDescent="0.35">
      <c r="A1001" s="620"/>
      <c r="B1001" s="635"/>
      <c r="C1001" s="632"/>
      <c r="D1001" s="720"/>
      <c r="G1001" s="2082" t="s">
        <v>234</v>
      </c>
      <c r="H1001" s="2082"/>
      <c r="I1001" s="2082"/>
      <c r="J1001" s="643">
        <f>M990</f>
        <v>0</v>
      </c>
      <c r="K1001" s="702"/>
      <c r="L1001" s="620"/>
      <c r="M1001" s="620"/>
      <c r="N1001" s="632"/>
      <c r="O1001" s="620"/>
    </row>
    <row r="1002" spans="1:15" ht="16" thickBot="1" x14ac:dyDescent="0.4">
      <c r="A1002" s="620"/>
      <c r="B1002" s="635"/>
      <c r="C1002" s="632"/>
      <c r="D1002" s="720"/>
      <c r="G1002" s="2082" t="s">
        <v>235</v>
      </c>
      <c r="H1002" s="2082"/>
      <c r="I1002" s="2082"/>
      <c r="J1002" s="643">
        <f>M967+M971+M972+M978+M982+M983+M993+M994+M995</f>
        <v>0</v>
      </c>
      <c r="K1002" s="702"/>
      <c r="L1002" s="620"/>
      <c r="M1002" s="620"/>
      <c r="N1002" s="632"/>
      <c r="O1002" s="620"/>
    </row>
    <row r="1003" spans="1:15" ht="20.5" thickBot="1" x14ac:dyDescent="0.4">
      <c r="A1003" s="620"/>
      <c r="B1003" s="635"/>
      <c r="C1003" s="632"/>
      <c r="D1003" s="720"/>
      <c r="G1003" s="2083" t="s">
        <v>210</v>
      </c>
      <c r="H1003" s="2083"/>
      <c r="I1003" s="2083"/>
      <c r="J1003" s="714">
        <f>SUM(J999:J1002)</f>
        <v>0</v>
      </c>
      <c r="K1003" s="682">
        <f>J1003-M996</f>
        <v>0</v>
      </c>
      <c r="L1003" s="620"/>
      <c r="M1003" s="620"/>
      <c r="N1003" s="632"/>
      <c r="O1003" s="620"/>
    </row>
    <row r="1011" spans="1:15" x14ac:dyDescent="0.35">
      <c r="A1011" s="620"/>
      <c r="B1011" s="635"/>
      <c r="C1011" s="632"/>
      <c r="D1011" s="720"/>
      <c r="E1011" s="632"/>
      <c r="F1011" s="620"/>
      <c r="G1011" s="620"/>
      <c r="H1011" s="620"/>
      <c r="I1011" s="620"/>
      <c r="J1011" s="620"/>
      <c r="K1011" s="702"/>
      <c r="L1011" s="620"/>
      <c r="M1011" s="620"/>
      <c r="N1011" s="632"/>
      <c r="O1011" s="620"/>
    </row>
    <row r="1012" spans="1:15" x14ac:dyDescent="0.35">
      <c r="A1012" s="620"/>
      <c r="B1012" s="635"/>
      <c r="C1012" s="632"/>
      <c r="D1012" s="720"/>
      <c r="E1012" s="632"/>
      <c r="F1012" s="620"/>
      <c r="G1012" s="620"/>
      <c r="H1012" s="620"/>
      <c r="I1012" s="620"/>
      <c r="J1012" s="620"/>
      <c r="K1012" s="702"/>
      <c r="L1012" s="620"/>
      <c r="M1012" s="620"/>
      <c r="N1012" s="632"/>
      <c r="O1012" s="620"/>
    </row>
    <row r="1013" spans="1:15" ht="25" x14ac:dyDescent="0.35">
      <c r="A1013" s="46"/>
      <c r="B1013" s="2152"/>
      <c r="C1013" s="2152"/>
      <c r="D1013" s="2152"/>
      <c r="E1013" s="2152"/>
      <c r="F1013" s="2152"/>
      <c r="G1013" s="2152"/>
      <c r="H1013" s="2152"/>
      <c r="I1013" s="2152"/>
      <c r="J1013" s="2152"/>
      <c r="K1013" s="2152"/>
      <c r="L1013" s="2152"/>
      <c r="M1013" s="2152"/>
      <c r="N1013" s="75"/>
      <c r="O1013" s="28"/>
    </row>
    <row r="1014" spans="1:15" x14ac:dyDescent="0.35">
      <c r="A1014" s="620"/>
      <c r="B1014" s="635"/>
      <c r="C1014" s="632"/>
      <c r="D1014" s="720"/>
      <c r="E1014" s="632"/>
      <c r="F1014" s="620"/>
      <c r="G1014" s="620"/>
      <c r="H1014" s="620"/>
      <c r="I1014" s="620"/>
      <c r="J1014" s="620"/>
      <c r="K1014" s="702"/>
      <c r="L1014" s="620"/>
      <c r="M1014" s="620"/>
      <c r="N1014" s="632"/>
      <c r="O1014" s="620"/>
    </row>
    <row r="1015" spans="1:15" x14ac:dyDescent="0.35">
      <c r="A1015" s="620"/>
      <c r="B1015" s="635"/>
      <c r="C1015" s="632"/>
      <c r="D1015" s="720"/>
      <c r="E1015" s="632"/>
      <c r="F1015" s="620"/>
      <c r="G1015" s="620"/>
      <c r="H1015" s="620"/>
      <c r="I1015" s="620"/>
      <c r="J1015" s="620"/>
      <c r="K1015" s="702"/>
      <c r="L1015" s="620"/>
      <c r="M1015" s="620"/>
      <c r="N1015" s="632"/>
      <c r="O1015" s="620"/>
    </row>
    <row r="1016" spans="1:15" ht="25" x14ac:dyDescent="0.35">
      <c r="A1016" s="2095" t="s">
        <v>1318</v>
      </c>
      <c r="B1016" s="2095"/>
      <c r="C1016" s="2095"/>
      <c r="D1016" s="2095"/>
      <c r="E1016" s="2095"/>
      <c r="F1016" s="2095"/>
      <c r="G1016" s="2095"/>
      <c r="H1016" s="2095"/>
      <c r="I1016" s="2095"/>
      <c r="J1016" s="2095"/>
      <c r="K1016" s="2095"/>
      <c r="L1016" s="2095"/>
      <c r="M1016" s="2095"/>
      <c r="N1016" s="2095"/>
      <c r="O1016" s="756" t="e">
        <f>#REF!</f>
        <v>#REF!</v>
      </c>
    </row>
    <row r="1017" spans="1:15" ht="15.5" x14ac:dyDescent="0.35">
      <c r="A1017" s="2096" t="s">
        <v>0</v>
      </c>
      <c r="B1017" s="2098" t="s">
        <v>1</v>
      </c>
      <c r="C1017" s="2100" t="s">
        <v>2</v>
      </c>
      <c r="D1017" s="2101"/>
      <c r="E1017" s="2102"/>
      <c r="F1017" s="2103" t="s">
        <v>3</v>
      </c>
      <c r="G1017" s="2100" t="s">
        <v>4</v>
      </c>
      <c r="H1017" s="2102"/>
      <c r="I1017" s="2085"/>
      <c r="J1017" s="2103" t="s">
        <v>5</v>
      </c>
      <c r="K1017" s="2100" t="s">
        <v>6</v>
      </c>
      <c r="L1017" s="2102"/>
      <c r="M1017" s="97" t="s">
        <v>1088</v>
      </c>
      <c r="N1017" s="98"/>
      <c r="O1017" s="2084" t="s">
        <v>7</v>
      </c>
    </row>
    <row r="1018" spans="1:15" ht="15.5" x14ac:dyDescent="0.35">
      <c r="A1018" s="2097"/>
      <c r="B1018" s="2099"/>
      <c r="C1018" s="2086" t="s">
        <v>1108</v>
      </c>
      <c r="D1018" s="2087"/>
      <c r="E1018" s="87" t="s">
        <v>9</v>
      </c>
      <c r="F1018" s="2097"/>
      <c r="G1018" s="2">
        <f>'NORTH-1'!$G$8</f>
        <v>44774</v>
      </c>
      <c r="H1018" s="2">
        <f>'NORTH-1'!$H$8</f>
        <v>44805</v>
      </c>
      <c r="I1018" s="1" t="s">
        <v>10</v>
      </c>
      <c r="J1018" s="2097"/>
      <c r="K1018" s="1" t="s">
        <v>11</v>
      </c>
      <c r="L1018" s="1" t="s">
        <v>12</v>
      </c>
      <c r="M1018" s="617" t="s">
        <v>33</v>
      </c>
      <c r="N1018" s="76" t="s">
        <v>47</v>
      </c>
      <c r="O1018" s="2085"/>
    </row>
    <row r="1019" spans="1:15" ht="15.5" x14ac:dyDescent="0.35">
      <c r="A1019" s="3">
        <v>1</v>
      </c>
      <c r="B1019" s="88">
        <v>2</v>
      </c>
      <c r="C1019" s="2088">
        <v>4</v>
      </c>
      <c r="D1019" s="2089"/>
      <c r="E1019" s="88">
        <v>5</v>
      </c>
      <c r="F1019" s="3">
        <v>7</v>
      </c>
      <c r="G1019" s="3">
        <v>8</v>
      </c>
      <c r="H1019" s="3">
        <v>9</v>
      </c>
      <c r="I1019" s="3" t="s">
        <v>13</v>
      </c>
      <c r="J1019" s="3">
        <v>11</v>
      </c>
      <c r="K1019" s="3" t="s">
        <v>19</v>
      </c>
      <c r="L1019" s="3" t="s">
        <v>20</v>
      </c>
      <c r="M1019" s="3">
        <v>14</v>
      </c>
      <c r="N1019" s="77">
        <v>15</v>
      </c>
      <c r="O1019" s="3">
        <v>16</v>
      </c>
    </row>
    <row r="1020" spans="1:15" ht="15.5" x14ac:dyDescent="0.35">
      <c r="A1020" s="11"/>
      <c r="B1020" s="624" t="s">
        <v>4643</v>
      </c>
      <c r="C1020" s="625"/>
      <c r="D1020" s="625"/>
      <c r="E1020" s="667"/>
      <c r="F1020" s="625"/>
      <c r="G1020" s="625"/>
      <c r="H1020" s="625"/>
      <c r="I1020" s="625"/>
      <c r="J1020" s="625"/>
      <c r="K1020" s="695"/>
      <c r="L1020" s="625"/>
      <c r="M1020" s="626"/>
      <c r="N1020" s="627"/>
      <c r="O1020" s="8"/>
    </row>
    <row r="1021" spans="1:15" ht="15.5" x14ac:dyDescent="0.35">
      <c r="A1021" s="631">
        <v>1</v>
      </c>
      <c r="B1021" s="100" t="s">
        <v>3003</v>
      </c>
      <c r="C1021" s="52">
        <v>132</v>
      </c>
      <c r="D1021" s="1770" t="s">
        <v>1650</v>
      </c>
      <c r="E1021" s="2149" t="s">
        <v>3004</v>
      </c>
      <c r="F1021" s="4">
        <v>1</v>
      </c>
      <c r="G1021" s="5">
        <v>2003.3805030999999</v>
      </c>
      <c r="H1021" s="5">
        <v>2057.6080671999998</v>
      </c>
      <c r="I1021" s="5">
        <f>H1021-G1021</f>
        <v>54.227564099999881</v>
      </c>
      <c r="J1021" s="616">
        <v>1000000</v>
      </c>
      <c r="K1021" s="696">
        <f>F1021*I1021*J1021</f>
        <v>54227564.099999882</v>
      </c>
      <c r="L1021" s="7"/>
      <c r="M1021" s="7"/>
      <c r="N1021" s="78"/>
      <c r="O1021" s="616" t="s">
        <v>3005</v>
      </c>
    </row>
    <row r="1022" spans="1:15" ht="15.5" x14ac:dyDescent="0.35">
      <c r="A1022" s="631"/>
      <c r="B1022" s="100"/>
      <c r="C1022" s="52">
        <v>132</v>
      </c>
      <c r="D1022" s="1771" t="s">
        <v>1651</v>
      </c>
      <c r="E1022" s="2150" t="s">
        <v>3006</v>
      </c>
      <c r="F1022" s="4">
        <v>1</v>
      </c>
      <c r="G1022" s="5"/>
      <c r="H1022" s="5"/>
      <c r="I1022" s="5">
        <f>H1022-G1022</f>
        <v>0</v>
      </c>
      <c r="J1022" s="616">
        <v>1000000</v>
      </c>
      <c r="K1022" s="696">
        <f>F1022*I1022*J1022</f>
        <v>0</v>
      </c>
      <c r="L1022" s="16"/>
      <c r="M1022" s="16"/>
      <c r="N1022" s="79"/>
      <c r="O1022" s="616">
        <f>(K1025-K1034)/K1025*100</f>
        <v>100</v>
      </c>
    </row>
    <row r="1023" spans="1:15" ht="15.5" x14ac:dyDescent="0.35">
      <c r="A1023" s="631">
        <v>2</v>
      </c>
      <c r="B1023" s="100" t="s">
        <v>3007</v>
      </c>
      <c r="C1023" s="52">
        <v>132</v>
      </c>
      <c r="D1023" s="1771" t="s">
        <v>1650</v>
      </c>
      <c r="E1023" s="2149" t="s">
        <v>3008</v>
      </c>
      <c r="F1023" s="4">
        <v>1</v>
      </c>
      <c r="G1023" s="5">
        <v>1935.3775009000001</v>
      </c>
      <c r="H1023" s="5">
        <v>1989.494885561</v>
      </c>
      <c r="I1023" s="5">
        <f>H1023-G1023</f>
        <v>54.11738466099996</v>
      </c>
      <c r="J1023" s="616">
        <v>1000000</v>
      </c>
      <c r="K1023" s="696">
        <f>F1023*I1023*J1023</f>
        <v>54117384.660999961</v>
      </c>
      <c r="L1023" s="7"/>
      <c r="M1023" s="7"/>
      <c r="N1023" s="78"/>
      <c r="O1023" s="616"/>
    </row>
    <row r="1024" spans="1:15" ht="15.5" x14ac:dyDescent="0.35">
      <c r="A1024" s="631"/>
      <c r="B1024" s="100"/>
      <c r="C1024" s="52">
        <v>132</v>
      </c>
      <c r="D1024" s="1772" t="s">
        <v>1651</v>
      </c>
      <c r="E1024" s="2150" t="s">
        <v>3009</v>
      </c>
      <c r="F1024" s="4">
        <v>1</v>
      </c>
      <c r="G1024" s="5"/>
      <c r="H1024" s="5"/>
      <c r="I1024" s="5">
        <f>H1024-G1024</f>
        <v>0</v>
      </c>
      <c r="J1024" s="616">
        <v>1000000</v>
      </c>
      <c r="K1024" s="697">
        <f>F1024*I1024*J1024</f>
        <v>0</v>
      </c>
      <c r="L1024" s="17"/>
      <c r="M1024" s="17"/>
      <c r="N1024" s="80"/>
      <c r="O1024" s="616"/>
    </row>
    <row r="1025" spans="1:15" ht="15.5" x14ac:dyDescent="0.35">
      <c r="A1025" s="631"/>
      <c r="B1025" s="95"/>
      <c r="C1025" s="89"/>
      <c r="D1025" s="89"/>
      <c r="E1025" s="89"/>
      <c r="F1025" s="37"/>
      <c r="G1025" s="37"/>
      <c r="H1025" s="37"/>
      <c r="I1025" s="2136" t="s">
        <v>236</v>
      </c>
      <c r="J1025" s="2137"/>
      <c r="K1025" s="698">
        <f>SUM(K1021:K1024)</f>
        <v>108344948.76099984</v>
      </c>
      <c r="L1025" s="94">
        <f>SUM(L1021:L1024)</f>
        <v>0</v>
      </c>
      <c r="M1025" s="18"/>
      <c r="N1025" s="81"/>
      <c r="O1025" s="616"/>
    </row>
    <row r="1026" spans="1:15" ht="15.5" x14ac:dyDescent="0.35">
      <c r="A1026" s="631"/>
      <c r="B1026" s="95"/>
      <c r="C1026" s="89"/>
      <c r="D1026" s="89"/>
      <c r="E1026" s="89"/>
      <c r="F1026" s="37"/>
      <c r="G1026" s="37"/>
      <c r="H1026" s="37"/>
      <c r="I1026" s="665"/>
      <c r="J1026" s="665" t="s">
        <v>31</v>
      </c>
      <c r="K1026" s="699">
        <f>K1025-L1025</f>
        <v>108344948.76099984</v>
      </c>
      <c r="L1026" s="40"/>
      <c r="M1026" s="41"/>
      <c r="N1026" s="632"/>
      <c r="O1026" s="616"/>
    </row>
    <row r="1027" spans="1:15" ht="15.5" x14ac:dyDescent="0.35">
      <c r="A1027" s="631"/>
      <c r="B1027" s="624" t="s">
        <v>4644</v>
      </c>
      <c r="C1027" s="625"/>
      <c r="D1027" s="625"/>
      <c r="E1027" s="625"/>
      <c r="F1027" s="625"/>
      <c r="G1027" s="625"/>
      <c r="H1027" s="625"/>
      <c r="I1027" s="625"/>
      <c r="J1027" s="625"/>
      <c r="K1027" s="695"/>
      <c r="L1027" s="625"/>
      <c r="M1027" s="626"/>
      <c r="N1027" s="627"/>
      <c r="O1027" s="616"/>
    </row>
    <row r="1028" spans="1:15" ht="15.5" x14ac:dyDescent="0.35">
      <c r="A1028" s="631">
        <v>3</v>
      </c>
      <c r="B1028" s="100" t="s">
        <v>3010</v>
      </c>
      <c r="C1028" s="52">
        <v>132</v>
      </c>
      <c r="D1028" s="1770" t="s">
        <v>339</v>
      </c>
      <c r="E1028" s="2149" t="s">
        <v>3011</v>
      </c>
      <c r="F1028" s="4">
        <v>1</v>
      </c>
      <c r="G1028" s="5">
        <v>8575.4259999999995</v>
      </c>
      <c r="H1028" s="5">
        <v>8636.8520000000008</v>
      </c>
      <c r="I1028" s="5">
        <f>SUM(H1028-G1028)</f>
        <v>61.426000000001295</v>
      </c>
      <c r="J1028" s="616">
        <v>720000</v>
      </c>
      <c r="K1028" s="696">
        <f>F1028*I1028*J1028</f>
        <v>44226720.000000931</v>
      </c>
      <c r="L1028" s="16"/>
      <c r="M1028" s="16"/>
      <c r="N1028" s="79"/>
      <c r="O1028" s="616"/>
    </row>
    <row r="1029" spans="1:15" ht="15.5" x14ac:dyDescent="0.35">
      <c r="A1029" s="631"/>
      <c r="B1029" s="100"/>
      <c r="C1029" s="52">
        <v>132</v>
      </c>
      <c r="D1029" s="1771" t="s">
        <v>326</v>
      </c>
      <c r="E1029" s="2150" t="s">
        <v>3011</v>
      </c>
      <c r="F1029" s="4">
        <v>1</v>
      </c>
      <c r="G1029" s="5">
        <v>1.333</v>
      </c>
      <c r="H1029" s="5">
        <v>1.333</v>
      </c>
      <c r="I1029" s="5">
        <f>SUM(H1029-G1029)</f>
        <v>0</v>
      </c>
      <c r="J1029" s="616">
        <v>720000</v>
      </c>
      <c r="K1029" s="696"/>
      <c r="L1029" s="16">
        <f>F1029*I1029*J1029</f>
        <v>0</v>
      </c>
      <c r="M1029" s="16"/>
      <c r="N1029" s="79"/>
      <c r="O1029" s="616"/>
    </row>
    <row r="1030" spans="1:15" ht="15.5" x14ac:dyDescent="0.35">
      <c r="A1030" s="631">
        <v>4</v>
      </c>
      <c r="B1030" s="100" t="s">
        <v>3012</v>
      </c>
      <c r="C1030" s="52">
        <v>132</v>
      </c>
      <c r="D1030" s="1771" t="s">
        <v>339</v>
      </c>
      <c r="E1030" s="2149" t="s">
        <v>3013</v>
      </c>
      <c r="F1030" s="4">
        <v>1</v>
      </c>
      <c r="G1030" s="5">
        <v>6301.7749999999996</v>
      </c>
      <c r="H1030" s="5">
        <v>6369.5370000000003</v>
      </c>
      <c r="I1030" s="5">
        <f>SUM(H1030-G1030)</f>
        <v>67.762000000000626</v>
      </c>
      <c r="J1030" s="616">
        <v>720000</v>
      </c>
      <c r="K1030" s="696">
        <f>F1030*I1030*J1030</f>
        <v>48788640.000000447</v>
      </c>
      <c r="L1030" s="16"/>
      <c r="M1030" s="16"/>
      <c r="N1030" s="79"/>
      <c r="O1030" s="616" t="s">
        <v>3014</v>
      </c>
    </row>
    <row r="1031" spans="1:15" ht="15.5" x14ac:dyDescent="0.35">
      <c r="A1031" s="631"/>
      <c r="B1031" s="100"/>
      <c r="C1031" s="52">
        <v>132</v>
      </c>
      <c r="D1031" s="1772" t="s">
        <v>326</v>
      </c>
      <c r="E1031" s="2150" t="s">
        <v>3013</v>
      </c>
      <c r="F1031" s="4">
        <v>1</v>
      </c>
      <c r="G1031" s="5">
        <v>118.73</v>
      </c>
      <c r="H1031" s="5">
        <v>118.73</v>
      </c>
      <c r="I1031" s="5">
        <f>SUM(H1031-G1031)</f>
        <v>0</v>
      </c>
      <c r="J1031" s="616">
        <v>720000</v>
      </c>
      <c r="K1031" s="697"/>
      <c r="L1031" s="17">
        <f>F1031*I1031*J1031</f>
        <v>0</v>
      </c>
      <c r="M1031" s="17"/>
      <c r="N1031" s="80"/>
      <c r="O1031" s="616" t="e">
        <f>(K1036-K1065)/K1036*100</f>
        <v>#DIV/0!</v>
      </c>
    </row>
    <row r="1032" spans="1:15" ht="15.5" x14ac:dyDescent="0.35">
      <c r="A1032" s="631"/>
      <c r="B1032" s="95"/>
      <c r="C1032" s="89"/>
      <c r="D1032" s="89"/>
      <c r="E1032" s="89"/>
      <c r="F1032" s="37"/>
      <c r="G1032" s="37"/>
      <c r="H1032" s="37"/>
      <c r="I1032" s="2136" t="s">
        <v>303</v>
      </c>
      <c r="J1032" s="2137"/>
      <c r="K1032" s="698">
        <f>SUM(K1028:K1031)</f>
        <v>93015360.000001371</v>
      </c>
      <c r="L1032" s="94">
        <f>SUM(L1028:L1031)</f>
        <v>0</v>
      </c>
      <c r="M1032" s="18"/>
      <c r="N1032" s="81"/>
      <c r="O1032" s="633"/>
    </row>
    <row r="1033" spans="1:15" ht="15.5" x14ac:dyDescent="0.35">
      <c r="A1033" s="631"/>
      <c r="B1033" s="95"/>
      <c r="C1033" s="89"/>
      <c r="D1033" s="89"/>
      <c r="E1033" s="89"/>
      <c r="F1033" s="37"/>
      <c r="G1033" s="37"/>
      <c r="H1033" s="37"/>
      <c r="I1033" s="2136" t="s">
        <v>31</v>
      </c>
      <c r="J1033" s="2137"/>
      <c r="K1033" s="699">
        <f>K1032-L1032</f>
        <v>93015360.000001371</v>
      </c>
      <c r="L1033" s="40"/>
      <c r="M1033" s="42"/>
      <c r="N1033" s="634"/>
      <c r="O1033" s="633"/>
    </row>
    <row r="1034" spans="1:15" ht="15.5" x14ac:dyDescent="0.35">
      <c r="A1034" s="11"/>
      <c r="B1034" s="647" t="s">
        <v>4645</v>
      </c>
      <c r="C1034" s="648"/>
      <c r="D1034" s="648"/>
      <c r="E1034" s="648"/>
      <c r="F1034" s="648"/>
      <c r="G1034" s="648"/>
      <c r="H1034" s="648"/>
      <c r="I1034" s="648"/>
      <c r="J1034" s="648"/>
      <c r="K1034" s="700"/>
      <c r="L1034" s="648"/>
      <c r="M1034" s="651"/>
      <c r="N1034" s="649"/>
      <c r="O1034" s="8"/>
    </row>
    <row r="1035" spans="1:15" ht="15.5" x14ac:dyDescent="0.35">
      <c r="A1035" s="631"/>
      <c r="B1035" s="100" t="s">
        <v>1079</v>
      </c>
      <c r="C1035" s="52">
        <v>132</v>
      </c>
      <c r="D1035" s="2138" t="s">
        <v>1083</v>
      </c>
      <c r="E1035" s="615"/>
      <c r="F1035" s="4"/>
      <c r="G1035" s="5"/>
      <c r="H1035" s="5"/>
      <c r="I1035" s="5"/>
      <c r="J1035" s="616"/>
      <c r="K1035" s="696"/>
      <c r="L1035" s="16">
        <f>J1035*I1035*F1035</f>
        <v>0</v>
      </c>
      <c r="M1035" s="7"/>
      <c r="N1035" s="78"/>
      <c r="O1035" s="616"/>
    </row>
    <row r="1036" spans="1:15" ht="15.5" x14ac:dyDescent="0.35">
      <c r="A1036" s="631"/>
      <c r="B1036" s="100" t="s">
        <v>1078</v>
      </c>
      <c r="C1036" s="52">
        <v>132</v>
      </c>
      <c r="D1036" s="2139"/>
      <c r="E1036" s="615"/>
      <c r="F1036" s="4"/>
      <c r="G1036" s="5"/>
      <c r="H1036" s="5"/>
      <c r="I1036" s="5"/>
      <c r="J1036" s="616"/>
      <c r="K1036" s="696"/>
      <c r="L1036" s="16">
        <f>J1036*I1036*F1036</f>
        <v>0</v>
      </c>
      <c r="M1036" s="16"/>
      <c r="N1036" s="79"/>
      <c r="O1036" s="616"/>
    </row>
    <row r="1037" spans="1:15" ht="15.5" x14ac:dyDescent="0.35">
      <c r="A1037" s="631"/>
      <c r="B1037" s="95"/>
      <c r="C1037" s="89"/>
      <c r="D1037" s="89"/>
      <c r="E1037" s="89"/>
      <c r="F1037" s="37"/>
      <c r="G1037" s="37"/>
      <c r="H1037" s="37"/>
      <c r="I1037" s="37"/>
      <c r="J1037" s="95" t="s">
        <v>279</v>
      </c>
      <c r="K1037" s="699"/>
      <c r="L1037" s="55">
        <f>SUM(L1035:L1036)</f>
        <v>0</v>
      </c>
      <c r="M1037" s="633"/>
      <c r="N1037" s="634"/>
      <c r="O1037" s="616"/>
    </row>
    <row r="1038" spans="1:15" ht="15.5" x14ac:dyDescent="0.35">
      <c r="A1038" s="11"/>
      <c r="B1038" s="647" t="s">
        <v>4646</v>
      </c>
      <c r="C1038" s="648"/>
      <c r="D1038" s="648"/>
      <c r="E1038" s="648"/>
      <c r="F1038" s="648"/>
      <c r="G1038" s="648"/>
      <c r="H1038" s="648"/>
      <c r="I1038" s="648"/>
      <c r="J1038" s="648"/>
      <c r="K1038" s="700"/>
      <c r="L1038" s="648"/>
      <c r="M1038" s="651"/>
      <c r="N1038" s="649"/>
      <c r="O1038" s="8"/>
    </row>
    <row r="1039" spans="1:15" ht="15.5" x14ac:dyDescent="0.35">
      <c r="A1039" s="631">
        <v>5</v>
      </c>
      <c r="B1039" s="100" t="s">
        <v>3015</v>
      </c>
      <c r="C1039" s="52">
        <v>132</v>
      </c>
      <c r="D1039" s="1770" t="s">
        <v>326</v>
      </c>
      <c r="E1039" s="2149" t="s">
        <v>2506</v>
      </c>
      <c r="F1039" s="4">
        <v>1</v>
      </c>
      <c r="G1039" s="5"/>
      <c r="H1039" s="5"/>
      <c r="I1039" s="5">
        <f>SUM(H1039-G1039)</f>
        <v>0</v>
      </c>
      <c r="J1039" s="616"/>
      <c r="K1039" s="696"/>
      <c r="L1039" s="16">
        <f>F1039*I1039*J1039</f>
        <v>0</v>
      </c>
      <c r="M1039" s="16"/>
      <c r="N1039" s="79"/>
      <c r="O1039" s="616"/>
    </row>
    <row r="1040" spans="1:15" ht="15.5" x14ac:dyDescent="0.35">
      <c r="A1040" s="631">
        <v>6</v>
      </c>
      <c r="B1040" s="100" t="s">
        <v>3016</v>
      </c>
      <c r="C1040" s="52">
        <v>132</v>
      </c>
      <c r="D1040" s="1771" t="s">
        <v>326</v>
      </c>
      <c r="E1040" s="2150" t="s">
        <v>2506</v>
      </c>
      <c r="F1040" s="4">
        <v>1</v>
      </c>
      <c r="G1040" s="5"/>
      <c r="H1040" s="5"/>
      <c r="I1040" s="5">
        <f>SUM(H1040-G1040)</f>
        <v>0</v>
      </c>
      <c r="J1040" s="616"/>
      <c r="K1040" s="696"/>
      <c r="L1040" s="16">
        <f>F1040*I1040*J1040</f>
        <v>0</v>
      </c>
      <c r="M1040" s="16"/>
      <c r="N1040" s="79"/>
      <c r="O1040" s="616"/>
    </row>
    <row r="1041" spans="1:15" ht="15.5" x14ac:dyDescent="0.35">
      <c r="A1041" s="631">
        <v>7</v>
      </c>
      <c r="B1041" s="100" t="s">
        <v>3017</v>
      </c>
      <c r="C1041" s="52">
        <v>132</v>
      </c>
      <c r="D1041" s="1771" t="s">
        <v>326</v>
      </c>
      <c r="E1041" s="2149" t="s">
        <v>2506</v>
      </c>
      <c r="F1041" s="4">
        <v>1</v>
      </c>
      <c r="G1041" s="5"/>
      <c r="H1041" s="5"/>
      <c r="I1041" s="5">
        <f>SUM(H1041-G1041)</f>
        <v>0</v>
      </c>
      <c r="J1041" s="616"/>
      <c r="K1041" s="696"/>
      <c r="L1041" s="16">
        <f>F1041*I1041*J1041</f>
        <v>0</v>
      </c>
      <c r="M1041" s="16"/>
      <c r="N1041" s="79"/>
      <c r="O1041" s="616"/>
    </row>
    <row r="1042" spans="1:15" ht="15.5" x14ac:dyDescent="0.35">
      <c r="A1042" s="631">
        <v>8</v>
      </c>
      <c r="B1042" s="100" t="s">
        <v>3018</v>
      </c>
      <c r="C1042" s="52">
        <v>132</v>
      </c>
      <c r="D1042" s="1772" t="s">
        <v>326</v>
      </c>
      <c r="E1042" s="2150" t="s">
        <v>3019</v>
      </c>
      <c r="F1042" s="4">
        <v>1</v>
      </c>
      <c r="G1042" s="5">
        <v>1399845.2</v>
      </c>
      <c r="H1042" s="5">
        <v>1417628.4</v>
      </c>
      <c r="I1042" s="5">
        <f>SUM(H1042-G1042)</f>
        <v>17783.199999999953</v>
      </c>
      <c r="J1042" s="616">
        <v>1300</v>
      </c>
      <c r="K1042" s="697"/>
      <c r="L1042" s="17">
        <f>F1042*I1042*J1042</f>
        <v>23118159.99999994</v>
      </c>
      <c r="M1042" s="17"/>
      <c r="N1042" s="80"/>
      <c r="O1042" s="616"/>
    </row>
    <row r="1043" spans="1:15" ht="15.5" x14ac:dyDescent="0.35">
      <c r="A1043" s="631"/>
      <c r="B1043" s="95"/>
      <c r="C1043" s="89"/>
      <c r="D1043" s="89"/>
      <c r="E1043" s="65"/>
      <c r="F1043" s="65"/>
      <c r="G1043" s="65"/>
      <c r="H1043" s="65"/>
      <c r="I1043" s="65"/>
      <c r="J1043" s="95" t="s">
        <v>30</v>
      </c>
      <c r="K1043" s="701"/>
      <c r="L1043" s="43">
        <f>K1033-L1037</f>
        <v>93015360.000001371</v>
      </c>
      <c r="M1043" s="55"/>
      <c r="N1043" s="78"/>
      <c r="O1043" s="616"/>
    </row>
    <row r="1044" spans="1:15" ht="15" thickBot="1" x14ac:dyDescent="0.4">
      <c r="A1044" s="620"/>
      <c r="B1044" s="635"/>
      <c r="C1044" s="632"/>
      <c r="D1044" s="720"/>
      <c r="K1044" s="702"/>
      <c r="L1044" s="620"/>
      <c r="M1044" s="620"/>
      <c r="N1044" s="632"/>
      <c r="O1044" s="620"/>
    </row>
    <row r="1045" spans="1:15" s="620" customFormat="1" x14ac:dyDescent="0.35">
      <c r="B1045" s="2142" t="s">
        <v>1090</v>
      </c>
      <c r="C1045" s="2143"/>
      <c r="D1045" s="683" t="s">
        <v>14</v>
      </c>
      <c r="E1045"/>
      <c r="F1045" s="2144" t="s">
        <v>1091</v>
      </c>
      <c r="G1045" s="2145"/>
      <c r="H1045" s="2146"/>
      <c r="I1045" s="683" t="s">
        <v>14</v>
      </c>
      <c r="K1045" s="2147" t="s">
        <v>1092</v>
      </c>
      <c r="L1045" s="2148"/>
      <c r="M1045" s="684" t="s">
        <v>14</v>
      </c>
      <c r="N1045" s="632"/>
    </row>
    <row r="1046" spans="1:15" s="620" customFormat="1" x14ac:dyDescent="0.35">
      <c r="B1046" s="2122" t="str">
        <f>B1020</f>
        <v xml:space="preserve"> 132 KV SIDE (SENDNG)</v>
      </c>
      <c r="C1046" s="2123"/>
      <c r="D1046" s="689">
        <f>K1026</f>
        <v>108344948.76099984</v>
      </c>
      <c r="E1046"/>
      <c r="F1046" s="2124" t="s">
        <v>1093</v>
      </c>
      <c r="G1046" s="2125"/>
      <c r="H1046" s="2126"/>
      <c r="I1046" s="689">
        <f>L1037</f>
        <v>0</v>
      </c>
      <c r="K1046" s="2129" t="s">
        <v>4625</v>
      </c>
      <c r="L1046" s="2130"/>
      <c r="M1046" s="687">
        <f>I1047</f>
        <v>93015360.000001371</v>
      </c>
      <c r="N1046" s="632"/>
    </row>
    <row r="1047" spans="1:15" s="620" customFormat="1" x14ac:dyDescent="0.35">
      <c r="B1047" s="2122" t="s">
        <v>1116</v>
      </c>
      <c r="C1047" s="2123"/>
      <c r="D1047" s="689"/>
      <c r="E1047"/>
      <c r="F1047" s="2124" t="s">
        <v>4625</v>
      </c>
      <c r="G1047" s="2125"/>
      <c r="H1047" s="2126"/>
      <c r="I1047" s="687">
        <f>L1043</f>
        <v>93015360.000001371</v>
      </c>
      <c r="K1047" s="2127" t="s">
        <v>2455</v>
      </c>
      <c r="L1047" s="2128"/>
      <c r="M1047" s="1908">
        <f>D1051</f>
        <v>92654400.000000104</v>
      </c>
      <c r="N1047" s="632"/>
    </row>
    <row r="1048" spans="1:15" s="620" customFormat="1" x14ac:dyDescent="0.35">
      <c r="B1048" s="2122" t="s">
        <v>1117</v>
      </c>
      <c r="C1048" s="2123"/>
      <c r="D1048" s="689"/>
      <c r="E1048"/>
      <c r="F1048" s="2124" t="s">
        <v>1089</v>
      </c>
      <c r="G1048" s="2125"/>
      <c r="H1048" s="2126"/>
      <c r="I1048" s="689">
        <f>I1046+I1047</f>
        <v>93015360.000001371</v>
      </c>
      <c r="K1048" s="2129" t="s">
        <v>4622</v>
      </c>
      <c r="L1048" s="2130"/>
      <c r="M1048" s="689">
        <f>M1046-M1047</f>
        <v>360960.0000012666</v>
      </c>
      <c r="N1048" s="632"/>
    </row>
    <row r="1049" spans="1:15" s="620" customFormat="1" ht="15" thickBot="1" x14ac:dyDescent="0.4">
      <c r="B1049" s="2122" t="s">
        <v>1118</v>
      </c>
      <c r="C1049" s="2123"/>
      <c r="D1049" s="722"/>
      <c r="E1049"/>
      <c r="F1049" s="2131" t="s">
        <v>4626</v>
      </c>
      <c r="G1049" s="2132"/>
      <c r="H1049" s="2133"/>
      <c r="I1049" s="689">
        <f>D1050-I1048</f>
        <v>15329588.760998473</v>
      </c>
      <c r="K1049" s="2134" t="s">
        <v>285</v>
      </c>
      <c r="L1049" s="2135"/>
      <c r="M1049" s="1905">
        <f>M1048/M1046</f>
        <v>3.8806493895337424E-3</v>
      </c>
      <c r="N1049" s="632"/>
    </row>
    <row r="1050" spans="1:15" s="620" customFormat="1" ht="15" thickBot="1" x14ac:dyDescent="0.4">
      <c r="B1050" s="2109" t="s">
        <v>4620</v>
      </c>
      <c r="C1050" s="2110"/>
      <c r="D1050" s="1435">
        <f>SUM(D1046:D1049)</f>
        <v>108344948.76099984</v>
      </c>
      <c r="E1050"/>
      <c r="F1050" s="2113" t="s">
        <v>2454</v>
      </c>
      <c r="G1050" s="2114"/>
      <c r="H1050" s="2115"/>
      <c r="I1050" s="1904">
        <f>I1049/I1048</f>
        <v>0.16480706800466338</v>
      </c>
      <c r="K1050" s="702"/>
      <c r="N1050" s="632"/>
    </row>
    <row r="1051" spans="1:15" s="620" customFormat="1" x14ac:dyDescent="0.35">
      <c r="B1051" s="2116" t="s">
        <v>4624</v>
      </c>
      <c r="C1051" s="2117"/>
      <c r="D1051" s="1908">
        <f>K1066</f>
        <v>92654400.000000104</v>
      </c>
      <c r="E1051"/>
      <c r="F1051" s="791"/>
      <c r="G1051"/>
      <c r="H1051"/>
      <c r="I1051"/>
      <c r="J1051"/>
      <c r="K1051" s="702"/>
      <c r="N1051" s="632"/>
    </row>
    <row r="1052" spans="1:15" s="620" customFormat="1" x14ac:dyDescent="0.35">
      <c r="B1052" s="2118" t="s">
        <v>4627</v>
      </c>
      <c r="C1052" s="2119"/>
      <c r="D1052" s="1436">
        <f>D1050-D1051</f>
        <v>15690548.760999739</v>
      </c>
      <c r="E1052"/>
      <c r="F1052" s="791"/>
      <c r="G1052"/>
      <c r="H1052"/>
      <c r="I1052"/>
      <c r="J1052"/>
      <c r="K1052" s="702"/>
      <c r="N1052" s="632"/>
    </row>
    <row r="1053" spans="1:15" s="620" customFormat="1" ht="15" thickBot="1" x14ac:dyDescent="0.4">
      <c r="B1053" s="2120" t="str">
        <f>K1049</f>
        <v>LOSS % IN =&gt;</v>
      </c>
      <c r="C1053" s="2121"/>
      <c r="D1053" s="1899">
        <f>D1052/D1046</f>
        <v>0.14482030718028041</v>
      </c>
      <c r="E1053"/>
      <c r="F1053" s="791"/>
      <c r="G1053" s="678"/>
      <c r="H1053" s="678"/>
      <c r="I1053" s="678"/>
      <c r="J1053" s="679"/>
      <c r="K1053" s="702"/>
      <c r="N1053" s="632"/>
    </row>
    <row r="1054" spans="1:15" x14ac:dyDescent="0.35">
      <c r="A1054" s="620"/>
      <c r="B1054" s="635"/>
      <c r="C1054" s="632"/>
      <c r="D1054" s="720"/>
      <c r="G1054" s="678"/>
      <c r="H1054" s="678"/>
      <c r="I1054" s="678"/>
      <c r="J1054" s="679"/>
      <c r="K1054" s="702"/>
      <c r="L1054" s="620"/>
      <c r="M1054" s="620"/>
      <c r="N1054" s="632"/>
      <c r="O1054" s="620"/>
    </row>
    <row r="1055" spans="1:15" x14ac:dyDescent="0.35">
      <c r="A1055" s="620"/>
      <c r="B1055" s="635"/>
      <c r="C1055" s="632"/>
      <c r="D1055" s="720"/>
      <c r="G1055" s="678"/>
      <c r="H1055" s="678"/>
      <c r="I1055" s="678"/>
      <c r="J1055" s="679"/>
      <c r="K1055" s="702"/>
      <c r="L1055" s="620"/>
      <c r="M1055" s="620"/>
      <c r="N1055" s="632"/>
      <c r="O1055" s="620"/>
    </row>
    <row r="1056" spans="1:15" x14ac:dyDescent="0.35">
      <c r="A1056" s="620"/>
      <c r="B1056" s="635"/>
      <c r="C1056" s="632"/>
      <c r="D1056" s="720"/>
      <c r="E1056" s="632"/>
      <c r="F1056" s="620"/>
      <c r="G1056" s="620"/>
      <c r="H1056" s="620"/>
      <c r="I1056" s="620"/>
      <c r="J1056" s="620"/>
      <c r="K1056" s="702"/>
      <c r="L1056" s="620"/>
      <c r="M1056" s="620"/>
      <c r="N1056" s="632"/>
      <c r="O1056" s="620"/>
    </row>
    <row r="1057" spans="1:15" ht="25" x14ac:dyDescent="0.35">
      <c r="A1057" s="2095" t="s">
        <v>1319</v>
      </c>
      <c r="B1057" s="2095"/>
      <c r="C1057" s="2095"/>
      <c r="D1057" s="2095"/>
      <c r="E1057" s="2095"/>
      <c r="F1057" s="2095"/>
      <c r="G1057" s="2095"/>
      <c r="H1057" s="2095"/>
      <c r="I1057" s="2095"/>
      <c r="J1057" s="2095"/>
      <c r="K1057" s="2095"/>
      <c r="L1057" s="2095"/>
      <c r="M1057" s="2095"/>
      <c r="N1057" s="2095"/>
      <c r="O1057" s="756" t="e">
        <f>$O$6</f>
        <v>#REF!</v>
      </c>
    </row>
    <row r="1058" spans="1:15" ht="15.5" x14ac:dyDescent="0.35">
      <c r="A1058" s="2096" t="s">
        <v>0</v>
      </c>
      <c r="B1058" s="2098" t="s">
        <v>1</v>
      </c>
      <c r="C1058" s="2100" t="s">
        <v>2</v>
      </c>
      <c r="D1058" s="2101"/>
      <c r="E1058" s="2102"/>
      <c r="F1058" s="2103" t="s">
        <v>3</v>
      </c>
      <c r="G1058" s="2100" t="s">
        <v>4</v>
      </c>
      <c r="H1058" s="2102"/>
      <c r="I1058" s="2085"/>
      <c r="J1058" s="2103" t="s">
        <v>5</v>
      </c>
      <c r="K1058" s="2100" t="s">
        <v>6</v>
      </c>
      <c r="L1058" s="2085"/>
      <c r="M1058" s="97" t="s">
        <v>32</v>
      </c>
      <c r="N1058" s="98"/>
      <c r="O1058" s="2084" t="s">
        <v>7</v>
      </c>
    </row>
    <row r="1059" spans="1:15" ht="15.5" x14ac:dyDescent="0.35">
      <c r="A1059" s="2111"/>
      <c r="B1059" s="2112"/>
      <c r="C1059" s="2086" t="s">
        <v>1108</v>
      </c>
      <c r="D1059" s="2087"/>
      <c r="E1059" s="675" t="s">
        <v>9</v>
      </c>
      <c r="F1059" s="2111"/>
      <c r="G1059" s="2">
        <f>'NORTH-1'!$G$8</f>
        <v>44774</v>
      </c>
      <c r="H1059" s="2">
        <f>'NORTH-1'!$H$8</f>
        <v>44805</v>
      </c>
      <c r="I1059" s="676" t="s">
        <v>10</v>
      </c>
      <c r="J1059" s="2111"/>
      <c r="K1059" s="676" t="s">
        <v>11</v>
      </c>
      <c r="L1059" s="676" t="s">
        <v>12</v>
      </c>
      <c r="M1059" s="715" t="s">
        <v>33</v>
      </c>
      <c r="N1059" s="716" t="s">
        <v>47</v>
      </c>
      <c r="O1059" s="2104"/>
    </row>
    <row r="1060" spans="1:15" ht="15.5" x14ac:dyDescent="0.35">
      <c r="A1060" s="717">
        <v>1</v>
      </c>
      <c r="B1060" s="673">
        <v>2</v>
      </c>
      <c r="C1060" s="2088">
        <v>4</v>
      </c>
      <c r="D1060" s="2089"/>
      <c r="E1060" s="673">
        <v>5</v>
      </c>
      <c r="F1060" s="717">
        <v>7</v>
      </c>
      <c r="G1060" s="717">
        <v>8</v>
      </c>
      <c r="H1060" s="717">
        <v>9</v>
      </c>
      <c r="I1060" s="717" t="s">
        <v>13</v>
      </c>
      <c r="J1060" s="717">
        <v>11</v>
      </c>
      <c r="K1060" s="717" t="s">
        <v>19</v>
      </c>
      <c r="L1060" s="717" t="s">
        <v>20</v>
      </c>
      <c r="M1060" s="717">
        <v>14</v>
      </c>
      <c r="N1060" s="673">
        <v>15</v>
      </c>
      <c r="O1060" s="717">
        <v>16</v>
      </c>
    </row>
    <row r="1061" spans="1:15" ht="15.5" x14ac:dyDescent="0.35">
      <c r="A1061" s="11"/>
      <c r="B1061" s="624" t="s">
        <v>1100</v>
      </c>
      <c r="C1061" s="625"/>
      <c r="D1061" s="625"/>
      <c r="E1061" s="625"/>
      <c r="F1061" s="625"/>
      <c r="G1061" s="625"/>
      <c r="H1061" s="625"/>
      <c r="I1061" s="625"/>
      <c r="J1061" s="625"/>
      <c r="K1061" s="695"/>
      <c r="L1061" s="625"/>
      <c r="M1061" s="626"/>
      <c r="N1061" s="627"/>
      <c r="O1061" s="8"/>
    </row>
    <row r="1062" spans="1:15" ht="15.5" x14ac:dyDescent="0.35">
      <c r="A1062" s="631">
        <v>3</v>
      </c>
      <c r="B1062" s="100" t="s">
        <v>3020</v>
      </c>
      <c r="C1062" s="52">
        <v>33</v>
      </c>
      <c r="D1062" s="2105" t="s">
        <v>339</v>
      </c>
      <c r="E1062" s="52" t="s">
        <v>3021</v>
      </c>
      <c r="F1062" s="4">
        <v>1</v>
      </c>
      <c r="G1062" s="5">
        <v>2989.18</v>
      </c>
      <c r="H1062" s="5">
        <v>3039.8</v>
      </c>
      <c r="I1062" s="5">
        <f>H1062-G1062</f>
        <v>50.620000000000346</v>
      </c>
      <c r="J1062" s="616">
        <v>480000</v>
      </c>
      <c r="K1062" s="696">
        <f>F1062*I1062*J1062</f>
        <v>24297600.000000168</v>
      </c>
      <c r="L1062" s="7"/>
      <c r="M1062" s="7"/>
      <c r="N1062" s="78"/>
      <c r="O1062" s="616"/>
    </row>
    <row r="1063" spans="1:15" ht="15.5" x14ac:dyDescent="0.35">
      <c r="A1063" s="631">
        <v>9</v>
      </c>
      <c r="B1063" s="100" t="s">
        <v>3022</v>
      </c>
      <c r="C1063" s="52">
        <v>33</v>
      </c>
      <c r="D1063" s="2106" t="s">
        <v>339</v>
      </c>
      <c r="E1063" s="52" t="s">
        <v>3023</v>
      </c>
      <c r="F1063" s="4">
        <v>1</v>
      </c>
      <c r="G1063" s="5">
        <v>3044.44</v>
      </c>
      <c r="H1063" s="5">
        <v>3095.2</v>
      </c>
      <c r="I1063" s="5">
        <f>H1063-G1063</f>
        <v>50.759999999999764</v>
      </c>
      <c r="J1063" s="616">
        <v>480000</v>
      </c>
      <c r="K1063" s="696">
        <f>F1063*I1063*J1063</f>
        <v>24364799.999999888</v>
      </c>
      <c r="L1063" s="7"/>
      <c r="M1063" s="7"/>
      <c r="N1063" s="78"/>
      <c r="O1063" s="616"/>
    </row>
    <row r="1064" spans="1:15" ht="15.5" x14ac:dyDescent="0.35">
      <c r="A1064" s="631">
        <v>15</v>
      </c>
      <c r="B1064" s="100" t="s">
        <v>3024</v>
      </c>
      <c r="C1064" s="52">
        <v>33</v>
      </c>
      <c r="D1064" s="2106" t="s">
        <v>339</v>
      </c>
      <c r="E1064" s="52" t="s">
        <v>3025</v>
      </c>
      <c r="F1064" s="4">
        <v>1</v>
      </c>
      <c r="G1064" s="5">
        <v>2558.06</v>
      </c>
      <c r="H1064" s="5">
        <v>2603.87</v>
      </c>
      <c r="I1064" s="5">
        <f>H1064-G1064</f>
        <v>45.809999999999945</v>
      </c>
      <c r="J1064" s="616">
        <v>480000</v>
      </c>
      <c r="K1064" s="696">
        <f>F1064*I1064*J1064</f>
        <v>21988799.999999974</v>
      </c>
      <c r="L1064" s="7"/>
      <c r="M1064" s="7"/>
      <c r="N1064" s="78"/>
      <c r="O1064" s="616"/>
    </row>
    <row r="1065" spans="1:15" ht="15.5" x14ac:dyDescent="0.35">
      <c r="A1065" s="631">
        <v>21</v>
      </c>
      <c r="B1065" s="100" t="s">
        <v>3026</v>
      </c>
      <c r="C1065" s="52">
        <v>33</v>
      </c>
      <c r="D1065" s="2151" t="s">
        <v>339</v>
      </c>
      <c r="E1065" s="52" t="s">
        <v>3027</v>
      </c>
      <c r="F1065" s="4">
        <v>1</v>
      </c>
      <c r="G1065" s="5">
        <v>3436.27</v>
      </c>
      <c r="H1065" s="5">
        <v>3482.11</v>
      </c>
      <c r="I1065" s="5">
        <f>H1065-G1065</f>
        <v>45.840000000000146</v>
      </c>
      <c r="J1065" s="616">
        <v>480000</v>
      </c>
      <c r="K1065" s="696">
        <f>F1065*I1065*J1065</f>
        <v>22003200.000000071</v>
      </c>
      <c r="L1065" s="7"/>
      <c r="M1065" s="7"/>
      <c r="N1065" s="78"/>
      <c r="O1065" s="616"/>
    </row>
    <row r="1066" spans="1:15" ht="15.5" x14ac:dyDescent="0.35">
      <c r="A1066" s="631"/>
      <c r="B1066" s="95"/>
      <c r="C1066" s="89"/>
      <c r="D1066" s="89"/>
      <c r="E1066" s="89"/>
      <c r="F1066" s="37"/>
      <c r="G1066" s="37"/>
      <c r="H1066" s="37"/>
      <c r="I1066" s="37"/>
      <c r="J1066" s="95" t="s">
        <v>30</v>
      </c>
      <c r="K1066" s="1908">
        <f>SUM(K1062:K1065)</f>
        <v>92654400.000000104</v>
      </c>
      <c r="L1066" s="40"/>
      <c r="M1066" s="40">
        <f>SUM(M1062:M1065)</f>
        <v>0</v>
      </c>
      <c r="N1066" s="78"/>
      <c r="O1066" s="616"/>
    </row>
    <row r="1067" spans="1:15" ht="15.5" x14ac:dyDescent="0.35">
      <c r="A1067" s="631"/>
      <c r="B1067" s="647" t="s">
        <v>1103</v>
      </c>
      <c r="C1067" s="648"/>
      <c r="D1067" s="648"/>
      <c r="E1067" s="648"/>
      <c r="F1067" s="648"/>
      <c r="G1067" s="648"/>
      <c r="H1067" s="648"/>
      <c r="I1067" s="648"/>
      <c r="J1067" s="648"/>
      <c r="K1067" s="700"/>
      <c r="L1067" s="648"/>
      <c r="M1067" s="651"/>
      <c r="N1067" s="649"/>
      <c r="O1067" s="616"/>
    </row>
    <row r="1068" spans="1:15" ht="15.5" x14ac:dyDescent="0.35">
      <c r="A1068" s="631"/>
      <c r="B1068" s="662" t="s">
        <v>1106</v>
      </c>
      <c r="C1068" s="52"/>
      <c r="D1068" s="1777" t="s">
        <v>1083</v>
      </c>
      <c r="E1068" s="52"/>
      <c r="F1068" s="4"/>
      <c r="G1068" s="5"/>
      <c r="H1068" s="5"/>
      <c r="I1068" s="6"/>
      <c r="J1068" s="616"/>
      <c r="K1068" s="696"/>
      <c r="L1068" s="7"/>
      <c r="M1068" s="7"/>
      <c r="N1068" s="78"/>
      <c r="O1068" s="616"/>
    </row>
    <row r="1069" spans="1:15" ht="15.5" x14ac:dyDescent="0.35">
      <c r="A1069" s="11">
        <v>4</v>
      </c>
      <c r="B1069" s="100" t="s">
        <v>3028</v>
      </c>
      <c r="C1069" s="661">
        <v>33</v>
      </c>
      <c r="D1069" s="1773" t="s">
        <v>326</v>
      </c>
      <c r="E1069" s="674" t="s">
        <v>3029</v>
      </c>
      <c r="F1069" s="4">
        <v>1</v>
      </c>
      <c r="G1069" s="21">
        <v>1868.86</v>
      </c>
      <c r="H1069" s="21">
        <v>1901.18</v>
      </c>
      <c r="I1069" s="21">
        <f>H1069-G1069</f>
        <v>32.320000000000164</v>
      </c>
      <c r="J1069" s="616">
        <v>240000</v>
      </c>
      <c r="K1069" s="696"/>
      <c r="L1069" s="22">
        <f>F1069*I1069*J1069</f>
        <v>7756800.0000000391</v>
      </c>
      <c r="M1069" s="22"/>
      <c r="N1069" s="82"/>
      <c r="O1069" s="9" t="s">
        <v>3030</v>
      </c>
    </row>
    <row r="1070" spans="1:15" ht="15.5" x14ac:dyDescent="0.35">
      <c r="A1070" s="631">
        <v>10</v>
      </c>
      <c r="B1070" s="100" t="s">
        <v>3031</v>
      </c>
      <c r="C1070" s="661">
        <v>33</v>
      </c>
      <c r="D1070" s="1773" t="s">
        <v>326</v>
      </c>
      <c r="E1070" s="674" t="s">
        <v>3032</v>
      </c>
      <c r="F1070" s="4">
        <v>1</v>
      </c>
      <c r="G1070" s="21">
        <v>1681.3</v>
      </c>
      <c r="H1070" s="21">
        <v>1713.43</v>
      </c>
      <c r="I1070" s="21">
        <f>H1070-G1070</f>
        <v>32.130000000000109</v>
      </c>
      <c r="J1070" s="616">
        <v>240000</v>
      </c>
      <c r="K1070" s="696"/>
      <c r="L1070" s="22">
        <f>F1070*I1070*J1070</f>
        <v>7711200.0000000261</v>
      </c>
      <c r="M1070" s="22"/>
      <c r="N1070" s="82"/>
      <c r="O1070" s="616"/>
    </row>
    <row r="1071" spans="1:15" ht="15.5" x14ac:dyDescent="0.35">
      <c r="A1071" s="616">
        <v>16</v>
      </c>
      <c r="B1071" s="100" t="s">
        <v>3033</v>
      </c>
      <c r="C1071" s="661">
        <v>33</v>
      </c>
      <c r="D1071" s="1773" t="s">
        <v>326</v>
      </c>
      <c r="E1071" s="674" t="s">
        <v>3034</v>
      </c>
      <c r="F1071" s="4">
        <v>1</v>
      </c>
      <c r="G1071" s="21">
        <v>1248.9000000000001</v>
      </c>
      <c r="H1071" s="21">
        <v>1270.51</v>
      </c>
      <c r="I1071" s="21">
        <f>H1071-G1071</f>
        <v>21.6099999999999</v>
      </c>
      <c r="J1071" s="616">
        <v>240000</v>
      </c>
      <c r="K1071" s="696"/>
      <c r="L1071" s="22">
        <f>F1071*I1071*J1071</f>
        <v>5186399.9999999758</v>
      </c>
      <c r="M1071" s="22"/>
      <c r="N1071" s="82"/>
      <c r="O1071" s="616" t="s">
        <v>3035</v>
      </c>
    </row>
    <row r="1072" spans="1:15" ht="15.5" x14ac:dyDescent="0.35">
      <c r="A1072" s="616">
        <v>22</v>
      </c>
      <c r="B1072" s="100" t="s">
        <v>3036</v>
      </c>
      <c r="C1072" s="661">
        <v>33</v>
      </c>
      <c r="D1072" s="1773" t="s">
        <v>326</v>
      </c>
      <c r="E1072" s="674" t="s">
        <v>3037</v>
      </c>
      <c r="F1072" s="4">
        <v>1</v>
      </c>
      <c r="G1072" s="21">
        <v>1127.51</v>
      </c>
      <c r="H1072" s="21">
        <v>1145.23</v>
      </c>
      <c r="I1072" s="21">
        <f>H1072-G1072</f>
        <v>17.720000000000027</v>
      </c>
      <c r="J1072" s="616">
        <v>240000</v>
      </c>
      <c r="K1072" s="696"/>
      <c r="L1072" s="22">
        <f>F1072*I1072*J1072</f>
        <v>4252800.0000000065</v>
      </c>
      <c r="M1072" s="22"/>
      <c r="N1072" s="82"/>
      <c r="O1072" s="12"/>
    </row>
    <row r="1073" spans="1:15" ht="15.5" x14ac:dyDescent="0.35">
      <c r="A1073" s="616"/>
      <c r="B1073" s="662" t="s">
        <v>1107</v>
      </c>
      <c r="C1073" s="89"/>
      <c r="D1073" s="1773"/>
      <c r="E1073" s="89"/>
      <c r="F1073" s="37"/>
      <c r="G1073" s="37"/>
      <c r="H1073" s="37"/>
      <c r="I1073" s="37"/>
      <c r="J1073" s="95" t="s">
        <v>30</v>
      </c>
      <c r="K1073" s="696"/>
      <c r="L1073" s="43">
        <f>SUM(L1069:L1072)</f>
        <v>24907200.000000048</v>
      </c>
      <c r="M1073" s="43">
        <f>SUM(M1069:M1072)</f>
        <v>0</v>
      </c>
      <c r="N1073" s="83"/>
      <c r="O1073" s="12"/>
    </row>
    <row r="1074" spans="1:15" ht="15.5" x14ac:dyDescent="0.35">
      <c r="A1074" s="636">
        <v>1</v>
      </c>
      <c r="B1074" s="100" t="s">
        <v>3066</v>
      </c>
      <c r="C1074" s="661">
        <v>33</v>
      </c>
      <c r="D1074" s="1773" t="s">
        <v>326</v>
      </c>
      <c r="E1074" s="674" t="s">
        <v>3067</v>
      </c>
      <c r="F1074" s="4">
        <v>1</v>
      </c>
      <c r="G1074" s="6">
        <v>633.08000000000004</v>
      </c>
      <c r="H1074" s="6">
        <v>645.49</v>
      </c>
      <c r="I1074" s="20">
        <f>H1074-G1074</f>
        <v>12.409999999999968</v>
      </c>
      <c r="J1074" s="616">
        <v>240000</v>
      </c>
      <c r="K1074" s="703"/>
      <c r="L1074" s="22">
        <f t="shared" ref="L1074:L1089" si="36">F1074*I1074*J1074</f>
        <v>2978399.9999999925</v>
      </c>
      <c r="M1074" s="22"/>
      <c r="N1074" s="82"/>
      <c r="O1074" s="15" t="s">
        <v>3068</v>
      </c>
    </row>
    <row r="1075" spans="1:15" ht="15.5" x14ac:dyDescent="0.35">
      <c r="A1075" s="636">
        <v>2</v>
      </c>
      <c r="B1075" s="100" t="s">
        <v>3069</v>
      </c>
      <c r="C1075" s="661">
        <v>33</v>
      </c>
      <c r="D1075" s="1773" t="s">
        <v>326</v>
      </c>
      <c r="E1075" s="691" t="s">
        <v>3070</v>
      </c>
      <c r="F1075" s="4">
        <v>1</v>
      </c>
      <c r="G1075" s="6">
        <v>1564.53</v>
      </c>
      <c r="H1075" s="6">
        <v>1564.53</v>
      </c>
      <c r="I1075" s="20">
        <f>H1075-G1075</f>
        <v>0</v>
      </c>
      <c r="J1075" s="616">
        <v>240000</v>
      </c>
      <c r="K1075" s="704"/>
      <c r="L1075" s="22">
        <f t="shared" si="36"/>
        <v>0</v>
      </c>
      <c r="M1075" s="22"/>
      <c r="N1075" s="82"/>
      <c r="O1075" s="14">
        <f>K1076+K1082</f>
        <v>0</v>
      </c>
    </row>
    <row r="1076" spans="1:15" ht="15.5" x14ac:dyDescent="0.35">
      <c r="A1076" s="636">
        <v>5</v>
      </c>
      <c r="B1076" s="100" t="s">
        <v>3038</v>
      </c>
      <c r="C1076" s="661">
        <v>33</v>
      </c>
      <c r="D1076" s="1773" t="s">
        <v>326</v>
      </c>
      <c r="E1076" s="674" t="s">
        <v>3039</v>
      </c>
      <c r="F1076" s="4">
        <v>1</v>
      </c>
      <c r="G1076" s="6">
        <v>507.57</v>
      </c>
      <c r="H1076" s="6">
        <v>507.57</v>
      </c>
      <c r="I1076" s="20">
        <f t="shared" ref="I1076:I1089" si="37">H1076-G1076</f>
        <v>0</v>
      </c>
      <c r="J1076" s="616">
        <v>240000</v>
      </c>
      <c r="K1076" s="703"/>
      <c r="L1076" s="22">
        <f t="shared" si="36"/>
        <v>0</v>
      </c>
      <c r="M1076" s="22"/>
      <c r="N1076" s="82"/>
      <c r="O1076" s="15">
        <f>SUM(L1070:L1083)</f>
        <v>82656000</v>
      </c>
    </row>
    <row r="1077" spans="1:15" ht="15.5" x14ac:dyDescent="0.35">
      <c r="A1077" s="636">
        <v>6</v>
      </c>
      <c r="B1077" s="100" t="s">
        <v>3040</v>
      </c>
      <c r="C1077" s="661">
        <v>33</v>
      </c>
      <c r="D1077" s="1773" t="s">
        <v>326</v>
      </c>
      <c r="E1077" s="691" t="s">
        <v>3041</v>
      </c>
      <c r="F1077" s="4">
        <v>1</v>
      </c>
      <c r="G1077" s="6">
        <v>1080.1300000000001</v>
      </c>
      <c r="H1077" s="6">
        <v>1097.8</v>
      </c>
      <c r="I1077" s="20">
        <f t="shared" si="37"/>
        <v>17.669999999999845</v>
      </c>
      <c r="J1077" s="616">
        <v>240000</v>
      </c>
      <c r="K1077" s="704"/>
      <c r="L1077" s="22">
        <f t="shared" si="36"/>
        <v>4240799.9999999627</v>
      </c>
      <c r="M1077" s="22"/>
      <c r="N1077" s="82"/>
      <c r="O1077" s="14"/>
    </row>
    <row r="1078" spans="1:15" ht="15.5" x14ac:dyDescent="0.35">
      <c r="A1078" s="636">
        <v>7</v>
      </c>
      <c r="B1078" s="100" t="s">
        <v>3042</v>
      </c>
      <c r="C1078" s="661">
        <v>33</v>
      </c>
      <c r="D1078" s="1773" t="s">
        <v>326</v>
      </c>
      <c r="E1078" s="691" t="s">
        <v>3043</v>
      </c>
      <c r="F1078" s="4">
        <v>1</v>
      </c>
      <c r="G1078" s="6">
        <v>932.83</v>
      </c>
      <c r="H1078" s="6">
        <v>953.79</v>
      </c>
      <c r="I1078" s="20">
        <f t="shared" si="37"/>
        <v>20.959999999999923</v>
      </c>
      <c r="J1078" s="616">
        <v>240000</v>
      </c>
      <c r="K1078" s="704"/>
      <c r="L1078" s="22">
        <f t="shared" si="36"/>
        <v>5030399.9999999814</v>
      </c>
      <c r="M1078" s="22"/>
      <c r="N1078" s="82"/>
      <c r="O1078" s="14"/>
    </row>
    <row r="1079" spans="1:15" ht="15.5" x14ac:dyDescent="0.35">
      <c r="A1079" s="636">
        <v>8</v>
      </c>
      <c r="B1079" s="100" t="s">
        <v>3044</v>
      </c>
      <c r="C1079" s="661">
        <v>33</v>
      </c>
      <c r="D1079" s="1773" t="s">
        <v>326</v>
      </c>
      <c r="E1079" s="674" t="s">
        <v>3045</v>
      </c>
      <c r="F1079" s="4">
        <v>1</v>
      </c>
      <c r="G1079" s="6">
        <v>1964.43</v>
      </c>
      <c r="H1079" s="6">
        <v>1994.49</v>
      </c>
      <c r="I1079" s="20">
        <f t="shared" si="37"/>
        <v>30.059999999999945</v>
      </c>
      <c r="J1079" s="616">
        <v>240000</v>
      </c>
      <c r="K1079" s="704"/>
      <c r="L1079" s="22">
        <f t="shared" si="36"/>
        <v>7214399.999999987</v>
      </c>
      <c r="M1079" s="22"/>
      <c r="N1079" s="82"/>
      <c r="O1079" s="14"/>
    </row>
    <row r="1080" spans="1:15" ht="15.5" x14ac:dyDescent="0.35">
      <c r="A1080" s="636">
        <v>11</v>
      </c>
      <c r="B1080" s="100" t="s">
        <v>3046</v>
      </c>
      <c r="C1080" s="661">
        <v>33</v>
      </c>
      <c r="D1080" s="1773" t="s">
        <v>326</v>
      </c>
      <c r="E1080" s="674" t="s">
        <v>3047</v>
      </c>
      <c r="F1080" s="4">
        <v>1</v>
      </c>
      <c r="G1080" s="6">
        <v>558.79999999999995</v>
      </c>
      <c r="H1080" s="6">
        <v>570.64</v>
      </c>
      <c r="I1080" s="20">
        <f t="shared" si="37"/>
        <v>11.840000000000032</v>
      </c>
      <c r="J1080" s="616">
        <v>240000</v>
      </c>
      <c r="K1080" s="703"/>
      <c r="L1080" s="22">
        <f t="shared" si="36"/>
        <v>2841600.0000000075</v>
      </c>
      <c r="M1080" s="22"/>
      <c r="N1080" s="82"/>
      <c r="O1080" s="15"/>
    </row>
    <row r="1081" spans="1:15" ht="15.5" x14ac:dyDescent="0.35">
      <c r="A1081" s="636">
        <v>12</v>
      </c>
      <c r="B1081" s="100" t="s">
        <v>3048</v>
      </c>
      <c r="C1081" s="661">
        <v>33</v>
      </c>
      <c r="D1081" s="1773" t="s">
        <v>326</v>
      </c>
      <c r="E1081" s="674" t="s">
        <v>3049</v>
      </c>
      <c r="F1081" s="4">
        <v>1</v>
      </c>
      <c r="G1081" s="6">
        <v>792.46</v>
      </c>
      <c r="H1081" s="6">
        <v>837.24</v>
      </c>
      <c r="I1081" s="20">
        <f t="shared" si="37"/>
        <v>44.779999999999973</v>
      </c>
      <c r="J1081" s="616">
        <v>240000</v>
      </c>
      <c r="K1081" s="703"/>
      <c r="L1081" s="22">
        <f t="shared" si="36"/>
        <v>10747199.999999993</v>
      </c>
      <c r="M1081" s="22"/>
      <c r="N1081" s="82"/>
      <c r="O1081" s="15"/>
    </row>
    <row r="1082" spans="1:15" ht="15.5" x14ac:dyDescent="0.35">
      <c r="A1082" s="636">
        <v>13</v>
      </c>
      <c r="B1082" s="100" t="s">
        <v>3050</v>
      </c>
      <c r="C1082" s="661">
        <v>33</v>
      </c>
      <c r="D1082" s="1773" t="s">
        <v>326</v>
      </c>
      <c r="E1082" s="674" t="s">
        <v>3051</v>
      </c>
      <c r="F1082" s="4">
        <v>1</v>
      </c>
      <c r="G1082" s="6">
        <v>1604.13</v>
      </c>
      <c r="H1082" s="6">
        <v>1604.13</v>
      </c>
      <c r="I1082" s="20">
        <f t="shared" si="37"/>
        <v>0</v>
      </c>
      <c r="J1082" s="616">
        <v>240000</v>
      </c>
      <c r="K1082" s="703"/>
      <c r="L1082" s="22">
        <f t="shared" si="36"/>
        <v>0</v>
      </c>
      <c r="M1082" s="22"/>
      <c r="N1082" s="82"/>
      <c r="O1082" s="15" t="s">
        <v>3052</v>
      </c>
    </row>
    <row r="1083" spans="1:15" ht="15.5" x14ac:dyDescent="0.35">
      <c r="A1083" s="636">
        <v>14</v>
      </c>
      <c r="B1083" s="100" t="s">
        <v>3053</v>
      </c>
      <c r="C1083" s="661">
        <v>33</v>
      </c>
      <c r="D1083" s="1773" t="s">
        <v>326</v>
      </c>
      <c r="E1083" s="674" t="s">
        <v>3054</v>
      </c>
      <c r="F1083" s="4">
        <v>1</v>
      </c>
      <c r="G1083" s="6">
        <v>2285</v>
      </c>
      <c r="H1083" s="6">
        <v>2316.44</v>
      </c>
      <c r="I1083" s="20">
        <f t="shared" si="37"/>
        <v>31.440000000000055</v>
      </c>
      <c r="J1083" s="616">
        <v>240000</v>
      </c>
      <c r="K1083" s="703"/>
      <c r="L1083" s="22">
        <f t="shared" si="36"/>
        <v>7545600.000000013</v>
      </c>
      <c r="M1083" s="22"/>
      <c r="N1083" s="82"/>
      <c r="O1083" s="15" t="e">
        <f>K1084+#REF!</f>
        <v>#REF!</v>
      </c>
    </row>
    <row r="1084" spans="1:15" ht="15.5" x14ac:dyDescent="0.35">
      <c r="A1084" s="636">
        <v>17</v>
      </c>
      <c r="B1084" s="100" t="s">
        <v>3055</v>
      </c>
      <c r="C1084" s="661">
        <v>33</v>
      </c>
      <c r="D1084" s="1773" t="s">
        <v>326</v>
      </c>
      <c r="E1084" s="674" t="s">
        <v>2140</v>
      </c>
      <c r="F1084" s="4">
        <v>1</v>
      </c>
      <c r="G1084" s="6">
        <v>667.22</v>
      </c>
      <c r="H1084" s="6">
        <v>667.22</v>
      </c>
      <c r="I1084" s="20">
        <f t="shared" si="37"/>
        <v>0</v>
      </c>
      <c r="J1084" s="616">
        <v>240000</v>
      </c>
      <c r="K1084" s="703"/>
      <c r="L1084" s="22">
        <f t="shared" si="36"/>
        <v>0</v>
      </c>
      <c r="M1084" s="22"/>
      <c r="N1084" s="82"/>
      <c r="O1084" s="15">
        <f>SUM(L1080:L1089)</f>
        <v>47786400.000000022</v>
      </c>
    </row>
    <row r="1085" spans="1:15" ht="15.5" x14ac:dyDescent="0.35">
      <c r="A1085" s="636">
        <v>18</v>
      </c>
      <c r="B1085" s="100" t="s">
        <v>3056</v>
      </c>
      <c r="C1085" s="661">
        <v>33</v>
      </c>
      <c r="D1085" s="1773" t="s">
        <v>326</v>
      </c>
      <c r="E1085" s="674" t="s">
        <v>3057</v>
      </c>
      <c r="F1085" s="4">
        <v>1</v>
      </c>
      <c r="G1085" s="6">
        <v>69.81</v>
      </c>
      <c r="H1085" s="6">
        <v>82.14</v>
      </c>
      <c r="I1085" s="20">
        <f t="shared" si="37"/>
        <v>12.329999999999998</v>
      </c>
      <c r="J1085" s="616">
        <v>240000</v>
      </c>
      <c r="K1085" s="703"/>
      <c r="L1085" s="22">
        <f t="shared" si="36"/>
        <v>2959199.9999999995</v>
      </c>
      <c r="M1085" s="22"/>
      <c r="N1085" s="82"/>
      <c r="O1085" s="15"/>
    </row>
    <row r="1086" spans="1:15" ht="15.5" x14ac:dyDescent="0.35">
      <c r="A1086" s="636">
        <v>19</v>
      </c>
      <c r="B1086" s="100" t="s">
        <v>3058</v>
      </c>
      <c r="C1086" s="661">
        <v>33</v>
      </c>
      <c r="D1086" s="1773" t="s">
        <v>326</v>
      </c>
      <c r="E1086" s="674" t="s">
        <v>3059</v>
      </c>
      <c r="F1086" s="4">
        <v>1</v>
      </c>
      <c r="G1086" s="6">
        <v>1544.87</v>
      </c>
      <c r="H1086" s="6">
        <v>1544.87</v>
      </c>
      <c r="I1086" s="20">
        <f t="shared" si="37"/>
        <v>0</v>
      </c>
      <c r="J1086" s="616">
        <v>240000</v>
      </c>
      <c r="K1086" s="703"/>
      <c r="L1086" s="22">
        <f t="shared" si="36"/>
        <v>0</v>
      </c>
      <c r="M1086" s="22"/>
      <c r="N1086" s="82"/>
      <c r="O1086" s="15"/>
    </row>
    <row r="1087" spans="1:15" ht="15.5" x14ac:dyDescent="0.35">
      <c r="A1087" s="636">
        <v>20</v>
      </c>
      <c r="B1087" s="100" t="s">
        <v>3060</v>
      </c>
      <c r="C1087" s="661">
        <v>33</v>
      </c>
      <c r="D1087" s="1773" t="s">
        <v>326</v>
      </c>
      <c r="E1087" s="674" t="s">
        <v>3061</v>
      </c>
      <c r="F1087" s="4">
        <v>1</v>
      </c>
      <c r="G1087" s="6">
        <v>1292.8699999999999</v>
      </c>
      <c r="H1087" s="6">
        <v>1322.36</v>
      </c>
      <c r="I1087" s="20">
        <f t="shared" si="37"/>
        <v>29.490000000000009</v>
      </c>
      <c r="J1087" s="616">
        <v>240000</v>
      </c>
      <c r="K1087" s="703"/>
      <c r="L1087" s="22">
        <f t="shared" si="36"/>
        <v>7077600.0000000019</v>
      </c>
      <c r="M1087" s="22"/>
      <c r="N1087" s="82"/>
      <c r="O1087" s="15"/>
    </row>
    <row r="1088" spans="1:15" ht="15.5" x14ac:dyDescent="0.35">
      <c r="A1088" s="636">
        <v>23</v>
      </c>
      <c r="B1088" s="100" t="s">
        <v>3062</v>
      </c>
      <c r="C1088" s="661">
        <v>33</v>
      </c>
      <c r="D1088" s="1773" t="s">
        <v>326</v>
      </c>
      <c r="E1088" s="674" t="s">
        <v>3063</v>
      </c>
      <c r="F1088" s="4">
        <v>1</v>
      </c>
      <c r="G1088" s="6">
        <v>2164.1799999999998</v>
      </c>
      <c r="H1088" s="6">
        <v>2198.37</v>
      </c>
      <c r="I1088" s="20">
        <f t="shared" si="37"/>
        <v>34.190000000000055</v>
      </c>
      <c r="J1088" s="616">
        <v>240000</v>
      </c>
      <c r="K1088" s="704"/>
      <c r="L1088" s="22">
        <f t="shared" si="36"/>
        <v>8205600.000000013</v>
      </c>
      <c r="M1088" s="22"/>
      <c r="N1088" s="82"/>
      <c r="O1088" s="10"/>
    </row>
    <row r="1089" spans="1:15" ht="15.5" x14ac:dyDescent="0.35">
      <c r="A1089" s="636">
        <v>24</v>
      </c>
      <c r="B1089" s="100" t="s">
        <v>3064</v>
      </c>
      <c r="C1089" s="661">
        <v>33</v>
      </c>
      <c r="D1089" s="1773" t="s">
        <v>326</v>
      </c>
      <c r="E1089" s="674" t="s">
        <v>3065</v>
      </c>
      <c r="F1089" s="4">
        <v>1</v>
      </c>
      <c r="G1089" s="6">
        <v>2067.1</v>
      </c>
      <c r="H1089" s="6">
        <v>2102.14</v>
      </c>
      <c r="I1089" s="20">
        <f t="shared" si="37"/>
        <v>35.039999999999964</v>
      </c>
      <c r="J1089" s="616">
        <v>240000</v>
      </c>
      <c r="K1089" s="703"/>
      <c r="L1089" s="22">
        <f t="shared" si="36"/>
        <v>8409599.9999999907</v>
      </c>
      <c r="M1089" s="22"/>
      <c r="N1089" s="82"/>
      <c r="O1089" s="13"/>
    </row>
    <row r="1090" spans="1:15" ht="15.5" x14ac:dyDescent="0.35">
      <c r="A1090" s="636"/>
      <c r="B1090" s="96"/>
      <c r="C1090" s="90"/>
      <c r="D1090" s="90"/>
      <c r="E1090" s="90"/>
      <c r="F1090" s="38"/>
      <c r="G1090" s="38"/>
      <c r="H1090" s="38"/>
      <c r="I1090" s="38"/>
      <c r="J1090" s="95" t="s">
        <v>30</v>
      </c>
      <c r="K1090" s="696"/>
      <c r="L1090" s="43">
        <f>SUM(L1074:L1089)</f>
        <v>67250399.99999994</v>
      </c>
      <c r="M1090" s="43">
        <f>SUM(M1076:M1089)</f>
        <v>0</v>
      </c>
      <c r="N1090" s="83"/>
      <c r="O1090" s="13"/>
    </row>
    <row r="1091" spans="1:15" ht="20" x14ac:dyDescent="0.35">
      <c r="A1091" s="636"/>
      <c r="B1091" s="96"/>
      <c r="C1091" s="90"/>
      <c r="D1091" s="90"/>
      <c r="E1091" s="90"/>
      <c r="F1091" s="38"/>
      <c r="G1091" s="38"/>
      <c r="H1091" s="38"/>
      <c r="I1091" s="2107" t="s">
        <v>44</v>
      </c>
      <c r="J1091" s="2108"/>
      <c r="K1091" s="698">
        <f>K1066</f>
        <v>92654400.000000104</v>
      </c>
      <c r="L1091" s="44">
        <f>L1073+L1090</f>
        <v>92157599.999999985</v>
      </c>
      <c r="M1091" s="44">
        <f>M1090+M1073</f>
        <v>0</v>
      </c>
      <c r="N1091" s="1908">
        <f>(M1091-L1091)/L1091*100</f>
        <v>-100</v>
      </c>
      <c r="O1091" s="29"/>
    </row>
    <row r="1092" spans="1:15" x14ac:dyDescent="0.35">
      <c r="A1092" s="620"/>
      <c r="B1092" s="635"/>
      <c r="C1092" s="632"/>
      <c r="D1092" s="720"/>
      <c r="K1092" s="702"/>
      <c r="L1092" s="620"/>
      <c r="M1092" s="620"/>
      <c r="N1092" s="632"/>
      <c r="O1092" s="620"/>
    </row>
    <row r="1093" spans="1:15" ht="15" x14ac:dyDescent="0.35">
      <c r="A1093" s="620"/>
      <c r="D1093" s="725"/>
      <c r="G1093" s="2092" t="s">
        <v>1096</v>
      </c>
      <c r="H1093" s="2092"/>
      <c r="I1093" s="2092"/>
      <c r="J1093" s="677" t="s">
        <v>14</v>
      </c>
      <c r="K1093" s="69" t="s">
        <v>1098</v>
      </c>
      <c r="L1093" s="620"/>
      <c r="M1093" s="620"/>
      <c r="N1093" s="632"/>
      <c r="O1093" s="620"/>
    </row>
    <row r="1094" spans="1:15" ht="17.5" x14ac:dyDescent="0.35">
      <c r="A1094" s="620"/>
      <c r="D1094" s="725"/>
      <c r="G1094" s="2093" t="s">
        <v>1071</v>
      </c>
      <c r="H1094" s="2093"/>
      <c r="I1094" s="2093"/>
      <c r="J1094" s="692">
        <f>M1073</f>
        <v>0</v>
      </c>
      <c r="K1094" s="70">
        <v>6.933634163553025</v>
      </c>
      <c r="L1094" s="620"/>
      <c r="M1094" s="620"/>
      <c r="N1094" s="632"/>
      <c r="O1094" s="620"/>
    </row>
    <row r="1095" spans="1:15" ht="17.5" x14ac:dyDescent="0.35">
      <c r="A1095" s="620"/>
      <c r="D1095" s="725"/>
      <c r="G1095" s="2093" t="s">
        <v>206</v>
      </c>
      <c r="H1095" s="2093"/>
      <c r="I1095" s="2093"/>
      <c r="J1095" s="692">
        <f>M1076+M1077+M1078</f>
        <v>0</v>
      </c>
      <c r="K1095" s="70">
        <v>-0.33769527905653496</v>
      </c>
      <c r="L1095" s="620"/>
      <c r="M1095" s="620"/>
      <c r="N1095" s="632"/>
      <c r="O1095" s="620"/>
    </row>
    <row r="1096" spans="1:15" ht="17.5" x14ac:dyDescent="0.35">
      <c r="A1096" s="620"/>
      <c r="D1096" s="725"/>
      <c r="G1096" s="2093" t="s">
        <v>207</v>
      </c>
      <c r="H1096" s="2093"/>
      <c r="I1096" s="2093"/>
      <c r="J1096" s="692">
        <f>M1079+M1080</f>
        <v>0</v>
      </c>
      <c r="K1096" s="70"/>
      <c r="L1096" s="620"/>
      <c r="M1096" s="620"/>
      <c r="N1096" s="632"/>
      <c r="O1096" s="620"/>
    </row>
    <row r="1097" spans="1:15" ht="17.5" x14ac:dyDescent="0.35">
      <c r="A1097" s="620"/>
      <c r="D1097" s="725"/>
      <c r="G1097" s="2093" t="s">
        <v>208</v>
      </c>
      <c r="H1097" s="2093"/>
      <c r="I1097" s="2093"/>
      <c r="J1097" s="692">
        <f>M1088</f>
        <v>0</v>
      </c>
      <c r="K1097" s="70">
        <v>0.58957194954853154</v>
      </c>
      <c r="L1097" s="620"/>
      <c r="M1097" s="620"/>
      <c r="N1097" s="632"/>
      <c r="O1097" s="620"/>
    </row>
    <row r="1098" spans="1:15" ht="17.5" x14ac:dyDescent="0.35">
      <c r="A1098" s="620"/>
      <c r="B1098" s="635"/>
      <c r="C1098" s="632"/>
      <c r="D1098" s="720"/>
      <c r="G1098" s="2093" t="s">
        <v>209</v>
      </c>
      <c r="H1098" s="2093"/>
      <c r="I1098" s="2093"/>
      <c r="J1098" s="692">
        <f>M1089</f>
        <v>0</v>
      </c>
      <c r="K1098" s="70"/>
      <c r="L1098" s="620"/>
      <c r="M1098" s="620"/>
      <c r="N1098" s="632"/>
      <c r="O1098" s="620"/>
    </row>
    <row r="1099" spans="1:15" ht="17.5" x14ac:dyDescent="0.35">
      <c r="A1099" s="620"/>
      <c r="B1099" s="635"/>
      <c r="C1099" s="632"/>
      <c r="D1099" s="720"/>
      <c r="G1099" s="2093" t="s">
        <v>40</v>
      </c>
      <c r="H1099" s="2093"/>
      <c r="I1099" s="2093"/>
      <c r="J1099" s="692" t="e">
        <f>#REF!+#REF!</f>
        <v>#REF!</v>
      </c>
      <c r="K1099" s="70">
        <v>2.4391608198671739</v>
      </c>
      <c r="L1099" s="620"/>
      <c r="M1099" s="620"/>
      <c r="N1099" s="632"/>
      <c r="O1099" s="620"/>
    </row>
    <row r="1100" spans="1:15" x14ac:dyDescent="0.35">
      <c r="A1100" s="620"/>
      <c r="B1100" s="635"/>
      <c r="C1100" s="632"/>
      <c r="D1100" s="720"/>
      <c r="G1100" s="2094" t="s">
        <v>42</v>
      </c>
      <c r="H1100" s="2094"/>
      <c r="I1100" s="2094"/>
      <c r="J1100" s="693" t="e">
        <f>#REF!</f>
        <v>#REF!</v>
      </c>
      <c r="K1100" s="694" t="s">
        <v>1097</v>
      </c>
      <c r="L1100" s="620"/>
      <c r="M1100" s="620"/>
      <c r="N1100" s="632"/>
      <c r="O1100" s="620"/>
    </row>
    <row r="1101" spans="1:15" ht="18" thickBot="1" x14ac:dyDescent="0.4">
      <c r="A1101" s="620"/>
      <c r="B1101" s="635"/>
      <c r="C1101" s="632"/>
      <c r="D1101" s="720"/>
      <c r="E1101" s="632"/>
      <c r="F1101" s="620"/>
      <c r="G1101" s="2093" t="s">
        <v>41</v>
      </c>
      <c r="H1101" s="2093"/>
      <c r="I1101" s="2093"/>
      <c r="J1101" s="692" t="e">
        <f>#REF!</f>
        <v>#REF!</v>
      </c>
      <c r="K1101" s="681">
        <v>1.4463055987403735</v>
      </c>
      <c r="L1101" s="620"/>
      <c r="M1101" s="620"/>
      <c r="N1101" s="632"/>
      <c r="O1101" s="620"/>
    </row>
    <row r="1102" spans="1:15" ht="20.5" thickBot="1" x14ac:dyDescent="0.4">
      <c r="A1102" s="620"/>
      <c r="B1102" s="635"/>
      <c r="C1102" s="632"/>
      <c r="D1102" s="720"/>
      <c r="E1102" s="632"/>
      <c r="F1102" s="620"/>
      <c r="G1102" s="620"/>
      <c r="H1102" s="620"/>
      <c r="I1102" s="642" t="s">
        <v>210</v>
      </c>
      <c r="J1102" s="680" t="e">
        <f>SUM(J1094:J1101)</f>
        <v>#REF!</v>
      </c>
      <c r="K1102" s="682" t="e">
        <f>J1102-M1091</f>
        <v>#REF!</v>
      </c>
      <c r="L1102" s="620"/>
      <c r="M1102" s="620"/>
      <c r="N1102" s="632"/>
      <c r="O1102" s="620"/>
    </row>
    <row r="1103" spans="1:15" x14ac:dyDescent="0.35">
      <c r="A1103" s="620"/>
      <c r="B1103" s="635"/>
      <c r="C1103" s="632"/>
      <c r="D1103" s="720"/>
      <c r="E1103" s="632"/>
      <c r="F1103" s="620"/>
      <c r="G1103" s="620"/>
      <c r="H1103" s="620"/>
      <c r="I1103" s="620"/>
      <c r="J1103" s="620"/>
      <c r="K1103" s="702"/>
      <c r="L1103" s="620"/>
      <c r="M1103" s="620"/>
      <c r="N1103" s="632"/>
      <c r="O1103" s="620"/>
    </row>
    <row r="1104" spans="1:15" ht="25" x14ac:dyDescent="0.35">
      <c r="A1104" s="2095" t="s">
        <v>1320</v>
      </c>
      <c r="B1104" s="2095"/>
      <c r="C1104" s="2095"/>
      <c r="D1104" s="2095"/>
      <c r="E1104" s="2095"/>
      <c r="F1104" s="2095"/>
      <c r="G1104" s="2095"/>
      <c r="H1104" s="2095"/>
      <c r="I1104" s="2095"/>
      <c r="J1104" s="2095"/>
      <c r="K1104" s="2095"/>
      <c r="L1104" s="2095"/>
      <c r="M1104" s="2095"/>
      <c r="N1104" s="2095"/>
      <c r="O1104" s="756" t="e">
        <f>$O$6</f>
        <v>#REF!</v>
      </c>
    </row>
    <row r="1105" spans="1:15" ht="15.5" x14ac:dyDescent="0.35">
      <c r="A1105" s="2096" t="s">
        <v>0</v>
      </c>
      <c r="B1105" s="2098" t="s">
        <v>1</v>
      </c>
      <c r="C1105" s="2100" t="s">
        <v>2</v>
      </c>
      <c r="D1105" s="2101"/>
      <c r="E1105" s="2102"/>
      <c r="F1105" s="2103" t="s">
        <v>3</v>
      </c>
      <c r="G1105" s="2100" t="s">
        <v>4</v>
      </c>
      <c r="H1105" s="2102"/>
      <c r="I1105" s="2085"/>
      <c r="J1105" s="2103" t="s">
        <v>5</v>
      </c>
      <c r="K1105" s="2100" t="s">
        <v>6</v>
      </c>
      <c r="L1105" s="2085"/>
      <c r="M1105" s="97" t="s">
        <v>32</v>
      </c>
      <c r="N1105" s="98"/>
      <c r="O1105" s="2084" t="s">
        <v>7</v>
      </c>
    </row>
    <row r="1106" spans="1:15" ht="15.5" x14ac:dyDescent="0.35">
      <c r="A1106" s="2097"/>
      <c r="B1106" s="2099"/>
      <c r="C1106" s="2086" t="s">
        <v>1108</v>
      </c>
      <c r="D1106" s="2087"/>
      <c r="E1106" s="87" t="s">
        <v>9</v>
      </c>
      <c r="F1106" s="2097"/>
      <c r="G1106" s="2">
        <f>'NORTH-1'!$G$8</f>
        <v>44774</v>
      </c>
      <c r="H1106" s="2">
        <f>'NORTH-1'!$H$8</f>
        <v>44805</v>
      </c>
      <c r="I1106" s="1" t="s">
        <v>10</v>
      </c>
      <c r="J1106" s="2097"/>
      <c r="K1106" s="1" t="s">
        <v>11</v>
      </c>
      <c r="L1106" s="1" t="s">
        <v>12</v>
      </c>
      <c r="M1106" s="617" t="s">
        <v>33</v>
      </c>
      <c r="N1106" s="76" t="s">
        <v>47</v>
      </c>
      <c r="O1106" s="2085"/>
    </row>
    <row r="1107" spans="1:15" ht="15.5" x14ac:dyDescent="0.35">
      <c r="A1107" s="3">
        <v>1</v>
      </c>
      <c r="B1107" s="88">
        <v>2</v>
      </c>
      <c r="C1107" s="2088">
        <v>4</v>
      </c>
      <c r="D1107" s="2089"/>
      <c r="E1107" s="88">
        <v>5</v>
      </c>
      <c r="F1107" s="3">
        <v>7</v>
      </c>
      <c r="G1107" s="3">
        <v>8</v>
      </c>
      <c r="H1107" s="3">
        <v>9</v>
      </c>
      <c r="I1107" s="3" t="s">
        <v>13</v>
      </c>
      <c r="J1107" s="3">
        <v>11</v>
      </c>
      <c r="K1107" s="3" t="s">
        <v>19</v>
      </c>
      <c r="L1107" s="3" t="s">
        <v>20</v>
      </c>
      <c r="M1107" s="3">
        <v>14</v>
      </c>
      <c r="N1107" s="77">
        <v>15</v>
      </c>
      <c r="O1107" s="3">
        <v>16</v>
      </c>
    </row>
    <row r="1108" spans="1:15" ht="15" x14ac:dyDescent="0.35">
      <c r="A1108" s="636"/>
      <c r="B1108" s="624" t="s">
        <v>1104</v>
      </c>
      <c r="C1108" s="625"/>
      <c r="D1108" s="625"/>
      <c r="E1108" s="625"/>
      <c r="F1108" s="625"/>
      <c r="G1108" s="625"/>
      <c r="H1108" s="625"/>
      <c r="I1108" s="625"/>
      <c r="J1108" s="625"/>
      <c r="K1108" s="695"/>
      <c r="L1108" s="625"/>
      <c r="M1108" s="626"/>
      <c r="N1108" s="627"/>
      <c r="O1108" s="12"/>
    </row>
    <row r="1109" spans="1:15" ht="15.75" customHeight="1" x14ac:dyDescent="0.35">
      <c r="A1109" s="616">
        <v>9</v>
      </c>
      <c r="B1109" s="100" t="s">
        <v>3074</v>
      </c>
      <c r="C1109" s="73">
        <v>11</v>
      </c>
      <c r="D1109" s="2090" t="s">
        <v>339</v>
      </c>
      <c r="E1109" s="52" t="s">
        <v>3075</v>
      </c>
      <c r="F1109" s="32">
        <v>1</v>
      </c>
      <c r="G1109" s="5">
        <v>2494.6491999999998</v>
      </c>
      <c r="H1109" s="5">
        <v>2541.7809000000002</v>
      </c>
      <c r="I1109" s="21">
        <f>H1109-G1109</f>
        <v>47.131700000000365</v>
      </c>
      <c r="J1109" s="616">
        <v>160000</v>
      </c>
      <c r="K1109" s="707">
        <f>F1109*I1109*J1109</f>
        <v>7541072.0000000587</v>
      </c>
      <c r="L1109" s="22"/>
      <c r="M1109" s="22"/>
      <c r="N1109" s="83"/>
      <c r="O1109" s="12">
        <f>K1109+K1116</f>
        <v>7541072.0000000587</v>
      </c>
    </row>
    <row r="1110" spans="1:15" ht="31.5" customHeight="1" x14ac:dyDescent="0.35">
      <c r="A1110" s="616">
        <v>16</v>
      </c>
      <c r="B1110" s="100" t="s">
        <v>3076</v>
      </c>
      <c r="C1110" s="73">
        <v>11</v>
      </c>
      <c r="D1110" s="2091"/>
      <c r="E1110" s="52" t="s">
        <v>3077</v>
      </c>
      <c r="F1110" s="32">
        <v>1</v>
      </c>
      <c r="G1110" s="5">
        <v>2507.3161</v>
      </c>
      <c r="H1110" s="5">
        <v>2554.1981000000001</v>
      </c>
      <c r="I1110" s="21">
        <f>H1110-G1110</f>
        <v>46.882000000000062</v>
      </c>
      <c r="J1110" s="616">
        <v>160000</v>
      </c>
      <c r="K1110" s="707">
        <f>F1110*I1110*J1110</f>
        <v>7501120.0000000102</v>
      </c>
      <c r="L1110" s="22"/>
      <c r="M1110" s="22"/>
      <c r="N1110" s="83"/>
      <c r="O1110" s="12"/>
    </row>
    <row r="1111" spans="1:15" ht="31.5" customHeight="1" x14ac:dyDescent="0.35">
      <c r="A1111" s="616">
        <v>27</v>
      </c>
      <c r="B1111" s="100" t="s">
        <v>3078</v>
      </c>
      <c r="C1111" s="73">
        <v>11</v>
      </c>
      <c r="D1111" s="2091"/>
      <c r="E1111" s="52" t="s">
        <v>3079</v>
      </c>
      <c r="F1111" s="32">
        <v>1</v>
      </c>
      <c r="G1111" s="5">
        <v>1739.4048</v>
      </c>
      <c r="H1111" s="5">
        <v>1771.0199</v>
      </c>
      <c r="I1111" s="21">
        <f>H1111-G1111</f>
        <v>31.615099999999984</v>
      </c>
      <c r="J1111" s="616">
        <v>160000</v>
      </c>
      <c r="K1111" s="707">
        <f>F1111*I1111*J1111</f>
        <v>5058415.9999999972</v>
      </c>
      <c r="L1111" s="22"/>
      <c r="M1111" s="22"/>
      <c r="N1111" s="83"/>
      <c r="O1111" s="12">
        <f>SUM(L1107:L1115)</f>
        <v>1661707.9999999986</v>
      </c>
    </row>
    <row r="1112" spans="1:15" ht="31.5" customHeight="1" x14ac:dyDescent="0.35">
      <c r="A1112" s="616">
        <v>36</v>
      </c>
      <c r="B1112" s="100" t="s">
        <v>3080</v>
      </c>
      <c r="C1112" s="73">
        <v>11</v>
      </c>
      <c r="D1112" s="2164"/>
      <c r="E1112" s="52" t="s">
        <v>3079</v>
      </c>
      <c r="F1112" s="32">
        <v>1</v>
      </c>
      <c r="G1112" s="5">
        <v>1687.9086</v>
      </c>
      <c r="H1112" s="5">
        <v>1713.8055999999999</v>
      </c>
      <c r="I1112" s="21">
        <f>H1112-G1112</f>
        <v>25.896999999999935</v>
      </c>
      <c r="J1112" s="616">
        <v>160000</v>
      </c>
      <c r="K1112" s="707">
        <f>F1112*I1112*J1112</f>
        <v>4143519.9999999898</v>
      </c>
      <c r="L1112" s="22"/>
      <c r="M1112" s="22"/>
      <c r="N1112" s="83"/>
      <c r="O1112" s="12">
        <f>SUM(L1108:L1116)</f>
        <v>1661707.9999999986</v>
      </c>
    </row>
    <row r="1113" spans="1:15" ht="15" x14ac:dyDescent="0.35">
      <c r="A1113" s="636"/>
      <c r="B1113" s="96"/>
      <c r="C1113" s="90"/>
      <c r="D1113" s="90"/>
      <c r="E1113" s="90"/>
      <c r="F1113" s="38"/>
      <c r="G1113" s="38"/>
      <c r="H1113" s="38"/>
      <c r="I1113" s="38"/>
      <c r="J1113" s="96" t="s">
        <v>30</v>
      </c>
      <c r="K1113" s="708">
        <f>SUM(K1109:K1112)</f>
        <v>24244128.000000056</v>
      </c>
      <c r="L1113" s="43"/>
      <c r="M1113" s="43">
        <f>SUM(M1109:M1112)</f>
        <v>0</v>
      </c>
      <c r="N1113" s="83"/>
      <c r="O1113" s="12"/>
    </row>
    <row r="1114" spans="1:15" ht="15.5" x14ac:dyDescent="0.35">
      <c r="A1114" s="631"/>
      <c r="B1114" s="647" t="s">
        <v>1105</v>
      </c>
      <c r="C1114" s="648"/>
      <c r="D1114" s="648"/>
      <c r="E1114" s="648"/>
      <c r="F1114" s="648"/>
      <c r="G1114" s="648"/>
      <c r="H1114" s="648"/>
      <c r="I1114" s="648"/>
      <c r="J1114" s="648"/>
      <c r="K1114" s="700"/>
      <c r="L1114" s="648"/>
      <c r="M1114" s="651"/>
      <c r="N1114" s="649"/>
      <c r="O1114" s="616"/>
    </row>
    <row r="1115" spans="1:15" ht="15.75" customHeight="1" x14ac:dyDescent="0.35">
      <c r="A1115" s="631">
        <v>5</v>
      </c>
      <c r="B1115" s="100" t="s">
        <v>3081</v>
      </c>
      <c r="C1115" s="73">
        <v>11</v>
      </c>
      <c r="D1115" s="1781" t="s">
        <v>2980</v>
      </c>
      <c r="E1115" s="52"/>
      <c r="F1115" s="32">
        <v>1</v>
      </c>
      <c r="G1115" s="6">
        <v>297.23410000000001</v>
      </c>
      <c r="H1115" s="6">
        <v>338.77679999999998</v>
      </c>
      <c r="I1115" s="20">
        <f>H1115-G1115</f>
        <v>41.542699999999968</v>
      </c>
      <c r="J1115" s="616">
        <v>40000</v>
      </c>
      <c r="K1115" s="703"/>
      <c r="L1115" s="22">
        <f>F1115*I1115*J1115</f>
        <v>1661707.9999999986</v>
      </c>
      <c r="M1115" s="22"/>
      <c r="N1115" s="72"/>
      <c r="O1115" s="15"/>
    </row>
    <row r="1116" spans="1:15" ht="15.5" x14ac:dyDescent="0.35">
      <c r="A1116" s="631">
        <v>6</v>
      </c>
      <c r="B1116" s="100" t="s">
        <v>2045</v>
      </c>
      <c r="C1116" s="73">
        <v>11</v>
      </c>
      <c r="D1116" s="1782"/>
      <c r="E1116" s="52"/>
      <c r="F1116" s="32">
        <v>1</v>
      </c>
      <c r="G1116" s="6"/>
      <c r="H1116" s="6"/>
      <c r="I1116" s="20">
        <f t="shared" ref="I1116:I1146" si="38">H1116-G1116</f>
        <v>0</v>
      </c>
      <c r="J1116" s="616">
        <v>40000</v>
      </c>
      <c r="K1116" s="703"/>
      <c r="L1116" s="22">
        <f t="shared" ref="L1116:L1150" si="39">F1116*I1116*J1116</f>
        <v>0</v>
      </c>
      <c r="M1116" s="22"/>
      <c r="N1116" s="72"/>
      <c r="O1116" s="15"/>
    </row>
    <row r="1117" spans="1:15" ht="15.5" x14ac:dyDescent="0.35">
      <c r="A1117" s="631">
        <v>7</v>
      </c>
      <c r="B1117" s="100" t="s">
        <v>3082</v>
      </c>
      <c r="C1117" s="73">
        <v>11</v>
      </c>
      <c r="D1117" s="1782"/>
      <c r="E1117" s="52" t="s">
        <v>3083</v>
      </c>
      <c r="F1117" s="32">
        <v>1</v>
      </c>
      <c r="G1117" s="6">
        <v>918.60900000000004</v>
      </c>
      <c r="H1117" s="6">
        <v>933.05589999999995</v>
      </c>
      <c r="I1117" s="20">
        <f t="shared" si="38"/>
        <v>14.446899999999914</v>
      </c>
      <c r="J1117" s="616">
        <v>40000</v>
      </c>
      <c r="K1117" s="703"/>
      <c r="L1117" s="22">
        <f t="shared" si="39"/>
        <v>577875.99999999651</v>
      </c>
      <c r="M1117" s="22"/>
      <c r="N1117" s="72"/>
      <c r="O1117" s="15"/>
    </row>
    <row r="1118" spans="1:15" ht="30" x14ac:dyDescent="0.35">
      <c r="A1118" s="631">
        <v>8</v>
      </c>
      <c r="B1118" s="100" t="s">
        <v>3084</v>
      </c>
      <c r="C1118" s="73">
        <v>11</v>
      </c>
      <c r="D1118" s="1782" t="s">
        <v>2980</v>
      </c>
      <c r="E1118" s="52" t="s">
        <v>3085</v>
      </c>
      <c r="F1118" s="32">
        <v>1</v>
      </c>
      <c r="G1118" s="6">
        <v>1364.5489</v>
      </c>
      <c r="H1118" s="6">
        <v>1383.1978999999999</v>
      </c>
      <c r="I1118" s="20">
        <f t="shared" si="38"/>
        <v>18.648999999999887</v>
      </c>
      <c r="J1118" s="616">
        <v>40000</v>
      </c>
      <c r="K1118" s="703"/>
      <c r="L1118" s="22">
        <f t="shared" si="39"/>
        <v>745959.99999999546</v>
      </c>
      <c r="M1118" s="22"/>
      <c r="N1118" s="72"/>
      <c r="O1118" s="15"/>
    </row>
    <row r="1119" spans="1:15" ht="30" x14ac:dyDescent="0.35">
      <c r="A1119" s="631">
        <v>10</v>
      </c>
      <c r="B1119" s="100" t="s">
        <v>3086</v>
      </c>
      <c r="C1119" s="73">
        <v>11</v>
      </c>
      <c r="D1119" s="1782" t="s">
        <v>2980</v>
      </c>
      <c r="E1119" s="52" t="s">
        <v>3087</v>
      </c>
      <c r="F1119" s="32">
        <v>1</v>
      </c>
      <c r="G1119" s="6">
        <v>1288.7511999999999</v>
      </c>
      <c r="H1119" s="6">
        <v>1304.1895999999999</v>
      </c>
      <c r="I1119" s="20">
        <f t="shared" si="38"/>
        <v>15.438400000000001</v>
      </c>
      <c r="J1119" s="616">
        <v>40000</v>
      </c>
      <c r="K1119" s="703"/>
      <c r="L1119" s="22">
        <f t="shared" si="39"/>
        <v>617536</v>
      </c>
      <c r="M1119" s="22"/>
      <c r="N1119" s="72"/>
      <c r="O1119" s="15"/>
    </row>
    <row r="1120" spans="1:15" ht="30" x14ac:dyDescent="0.35">
      <c r="A1120" s="631">
        <v>11</v>
      </c>
      <c r="B1120" s="100" t="s">
        <v>3088</v>
      </c>
      <c r="C1120" s="73">
        <v>11</v>
      </c>
      <c r="D1120" s="1782" t="s">
        <v>3089</v>
      </c>
      <c r="E1120" s="52" t="s">
        <v>3090</v>
      </c>
      <c r="F1120" s="32">
        <v>1</v>
      </c>
      <c r="G1120" s="6">
        <v>1142.5186000000001</v>
      </c>
      <c r="H1120" s="6">
        <v>1158.8689999999999</v>
      </c>
      <c r="I1120" s="20">
        <f t="shared" si="38"/>
        <v>16.350399999999809</v>
      </c>
      <c r="J1120" s="616">
        <v>40000</v>
      </c>
      <c r="K1120" s="703"/>
      <c r="L1120" s="22">
        <f t="shared" si="39"/>
        <v>654015.99999999232</v>
      </c>
      <c r="M1120" s="22"/>
      <c r="N1120" s="72"/>
      <c r="O1120" s="15"/>
    </row>
    <row r="1121" spans="1:15" ht="30" x14ac:dyDescent="0.35">
      <c r="A1121" s="631">
        <v>12</v>
      </c>
      <c r="B1121" s="100" t="s">
        <v>3091</v>
      </c>
      <c r="C1121" s="73">
        <v>11</v>
      </c>
      <c r="D1121" s="1782" t="s">
        <v>2980</v>
      </c>
      <c r="E1121" s="52" t="s">
        <v>3092</v>
      </c>
      <c r="F1121" s="32">
        <v>1</v>
      </c>
      <c r="G1121" s="6">
        <v>2826.9234999999999</v>
      </c>
      <c r="H1121" s="6">
        <v>2894.7478000000001</v>
      </c>
      <c r="I1121" s="20">
        <f t="shared" si="38"/>
        <v>67.824300000000221</v>
      </c>
      <c r="J1121" s="616">
        <v>40000</v>
      </c>
      <c r="K1121" s="703"/>
      <c r="L1121" s="22">
        <f t="shared" si="39"/>
        <v>2712972.0000000088</v>
      </c>
      <c r="M1121" s="22"/>
      <c r="N1121" s="72"/>
      <c r="O1121" s="15"/>
    </row>
    <row r="1122" spans="1:15" ht="30" x14ac:dyDescent="0.35">
      <c r="A1122" s="631">
        <v>13</v>
      </c>
      <c r="B1122" s="100" t="s">
        <v>3093</v>
      </c>
      <c r="C1122" s="73">
        <v>11</v>
      </c>
      <c r="D1122" s="1782" t="s">
        <v>2980</v>
      </c>
      <c r="E1122" s="52" t="s">
        <v>3094</v>
      </c>
      <c r="F1122" s="32">
        <v>1</v>
      </c>
      <c r="G1122" s="6">
        <v>191.09</v>
      </c>
      <c r="H1122" s="6">
        <v>191.09</v>
      </c>
      <c r="I1122" s="20">
        <f t="shared" si="38"/>
        <v>0</v>
      </c>
      <c r="J1122" s="616">
        <v>40000</v>
      </c>
      <c r="K1122" s="703"/>
      <c r="L1122" s="22">
        <f t="shared" si="39"/>
        <v>0</v>
      </c>
      <c r="M1122" s="22"/>
      <c r="N1122" s="72"/>
      <c r="O1122" s="15"/>
    </row>
    <row r="1123" spans="1:15" ht="30" x14ac:dyDescent="0.35">
      <c r="A1123" s="631">
        <v>14</v>
      </c>
      <c r="B1123" s="100" t="s">
        <v>3095</v>
      </c>
      <c r="C1123" s="73">
        <v>11</v>
      </c>
      <c r="D1123" s="1782" t="s">
        <v>2980</v>
      </c>
      <c r="E1123" s="52" t="s">
        <v>3096</v>
      </c>
      <c r="F1123" s="32">
        <v>1</v>
      </c>
      <c r="G1123" s="6">
        <v>1821.2464</v>
      </c>
      <c r="H1123" s="6">
        <v>1865.4976999999999</v>
      </c>
      <c r="I1123" s="20">
        <f t="shared" si="38"/>
        <v>44.251299999999901</v>
      </c>
      <c r="J1123" s="616">
        <v>40000</v>
      </c>
      <c r="K1123" s="703"/>
      <c r="L1123" s="22">
        <f t="shared" si="39"/>
        <v>1770051.999999996</v>
      </c>
      <c r="M1123" s="22"/>
      <c r="N1123" s="72"/>
      <c r="O1123" s="15"/>
    </row>
    <row r="1124" spans="1:15" ht="30" x14ac:dyDescent="0.35">
      <c r="A1124" s="631">
        <v>15</v>
      </c>
      <c r="B1124" s="100" t="s">
        <v>3097</v>
      </c>
      <c r="C1124" s="73">
        <v>11</v>
      </c>
      <c r="D1124" s="1782" t="s">
        <v>3089</v>
      </c>
      <c r="E1124" s="52" t="s">
        <v>3098</v>
      </c>
      <c r="F1124" s="32">
        <v>1</v>
      </c>
      <c r="G1124" s="6">
        <v>466.16370000000001</v>
      </c>
      <c r="H1124" s="6">
        <v>467.61329999999998</v>
      </c>
      <c r="I1124" s="20">
        <f t="shared" si="38"/>
        <v>1.4495999999999754</v>
      </c>
      <c r="J1124" s="616">
        <v>40000</v>
      </c>
      <c r="K1124" s="703"/>
      <c r="L1124" s="22">
        <f t="shared" si="39"/>
        <v>57983.99999999901</v>
      </c>
      <c r="M1124" s="22"/>
      <c r="N1124" s="72"/>
      <c r="O1124" s="15"/>
    </row>
    <row r="1125" spans="1:15" ht="30" x14ac:dyDescent="0.35">
      <c r="A1125" s="631">
        <v>17</v>
      </c>
      <c r="B1125" s="100" t="s">
        <v>3099</v>
      </c>
      <c r="C1125" s="73">
        <v>11</v>
      </c>
      <c r="D1125" s="1782" t="s">
        <v>2980</v>
      </c>
      <c r="E1125" s="52" t="s">
        <v>3100</v>
      </c>
      <c r="F1125" s="32">
        <v>1</v>
      </c>
      <c r="G1125" s="6">
        <v>2731.1945999999998</v>
      </c>
      <c r="H1125" s="6">
        <v>2784.1855</v>
      </c>
      <c r="I1125" s="20">
        <f t="shared" si="38"/>
        <v>52.990900000000238</v>
      </c>
      <c r="J1125" s="616">
        <v>40000</v>
      </c>
      <c r="K1125" s="703"/>
      <c r="L1125" s="22">
        <f t="shared" si="39"/>
        <v>2119636.0000000093</v>
      </c>
      <c r="M1125" s="22"/>
      <c r="N1125" s="72"/>
      <c r="O1125" s="15"/>
    </row>
    <row r="1126" spans="1:15" ht="30" x14ac:dyDescent="0.35">
      <c r="A1126" s="631">
        <v>18</v>
      </c>
      <c r="B1126" s="100" t="s">
        <v>3101</v>
      </c>
      <c r="C1126" s="73">
        <v>11</v>
      </c>
      <c r="D1126" s="1782" t="s">
        <v>2980</v>
      </c>
      <c r="E1126" s="52" t="s">
        <v>3096</v>
      </c>
      <c r="F1126" s="32">
        <v>1</v>
      </c>
      <c r="G1126" s="6">
        <v>1670.5235</v>
      </c>
      <c r="H1126" s="6">
        <v>1704.1161999999999</v>
      </c>
      <c r="I1126" s="20">
        <f t="shared" si="38"/>
        <v>33.592699999999923</v>
      </c>
      <c r="J1126" s="616">
        <v>40000</v>
      </c>
      <c r="K1126" s="703"/>
      <c r="L1126" s="22">
        <f t="shared" si="39"/>
        <v>1343707.999999997</v>
      </c>
      <c r="M1126" s="22"/>
      <c r="N1126" s="72"/>
      <c r="O1126" s="15"/>
    </row>
    <row r="1127" spans="1:15" ht="30" x14ac:dyDescent="0.35">
      <c r="A1127" s="631">
        <v>19</v>
      </c>
      <c r="B1127" s="100" t="s">
        <v>3102</v>
      </c>
      <c r="C1127" s="73">
        <v>11</v>
      </c>
      <c r="D1127" s="1782" t="s">
        <v>2980</v>
      </c>
      <c r="E1127" s="52" t="s">
        <v>3103</v>
      </c>
      <c r="F1127" s="32">
        <v>1</v>
      </c>
      <c r="G1127" s="6">
        <v>1142.7066</v>
      </c>
      <c r="H1127" s="6">
        <v>1179.7084</v>
      </c>
      <c r="I1127" s="20">
        <f t="shared" si="38"/>
        <v>37.001800000000003</v>
      </c>
      <c r="J1127" s="616">
        <v>40000</v>
      </c>
      <c r="K1127" s="703"/>
      <c r="L1127" s="22">
        <f t="shared" si="39"/>
        <v>1480072</v>
      </c>
      <c r="M1127" s="22"/>
      <c r="N1127" s="72"/>
      <c r="O1127" s="15"/>
    </row>
    <row r="1128" spans="1:15" ht="15.5" x14ac:dyDescent="0.35">
      <c r="A1128" s="631">
        <v>20</v>
      </c>
      <c r="B1128" s="100" t="s">
        <v>2045</v>
      </c>
      <c r="C1128" s="73"/>
      <c r="D1128" s="1782"/>
      <c r="E1128" s="52"/>
      <c r="F1128" s="32">
        <v>1</v>
      </c>
      <c r="G1128" s="6"/>
      <c r="H1128" s="6"/>
      <c r="I1128" s="20">
        <f t="shared" si="38"/>
        <v>0</v>
      </c>
      <c r="J1128" s="616">
        <v>40000</v>
      </c>
      <c r="K1128" s="703"/>
      <c r="L1128" s="22">
        <f t="shared" si="39"/>
        <v>0</v>
      </c>
      <c r="M1128" s="22"/>
      <c r="N1128" s="72"/>
      <c r="O1128" s="15"/>
    </row>
    <row r="1129" spans="1:15" ht="30" x14ac:dyDescent="0.35">
      <c r="A1129" s="631">
        <v>21</v>
      </c>
      <c r="B1129" s="100" t="s">
        <v>3104</v>
      </c>
      <c r="C1129" s="73">
        <v>11</v>
      </c>
      <c r="D1129" s="1782" t="s">
        <v>2980</v>
      </c>
      <c r="E1129" s="52" t="s">
        <v>3105</v>
      </c>
      <c r="F1129" s="32">
        <v>1</v>
      </c>
      <c r="G1129" s="6">
        <v>714.9683</v>
      </c>
      <c r="H1129" s="6">
        <v>728.80690000000004</v>
      </c>
      <c r="I1129" s="20">
        <f t="shared" si="38"/>
        <v>13.838600000000042</v>
      </c>
      <c r="J1129" s="616">
        <v>40000</v>
      </c>
      <c r="K1129" s="703"/>
      <c r="L1129" s="22">
        <f t="shared" si="39"/>
        <v>553544.00000000163</v>
      </c>
      <c r="M1129" s="22"/>
      <c r="N1129" s="72"/>
      <c r="O1129" s="15"/>
    </row>
    <row r="1130" spans="1:15" ht="30" x14ac:dyDescent="0.35">
      <c r="A1130" s="631">
        <v>22</v>
      </c>
      <c r="B1130" s="100" t="s">
        <v>3106</v>
      </c>
      <c r="C1130" s="73">
        <v>11</v>
      </c>
      <c r="D1130" s="1782" t="s">
        <v>2980</v>
      </c>
      <c r="E1130" s="52" t="s">
        <v>3107</v>
      </c>
      <c r="F1130" s="32">
        <v>1</v>
      </c>
      <c r="G1130" s="6">
        <v>1162.3833</v>
      </c>
      <c r="H1130" s="6">
        <v>1179.9536000000001</v>
      </c>
      <c r="I1130" s="20">
        <f t="shared" si="38"/>
        <v>17.570300000000088</v>
      </c>
      <c r="J1130" s="616">
        <v>40000</v>
      </c>
      <c r="K1130" s="703"/>
      <c r="L1130" s="22">
        <f t="shared" si="39"/>
        <v>702812.00000000349</v>
      </c>
      <c r="M1130" s="22"/>
      <c r="N1130" s="72"/>
      <c r="O1130" s="15"/>
    </row>
    <row r="1131" spans="1:15" ht="30" x14ac:dyDescent="0.35">
      <c r="A1131" s="631">
        <v>23</v>
      </c>
      <c r="B1131" s="100" t="s">
        <v>3108</v>
      </c>
      <c r="C1131" s="73">
        <v>11</v>
      </c>
      <c r="D1131" s="1782" t="s">
        <v>2980</v>
      </c>
      <c r="E1131" s="52" t="s">
        <v>3109</v>
      </c>
      <c r="F1131" s="32">
        <v>1</v>
      </c>
      <c r="G1131" s="6">
        <v>2609.7197000000001</v>
      </c>
      <c r="H1131" s="6">
        <v>2654.9812999999999</v>
      </c>
      <c r="I1131" s="20">
        <f t="shared" si="38"/>
        <v>45.261599999999817</v>
      </c>
      <c r="J1131" s="616">
        <v>40000</v>
      </c>
      <c r="K1131" s="703"/>
      <c r="L1131" s="22">
        <f t="shared" si="39"/>
        <v>1810463.9999999925</v>
      </c>
      <c r="M1131" s="22"/>
      <c r="N1131" s="72"/>
      <c r="O1131" s="15"/>
    </row>
    <row r="1132" spans="1:15" ht="15.5" x14ac:dyDescent="0.35">
      <c r="A1132" s="631">
        <v>24</v>
      </c>
      <c r="B1132" s="100" t="s">
        <v>2045</v>
      </c>
      <c r="C1132" s="73">
        <v>11</v>
      </c>
      <c r="D1132" s="1782"/>
      <c r="E1132" s="52"/>
      <c r="F1132" s="32">
        <v>1</v>
      </c>
      <c r="G1132" s="6"/>
      <c r="H1132" s="6"/>
      <c r="I1132" s="20">
        <f t="shared" si="38"/>
        <v>0</v>
      </c>
      <c r="J1132" s="616">
        <v>40000</v>
      </c>
      <c r="K1132" s="703"/>
      <c r="L1132" s="22">
        <f t="shared" si="39"/>
        <v>0</v>
      </c>
      <c r="M1132" s="22"/>
      <c r="N1132" s="72"/>
      <c r="O1132" s="15"/>
    </row>
    <row r="1133" spans="1:15" ht="30" x14ac:dyDescent="0.35">
      <c r="A1133" s="631">
        <v>25</v>
      </c>
      <c r="B1133" s="100" t="s">
        <v>3110</v>
      </c>
      <c r="C1133" s="73">
        <v>11</v>
      </c>
      <c r="D1133" s="1782" t="s">
        <v>2980</v>
      </c>
      <c r="E1133" s="52" t="s">
        <v>3111</v>
      </c>
      <c r="F1133" s="32">
        <v>1</v>
      </c>
      <c r="G1133" s="6">
        <v>1043.7438</v>
      </c>
      <c r="H1133" s="6">
        <v>1053.174</v>
      </c>
      <c r="I1133" s="20">
        <f t="shared" si="38"/>
        <v>9.4302000000000135</v>
      </c>
      <c r="J1133" s="616">
        <v>40000</v>
      </c>
      <c r="K1133" s="703"/>
      <c r="L1133" s="22">
        <f t="shared" si="39"/>
        <v>377208.00000000052</v>
      </c>
      <c r="M1133" s="22"/>
      <c r="N1133" s="72"/>
      <c r="O1133" s="15"/>
    </row>
    <row r="1134" spans="1:15" ht="30" x14ac:dyDescent="0.35">
      <c r="A1134" s="631">
        <v>26</v>
      </c>
      <c r="B1134" s="100" t="s">
        <v>3112</v>
      </c>
      <c r="C1134" s="73">
        <v>11</v>
      </c>
      <c r="D1134" s="1782" t="s">
        <v>2980</v>
      </c>
      <c r="E1134" s="52" t="s">
        <v>3113</v>
      </c>
      <c r="F1134" s="32">
        <v>1</v>
      </c>
      <c r="G1134" s="6">
        <v>1686.4677999999999</v>
      </c>
      <c r="H1134" s="6">
        <v>1716.6670999999999</v>
      </c>
      <c r="I1134" s="20">
        <f t="shared" si="38"/>
        <v>30.199299999999994</v>
      </c>
      <c r="J1134" s="616">
        <v>40000</v>
      </c>
      <c r="K1134" s="703"/>
      <c r="L1134" s="22">
        <f t="shared" si="39"/>
        <v>1207971.9999999998</v>
      </c>
      <c r="M1134" s="22"/>
      <c r="N1134" s="72"/>
      <c r="O1134" s="15"/>
    </row>
    <row r="1135" spans="1:15" ht="30" x14ac:dyDescent="0.35">
      <c r="A1135" s="631">
        <v>28</v>
      </c>
      <c r="B1135" s="100" t="s">
        <v>2045</v>
      </c>
      <c r="C1135" s="73">
        <v>11</v>
      </c>
      <c r="D1135" s="1782" t="s">
        <v>2980</v>
      </c>
      <c r="E1135" s="52"/>
      <c r="F1135" s="32">
        <v>1</v>
      </c>
      <c r="G1135" s="6"/>
      <c r="H1135" s="6"/>
      <c r="I1135" s="20">
        <f t="shared" si="38"/>
        <v>0</v>
      </c>
      <c r="J1135" s="616">
        <v>40000</v>
      </c>
      <c r="K1135" s="703"/>
      <c r="L1135" s="22">
        <f t="shared" si="39"/>
        <v>0</v>
      </c>
      <c r="M1135" s="22"/>
      <c r="N1135" s="72"/>
      <c r="O1135" s="15"/>
    </row>
    <row r="1136" spans="1:15" ht="30" x14ac:dyDescent="0.35">
      <c r="A1136" s="631">
        <v>29</v>
      </c>
      <c r="B1136" s="100" t="s">
        <v>3114</v>
      </c>
      <c r="C1136" s="73">
        <v>11</v>
      </c>
      <c r="D1136" s="1782" t="s">
        <v>2980</v>
      </c>
      <c r="E1136" s="52" t="s">
        <v>3115</v>
      </c>
      <c r="F1136" s="32">
        <v>1</v>
      </c>
      <c r="G1136" s="6">
        <v>1221.1635000000001</v>
      </c>
      <c r="H1136" s="6">
        <v>1238.4589000000001</v>
      </c>
      <c r="I1136" s="20">
        <f t="shared" si="38"/>
        <v>17.295399999999972</v>
      </c>
      <c r="J1136" s="616">
        <v>40000</v>
      </c>
      <c r="K1136" s="703"/>
      <c r="L1136" s="22">
        <f t="shared" si="39"/>
        <v>691815.99999999884</v>
      </c>
      <c r="M1136" s="22"/>
      <c r="N1136" s="72"/>
      <c r="O1136" s="15"/>
    </row>
    <row r="1137" spans="1:15" ht="30" x14ac:dyDescent="0.35">
      <c r="A1137" s="631">
        <v>30</v>
      </c>
      <c r="B1137" s="101" t="s">
        <v>3116</v>
      </c>
      <c r="C1137" s="73">
        <v>11</v>
      </c>
      <c r="D1137" s="1782" t="s">
        <v>2980</v>
      </c>
      <c r="E1137" s="52" t="s">
        <v>3117</v>
      </c>
      <c r="F1137" s="32">
        <v>1</v>
      </c>
      <c r="G1137" s="6">
        <v>1130.8579</v>
      </c>
      <c r="H1137" s="6">
        <v>1156.7186999999999</v>
      </c>
      <c r="I1137" s="20">
        <f t="shared" si="38"/>
        <v>25.860799999999927</v>
      </c>
      <c r="J1137" s="616">
        <v>40000</v>
      </c>
      <c r="K1137" s="703"/>
      <c r="L1137" s="22">
        <f t="shared" si="39"/>
        <v>1034431.9999999971</v>
      </c>
      <c r="M1137" s="22"/>
      <c r="N1137" s="72"/>
      <c r="O1137" s="15"/>
    </row>
    <row r="1138" spans="1:15" ht="15.5" x14ac:dyDescent="0.35">
      <c r="A1138" s="631">
        <v>31</v>
      </c>
      <c r="B1138" s="100" t="s">
        <v>2045</v>
      </c>
      <c r="C1138" s="73">
        <v>11</v>
      </c>
      <c r="D1138" s="1782"/>
      <c r="E1138" s="52"/>
      <c r="F1138" s="32">
        <v>1</v>
      </c>
      <c r="G1138" s="6"/>
      <c r="H1138" s="6"/>
      <c r="I1138" s="20">
        <f t="shared" si="38"/>
        <v>0</v>
      </c>
      <c r="J1138" s="616">
        <v>40000</v>
      </c>
      <c r="K1138" s="703"/>
      <c r="L1138" s="22">
        <f t="shared" si="39"/>
        <v>0</v>
      </c>
      <c r="M1138" s="22"/>
      <c r="N1138" s="72"/>
      <c r="O1138" s="15"/>
    </row>
    <row r="1139" spans="1:15" ht="15.5" x14ac:dyDescent="0.35">
      <c r="A1139" s="631">
        <v>32</v>
      </c>
      <c r="B1139" s="100" t="s">
        <v>2045</v>
      </c>
      <c r="C1139" s="73">
        <v>11</v>
      </c>
      <c r="D1139" s="1782"/>
      <c r="E1139" s="52"/>
      <c r="F1139" s="32">
        <v>1</v>
      </c>
      <c r="G1139" s="6"/>
      <c r="H1139" s="6"/>
      <c r="I1139" s="20">
        <f t="shared" si="38"/>
        <v>0</v>
      </c>
      <c r="J1139" s="616">
        <v>40000</v>
      </c>
      <c r="K1139" s="703"/>
      <c r="L1139" s="22">
        <f t="shared" si="39"/>
        <v>0</v>
      </c>
      <c r="M1139" s="22"/>
      <c r="N1139" s="72"/>
      <c r="O1139" s="15"/>
    </row>
    <row r="1140" spans="1:15" ht="15.5" x14ac:dyDescent="0.35">
      <c r="A1140" s="631">
        <v>33</v>
      </c>
      <c r="B1140" s="100" t="s">
        <v>2045</v>
      </c>
      <c r="C1140" s="73">
        <v>11</v>
      </c>
      <c r="D1140" s="1782"/>
      <c r="E1140" s="52"/>
      <c r="F1140" s="32">
        <v>1</v>
      </c>
      <c r="G1140" s="6"/>
      <c r="H1140" s="6"/>
      <c r="I1140" s="20">
        <f t="shared" si="38"/>
        <v>0</v>
      </c>
      <c r="J1140" s="616">
        <v>40000</v>
      </c>
      <c r="K1140" s="703"/>
      <c r="L1140" s="22">
        <f t="shared" si="39"/>
        <v>0</v>
      </c>
      <c r="M1140" s="22"/>
      <c r="N1140" s="72"/>
      <c r="O1140" s="15"/>
    </row>
    <row r="1141" spans="1:15" ht="30" x14ac:dyDescent="0.35">
      <c r="A1141" s="631">
        <v>34</v>
      </c>
      <c r="B1141" s="100" t="s">
        <v>3118</v>
      </c>
      <c r="C1141" s="73">
        <v>11</v>
      </c>
      <c r="D1141" s="1782" t="s">
        <v>2980</v>
      </c>
      <c r="E1141" s="52" t="s">
        <v>3083</v>
      </c>
      <c r="F1141" s="32">
        <v>1</v>
      </c>
      <c r="G1141" s="6">
        <v>1992.0011</v>
      </c>
      <c r="H1141" s="6">
        <v>2009.6032</v>
      </c>
      <c r="I1141" s="20">
        <f t="shared" si="38"/>
        <v>17.602100000000064</v>
      </c>
      <c r="J1141" s="616">
        <v>40000</v>
      </c>
      <c r="K1141" s="703"/>
      <c r="L1141" s="22">
        <f t="shared" si="39"/>
        <v>704084.00000000256</v>
      </c>
      <c r="M1141" s="22"/>
      <c r="N1141" s="72"/>
      <c r="O1141" s="15"/>
    </row>
    <row r="1142" spans="1:15" ht="30" x14ac:dyDescent="0.35">
      <c r="A1142" s="633">
        <v>35</v>
      </c>
      <c r="B1142" s="100" t="s">
        <v>3119</v>
      </c>
      <c r="C1142" s="73">
        <v>11</v>
      </c>
      <c r="D1142" s="1782" t="s">
        <v>2980</v>
      </c>
      <c r="E1142" s="52" t="s">
        <v>3120</v>
      </c>
      <c r="F1142" s="32">
        <v>1</v>
      </c>
      <c r="G1142" s="6">
        <v>154.42420000000001</v>
      </c>
      <c r="H1142" s="6">
        <v>156.785</v>
      </c>
      <c r="I1142" s="20">
        <f t="shared" si="38"/>
        <v>2.3607999999999834</v>
      </c>
      <c r="J1142" s="616">
        <v>40000</v>
      </c>
      <c r="K1142" s="704"/>
      <c r="L1142" s="22">
        <f t="shared" si="39"/>
        <v>94431.999999999331</v>
      </c>
      <c r="M1142" s="22"/>
      <c r="N1142" s="72"/>
      <c r="O1142" s="14"/>
    </row>
    <row r="1143" spans="1:15" ht="15.5" x14ac:dyDescent="0.35">
      <c r="A1143" s="633">
        <v>37</v>
      </c>
      <c r="B1143" s="100" t="s">
        <v>2045</v>
      </c>
      <c r="C1143" s="73"/>
      <c r="D1143" s="1782"/>
      <c r="E1143" s="52"/>
      <c r="F1143" s="32">
        <v>1</v>
      </c>
      <c r="G1143" s="6"/>
      <c r="H1143" s="6"/>
      <c r="I1143" s="20">
        <f t="shared" si="38"/>
        <v>0</v>
      </c>
      <c r="J1143" s="616">
        <v>40000</v>
      </c>
      <c r="K1143" s="704"/>
      <c r="L1143" s="22">
        <f t="shared" si="39"/>
        <v>0</v>
      </c>
      <c r="M1143" s="22"/>
      <c r="N1143" s="72"/>
      <c r="O1143" s="14"/>
    </row>
    <row r="1144" spans="1:15" ht="30" x14ac:dyDescent="0.35">
      <c r="A1144" s="633">
        <v>38</v>
      </c>
      <c r="B1144" s="100" t="s">
        <v>3121</v>
      </c>
      <c r="C1144" s="73">
        <v>11</v>
      </c>
      <c r="D1144" s="1782" t="s">
        <v>2980</v>
      </c>
      <c r="E1144" s="52" t="s">
        <v>3122</v>
      </c>
      <c r="F1144" s="32">
        <v>1</v>
      </c>
      <c r="G1144" s="6">
        <v>1014.8308</v>
      </c>
      <c r="H1144" s="6">
        <v>1038.2892999999999</v>
      </c>
      <c r="I1144" s="20">
        <f t="shared" si="38"/>
        <v>23.458499999999958</v>
      </c>
      <c r="J1144" s="616">
        <v>40000</v>
      </c>
      <c r="K1144" s="704"/>
      <c r="L1144" s="22">
        <f t="shared" si="39"/>
        <v>938339.99999999837</v>
      </c>
      <c r="M1144" s="22"/>
      <c r="N1144" s="72"/>
      <c r="O1144" s="14"/>
    </row>
    <row r="1145" spans="1:15" ht="30" x14ac:dyDescent="0.35">
      <c r="A1145" s="633">
        <v>39</v>
      </c>
      <c r="B1145" s="100" t="s">
        <v>3123</v>
      </c>
      <c r="C1145" s="73">
        <v>11</v>
      </c>
      <c r="D1145" s="1782" t="s">
        <v>2980</v>
      </c>
      <c r="E1145" s="52" t="s">
        <v>3115</v>
      </c>
      <c r="F1145" s="32">
        <v>1</v>
      </c>
      <c r="G1145" s="6">
        <v>3278.0029</v>
      </c>
      <c r="H1145" s="6">
        <v>3332.0327000000002</v>
      </c>
      <c r="I1145" s="20">
        <f t="shared" si="38"/>
        <v>54.02980000000025</v>
      </c>
      <c r="J1145" s="616">
        <v>40000</v>
      </c>
      <c r="K1145" s="703"/>
      <c r="L1145" s="22">
        <f t="shared" si="39"/>
        <v>2161192.0000000102</v>
      </c>
      <c r="M1145" s="22"/>
      <c r="N1145" s="72"/>
      <c r="O1145" s="15"/>
    </row>
    <row r="1146" spans="1:15" ht="30" x14ac:dyDescent="0.35">
      <c r="A1146" s="633">
        <v>40</v>
      </c>
      <c r="B1146" s="100" t="s">
        <v>3124</v>
      </c>
      <c r="C1146" s="73">
        <v>11</v>
      </c>
      <c r="D1146" s="1782" t="s">
        <v>2980</v>
      </c>
      <c r="E1146" s="52" t="s">
        <v>3115</v>
      </c>
      <c r="F1146" s="32">
        <v>1</v>
      </c>
      <c r="G1146" s="6">
        <v>980.53510000000006</v>
      </c>
      <c r="H1146" s="6">
        <v>986.47670000000005</v>
      </c>
      <c r="I1146" s="20">
        <f t="shared" si="38"/>
        <v>5.941599999999994</v>
      </c>
      <c r="J1146" s="616">
        <v>40000</v>
      </c>
      <c r="K1146" s="704"/>
      <c r="L1146" s="22">
        <f t="shared" si="39"/>
        <v>237663.99999999977</v>
      </c>
      <c r="M1146" s="22"/>
      <c r="N1146" s="72"/>
      <c r="O1146" s="10"/>
    </row>
    <row r="1147" spans="1:15" ht="15.5" x14ac:dyDescent="0.35">
      <c r="A1147" s="633">
        <v>41</v>
      </c>
      <c r="B1147" s="101" t="s">
        <v>3125</v>
      </c>
      <c r="C1147" s="73">
        <v>0.4</v>
      </c>
      <c r="D1147" s="1782" t="s">
        <v>527</v>
      </c>
      <c r="E1147" s="52" t="s">
        <v>3073</v>
      </c>
      <c r="F1147" s="32">
        <v>1</v>
      </c>
      <c r="G1147" s="6">
        <v>494429</v>
      </c>
      <c r="H1147" s="6">
        <v>494429</v>
      </c>
      <c r="I1147" s="20">
        <f>SUM(H1147-G1147)</f>
        <v>0</v>
      </c>
      <c r="J1147" s="616">
        <v>1</v>
      </c>
      <c r="K1147" s="703">
        <f>F1147*I1147*J1147</f>
        <v>0</v>
      </c>
      <c r="L1147" s="22">
        <f t="shared" si="39"/>
        <v>0</v>
      </c>
      <c r="M1147" s="22"/>
      <c r="N1147" s="72"/>
      <c r="O1147" s="13"/>
    </row>
    <row r="1148" spans="1:15" ht="15.5" x14ac:dyDescent="0.35">
      <c r="A1148" s="633">
        <v>42</v>
      </c>
      <c r="B1148" s="100" t="s">
        <v>3126</v>
      </c>
      <c r="C1148" s="73">
        <v>0.4</v>
      </c>
      <c r="D1148" s="1782" t="s">
        <v>527</v>
      </c>
      <c r="E1148" s="52" t="s">
        <v>3127</v>
      </c>
      <c r="F1148" s="32">
        <v>1</v>
      </c>
      <c r="G1148" s="6">
        <v>60602.7</v>
      </c>
      <c r="H1148" s="6">
        <v>61040.9</v>
      </c>
      <c r="I1148" s="20">
        <f>SUM(H1148-G1148)</f>
        <v>438.20000000000437</v>
      </c>
      <c r="J1148" s="616">
        <v>1</v>
      </c>
      <c r="K1148" s="705"/>
      <c r="L1148" s="22">
        <f t="shared" si="39"/>
        <v>438.20000000000437</v>
      </c>
      <c r="M1148" s="22"/>
      <c r="N1148" s="72"/>
      <c r="O1148" s="30"/>
    </row>
    <row r="1149" spans="1:15" ht="15.5" x14ac:dyDescent="0.35">
      <c r="A1149" s="633">
        <v>25</v>
      </c>
      <c r="B1149" s="101" t="s">
        <v>3071</v>
      </c>
      <c r="C1149" s="73">
        <v>0.4</v>
      </c>
      <c r="D1149" s="1782"/>
      <c r="E1149" s="52"/>
      <c r="F1149" s="32">
        <v>1</v>
      </c>
      <c r="G1149" s="6">
        <v>535854</v>
      </c>
      <c r="H1149" s="6">
        <v>544597</v>
      </c>
      <c r="I1149" s="20">
        <f>H1149-G1149</f>
        <v>8743</v>
      </c>
      <c r="J1149" s="616">
        <v>1</v>
      </c>
      <c r="K1149" s="705"/>
      <c r="L1149" s="22">
        <f t="shared" si="39"/>
        <v>8743</v>
      </c>
      <c r="M1149" s="22"/>
      <c r="N1149" s="72"/>
      <c r="O1149" s="13"/>
    </row>
    <row r="1150" spans="1:15" ht="15.75" customHeight="1" x14ac:dyDescent="0.35">
      <c r="A1150" s="633">
        <v>26</v>
      </c>
      <c r="B1150" s="100" t="s">
        <v>3072</v>
      </c>
      <c r="C1150" s="74">
        <v>0.4</v>
      </c>
      <c r="D1150" s="1783"/>
      <c r="E1150" s="52" t="s">
        <v>3073</v>
      </c>
      <c r="F1150" s="32">
        <v>1</v>
      </c>
      <c r="G1150" s="6"/>
      <c r="H1150" s="6"/>
      <c r="I1150" s="20">
        <f>H1150-G1150</f>
        <v>0</v>
      </c>
      <c r="J1150" s="616">
        <v>1</v>
      </c>
      <c r="K1150" s="705">
        <f>F1150*I1150*J1150</f>
        <v>0</v>
      </c>
      <c r="L1150" s="22">
        <f t="shared" si="39"/>
        <v>0</v>
      </c>
      <c r="M1150" s="22"/>
      <c r="N1150" s="72"/>
      <c r="O1150" s="13"/>
    </row>
    <row r="1151" spans="1:15" ht="20" x14ac:dyDescent="0.35">
      <c r="A1151" s="636"/>
      <c r="B1151" s="96"/>
      <c r="C1151" s="90"/>
      <c r="D1151" s="90"/>
      <c r="E1151" s="90"/>
      <c r="F1151" s="38"/>
      <c r="G1151" s="38"/>
      <c r="H1151" s="38"/>
      <c r="I1151" s="38"/>
      <c r="J1151" s="96" t="s">
        <v>30</v>
      </c>
      <c r="K1151" s="708">
        <f>K1113</f>
        <v>24244128.000000056</v>
      </c>
      <c r="L1151" s="43">
        <f>SUM(L1115:L1150)</f>
        <v>24264661.200000003</v>
      </c>
      <c r="M1151" s="43">
        <f>SUM(M1115:M1150)</f>
        <v>0</v>
      </c>
      <c r="N1151" s="84">
        <f>(M1151-L1151)/L1151*100</f>
        <v>-100</v>
      </c>
      <c r="O1151" s="13"/>
    </row>
    <row r="1152" spans="1:15" x14ac:dyDescent="0.35">
      <c r="D1152" s="725"/>
      <c r="K1152" s="34"/>
    </row>
    <row r="1153" spans="1:15" ht="15" x14ac:dyDescent="0.35">
      <c r="A1153" s="620"/>
      <c r="B1153" s="635"/>
      <c r="C1153" s="632"/>
      <c r="D1153" s="720"/>
      <c r="G1153" s="2092" t="s">
        <v>1099</v>
      </c>
      <c r="H1153" s="2092"/>
      <c r="I1153" s="2092"/>
      <c r="J1153" s="677" t="s">
        <v>14</v>
      </c>
      <c r="K1153" s="702"/>
      <c r="L1153" s="620"/>
      <c r="M1153" s="620"/>
      <c r="N1153" s="632"/>
      <c r="O1153" s="620"/>
    </row>
    <row r="1154" spans="1:15" ht="15.5" x14ac:dyDescent="0.35">
      <c r="A1154" s="620"/>
      <c r="B1154" s="635"/>
      <c r="C1154" s="632"/>
      <c r="D1154" s="720"/>
      <c r="G1154" s="2082" t="s">
        <v>232</v>
      </c>
      <c r="H1154" s="2082"/>
      <c r="I1154" s="2082"/>
      <c r="J1154" s="643">
        <f>M1121+M1125+M1127+M1128+M1137+M1142+M1143+M1144+M1148</f>
        <v>0</v>
      </c>
      <c r="K1154" s="702"/>
      <c r="L1154" s="620"/>
      <c r="M1154" s="620"/>
      <c r="N1154" s="632"/>
      <c r="O1154" s="620" t="s">
        <v>237</v>
      </c>
    </row>
    <row r="1155" spans="1:15" ht="15.5" x14ac:dyDescent="0.35">
      <c r="A1155" s="620"/>
      <c r="B1155" s="635"/>
      <c r="C1155" s="632"/>
      <c r="D1155" s="720"/>
      <c r="G1155" s="2082" t="s">
        <v>233</v>
      </c>
      <c r="H1155" s="2082"/>
      <c r="I1155" s="2082"/>
      <c r="J1155" s="643">
        <f>M1116+M1117+M1118+M1122+M1123+M1124+M1140+M1145+M1147</f>
        <v>0</v>
      </c>
      <c r="K1155" s="702"/>
      <c r="L1155" s="620"/>
      <c r="M1155" s="620"/>
      <c r="N1155" s="632"/>
      <c r="O1155" s="620"/>
    </row>
    <row r="1156" spans="1:15" ht="15.5" x14ac:dyDescent="0.35">
      <c r="A1156" s="620"/>
      <c r="B1156" s="635"/>
      <c r="C1156" s="632"/>
      <c r="D1156" s="720"/>
      <c r="G1156" s="2082" t="s">
        <v>234</v>
      </c>
      <c r="H1156" s="2082"/>
      <c r="I1156" s="2082"/>
      <c r="J1156" s="643">
        <f>M1146</f>
        <v>0</v>
      </c>
      <c r="K1156" s="702"/>
      <c r="L1156" s="620"/>
      <c r="M1156" s="620"/>
      <c r="N1156" s="632"/>
      <c r="O1156" s="620"/>
    </row>
    <row r="1157" spans="1:15" ht="16" thickBot="1" x14ac:dyDescent="0.4">
      <c r="A1157" s="620"/>
      <c r="B1157" s="635"/>
      <c r="C1157" s="632"/>
      <c r="D1157" s="720"/>
      <c r="G1157" s="2082" t="s">
        <v>235</v>
      </c>
      <c r="H1157" s="2082"/>
      <c r="I1157" s="2082"/>
      <c r="J1157" s="643" t="e">
        <f>M1115+M1119+M1120+M1126+M1138+M1139+#REF!+M1149+M1150</f>
        <v>#REF!</v>
      </c>
      <c r="K1157" s="702"/>
      <c r="L1157" s="620"/>
      <c r="M1157" s="620"/>
      <c r="N1157" s="632"/>
      <c r="O1157" s="620"/>
    </row>
    <row r="1158" spans="1:15" ht="20.5" thickBot="1" x14ac:dyDescent="0.4">
      <c r="A1158" s="620"/>
      <c r="B1158" s="635"/>
      <c r="C1158" s="632"/>
      <c r="D1158" s="720"/>
      <c r="G1158" s="2083" t="s">
        <v>210</v>
      </c>
      <c r="H1158" s="2083"/>
      <c r="I1158" s="2083"/>
      <c r="J1158" s="714" t="e">
        <f>SUM(J1154:J1157)</f>
        <v>#REF!</v>
      </c>
      <c r="K1158" s="682" t="e">
        <f>J1158-M1151</f>
        <v>#REF!</v>
      </c>
      <c r="L1158" s="620"/>
      <c r="M1158" s="620"/>
      <c r="N1158" s="632"/>
      <c r="O1158" s="620"/>
    </row>
    <row r="1162" spans="1:15" x14ac:dyDescent="0.35">
      <c r="A1162" s="620"/>
      <c r="B1162" s="635"/>
      <c r="C1162" s="632"/>
      <c r="D1162" s="720"/>
      <c r="E1162" s="632"/>
      <c r="F1162" s="620"/>
      <c r="G1162" s="620"/>
      <c r="H1162" s="620"/>
      <c r="I1162" s="620"/>
      <c r="J1162" s="620"/>
      <c r="K1162" s="702"/>
      <c r="L1162" s="620"/>
      <c r="M1162" s="620"/>
      <c r="N1162" s="632"/>
      <c r="O1162" s="620"/>
    </row>
    <row r="1163" spans="1:15" x14ac:dyDescent="0.35">
      <c r="A1163" s="620"/>
      <c r="B1163" s="635"/>
      <c r="C1163" s="632"/>
      <c r="D1163" s="720"/>
      <c r="E1163" s="632"/>
      <c r="F1163" s="620"/>
      <c r="G1163" s="620"/>
      <c r="H1163" s="620"/>
      <c r="I1163" s="620"/>
      <c r="J1163" s="620"/>
      <c r="K1163" s="702"/>
      <c r="L1163" s="620"/>
      <c r="M1163" s="620"/>
      <c r="N1163" s="632"/>
      <c r="O1163" s="620"/>
    </row>
    <row r="1164" spans="1:15" x14ac:dyDescent="0.35">
      <c r="A1164" s="620"/>
      <c r="B1164" s="635"/>
      <c r="C1164" s="632"/>
      <c r="D1164" s="720"/>
      <c r="E1164" s="632"/>
      <c r="F1164" s="620"/>
      <c r="G1164" s="620"/>
      <c r="H1164" s="620"/>
      <c r="I1164" s="620"/>
      <c r="J1164" s="620"/>
      <c r="K1164" s="702"/>
      <c r="L1164" s="620"/>
      <c r="M1164" s="620"/>
      <c r="N1164" s="632"/>
      <c r="O1164" s="620"/>
    </row>
    <row r="1165" spans="1:15" x14ac:dyDescent="0.35">
      <c r="A1165" s="620"/>
      <c r="B1165" s="635"/>
      <c r="C1165" s="632"/>
      <c r="D1165" s="720"/>
      <c r="E1165" s="632"/>
      <c r="F1165" s="620"/>
      <c r="G1165" s="620"/>
      <c r="H1165" s="620"/>
      <c r="I1165" s="620"/>
      <c r="J1165" s="620"/>
      <c r="K1165" s="702"/>
      <c r="L1165" s="620"/>
      <c r="M1165" s="620"/>
      <c r="N1165" s="632"/>
      <c r="O1165" s="620"/>
    </row>
    <row r="1166" spans="1:15" x14ac:dyDescent="0.35">
      <c r="A1166" s="620"/>
      <c r="B1166" s="635"/>
      <c r="C1166" s="632"/>
      <c r="D1166" s="720"/>
      <c r="E1166" s="632"/>
      <c r="F1166" s="620"/>
      <c r="G1166" s="620"/>
      <c r="H1166" s="620"/>
      <c r="I1166" s="620"/>
      <c r="J1166" s="620"/>
      <c r="K1166" s="702"/>
      <c r="L1166" s="620"/>
      <c r="M1166" s="620"/>
      <c r="N1166" s="632"/>
      <c r="O1166" s="620"/>
    </row>
    <row r="1167" spans="1:15" x14ac:dyDescent="0.35">
      <c r="A1167" s="620"/>
      <c r="B1167" s="632"/>
      <c r="C1167" s="632"/>
      <c r="D1167" s="720"/>
      <c r="E1167" s="632"/>
      <c r="F1167" s="620"/>
      <c r="G1167" s="620"/>
      <c r="H1167" s="620"/>
      <c r="I1167" s="620"/>
      <c r="J1167" s="620"/>
      <c r="K1167" s="702"/>
      <c r="L1167" s="620"/>
      <c r="M1167" s="620"/>
      <c r="N1167" s="632"/>
      <c r="O1167" s="620"/>
    </row>
    <row r="1168" spans="1:15" x14ac:dyDescent="0.35">
      <c r="A1168" s="620"/>
      <c r="B1168" s="632"/>
      <c r="C1168" s="632"/>
      <c r="D1168" s="720"/>
      <c r="E1168" s="632"/>
      <c r="F1168" s="620"/>
      <c r="G1168" s="620"/>
      <c r="H1168" s="620"/>
      <c r="I1168" s="620"/>
      <c r="J1168" s="620"/>
      <c r="K1168" s="702"/>
      <c r="L1168" s="620"/>
      <c r="M1168" s="620"/>
      <c r="N1168" s="632"/>
      <c r="O1168" s="620"/>
    </row>
    <row r="1169" spans="1:15" x14ac:dyDescent="0.35">
      <c r="A1169" s="620"/>
      <c r="B1169" s="635"/>
      <c r="C1169" s="632"/>
      <c r="D1169" s="720"/>
      <c r="E1169" s="632"/>
      <c r="F1169" s="620"/>
      <c r="G1169" s="620"/>
      <c r="H1169" s="620"/>
      <c r="I1169" s="620"/>
      <c r="J1169" s="620"/>
      <c r="K1169" s="702"/>
      <c r="L1169" s="620"/>
      <c r="M1169" s="620"/>
      <c r="N1169" s="632"/>
      <c r="O1169" s="620"/>
    </row>
    <row r="1170" spans="1:15" x14ac:dyDescent="0.35">
      <c r="A1170" s="620"/>
      <c r="B1170" s="635"/>
      <c r="C1170" s="632"/>
      <c r="D1170" s="720"/>
      <c r="E1170" s="632"/>
      <c r="F1170" s="620"/>
      <c r="G1170" s="620"/>
      <c r="H1170" s="620"/>
      <c r="I1170" s="620"/>
      <c r="J1170" s="620"/>
      <c r="K1170" s="702"/>
      <c r="L1170" s="620"/>
      <c r="M1170" s="620"/>
      <c r="N1170" s="632"/>
      <c r="O1170" s="620"/>
    </row>
    <row r="1171" spans="1:15" x14ac:dyDescent="0.35">
      <c r="A1171" s="620"/>
      <c r="B1171" s="635"/>
      <c r="C1171" s="632"/>
      <c r="D1171" s="720"/>
      <c r="E1171" s="632"/>
      <c r="F1171" s="620"/>
      <c r="G1171" s="620"/>
      <c r="H1171" s="620"/>
      <c r="I1171" s="620"/>
      <c r="J1171" s="620"/>
      <c r="K1171" s="702"/>
      <c r="L1171" s="620"/>
      <c r="M1171" s="620"/>
      <c r="N1171" s="632"/>
      <c r="O1171" s="620"/>
    </row>
    <row r="1172" spans="1:15" ht="25" x14ac:dyDescent="0.35">
      <c r="A1172" s="28"/>
      <c r="B1172" s="2152"/>
      <c r="C1172" s="2152"/>
      <c r="D1172" s="2152"/>
      <c r="E1172" s="2152"/>
      <c r="F1172" s="2152"/>
      <c r="G1172" s="2152"/>
      <c r="H1172" s="2152"/>
      <c r="I1172" s="2152"/>
      <c r="J1172" s="2152"/>
      <c r="K1172" s="2152"/>
      <c r="L1172" s="2152"/>
      <c r="M1172" s="2152"/>
      <c r="N1172" s="632"/>
      <c r="O1172" s="620"/>
    </row>
    <row r="1173" spans="1:15" x14ac:dyDescent="0.35">
      <c r="A1173" s="620"/>
      <c r="B1173" s="635"/>
      <c r="C1173" s="632"/>
      <c r="D1173" s="720"/>
      <c r="E1173" s="632"/>
      <c r="F1173" s="620"/>
      <c r="G1173" s="620"/>
      <c r="H1173" s="620"/>
      <c r="I1173" s="620"/>
      <c r="J1173" s="620"/>
      <c r="K1173" s="702"/>
      <c r="L1173" s="620"/>
      <c r="M1173" s="620"/>
      <c r="N1173" s="632"/>
      <c r="O1173" s="620"/>
    </row>
    <row r="1174" spans="1:15" x14ac:dyDescent="0.35">
      <c r="A1174" s="620"/>
      <c r="B1174" s="635"/>
      <c r="C1174" s="632"/>
      <c r="D1174" s="720"/>
      <c r="E1174" s="632"/>
      <c r="F1174" s="620"/>
      <c r="G1174" s="620"/>
      <c r="H1174" s="620"/>
      <c r="I1174" s="620"/>
      <c r="J1174" s="620"/>
      <c r="K1174" s="702"/>
      <c r="L1174" s="620"/>
      <c r="M1174" s="620"/>
      <c r="N1174" s="632"/>
      <c r="O1174" s="620"/>
    </row>
    <row r="1175" spans="1:15" ht="25" x14ac:dyDescent="0.35">
      <c r="A1175" s="2095" t="s">
        <v>1321</v>
      </c>
      <c r="B1175" s="2095"/>
      <c r="C1175" s="2095"/>
      <c r="D1175" s="2095"/>
      <c r="E1175" s="2095"/>
      <c r="F1175" s="2095"/>
      <c r="G1175" s="2095"/>
      <c r="H1175" s="2095"/>
      <c r="I1175" s="2095"/>
      <c r="J1175" s="2095"/>
      <c r="K1175" s="2095"/>
      <c r="L1175" s="2095"/>
      <c r="M1175" s="2095"/>
      <c r="N1175" s="2095"/>
      <c r="O1175" s="756" t="e">
        <f>$O$6</f>
        <v>#REF!</v>
      </c>
    </row>
    <row r="1176" spans="1:15" ht="15.5" x14ac:dyDescent="0.35">
      <c r="A1176" s="2096" t="s">
        <v>0</v>
      </c>
      <c r="B1176" s="2098" t="s">
        <v>1</v>
      </c>
      <c r="C1176" s="2100" t="s">
        <v>2</v>
      </c>
      <c r="D1176" s="2101"/>
      <c r="E1176" s="2102"/>
      <c r="F1176" s="2103" t="s">
        <v>3</v>
      </c>
      <c r="G1176" s="2100" t="s">
        <v>4</v>
      </c>
      <c r="H1176" s="2102"/>
      <c r="I1176" s="2085"/>
      <c r="J1176" s="2103" t="s">
        <v>5</v>
      </c>
      <c r="K1176" s="2100" t="s">
        <v>6</v>
      </c>
      <c r="L1176" s="2085"/>
      <c r="M1176" s="97" t="s">
        <v>32</v>
      </c>
      <c r="N1176" s="98"/>
      <c r="O1176" s="2084" t="s">
        <v>7</v>
      </c>
    </row>
    <row r="1177" spans="1:15" ht="15.5" x14ac:dyDescent="0.35">
      <c r="A1177" s="2097"/>
      <c r="B1177" s="2099"/>
      <c r="C1177" s="2086" t="s">
        <v>1108</v>
      </c>
      <c r="D1177" s="2087"/>
      <c r="E1177" s="87" t="s">
        <v>9</v>
      </c>
      <c r="F1177" s="2097"/>
      <c r="G1177" s="2">
        <f>'NORTH-1'!$G$8</f>
        <v>44774</v>
      </c>
      <c r="H1177" s="2">
        <f>'NORTH-1'!$H$8</f>
        <v>44805</v>
      </c>
      <c r="I1177" s="1" t="s">
        <v>10</v>
      </c>
      <c r="J1177" s="2097"/>
      <c r="K1177" s="1" t="s">
        <v>11</v>
      </c>
      <c r="L1177" s="1" t="s">
        <v>12</v>
      </c>
      <c r="M1177" s="617" t="s">
        <v>33</v>
      </c>
      <c r="N1177" s="76" t="s">
        <v>47</v>
      </c>
      <c r="O1177" s="2085"/>
    </row>
    <row r="1178" spans="1:15" ht="15.5" x14ac:dyDescent="0.35">
      <c r="A1178" s="3">
        <v>1</v>
      </c>
      <c r="B1178" s="88">
        <v>2</v>
      </c>
      <c r="C1178" s="2088">
        <v>4</v>
      </c>
      <c r="D1178" s="2089"/>
      <c r="E1178" s="88">
        <v>5</v>
      </c>
      <c r="F1178" s="3">
        <v>7</v>
      </c>
      <c r="G1178" s="3">
        <v>8</v>
      </c>
      <c r="H1178" s="3">
        <v>9</v>
      </c>
      <c r="I1178" s="3" t="s">
        <v>13</v>
      </c>
      <c r="J1178" s="3">
        <v>11</v>
      </c>
      <c r="K1178" s="3" t="s">
        <v>19</v>
      </c>
      <c r="L1178" s="3" t="s">
        <v>20</v>
      </c>
      <c r="M1178" s="3">
        <v>14</v>
      </c>
      <c r="N1178" s="77">
        <v>15</v>
      </c>
      <c r="O1178" s="3">
        <v>16</v>
      </c>
    </row>
    <row r="1179" spans="1:15" ht="15.5" x14ac:dyDescent="0.35">
      <c r="A1179" s="631"/>
      <c r="B1179" s="624" t="s">
        <v>1100</v>
      </c>
      <c r="C1179" s="625"/>
      <c r="D1179" s="625"/>
      <c r="E1179" s="625"/>
      <c r="F1179" s="625"/>
      <c r="G1179" s="625"/>
      <c r="H1179" s="625"/>
      <c r="I1179" s="625"/>
      <c r="J1179" s="625"/>
      <c r="K1179" s="695"/>
      <c r="L1179" s="625"/>
      <c r="M1179" s="626"/>
      <c r="N1179" s="627"/>
      <c r="O1179" s="616"/>
    </row>
    <row r="1180" spans="1:15" ht="15.5" x14ac:dyDescent="0.35">
      <c r="A1180" s="11">
        <v>1</v>
      </c>
      <c r="B1180" s="100" t="s">
        <v>3128</v>
      </c>
      <c r="C1180" s="52">
        <v>33</v>
      </c>
      <c r="D1180" s="2105" t="s">
        <v>339</v>
      </c>
      <c r="E1180" s="52" t="s">
        <v>3054</v>
      </c>
      <c r="F1180" s="4">
        <v>1</v>
      </c>
      <c r="G1180" s="21">
        <v>2285</v>
      </c>
      <c r="H1180" s="21">
        <v>2316.44</v>
      </c>
      <c r="I1180" s="21">
        <f>H1180-G1180</f>
        <v>31.440000000000055</v>
      </c>
      <c r="J1180" s="616">
        <v>240000</v>
      </c>
      <c r="K1180" s="696">
        <f>F1180*I1180*J1180</f>
        <v>7545600.000000013</v>
      </c>
      <c r="L1180" s="22"/>
      <c r="M1180" s="22"/>
      <c r="N1180" s="82"/>
      <c r="O1180" s="9"/>
    </row>
    <row r="1181" spans="1:15" ht="15.5" x14ac:dyDescent="0.35">
      <c r="A1181" s="631">
        <v>2</v>
      </c>
      <c r="B1181" s="100" t="s">
        <v>3129</v>
      </c>
      <c r="C1181" s="52">
        <v>33</v>
      </c>
      <c r="D1181" s="2151" t="s">
        <v>339</v>
      </c>
      <c r="E1181" s="52" t="s">
        <v>3063</v>
      </c>
      <c r="F1181" s="4">
        <v>1</v>
      </c>
      <c r="G1181" s="21">
        <v>2164.1799999999998</v>
      </c>
      <c r="H1181" s="21">
        <v>2198.37</v>
      </c>
      <c r="I1181" s="21">
        <f>H1181-G1181</f>
        <v>34.190000000000055</v>
      </c>
      <c r="J1181" s="616">
        <v>240000</v>
      </c>
      <c r="K1181" s="696">
        <f>F1181*I1181*J1181</f>
        <v>8205600.000000013</v>
      </c>
      <c r="L1181" s="22"/>
      <c r="M1181" s="22"/>
      <c r="N1181" s="82"/>
      <c r="O1181" s="616" t="s">
        <v>3130</v>
      </c>
    </row>
    <row r="1182" spans="1:15" ht="15.5" x14ac:dyDescent="0.35">
      <c r="A1182" s="631"/>
      <c r="B1182" s="102"/>
      <c r="C1182" s="91"/>
      <c r="D1182" s="726"/>
      <c r="E1182" s="91"/>
      <c r="F1182" s="47"/>
      <c r="G1182" s="48"/>
      <c r="H1182" s="48"/>
      <c r="I1182" s="48"/>
      <c r="J1182" s="96" t="s">
        <v>30</v>
      </c>
      <c r="K1182" s="658">
        <f>SUM(K1180:K1181)</f>
        <v>15751200.000000026</v>
      </c>
      <c r="L1182" s="43">
        <f>SUM(L1180:L1181)</f>
        <v>0</v>
      </c>
      <c r="M1182" s="43">
        <f>SUM(M1180:M1181)</f>
        <v>0</v>
      </c>
      <c r="N1182" s="646" t="e">
        <f>(M1182-L1182)/L1182*100</f>
        <v>#DIV/0!</v>
      </c>
      <c r="O1182" s="616"/>
    </row>
    <row r="1183" spans="1:15" ht="15.5" x14ac:dyDescent="0.35">
      <c r="A1183" s="616"/>
      <c r="B1183" s="624" t="s">
        <v>1113</v>
      </c>
      <c r="C1183" s="625"/>
      <c r="D1183" s="625"/>
      <c r="E1183" s="625"/>
      <c r="F1183" s="625"/>
      <c r="G1183" s="625"/>
      <c r="H1183" s="625"/>
      <c r="I1183" s="625"/>
      <c r="J1183" s="732"/>
      <c r="K1183" s="733"/>
      <c r="L1183" s="734"/>
      <c r="M1183" s="734"/>
      <c r="N1183" s="627"/>
      <c r="O1183" s="12"/>
    </row>
    <row r="1184" spans="1:15" ht="15.5" x14ac:dyDescent="0.35">
      <c r="A1184" s="616">
        <v>1</v>
      </c>
      <c r="B1184" s="100" t="s">
        <v>3131</v>
      </c>
      <c r="C1184" s="52">
        <v>33</v>
      </c>
      <c r="D1184" s="2105" t="s">
        <v>339</v>
      </c>
      <c r="E1184" s="52" t="s">
        <v>3132</v>
      </c>
      <c r="F1184" s="4">
        <v>1</v>
      </c>
      <c r="G1184" s="21">
        <v>686928.9</v>
      </c>
      <c r="H1184" s="21">
        <v>714971.6</v>
      </c>
      <c r="I1184" s="20">
        <f>H1184-G1184</f>
        <v>28042.699999999953</v>
      </c>
      <c r="J1184" s="616">
        <v>270</v>
      </c>
      <c r="K1184" s="696">
        <f>F1184*I1184*J1184</f>
        <v>7571528.999999987</v>
      </c>
      <c r="L1184" s="22"/>
      <c r="M1184" s="22"/>
      <c r="N1184" s="82"/>
      <c r="O1184" s="12"/>
    </row>
    <row r="1185" spans="1:15" ht="15.5" x14ac:dyDescent="0.35">
      <c r="A1185" s="616">
        <v>5</v>
      </c>
      <c r="B1185" s="100" t="s">
        <v>3133</v>
      </c>
      <c r="C1185" s="52">
        <v>33</v>
      </c>
      <c r="D1185" s="2106" t="s">
        <v>339</v>
      </c>
      <c r="E1185" s="52" t="s">
        <v>3134</v>
      </c>
      <c r="F1185" s="4">
        <v>1</v>
      </c>
      <c r="G1185" s="21">
        <v>444672.9</v>
      </c>
      <c r="H1185" s="21">
        <v>476297.5</v>
      </c>
      <c r="I1185" s="20">
        <f>H1185-G1185</f>
        <v>31624.599999999977</v>
      </c>
      <c r="J1185" s="616">
        <v>270</v>
      </c>
      <c r="K1185" s="696">
        <f>F1185*I1185*J1185</f>
        <v>8538641.9999999944</v>
      </c>
      <c r="L1185" s="22"/>
      <c r="M1185" s="22"/>
      <c r="N1185" s="82"/>
      <c r="O1185" s="12" t="s">
        <v>3135</v>
      </c>
    </row>
    <row r="1186" spans="1:15" ht="15.5" x14ac:dyDescent="0.35">
      <c r="A1186" s="616"/>
      <c r="B1186" s="102"/>
      <c r="C1186" s="91"/>
      <c r="D1186" s="726"/>
      <c r="E1186" s="91"/>
      <c r="F1186" s="47"/>
      <c r="G1186" s="48"/>
      <c r="H1186" s="48"/>
      <c r="I1186" s="36"/>
      <c r="J1186" s="96" t="s">
        <v>30</v>
      </c>
      <c r="K1186" s="658">
        <f>SUM(K1184:K1185)</f>
        <v>16110170.999999981</v>
      </c>
      <c r="L1186" s="43">
        <f>SUM(L1184:L1185)</f>
        <v>0</v>
      </c>
      <c r="M1186" s="43">
        <f>SUM(M1184:M1185)</f>
        <v>0</v>
      </c>
      <c r="N1186" s="43">
        <f>SUM(N1184:N1185)</f>
        <v>0</v>
      </c>
      <c r="O1186" s="43">
        <f>SUM(O1184:O1185)</f>
        <v>0</v>
      </c>
    </row>
    <row r="1187" spans="1:15" ht="15.5" x14ac:dyDescent="0.35">
      <c r="A1187" s="616"/>
      <c r="B1187" s="647" t="s">
        <v>1114</v>
      </c>
      <c r="C1187" s="648"/>
      <c r="D1187" s="648"/>
      <c r="E1187" s="648"/>
      <c r="F1187" s="648"/>
      <c r="G1187" s="648"/>
      <c r="H1187" s="648"/>
      <c r="I1187" s="648"/>
      <c r="J1187" s="648"/>
      <c r="K1187" s="700"/>
      <c r="L1187" s="648"/>
      <c r="M1187" s="651"/>
      <c r="N1187" s="649"/>
      <c r="O1187" s="8"/>
    </row>
    <row r="1188" spans="1:15" ht="15.5" x14ac:dyDescent="0.35">
      <c r="A1188" s="616"/>
      <c r="B1188" s="100" t="s">
        <v>1079</v>
      </c>
      <c r="C1188" s="52">
        <v>132</v>
      </c>
      <c r="D1188" s="2138" t="s">
        <v>1083</v>
      </c>
      <c r="E1188" s="615"/>
      <c r="F1188" s="4"/>
      <c r="G1188" s="5"/>
      <c r="H1188" s="5"/>
      <c r="I1188" s="5"/>
      <c r="J1188" s="616"/>
      <c r="K1188" s="696"/>
      <c r="L1188" s="16">
        <f>J1188*I1188*F1188</f>
        <v>0</v>
      </c>
      <c r="M1188" s="7"/>
      <c r="N1188" s="78"/>
      <c r="O1188" s="616"/>
    </row>
    <row r="1189" spans="1:15" ht="15.5" x14ac:dyDescent="0.35">
      <c r="A1189" s="616"/>
      <c r="B1189" s="100" t="s">
        <v>1078</v>
      </c>
      <c r="C1189" s="52">
        <v>132</v>
      </c>
      <c r="D1189" s="2139"/>
      <c r="E1189" s="615"/>
      <c r="F1189" s="4"/>
      <c r="G1189" s="5"/>
      <c r="H1189" s="5"/>
      <c r="I1189" s="5"/>
      <c r="J1189" s="616"/>
      <c r="K1189" s="696"/>
      <c r="L1189" s="16">
        <f>J1189*I1189*F1189</f>
        <v>0</v>
      </c>
      <c r="M1189" s="16"/>
      <c r="N1189" s="79"/>
      <c r="O1189" s="616"/>
    </row>
    <row r="1190" spans="1:15" ht="15.5" x14ac:dyDescent="0.35">
      <c r="A1190" s="616"/>
      <c r="B1190" s="95"/>
      <c r="C1190" s="89"/>
      <c r="D1190" s="89"/>
      <c r="E1190" s="89"/>
      <c r="F1190" s="37"/>
      <c r="G1190" s="37"/>
      <c r="H1190" s="37"/>
      <c r="I1190" s="37"/>
      <c r="J1190" s="95" t="s">
        <v>279</v>
      </c>
      <c r="K1190" s="699"/>
      <c r="L1190" s="55">
        <f>SUM(L1188:L1189)</f>
        <v>0</v>
      </c>
      <c r="M1190" s="633"/>
      <c r="N1190" s="634"/>
      <c r="O1190" s="616"/>
    </row>
    <row r="1191" spans="1:15" ht="15.5" x14ac:dyDescent="0.35">
      <c r="A1191" s="616"/>
      <c r="B1191" s="102"/>
      <c r="C1191" s="91"/>
      <c r="D1191" s="726"/>
      <c r="E1191" s="91"/>
      <c r="F1191" s="47"/>
      <c r="G1191" s="48"/>
      <c r="H1191" s="48"/>
      <c r="I1191" s="36"/>
      <c r="J1191" s="96"/>
      <c r="K1191" s="706"/>
      <c r="L1191" s="43"/>
      <c r="M1191" s="43"/>
      <c r="N1191" s="85"/>
      <c r="O1191" s="12"/>
    </row>
    <row r="1192" spans="1:15" ht="15.5" x14ac:dyDescent="0.35">
      <c r="A1192" s="636"/>
      <c r="B1192" s="647" t="s">
        <v>1110</v>
      </c>
      <c r="C1192" s="648"/>
      <c r="D1192" s="648"/>
      <c r="E1192" s="648"/>
      <c r="F1192" s="648"/>
      <c r="G1192" s="648"/>
      <c r="H1192" s="648"/>
      <c r="I1192" s="648"/>
      <c r="J1192" s="50"/>
      <c r="K1192" s="710"/>
      <c r="L1192" s="51"/>
      <c r="M1192" s="51"/>
      <c r="N1192" s="649"/>
      <c r="O1192" s="12"/>
    </row>
    <row r="1193" spans="1:15" ht="15.75" customHeight="1" x14ac:dyDescent="0.35">
      <c r="A1193" s="616">
        <v>2</v>
      </c>
      <c r="B1193" s="100" t="s">
        <v>3136</v>
      </c>
      <c r="C1193" s="52">
        <v>33</v>
      </c>
      <c r="D1193" s="1774" t="s">
        <v>326</v>
      </c>
      <c r="E1193" s="52" t="s">
        <v>3137</v>
      </c>
      <c r="F1193" s="4">
        <v>1</v>
      </c>
      <c r="G1193" s="21">
        <v>543519.6</v>
      </c>
      <c r="H1193" s="21">
        <v>585629.5</v>
      </c>
      <c r="I1193" s="21">
        <f>H1193-G1193</f>
        <v>42109.900000000023</v>
      </c>
      <c r="J1193" s="31">
        <v>180</v>
      </c>
      <c r="K1193" s="707"/>
      <c r="L1193" s="22">
        <f>F1193*I1193*J1193</f>
        <v>7579782.0000000037</v>
      </c>
      <c r="M1193" s="22"/>
      <c r="N1193" s="83"/>
      <c r="O1193" s="12" t="s">
        <v>3138</v>
      </c>
    </row>
    <row r="1194" spans="1:15" ht="30" x14ac:dyDescent="0.35">
      <c r="A1194" s="616">
        <v>3</v>
      </c>
      <c r="B1194" s="100" t="s">
        <v>3139</v>
      </c>
      <c r="C1194" s="52">
        <v>33</v>
      </c>
      <c r="D1194" s="1776" t="s">
        <v>326</v>
      </c>
      <c r="E1194" s="52" t="s">
        <v>3140</v>
      </c>
      <c r="F1194" s="4">
        <v>1</v>
      </c>
      <c r="G1194" s="21">
        <v>161319.70000000001</v>
      </c>
      <c r="H1194" s="21">
        <v>208764.79999999999</v>
      </c>
      <c r="I1194" s="21">
        <f>H1194-G1194</f>
        <v>47445.099999999977</v>
      </c>
      <c r="J1194" s="31">
        <v>180</v>
      </c>
      <c r="K1194" s="707"/>
      <c r="L1194" s="22">
        <f>F1194*I1194*J1194</f>
        <v>8540117.9999999963</v>
      </c>
      <c r="M1194" s="22"/>
      <c r="N1194" s="83"/>
      <c r="O1194" s="12" t="e">
        <f>(K1191-L1217)/K1191*100</f>
        <v>#DIV/0!</v>
      </c>
    </row>
    <row r="1195" spans="1:15" ht="15" x14ac:dyDescent="0.35">
      <c r="A1195" s="636"/>
      <c r="B1195" s="96"/>
      <c r="C1195" s="90"/>
      <c r="D1195" s="90"/>
      <c r="E1195" s="90"/>
      <c r="F1195" s="38"/>
      <c r="G1195" s="38"/>
      <c r="H1195" s="38"/>
      <c r="I1195" s="38"/>
      <c r="J1195" s="96" t="s">
        <v>30</v>
      </c>
      <c r="K1195" s="708"/>
      <c r="L1195" s="43">
        <f>SUM(L1193:L1194)</f>
        <v>16119900</v>
      </c>
      <c r="M1195" s="43">
        <f>SUM(M1193:M1194)</f>
        <v>0</v>
      </c>
      <c r="N1195" s="650">
        <f>(M1195-L1195)/L1195*100</f>
        <v>-100</v>
      </c>
      <c r="O1195" s="12"/>
    </row>
    <row r="1196" spans="1:15" ht="15.5" thickBot="1" x14ac:dyDescent="0.4">
      <c r="A1196" s="702"/>
      <c r="B1196" s="736"/>
      <c r="C1196" s="92"/>
      <c r="D1196" s="92"/>
      <c r="E1196" s="92"/>
      <c r="F1196" s="737"/>
      <c r="G1196" s="737"/>
      <c r="H1196" s="737"/>
      <c r="I1196" s="737"/>
      <c r="J1196" s="736"/>
      <c r="K1196" s="738"/>
      <c r="L1196" s="739"/>
      <c r="M1196" s="739"/>
      <c r="N1196" s="646"/>
      <c r="O1196" s="740"/>
    </row>
    <row r="1197" spans="1:15" ht="15" x14ac:dyDescent="0.35">
      <c r="A1197" s="702"/>
      <c r="B1197" s="2142" t="s">
        <v>1090</v>
      </c>
      <c r="C1197" s="2143"/>
      <c r="D1197" s="683" t="s">
        <v>14</v>
      </c>
      <c r="F1197" s="2144" t="s">
        <v>1091</v>
      </c>
      <c r="G1197" s="2145"/>
      <c r="H1197" s="2146"/>
      <c r="I1197" s="683" t="s">
        <v>14</v>
      </c>
      <c r="J1197" s="620"/>
      <c r="K1197" s="2147" t="s">
        <v>1092</v>
      </c>
      <c r="L1197" s="2148"/>
      <c r="M1197" s="684" t="s">
        <v>14</v>
      </c>
      <c r="N1197" s="646"/>
      <c r="O1197" s="740"/>
    </row>
    <row r="1198" spans="1:15" ht="15" x14ac:dyDescent="0.35">
      <c r="A1198" s="702"/>
      <c r="B1198" s="2122" t="str">
        <f>B1179</f>
        <v>MOGBAZAR 33 KV SIDE</v>
      </c>
      <c r="C1198" s="2123"/>
      <c r="D1198" s="689">
        <f>K1182</f>
        <v>15751200.000000026</v>
      </c>
      <c r="F1198" s="2124" t="s">
        <v>1093</v>
      </c>
      <c r="G1198" s="2125"/>
      <c r="H1198" s="2126"/>
      <c r="I1198" s="685">
        <f>L1190</f>
        <v>0</v>
      </c>
      <c r="J1198" s="620"/>
      <c r="K1198" s="2160" t="str">
        <f>F1199</f>
        <v>MOGBAZAR T&amp;T 33 KV NET IMPORT</v>
      </c>
      <c r="L1198" s="2161"/>
      <c r="M1198" s="687">
        <f>I1199</f>
        <v>15751200.000000026</v>
      </c>
      <c r="N1198" s="646"/>
      <c r="O1198" s="740"/>
    </row>
    <row r="1199" spans="1:15" ht="15" x14ac:dyDescent="0.35">
      <c r="A1199" s="702"/>
      <c r="B1199" s="2122" t="s">
        <v>1116</v>
      </c>
      <c r="C1199" s="2123"/>
      <c r="D1199" s="741"/>
      <c r="F1199" s="2124" t="s">
        <v>1119</v>
      </c>
      <c r="G1199" s="2125"/>
      <c r="H1199" s="2126"/>
      <c r="I1199" s="685">
        <f>D1202-I1198</f>
        <v>15751200.000000026</v>
      </c>
      <c r="J1199" s="620"/>
      <c r="K1199" s="2162" t="s">
        <v>1120</v>
      </c>
      <c r="L1199" s="2163"/>
      <c r="M1199" s="685">
        <f>M1231</f>
        <v>0</v>
      </c>
      <c r="N1199" s="646"/>
      <c r="O1199" s="740"/>
    </row>
    <row r="1200" spans="1:15" ht="15" x14ac:dyDescent="0.35">
      <c r="A1200" s="702"/>
      <c r="B1200" s="2122" t="s">
        <v>1117</v>
      </c>
      <c r="C1200" s="2123"/>
      <c r="D1200" s="721"/>
      <c r="F1200" s="2124" t="s">
        <v>1089</v>
      </c>
      <c r="G1200" s="2125"/>
      <c r="H1200" s="2126"/>
      <c r="I1200" s="685">
        <f>I1198+I1199</f>
        <v>15751200.000000026</v>
      </c>
      <c r="J1200" s="620"/>
      <c r="K1200" s="2127" t="s">
        <v>284</v>
      </c>
      <c r="L1200" s="2128"/>
      <c r="M1200" s="685">
        <f>M1198-M1199</f>
        <v>15751200.000000026</v>
      </c>
      <c r="N1200" s="646"/>
      <c r="O1200" s="740"/>
    </row>
    <row r="1201" spans="1:15" ht="16" thickBot="1" x14ac:dyDescent="0.4">
      <c r="A1201" s="702"/>
      <c r="B1201" s="2122" t="s">
        <v>1118</v>
      </c>
      <c r="C1201" s="2123"/>
      <c r="D1201" s="722"/>
      <c r="F1201" s="2113" t="s">
        <v>1102</v>
      </c>
      <c r="G1201" s="2114"/>
      <c r="H1201" s="2115"/>
      <c r="I1201" s="690">
        <f>(D1202-I1200)/I1200</f>
        <v>0</v>
      </c>
      <c r="J1201" s="620"/>
      <c r="K1201" s="2134" t="s">
        <v>285</v>
      </c>
      <c r="L1201" s="2135"/>
      <c r="M1201" s="688">
        <f>M1200/M1198</f>
        <v>1</v>
      </c>
      <c r="N1201" s="646"/>
      <c r="O1201" s="740"/>
    </row>
    <row r="1202" spans="1:15" ht="15.5" thickBot="1" x14ac:dyDescent="0.4">
      <c r="A1202" s="702"/>
      <c r="B1202" s="2158" t="s">
        <v>1082</v>
      </c>
      <c r="C1202" s="2159"/>
      <c r="D1202" s="686">
        <f>SUM(D1198:D1200)</f>
        <v>15751200.000000026</v>
      </c>
      <c r="F1202" s="620"/>
      <c r="G1202" s="620"/>
      <c r="H1202" s="620"/>
      <c r="I1202" s="620"/>
      <c r="J1202" s="620"/>
      <c r="K1202" s="702"/>
      <c r="L1202" s="620"/>
      <c r="M1202" s="620"/>
      <c r="N1202" s="646"/>
      <c r="O1202" s="740"/>
    </row>
    <row r="1203" spans="1:15" ht="15" x14ac:dyDescent="0.35">
      <c r="A1203" s="702"/>
      <c r="B1203" s="736"/>
      <c r="C1203" s="92"/>
      <c r="D1203" s="92"/>
      <c r="E1203" s="92"/>
      <c r="F1203" s="737"/>
      <c r="G1203" s="737"/>
      <c r="H1203" s="737"/>
      <c r="I1203" s="737"/>
      <c r="J1203" s="736"/>
      <c r="K1203" s="738"/>
      <c r="L1203" s="739"/>
      <c r="M1203" s="739"/>
      <c r="N1203" s="646"/>
      <c r="O1203" s="740"/>
    </row>
    <row r="1204" spans="1:15" x14ac:dyDescent="0.35">
      <c r="A1204" s="620"/>
      <c r="B1204" s="632"/>
      <c r="C1204" s="620"/>
      <c r="D1204" s="728"/>
      <c r="E1204" s="620"/>
      <c r="F1204" s="620"/>
      <c r="G1204" s="620"/>
      <c r="H1204" s="620"/>
      <c r="I1204" s="620"/>
      <c r="J1204" s="620"/>
      <c r="K1204" s="702"/>
      <c r="L1204" s="620"/>
      <c r="M1204" s="620"/>
      <c r="N1204" s="620"/>
      <c r="O1204" s="620"/>
    </row>
    <row r="1205" spans="1:15" x14ac:dyDescent="0.35">
      <c r="A1205" s="620"/>
      <c r="B1205" s="632"/>
      <c r="C1205" s="620"/>
      <c r="D1205" s="728"/>
      <c r="E1205" s="620"/>
      <c r="F1205" s="620"/>
      <c r="G1205" s="620"/>
      <c r="H1205" s="620"/>
      <c r="I1205" s="620"/>
      <c r="J1205" s="620"/>
      <c r="K1205" s="702"/>
      <c r="L1205" s="620"/>
      <c r="M1205" s="620"/>
      <c r="N1205" s="620"/>
      <c r="O1205" s="620"/>
    </row>
    <row r="1206" spans="1:15" ht="25" x14ac:dyDescent="0.35">
      <c r="A1206" s="2095" t="s">
        <v>1322</v>
      </c>
      <c r="B1206" s="2095"/>
      <c r="C1206" s="2095"/>
      <c r="D1206" s="2095"/>
      <c r="E1206" s="2095"/>
      <c r="F1206" s="2095"/>
      <c r="G1206" s="2095"/>
      <c r="H1206" s="2095"/>
      <c r="I1206" s="2095"/>
      <c r="J1206" s="2095"/>
      <c r="K1206" s="2095"/>
      <c r="L1206" s="2095"/>
      <c r="M1206" s="2095"/>
      <c r="N1206" s="2095"/>
      <c r="O1206" s="756" t="e">
        <f>$O$6</f>
        <v>#REF!</v>
      </c>
    </row>
    <row r="1207" spans="1:15" ht="15.5" x14ac:dyDescent="0.35">
      <c r="A1207" s="2096" t="s">
        <v>0</v>
      </c>
      <c r="B1207" s="2098" t="s">
        <v>1</v>
      </c>
      <c r="C1207" s="2100" t="s">
        <v>2</v>
      </c>
      <c r="D1207" s="2101"/>
      <c r="E1207" s="2102"/>
      <c r="F1207" s="2103" t="s">
        <v>3</v>
      </c>
      <c r="G1207" s="2100" t="s">
        <v>4</v>
      </c>
      <c r="H1207" s="2102"/>
      <c r="I1207" s="2085"/>
      <c r="J1207" s="2103" t="s">
        <v>5</v>
      </c>
      <c r="K1207" s="2100" t="s">
        <v>6</v>
      </c>
      <c r="L1207" s="2085"/>
      <c r="M1207" s="97" t="s">
        <v>32</v>
      </c>
      <c r="N1207" s="98"/>
      <c r="O1207" s="2084" t="s">
        <v>7</v>
      </c>
    </row>
    <row r="1208" spans="1:15" ht="15.5" x14ac:dyDescent="0.35">
      <c r="A1208" s="2097"/>
      <c r="B1208" s="2099"/>
      <c r="C1208" s="2086" t="s">
        <v>1108</v>
      </c>
      <c r="D1208" s="2087"/>
      <c r="E1208" s="87" t="s">
        <v>9</v>
      </c>
      <c r="F1208" s="2097"/>
      <c r="G1208" s="2">
        <f>'NORTH-1'!$G$8</f>
        <v>44774</v>
      </c>
      <c r="H1208" s="2">
        <f>'NORTH-1'!$H$8</f>
        <v>44805</v>
      </c>
      <c r="I1208" s="1" t="s">
        <v>10</v>
      </c>
      <c r="J1208" s="2097"/>
      <c r="K1208" s="1" t="s">
        <v>11</v>
      </c>
      <c r="L1208" s="1" t="s">
        <v>12</v>
      </c>
      <c r="M1208" s="617" t="s">
        <v>33</v>
      </c>
      <c r="N1208" s="76" t="s">
        <v>47</v>
      </c>
      <c r="O1208" s="2085"/>
    </row>
    <row r="1209" spans="1:15" ht="15.5" x14ac:dyDescent="0.35">
      <c r="A1209" s="3">
        <v>1</v>
      </c>
      <c r="B1209" s="88">
        <v>2</v>
      </c>
      <c r="C1209" s="2088">
        <v>4</v>
      </c>
      <c r="D1209" s="2089"/>
      <c r="E1209" s="88">
        <v>5</v>
      </c>
      <c r="F1209" s="3">
        <v>7</v>
      </c>
      <c r="G1209" s="3">
        <v>8</v>
      </c>
      <c r="H1209" s="3">
        <v>9</v>
      </c>
      <c r="I1209" s="3" t="s">
        <v>13</v>
      </c>
      <c r="J1209" s="3">
        <v>11</v>
      </c>
      <c r="K1209" s="3" t="s">
        <v>19</v>
      </c>
      <c r="L1209" s="3" t="s">
        <v>20</v>
      </c>
      <c r="M1209" s="3">
        <v>14</v>
      </c>
      <c r="N1209" s="77">
        <v>15</v>
      </c>
      <c r="O1209" s="3">
        <v>16</v>
      </c>
    </row>
    <row r="1210" spans="1:15" ht="15.5" x14ac:dyDescent="0.35">
      <c r="A1210" s="631"/>
      <c r="B1210" s="624" t="s">
        <v>1121</v>
      </c>
      <c r="C1210" s="625"/>
      <c r="D1210" s="625"/>
      <c r="E1210" s="625"/>
      <c r="F1210" s="625"/>
      <c r="G1210" s="625"/>
      <c r="H1210" s="625"/>
      <c r="I1210" s="625"/>
      <c r="J1210" s="625"/>
      <c r="K1210" s="695"/>
      <c r="L1210" s="625"/>
      <c r="M1210" s="626"/>
      <c r="N1210" s="627"/>
      <c r="O1210" s="616"/>
    </row>
    <row r="1211" spans="1:15" ht="15.5" x14ac:dyDescent="0.35">
      <c r="A1211" s="631">
        <v>10</v>
      </c>
      <c r="B1211" s="100" t="s">
        <v>2858</v>
      </c>
      <c r="C1211" s="52">
        <v>11</v>
      </c>
      <c r="D1211" s="1770"/>
      <c r="E1211" s="52" t="s">
        <v>3141</v>
      </c>
      <c r="F1211" s="4">
        <v>1.1000000000000001</v>
      </c>
      <c r="G1211" s="21">
        <v>701003.6</v>
      </c>
      <c r="H1211" s="21">
        <v>740666.3</v>
      </c>
      <c r="I1211" s="21">
        <f>H1211-G1211</f>
        <v>39662.70000000007</v>
      </c>
      <c r="J1211" s="616">
        <v>180</v>
      </c>
      <c r="K1211" s="696">
        <f>F1211*I1211*J1211</f>
        <v>7853214.6000000145</v>
      </c>
      <c r="L1211" s="22"/>
      <c r="M1211" s="22"/>
      <c r="N1211" s="82"/>
      <c r="O1211" s="616">
        <f>SUM(L1201:L1210)</f>
        <v>0</v>
      </c>
    </row>
    <row r="1212" spans="1:15" ht="15.5" x14ac:dyDescent="0.35">
      <c r="A1212" s="631">
        <v>11</v>
      </c>
      <c r="B1212" s="100" t="s">
        <v>2947</v>
      </c>
      <c r="C1212" s="52">
        <v>11</v>
      </c>
      <c r="D1212" s="1772"/>
      <c r="E1212" s="52" t="s">
        <v>3142</v>
      </c>
      <c r="F1212" s="4">
        <v>1</v>
      </c>
      <c r="G1212" s="21">
        <v>288207.7</v>
      </c>
      <c r="H1212" s="21">
        <v>335238.7</v>
      </c>
      <c r="I1212" s="21">
        <f>H1212-G1212</f>
        <v>47031</v>
      </c>
      <c r="J1212" s="616">
        <v>180</v>
      </c>
      <c r="K1212" s="696">
        <f>F1212*I1212*J1212</f>
        <v>8465580</v>
      </c>
      <c r="L1212" s="22"/>
      <c r="M1212" s="22"/>
      <c r="N1212" s="82"/>
      <c r="O1212" s="616"/>
    </row>
    <row r="1213" spans="1:15" ht="15.5" x14ac:dyDescent="0.35">
      <c r="A1213" s="631"/>
      <c r="B1213" s="102"/>
      <c r="C1213" s="91"/>
      <c r="D1213" s="726"/>
      <c r="E1213" s="91"/>
      <c r="F1213" s="47"/>
      <c r="G1213" s="48"/>
      <c r="H1213" s="48"/>
      <c r="I1213" s="48"/>
      <c r="J1213" s="39" t="s">
        <v>30</v>
      </c>
      <c r="K1213" s="708">
        <f>SUM(K1211:K1212)</f>
        <v>16318794.600000015</v>
      </c>
      <c r="L1213" s="49"/>
      <c r="M1213" s="43">
        <f>SUM(M1211:M1212)</f>
        <v>0</v>
      </c>
      <c r="N1213" s="85"/>
      <c r="O1213" s="616"/>
    </row>
    <row r="1214" spans="1:15" ht="15.5" x14ac:dyDescent="0.35">
      <c r="A1214" s="631"/>
      <c r="B1214" s="647" t="s">
        <v>1121</v>
      </c>
      <c r="C1214" s="648"/>
      <c r="D1214" s="648"/>
      <c r="E1214" s="648"/>
      <c r="F1214" s="648"/>
      <c r="G1214" s="648"/>
      <c r="H1214" s="648"/>
      <c r="I1214" s="648"/>
      <c r="J1214" s="50"/>
      <c r="K1214" s="710"/>
      <c r="L1214" s="51"/>
      <c r="M1214" s="51"/>
      <c r="N1214" s="649"/>
      <c r="O1214" s="616"/>
    </row>
    <row r="1215" spans="1:15" ht="15.75" customHeight="1" x14ac:dyDescent="0.35">
      <c r="A1215" s="631">
        <v>1</v>
      </c>
      <c r="B1215" s="100" t="s">
        <v>3143</v>
      </c>
      <c r="C1215" s="73">
        <v>11</v>
      </c>
      <c r="D1215" s="1781" t="s">
        <v>2980</v>
      </c>
      <c r="E1215" s="52" t="s">
        <v>3144</v>
      </c>
      <c r="F1215" s="32">
        <v>1</v>
      </c>
      <c r="G1215" s="6">
        <v>23406710</v>
      </c>
      <c r="H1215" s="6">
        <v>24768364</v>
      </c>
      <c r="I1215" s="20">
        <f t="shared" ref="I1215:I1230" si="40">H1215-G1215</f>
        <v>1361654</v>
      </c>
      <c r="J1215" s="616">
        <v>1</v>
      </c>
      <c r="K1215" s="703"/>
      <c r="L1215" s="22">
        <f>F1215*I1215*J1215</f>
        <v>1361654</v>
      </c>
      <c r="M1215" s="22"/>
      <c r="N1215" s="72" t="s">
        <v>100</v>
      </c>
      <c r="O1215" s="15"/>
    </row>
    <row r="1216" spans="1:15" ht="15.5" x14ac:dyDescent="0.35">
      <c r="A1216" s="631">
        <v>2</v>
      </c>
      <c r="B1216" s="100" t="s">
        <v>3145</v>
      </c>
      <c r="C1216" s="73">
        <v>11</v>
      </c>
      <c r="D1216" s="1782" t="s">
        <v>99</v>
      </c>
      <c r="E1216" s="52" t="s">
        <v>3146</v>
      </c>
      <c r="F1216" s="32">
        <v>1</v>
      </c>
      <c r="G1216" s="6">
        <v>16054301</v>
      </c>
      <c r="H1216" s="6">
        <v>16569008</v>
      </c>
      <c r="I1216" s="20">
        <f t="shared" si="40"/>
        <v>514707</v>
      </c>
      <c r="J1216" s="616">
        <v>1</v>
      </c>
      <c r="K1216" s="703"/>
      <c r="L1216" s="22">
        <f>F1216*I1216*J1216</f>
        <v>514707</v>
      </c>
      <c r="M1216" s="22"/>
      <c r="N1216" s="72" t="s">
        <v>99</v>
      </c>
      <c r="O1216" s="15"/>
    </row>
    <row r="1217" spans="1:15" ht="15.75" customHeight="1" x14ac:dyDescent="0.35">
      <c r="A1217" s="631">
        <v>3</v>
      </c>
      <c r="B1217" s="100" t="s">
        <v>3147</v>
      </c>
      <c r="C1217" s="73">
        <v>11</v>
      </c>
      <c r="D1217" s="1782" t="s">
        <v>2980</v>
      </c>
      <c r="E1217" s="52" t="s">
        <v>3148</v>
      </c>
      <c r="F1217" s="32">
        <v>1</v>
      </c>
      <c r="G1217" s="6">
        <v>24410033</v>
      </c>
      <c r="H1217" s="6">
        <v>24410033</v>
      </c>
      <c r="I1217" s="20">
        <f t="shared" si="40"/>
        <v>0</v>
      </c>
      <c r="J1217" s="616">
        <v>1</v>
      </c>
      <c r="K1217" s="703"/>
      <c r="L1217" s="22">
        <f>F1217*I1217*J1217</f>
        <v>0</v>
      </c>
      <c r="M1217" s="22"/>
      <c r="N1217" s="72" t="s">
        <v>100</v>
      </c>
      <c r="O1217" s="15"/>
    </row>
    <row r="1218" spans="1:15" ht="15" customHeight="1" x14ac:dyDescent="0.35">
      <c r="A1218" s="631">
        <v>4</v>
      </c>
      <c r="B1218" s="100" t="s">
        <v>3149</v>
      </c>
      <c r="C1218" s="73">
        <v>11</v>
      </c>
      <c r="D1218" s="1782" t="s">
        <v>339</v>
      </c>
      <c r="E1218" s="52" t="s">
        <v>3150</v>
      </c>
      <c r="F1218" s="32">
        <v>1</v>
      </c>
      <c r="G1218" s="6">
        <v>9697.2000000000007</v>
      </c>
      <c r="H1218" s="6">
        <v>9697.2000000000007</v>
      </c>
      <c r="I1218" s="20">
        <f t="shared" si="40"/>
        <v>0</v>
      </c>
      <c r="J1218" s="616">
        <v>60</v>
      </c>
      <c r="K1218" s="703">
        <f>F1218*I1218*J1218</f>
        <v>0</v>
      </c>
      <c r="L1218" s="22"/>
      <c r="M1218" s="22"/>
      <c r="N1218" s="72" t="s">
        <v>99</v>
      </c>
      <c r="O1218" s="15"/>
    </row>
    <row r="1219" spans="1:15" ht="15.5" x14ac:dyDescent="0.35">
      <c r="A1219" s="631">
        <v>5</v>
      </c>
      <c r="B1219" s="100" t="s">
        <v>3151</v>
      </c>
      <c r="C1219" s="73">
        <v>11</v>
      </c>
      <c r="D1219" s="1782" t="s">
        <v>99</v>
      </c>
      <c r="E1219" s="52" t="s">
        <v>3152</v>
      </c>
      <c r="F1219" s="32">
        <v>1</v>
      </c>
      <c r="G1219" s="6">
        <v>192268.7</v>
      </c>
      <c r="H1219" s="6">
        <v>222211.5</v>
      </c>
      <c r="I1219" s="20">
        <f t="shared" si="40"/>
        <v>29942.799999999988</v>
      </c>
      <c r="J1219" s="616">
        <v>60</v>
      </c>
      <c r="K1219" s="703"/>
      <c r="L1219" s="22">
        <f t="shared" ref="L1219:L1230" si="41">F1219*I1219*J1219</f>
        <v>1796567.9999999993</v>
      </c>
      <c r="M1219" s="22"/>
      <c r="N1219" s="72" t="s">
        <v>99</v>
      </c>
      <c r="O1219" s="15"/>
    </row>
    <row r="1220" spans="1:15" ht="15.5" x14ac:dyDescent="0.35">
      <c r="A1220" s="631">
        <v>6</v>
      </c>
      <c r="B1220" s="100" t="s">
        <v>3153</v>
      </c>
      <c r="C1220" s="73">
        <v>11</v>
      </c>
      <c r="D1220" s="1782" t="s">
        <v>99</v>
      </c>
      <c r="E1220" s="52" t="s">
        <v>3154</v>
      </c>
      <c r="F1220" s="32">
        <v>1</v>
      </c>
      <c r="G1220" s="6">
        <v>411635.8</v>
      </c>
      <c r="H1220" s="6">
        <v>434805</v>
      </c>
      <c r="I1220" s="20">
        <f t="shared" si="40"/>
        <v>23169.200000000012</v>
      </c>
      <c r="J1220" s="616">
        <v>60</v>
      </c>
      <c r="K1220" s="703"/>
      <c r="L1220" s="22">
        <f t="shared" si="41"/>
        <v>1390152.0000000007</v>
      </c>
      <c r="M1220" s="22"/>
      <c r="N1220" s="72" t="s">
        <v>99</v>
      </c>
      <c r="O1220" s="15"/>
    </row>
    <row r="1221" spans="1:15" ht="15.5" x14ac:dyDescent="0.35">
      <c r="A1221" s="631">
        <v>7</v>
      </c>
      <c r="B1221" s="100" t="s">
        <v>3155</v>
      </c>
      <c r="C1221" s="73">
        <v>11</v>
      </c>
      <c r="D1221" s="1782" t="s">
        <v>99</v>
      </c>
      <c r="E1221" s="52" t="s">
        <v>3156</v>
      </c>
      <c r="F1221" s="32">
        <v>1</v>
      </c>
      <c r="G1221" s="6">
        <v>437585.6</v>
      </c>
      <c r="H1221" s="6">
        <v>459882.8</v>
      </c>
      <c r="I1221" s="20">
        <f t="shared" si="40"/>
        <v>22297.200000000012</v>
      </c>
      <c r="J1221" s="616">
        <v>60</v>
      </c>
      <c r="K1221" s="703"/>
      <c r="L1221" s="22">
        <f t="shared" si="41"/>
        <v>1337832.0000000007</v>
      </c>
      <c r="M1221" s="22"/>
      <c r="N1221" s="72" t="s">
        <v>99</v>
      </c>
      <c r="O1221" s="15"/>
    </row>
    <row r="1222" spans="1:15" ht="15.75" customHeight="1" x14ac:dyDescent="0.35">
      <c r="A1222" s="631">
        <v>8</v>
      </c>
      <c r="B1222" s="100" t="s">
        <v>3157</v>
      </c>
      <c r="C1222" s="73">
        <v>11</v>
      </c>
      <c r="D1222" s="1782" t="s">
        <v>2980</v>
      </c>
      <c r="E1222" s="52" t="s">
        <v>3158</v>
      </c>
      <c r="F1222" s="32">
        <v>1</v>
      </c>
      <c r="G1222" s="6">
        <v>224532.7</v>
      </c>
      <c r="H1222" s="6">
        <v>239131.6</v>
      </c>
      <c r="I1222" s="20">
        <f t="shared" si="40"/>
        <v>14598.899999999994</v>
      </c>
      <c r="J1222" s="616">
        <v>60</v>
      </c>
      <c r="K1222" s="703"/>
      <c r="L1222" s="22">
        <f t="shared" si="41"/>
        <v>875933.99999999965</v>
      </c>
      <c r="M1222" s="22"/>
      <c r="N1222" s="72" t="s">
        <v>100</v>
      </c>
      <c r="O1222" s="15"/>
    </row>
    <row r="1223" spans="1:15" ht="15.5" x14ac:dyDescent="0.35">
      <c r="A1223" s="631">
        <v>9</v>
      </c>
      <c r="B1223" s="100" t="s">
        <v>3159</v>
      </c>
      <c r="C1223" s="73">
        <v>11</v>
      </c>
      <c r="D1223" s="1782" t="s">
        <v>99</v>
      </c>
      <c r="E1223" s="52" t="s">
        <v>3160</v>
      </c>
      <c r="F1223" s="32">
        <v>1</v>
      </c>
      <c r="G1223" s="6">
        <v>463097.9</v>
      </c>
      <c r="H1223" s="6">
        <v>478286.7</v>
      </c>
      <c r="I1223" s="20">
        <f t="shared" si="40"/>
        <v>15188.799999999988</v>
      </c>
      <c r="J1223" s="616">
        <v>60</v>
      </c>
      <c r="K1223" s="703"/>
      <c r="L1223" s="22">
        <f t="shared" si="41"/>
        <v>911327.9999999993</v>
      </c>
      <c r="M1223" s="22"/>
      <c r="N1223" s="72" t="s">
        <v>99</v>
      </c>
      <c r="O1223" s="15"/>
    </row>
    <row r="1224" spans="1:15" ht="15.5" x14ac:dyDescent="0.35">
      <c r="A1224" s="631">
        <v>12</v>
      </c>
      <c r="B1224" s="100" t="s">
        <v>3161</v>
      </c>
      <c r="C1224" s="73">
        <v>11</v>
      </c>
      <c r="D1224" s="1782" t="s">
        <v>99</v>
      </c>
      <c r="E1224" s="52" t="s">
        <v>3162</v>
      </c>
      <c r="F1224" s="32">
        <v>1</v>
      </c>
      <c r="G1224" s="6">
        <v>573972.69999999995</v>
      </c>
      <c r="H1224" s="6">
        <v>601227</v>
      </c>
      <c r="I1224" s="20">
        <f t="shared" si="40"/>
        <v>27254.300000000047</v>
      </c>
      <c r="J1224" s="616">
        <v>60</v>
      </c>
      <c r="K1224" s="703"/>
      <c r="L1224" s="22">
        <f t="shared" si="41"/>
        <v>1635258.0000000028</v>
      </c>
      <c r="M1224" s="22"/>
      <c r="N1224" s="72" t="s">
        <v>99</v>
      </c>
      <c r="O1224" s="15"/>
    </row>
    <row r="1225" spans="1:15" ht="15.75" customHeight="1" x14ac:dyDescent="0.35">
      <c r="A1225" s="631">
        <v>13</v>
      </c>
      <c r="B1225" s="100" t="s">
        <v>3163</v>
      </c>
      <c r="C1225" s="73">
        <v>11</v>
      </c>
      <c r="D1225" s="1782" t="s">
        <v>2980</v>
      </c>
      <c r="E1225" s="52" t="s">
        <v>3164</v>
      </c>
      <c r="F1225" s="32">
        <v>1</v>
      </c>
      <c r="G1225" s="6">
        <v>82792.800000000003</v>
      </c>
      <c r="H1225" s="6">
        <v>104084</v>
      </c>
      <c r="I1225" s="20">
        <f t="shared" si="40"/>
        <v>21291.199999999997</v>
      </c>
      <c r="J1225" s="616">
        <v>60</v>
      </c>
      <c r="K1225" s="703"/>
      <c r="L1225" s="22">
        <f t="shared" si="41"/>
        <v>1277471.9999999998</v>
      </c>
      <c r="M1225" s="22"/>
      <c r="N1225" s="72" t="s">
        <v>100</v>
      </c>
      <c r="O1225" s="15"/>
    </row>
    <row r="1226" spans="1:15" ht="15.5" x14ac:dyDescent="0.35">
      <c r="A1226" s="631">
        <v>14</v>
      </c>
      <c r="B1226" s="100" t="s">
        <v>3165</v>
      </c>
      <c r="C1226" s="73">
        <v>11</v>
      </c>
      <c r="D1226" s="1782" t="s">
        <v>99</v>
      </c>
      <c r="E1226" s="52" t="s">
        <v>3166</v>
      </c>
      <c r="F1226" s="32">
        <v>1</v>
      </c>
      <c r="G1226" s="6">
        <v>303897.59999999998</v>
      </c>
      <c r="H1226" s="6">
        <v>331760</v>
      </c>
      <c r="I1226" s="20">
        <f t="shared" si="40"/>
        <v>27862.400000000023</v>
      </c>
      <c r="J1226" s="616">
        <v>60</v>
      </c>
      <c r="K1226" s="703"/>
      <c r="L1226" s="22">
        <f t="shared" si="41"/>
        <v>1671744.0000000014</v>
      </c>
      <c r="M1226" s="22"/>
      <c r="N1226" s="72" t="s">
        <v>99</v>
      </c>
      <c r="O1226" s="15"/>
    </row>
    <row r="1227" spans="1:15" ht="15.5" x14ac:dyDescent="0.35">
      <c r="A1227" s="631">
        <v>15</v>
      </c>
      <c r="B1227" s="100" t="s">
        <v>3167</v>
      </c>
      <c r="C1227" s="73">
        <v>11</v>
      </c>
      <c r="D1227" s="1782" t="s">
        <v>99</v>
      </c>
      <c r="E1227" s="52" t="s">
        <v>3150</v>
      </c>
      <c r="F1227" s="32">
        <v>1</v>
      </c>
      <c r="G1227" s="6">
        <v>241900.5</v>
      </c>
      <c r="H1227" s="6">
        <v>268476</v>
      </c>
      <c r="I1227" s="20">
        <f t="shared" si="40"/>
        <v>26575.5</v>
      </c>
      <c r="J1227" s="616">
        <v>60</v>
      </c>
      <c r="K1227" s="703"/>
      <c r="L1227" s="22">
        <f t="shared" si="41"/>
        <v>1594530</v>
      </c>
      <c r="M1227" s="22"/>
      <c r="N1227" s="72" t="s">
        <v>99</v>
      </c>
      <c r="O1227" s="15"/>
    </row>
    <row r="1228" spans="1:15" ht="15.5" x14ac:dyDescent="0.35">
      <c r="A1228" s="631">
        <v>16</v>
      </c>
      <c r="B1228" s="100" t="s">
        <v>3168</v>
      </c>
      <c r="C1228" s="73">
        <v>11</v>
      </c>
      <c r="D1228" s="1782" t="s">
        <v>99</v>
      </c>
      <c r="E1228" s="52" t="s">
        <v>3169</v>
      </c>
      <c r="F1228" s="32">
        <v>1</v>
      </c>
      <c r="G1228" s="6">
        <v>758694.9</v>
      </c>
      <c r="H1228" s="6">
        <v>771581.8</v>
      </c>
      <c r="I1228" s="20">
        <f t="shared" si="40"/>
        <v>12886.900000000023</v>
      </c>
      <c r="J1228" s="616">
        <v>60</v>
      </c>
      <c r="K1228" s="703"/>
      <c r="L1228" s="22">
        <f t="shared" si="41"/>
        <v>773214.0000000014</v>
      </c>
      <c r="M1228" s="22"/>
      <c r="N1228" s="72" t="s">
        <v>99</v>
      </c>
      <c r="O1228" s="15"/>
    </row>
    <row r="1229" spans="1:15" ht="15.75" customHeight="1" x14ac:dyDescent="0.35">
      <c r="A1229" s="631">
        <v>17</v>
      </c>
      <c r="B1229" s="100" t="s">
        <v>3170</v>
      </c>
      <c r="C1229" s="73">
        <v>11</v>
      </c>
      <c r="D1229" s="1782" t="s">
        <v>2980</v>
      </c>
      <c r="E1229" s="52" t="s">
        <v>3171</v>
      </c>
      <c r="F1229" s="32">
        <v>1</v>
      </c>
      <c r="G1229" s="6">
        <v>774266.9</v>
      </c>
      <c r="H1229" s="6">
        <v>800130.2</v>
      </c>
      <c r="I1229" s="20">
        <f t="shared" si="40"/>
        <v>25863.29999999993</v>
      </c>
      <c r="J1229" s="616">
        <v>60</v>
      </c>
      <c r="K1229" s="703"/>
      <c r="L1229" s="22">
        <f t="shared" si="41"/>
        <v>1551797.9999999958</v>
      </c>
      <c r="M1229" s="22"/>
      <c r="N1229" s="72" t="s">
        <v>100</v>
      </c>
      <c r="O1229" s="15"/>
    </row>
    <row r="1230" spans="1:15" ht="15.5" x14ac:dyDescent="0.35">
      <c r="A1230" s="631">
        <v>18</v>
      </c>
      <c r="B1230" s="100" t="s">
        <v>3172</v>
      </c>
      <c r="C1230" s="73">
        <v>0.41499999999999998</v>
      </c>
      <c r="D1230" s="1783"/>
      <c r="E1230" s="52" t="s">
        <v>2048</v>
      </c>
      <c r="F1230" s="32">
        <v>1</v>
      </c>
      <c r="G1230" s="6">
        <v>583647</v>
      </c>
      <c r="H1230" s="6">
        <v>586056</v>
      </c>
      <c r="I1230" s="20">
        <f t="shared" si="40"/>
        <v>2409</v>
      </c>
      <c r="J1230" s="616">
        <v>1</v>
      </c>
      <c r="K1230" s="703"/>
      <c r="L1230" s="22">
        <f t="shared" si="41"/>
        <v>2409</v>
      </c>
      <c r="M1230" s="22"/>
      <c r="N1230" s="72" t="s">
        <v>100</v>
      </c>
      <c r="O1230" s="15"/>
    </row>
    <row r="1231" spans="1:15" ht="28" x14ac:dyDescent="0.35">
      <c r="A1231" s="636"/>
      <c r="B1231" s="96"/>
      <c r="C1231" s="90"/>
      <c r="D1231" s="90"/>
      <c r="E1231" s="90"/>
      <c r="F1231" s="38"/>
      <c r="G1231" s="38"/>
      <c r="H1231" s="38"/>
      <c r="I1231" s="38"/>
      <c r="J1231" s="53" t="s">
        <v>44</v>
      </c>
      <c r="K1231" s="43">
        <f>M1213</f>
        <v>0</v>
      </c>
      <c r="L1231" s="43">
        <f>SUM(L1215:L1230)</f>
        <v>16694600.000000004</v>
      </c>
      <c r="M1231" s="43">
        <f>SUM(M1215:M1230)</f>
        <v>0</v>
      </c>
      <c r="N1231" s="84">
        <f>(M1231-L1231)/L1231*100</f>
        <v>-100</v>
      </c>
      <c r="O1231" s="29"/>
    </row>
    <row r="1233" spans="1:15" ht="15" x14ac:dyDescent="0.35">
      <c r="A1233" s="620"/>
      <c r="B1233" s="635"/>
      <c r="C1233" s="632"/>
      <c r="D1233" s="720"/>
      <c r="F1233" s="2092" t="s">
        <v>1099</v>
      </c>
      <c r="G1233" s="2092"/>
      <c r="H1233" s="2092"/>
      <c r="I1233" s="677" t="s">
        <v>14</v>
      </c>
      <c r="J1233" s="620"/>
      <c r="K1233" s="702"/>
      <c r="L1233" s="620"/>
      <c r="M1233" s="620"/>
      <c r="N1233" s="632"/>
      <c r="O1233" s="620"/>
    </row>
    <row r="1234" spans="1:15" ht="15.5" x14ac:dyDescent="0.35">
      <c r="A1234" s="620"/>
      <c r="B1234" s="635"/>
      <c r="C1234" s="632"/>
      <c r="D1234" s="720"/>
      <c r="F1234" s="2153" t="s">
        <v>232</v>
      </c>
      <c r="G1234" s="2154"/>
      <c r="H1234" s="2155"/>
      <c r="I1234" s="643">
        <f>SUM(M1215:M1216,M1224)</f>
        <v>0</v>
      </c>
      <c r="J1234" s="620"/>
      <c r="K1234" s="702"/>
      <c r="L1234" s="620"/>
      <c r="M1234" s="620"/>
      <c r="N1234" s="632"/>
      <c r="O1234" s="620" t="s">
        <v>237</v>
      </c>
    </row>
    <row r="1235" spans="1:15" ht="15.5" x14ac:dyDescent="0.35">
      <c r="A1235" s="620"/>
      <c r="B1235" s="635"/>
      <c r="C1235" s="632"/>
      <c r="D1235" s="720"/>
      <c r="F1235" s="2153" t="s">
        <v>268</v>
      </c>
      <c r="G1235" s="2154"/>
      <c r="H1235" s="2155"/>
      <c r="I1235" s="643">
        <f>SUM(M1217:M1218,M1225,M1227,M1228,M1230)</f>
        <v>0</v>
      </c>
      <c r="J1235" s="620"/>
      <c r="K1235" s="702"/>
      <c r="L1235" s="620"/>
      <c r="M1235" s="620"/>
      <c r="N1235" s="632"/>
      <c r="O1235" s="620"/>
    </row>
    <row r="1236" spans="1:15" ht="16" thickBot="1" x14ac:dyDescent="0.4">
      <c r="A1236" s="620"/>
      <c r="B1236" s="635"/>
      <c r="C1236" s="632"/>
      <c r="D1236" s="720"/>
      <c r="F1236" s="2153" t="s">
        <v>269</v>
      </c>
      <c r="G1236" s="2154"/>
      <c r="H1236" s="2155"/>
      <c r="I1236" s="643">
        <f>SUM(M1226,M1229)</f>
        <v>0</v>
      </c>
      <c r="J1236" s="620"/>
      <c r="K1236" s="702"/>
      <c r="L1236" s="620"/>
      <c r="M1236" s="620"/>
      <c r="N1236" s="632"/>
      <c r="O1236" s="620"/>
    </row>
    <row r="1237" spans="1:15" ht="20.5" thickBot="1" x14ac:dyDescent="0.4">
      <c r="A1237" s="620"/>
      <c r="B1237" s="635"/>
      <c r="C1237" s="632"/>
      <c r="D1237" s="720"/>
      <c r="E1237" s="632"/>
      <c r="F1237" s="2156" t="s">
        <v>210</v>
      </c>
      <c r="G1237" s="2156"/>
      <c r="H1237" s="2156"/>
      <c r="I1237" s="656">
        <f>SUM(I1234:I1236)</f>
        <v>0</v>
      </c>
      <c r="J1237" s="682">
        <f>I1237-M1231</f>
        <v>0</v>
      </c>
      <c r="K1237" s="702"/>
      <c r="L1237" s="620"/>
      <c r="M1237" s="620"/>
      <c r="N1237" s="632"/>
      <c r="O1237" s="620"/>
    </row>
    <row r="1241" spans="1:15" x14ac:dyDescent="0.35">
      <c r="A1241" s="620"/>
      <c r="B1241" s="635"/>
      <c r="C1241" s="632"/>
      <c r="D1241" s="720"/>
      <c r="E1241" s="632"/>
      <c r="F1241" s="620"/>
      <c r="G1241" s="620"/>
      <c r="H1241" s="620"/>
      <c r="I1241" s="620"/>
      <c r="J1241" s="620"/>
      <c r="K1241" s="702"/>
      <c r="L1241" s="620"/>
      <c r="M1241" s="620"/>
      <c r="N1241" s="632"/>
      <c r="O1241" s="620"/>
    </row>
    <row r="1242" spans="1:15" x14ac:dyDescent="0.35">
      <c r="A1242" s="620"/>
      <c r="B1242" s="635"/>
      <c r="C1242" s="632"/>
      <c r="D1242" s="720"/>
      <c r="E1242" s="632"/>
      <c r="F1242" s="620"/>
      <c r="G1242" s="620"/>
      <c r="H1242" s="620"/>
      <c r="I1242" s="620"/>
      <c r="J1242" s="620"/>
      <c r="K1242" s="702"/>
      <c r="L1242" s="620"/>
      <c r="M1242" s="620"/>
      <c r="N1242" s="632"/>
      <c r="O1242" s="620"/>
    </row>
    <row r="1243" spans="1:15" x14ac:dyDescent="0.35">
      <c r="A1243" s="620"/>
      <c r="B1243" s="635"/>
      <c r="C1243" s="632"/>
      <c r="D1243" s="720"/>
      <c r="E1243" s="632"/>
      <c r="F1243" s="620"/>
      <c r="G1243" s="620"/>
      <c r="H1243" s="620"/>
      <c r="I1243" s="620"/>
      <c r="J1243" s="620"/>
      <c r="K1243" s="702"/>
      <c r="L1243" s="620"/>
      <c r="M1243" s="620"/>
      <c r="N1243" s="632"/>
      <c r="O1243" s="620"/>
    </row>
    <row r="1244" spans="1:15" x14ac:dyDescent="0.35">
      <c r="A1244" s="620"/>
      <c r="B1244" s="635"/>
      <c r="C1244" s="632"/>
      <c r="D1244" s="720"/>
      <c r="E1244" s="632"/>
      <c r="F1244" s="620"/>
      <c r="G1244" s="620"/>
      <c r="H1244" s="620"/>
      <c r="I1244" s="620"/>
      <c r="J1244" s="620"/>
      <c r="K1244" s="702"/>
      <c r="L1244" s="620"/>
      <c r="M1244" s="620"/>
      <c r="N1244" s="632"/>
      <c r="O1244" s="620"/>
    </row>
    <row r="1245" spans="1:15" x14ac:dyDescent="0.35">
      <c r="A1245" s="620"/>
      <c r="B1245" s="635"/>
      <c r="C1245" s="632"/>
      <c r="D1245" s="720"/>
      <c r="E1245" s="632"/>
      <c r="F1245" s="620"/>
      <c r="G1245" s="620"/>
      <c r="H1245" s="620"/>
      <c r="I1245" s="620"/>
      <c r="J1245" s="620"/>
      <c r="K1245" s="702"/>
      <c r="L1245" s="620"/>
      <c r="M1245" s="620"/>
      <c r="N1245" s="632"/>
      <c r="O1245" s="620"/>
    </row>
    <row r="1246" spans="1:15" x14ac:dyDescent="0.35">
      <c r="A1246" s="620"/>
      <c r="B1246" s="632"/>
      <c r="C1246" s="632"/>
      <c r="D1246" s="720"/>
      <c r="E1246" s="632"/>
      <c r="F1246" s="620"/>
      <c r="G1246" s="620"/>
      <c r="H1246" s="620"/>
      <c r="I1246" s="620"/>
      <c r="J1246" s="620"/>
      <c r="K1246" s="702"/>
      <c r="L1246" s="620"/>
      <c r="M1246" s="620"/>
      <c r="N1246" s="632"/>
      <c r="O1246" s="620"/>
    </row>
    <row r="1247" spans="1:15" x14ac:dyDescent="0.35">
      <c r="A1247" s="620"/>
      <c r="B1247" s="632"/>
      <c r="C1247" s="632"/>
      <c r="D1247" s="720"/>
      <c r="E1247" s="632"/>
      <c r="F1247" s="620"/>
      <c r="G1247" s="620"/>
      <c r="H1247" s="620"/>
      <c r="I1247" s="620"/>
      <c r="J1247" s="620"/>
      <c r="K1247" s="702"/>
      <c r="L1247" s="620"/>
      <c r="M1247" s="620"/>
      <c r="N1247" s="632"/>
      <c r="O1247" s="620"/>
    </row>
    <row r="1248" spans="1:15" x14ac:dyDescent="0.35">
      <c r="A1248" s="620"/>
      <c r="B1248" s="635"/>
      <c r="C1248" s="632"/>
      <c r="D1248" s="720"/>
      <c r="E1248" s="632"/>
      <c r="F1248" s="620"/>
      <c r="G1248" s="620"/>
      <c r="H1248" s="620"/>
      <c r="I1248" s="620"/>
      <c r="J1248" s="620"/>
      <c r="K1248" s="702"/>
      <c r="L1248" s="620"/>
      <c r="M1248" s="620"/>
      <c r="N1248" s="632"/>
      <c r="O1248" s="620"/>
    </row>
    <row r="1249" spans="1:15" x14ac:dyDescent="0.35">
      <c r="A1249" s="620"/>
      <c r="B1249" s="635"/>
      <c r="C1249" s="632"/>
      <c r="D1249" s="720"/>
      <c r="E1249" s="632"/>
      <c r="F1249" s="620"/>
      <c r="G1249" s="620"/>
      <c r="H1249" s="620"/>
      <c r="I1249" s="620"/>
      <c r="J1249" s="620"/>
      <c r="K1249" s="702"/>
      <c r="L1249" s="620"/>
      <c r="M1249" s="620"/>
      <c r="N1249" s="632"/>
      <c r="O1249" s="620"/>
    </row>
    <row r="1250" spans="1:15" x14ac:dyDescent="0.35">
      <c r="A1250" s="620"/>
      <c r="B1250" s="635"/>
      <c r="C1250" s="632"/>
      <c r="D1250" s="720"/>
      <c r="E1250" s="632"/>
      <c r="F1250" s="620"/>
      <c r="G1250" s="620"/>
      <c r="H1250" s="620"/>
      <c r="I1250" s="620"/>
      <c r="J1250" s="620"/>
      <c r="K1250" s="702"/>
      <c r="L1250" s="620"/>
      <c r="M1250" s="620"/>
      <c r="N1250" s="632"/>
      <c r="O1250" s="620"/>
    </row>
    <row r="1251" spans="1:15" ht="25" x14ac:dyDescent="0.35">
      <c r="A1251" s="28"/>
      <c r="B1251" s="2152"/>
      <c r="C1251" s="2152"/>
      <c r="D1251" s="2152"/>
      <c r="E1251" s="2152"/>
      <c r="F1251" s="2152"/>
      <c r="G1251" s="2152"/>
      <c r="H1251" s="2152"/>
      <c r="I1251" s="2152"/>
      <c r="J1251" s="2152"/>
      <c r="K1251" s="2152"/>
      <c r="L1251" s="2152"/>
      <c r="M1251" s="2152"/>
      <c r="N1251" s="632"/>
      <c r="O1251" s="620"/>
    </row>
    <row r="1252" spans="1:15" x14ac:dyDescent="0.35">
      <c r="A1252" s="620"/>
      <c r="B1252" s="635"/>
      <c r="C1252" s="632"/>
      <c r="D1252" s="720"/>
      <c r="E1252" s="632"/>
      <c r="F1252" s="620"/>
      <c r="G1252" s="620"/>
      <c r="H1252" s="620"/>
      <c r="I1252" s="620"/>
      <c r="J1252" s="620"/>
      <c r="K1252" s="702"/>
      <c r="L1252" s="620"/>
      <c r="M1252" s="620"/>
      <c r="N1252" s="632"/>
      <c r="O1252" s="620"/>
    </row>
    <row r="1253" spans="1:15" x14ac:dyDescent="0.35">
      <c r="A1253" s="620"/>
      <c r="B1253" s="635"/>
      <c r="C1253" s="632"/>
      <c r="D1253" s="720"/>
      <c r="E1253" s="632"/>
      <c r="F1253" s="620"/>
      <c r="G1253" s="620"/>
      <c r="H1253" s="620"/>
      <c r="I1253" s="620"/>
      <c r="J1253" s="620"/>
      <c r="K1253" s="702"/>
      <c r="L1253" s="620"/>
      <c r="M1253" s="620"/>
      <c r="N1253" s="632"/>
      <c r="O1253" s="620"/>
    </row>
    <row r="1254" spans="1:15" ht="25" x14ac:dyDescent="0.35">
      <c r="A1254" s="2095" t="s">
        <v>1323</v>
      </c>
      <c r="B1254" s="2095"/>
      <c r="C1254" s="2095"/>
      <c r="D1254" s="2095"/>
      <c r="E1254" s="2095"/>
      <c r="F1254" s="2095"/>
      <c r="G1254" s="2095"/>
      <c r="H1254" s="2095"/>
      <c r="I1254" s="2095"/>
      <c r="J1254" s="2095"/>
      <c r="K1254" s="2095"/>
      <c r="L1254" s="2095"/>
      <c r="M1254" s="2095"/>
      <c r="N1254" s="2095"/>
      <c r="O1254" s="756" t="e">
        <f>$O$6</f>
        <v>#REF!</v>
      </c>
    </row>
    <row r="1255" spans="1:15" ht="15.5" x14ac:dyDescent="0.35">
      <c r="A1255" s="2096" t="s">
        <v>0</v>
      </c>
      <c r="B1255" s="2098" t="s">
        <v>1</v>
      </c>
      <c r="C1255" s="2100" t="s">
        <v>2</v>
      </c>
      <c r="D1255" s="2101"/>
      <c r="E1255" s="2102"/>
      <c r="F1255" s="2103" t="s">
        <v>3</v>
      </c>
      <c r="G1255" s="2100" t="s">
        <v>4</v>
      </c>
      <c r="H1255" s="2102"/>
      <c r="I1255" s="2085"/>
      <c r="J1255" s="2103" t="s">
        <v>5</v>
      </c>
      <c r="K1255" s="2100" t="s">
        <v>6</v>
      </c>
      <c r="L1255" s="2085"/>
      <c r="M1255" s="97" t="s">
        <v>32</v>
      </c>
      <c r="N1255" s="98"/>
      <c r="O1255" s="2084" t="s">
        <v>7</v>
      </c>
    </row>
    <row r="1256" spans="1:15" ht="15.5" x14ac:dyDescent="0.35">
      <c r="A1256" s="2097"/>
      <c r="B1256" s="2099"/>
      <c r="C1256" s="2086" t="s">
        <v>1108</v>
      </c>
      <c r="D1256" s="2087"/>
      <c r="E1256" s="87" t="s">
        <v>9</v>
      </c>
      <c r="F1256" s="2097"/>
      <c r="G1256" s="2">
        <f>'NORTH-1'!$G$8</f>
        <v>44774</v>
      </c>
      <c r="H1256" s="2">
        <f>'NORTH-1'!$H$8</f>
        <v>44805</v>
      </c>
      <c r="I1256" s="1" t="s">
        <v>10</v>
      </c>
      <c r="J1256" s="2097"/>
      <c r="K1256" s="1" t="s">
        <v>11</v>
      </c>
      <c r="L1256" s="1" t="s">
        <v>12</v>
      </c>
      <c r="M1256" s="617" t="s">
        <v>33</v>
      </c>
      <c r="N1256" s="76" t="s">
        <v>47</v>
      </c>
      <c r="O1256" s="2085"/>
    </row>
    <row r="1257" spans="1:15" ht="15.5" x14ac:dyDescent="0.35">
      <c r="A1257" s="3">
        <v>1</v>
      </c>
      <c r="B1257" s="88">
        <v>2</v>
      </c>
      <c r="C1257" s="2088">
        <v>4</v>
      </c>
      <c r="D1257" s="2089"/>
      <c r="E1257" s="88">
        <v>5</v>
      </c>
      <c r="F1257" s="3">
        <v>7</v>
      </c>
      <c r="G1257" s="3">
        <v>8</v>
      </c>
      <c r="H1257" s="3">
        <v>9</v>
      </c>
      <c r="I1257" s="3" t="s">
        <v>13</v>
      </c>
      <c r="J1257" s="3">
        <v>11</v>
      </c>
      <c r="K1257" s="3" t="s">
        <v>19</v>
      </c>
      <c r="L1257" s="3" t="s">
        <v>20</v>
      </c>
      <c r="M1257" s="3">
        <v>14</v>
      </c>
      <c r="N1257" s="77">
        <v>15</v>
      </c>
      <c r="O1257" s="3">
        <v>16</v>
      </c>
    </row>
    <row r="1258" spans="1:15" ht="15.5" x14ac:dyDescent="0.35">
      <c r="A1258" s="631"/>
      <c r="B1258" s="624" t="s">
        <v>1100</v>
      </c>
      <c r="C1258" s="625"/>
      <c r="D1258" s="625"/>
      <c r="E1258" s="625"/>
      <c r="F1258" s="625"/>
      <c r="G1258" s="625"/>
      <c r="H1258" s="625"/>
      <c r="I1258" s="625"/>
      <c r="J1258" s="625"/>
      <c r="K1258" s="695"/>
      <c r="L1258" s="625"/>
      <c r="M1258" s="626"/>
      <c r="N1258" s="627"/>
      <c r="O1258" s="616"/>
    </row>
    <row r="1259" spans="1:15" ht="15.5" x14ac:dyDescent="0.35">
      <c r="A1259" s="11">
        <v>1</v>
      </c>
      <c r="B1259" s="100" t="s">
        <v>3173</v>
      </c>
      <c r="C1259" s="52">
        <v>33</v>
      </c>
      <c r="D1259" s="2105" t="s">
        <v>527</v>
      </c>
      <c r="E1259" s="52" t="s">
        <v>3041</v>
      </c>
      <c r="F1259" s="4">
        <v>1</v>
      </c>
      <c r="G1259" s="21">
        <v>1080.1300000000001</v>
      </c>
      <c r="H1259" s="21">
        <v>1097.8</v>
      </c>
      <c r="I1259" s="21">
        <f>H1259-G1259</f>
        <v>17.669999999999845</v>
      </c>
      <c r="J1259" s="616">
        <v>240000</v>
      </c>
      <c r="K1259" s="696">
        <f>F1259*I1259*J1259</f>
        <v>4240799.9999999627</v>
      </c>
      <c r="L1259" s="22"/>
      <c r="M1259" s="22"/>
      <c r="N1259" s="82"/>
      <c r="O1259" s="9"/>
    </row>
    <row r="1260" spans="1:15" ht="15.5" x14ac:dyDescent="0.35">
      <c r="A1260" s="631">
        <v>2</v>
      </c>
      <c r="B1260" s="100" t="s">
        <v>3174</v>
      </c>
      <c r="C1260" s="52">
        <v>33</v>
      </c>
      <c r="D1260" s="2151" t="s">
        <v>527</v>
      </c>
      <c r="E1260" s="52" t="s">
        <v>3043</v>
      </c>
      <c r="F1260" s="4">
        <v>1</v>
      </c>
      <c r="G1260" s="21">
        <v>932.83</v>
      </c>
      <c r="H1260" s="21">
        <v>953.79</v>
      </c>
      <c r="I1260" s="21">
        <f>H1260-G1260</f>
        <v>20.959999999999923</v>
      </c>
      <c r="J1260" s="616">
        <v>240000</v>
      </c>
      <c r="K1260" s="696">
        <f>F1260*I1260*J1260</f>
        <v>5030399.9999999814</v>
      </c>
      <c r="L1260" s="22"/>
      <c r="M1260" s="22"/>
      <c r="N1260" s="82"/>
      <c r="O1260" s="616"/>
    </row>
    <row r="1261" spans="1:15" ht="15.5" x14ac:dyDescent="0.35">
      <c r="A1261" s="631"/>
      <c r="B1261" s="102"/>
      <c r="C1261" s="91"/>
      <c r="D1261" s="726"/>
      <c r="E1261" s="91"/>
      <c r="F1261" s="47"/>
      <c r="G1261" s="48"/>
      <c r="H1261" s="48"/>
      <c r="I1261" s="48"/>
      <c r="J1261" s="96" t="s">
        <v>30</v>
      </c>
      <c r="K1261" s="43">
        <f>SUM(K1259:K1260)</f>
        <v>9271199.9999999441</v>
      </c>
      <c r="L1261" s="43">
        <f>SUM(L1259:L1260)</f>
        <v>0</v>
      </c>
      <c r="M1261" s="43">
        <f>SUM(M1259:M1260)</f>
        <v>0</v>
      </c>
      <c r="N1261" s="646" t="e">
        <f>(M1261-L1261)/L1261*100</f>
        <v>#DIV/0!</v>
      </c>
      <c r="O1261" s="616"/>
    </row>
    <row r="1262" spans="1:15" ht="15.5" x14ac:dyDescent="0.35">
      <c r="A1262" s="616"/>
      <c r="B1262" s="624" t="s">
        <v>1113</v>
      </c>
      <c r="C1262" s="625"/>
      <c r="D1262" s="625"/>
      <c r="E1262" s="625"/>
      <c r="F1262" s="625"/>
      <c r="G1262" s="625"/>
      <c r="H1262" s="625"/>
      <c r="I1262" s="625"/>
      <c r="J1262" s="732"/>
      <c r="K1262" s="733"/>
      <c r="L1262" s="734"/>
      <c r="M1262" s="734"/>
      <c r="N1262" s="627"/>
      <c r="O1262" s="12"/>
    </row>
    <row r="1263" spans="1:15" ht="15.5" x14ac:dyDescent="0.35">
      <c r="A1263" s="616">
        <v>3</v>
      </c>
      <c r="B1263" s="100" t="s">
        <v>3175</v>
      </c>
      <c r="C1263" s="52">
        <v>33</v>
      </c>
      <c r="D1263" s="2105" t="s">
        <v>339</v>
      </c>
      <c r="E1263" s="52" t="s">
        <v>3176</v>
      </c>
      <c r="F1263" s="4">
        <v>1</v>
      </c>
      <c r="G1263" s="21">
        <v>258996720</v>
      </c>
      <c r="H1263" s="21">
        <v>263253120</v>
      </c>
      <c r="I1263" s="20">
        <f>H1263-G1263</f>
        <v>4256400</v>
      </c>
      <c r="J1263" s="616">
        <v>1</v>
      </c>
      <c r="K1263" s="696">
        <f>F1263*I1263*J1263</f>
        <v>4256400</v>
      </c>
      <c r="L1263" s="22"/>
      <c r="M1263" s="22"/>
      <c r="N1263" s="82"/>
      <c r="O1263" s="12" t="s">
        <v>3177</v>
      </c>
    </row>
    <row r="1264" spans="1:15" ht="15.5" x14ac:dyDescent="0.35">
      <c r="A1264" s="616">
        <v>6</v>
      </c>
      <c r="B1264" s="100" t="s">
        <v>3178</v>
      </c>
      <c r="C1264" s="52">
        <v>33</v>
      </c>
      <c r="D1264" s="2106" t="s">
        <v>339</v>
      </c>
      <c r="E1264" s="52" t="s">
        <v>3179</v>
      </c>
      <c r="F1264" s="4">
        <v>1</v>
      </c>
      <c r="G1264" s="21">
        <v>244500240</v>
      </c>
      <c r="H1264" s="21">
        <v>249548640</v>
      </c>
      <c r="I1264" s="20">
        <f>H1264-G1264</f>
        <v>5048400</v>
      </c>
      <c r="J1264" s="616">
        <v>1</v>
      </c>
      <c r="K1264" s="696">
        <f>F1264*I1264*J1264</f>
        <v>5048400</v>
      </c>
      <c r="L1264" s="22"/>
      <c r="M1264" s="22"/>
      <c r="N1264" s="82"/>
      <c r="O1264" s="12"/>
    </row>
    <row r="1265" spans="1:15" ht="15.5" x14ac:dyDescent="0.35">
      <c r="A1265" s="616"/>
      <c r="B1265" s="102"/>
      <c r="C1265" s="91"/>
      <c r="D1265" s="726"/>
      <c r="E1265" s="91"/>
      <c r="F1265" s="47"/>
      <c r="G1265" s="48"/>
      <c r="H1265" s="48"/>
      <c r="I1265" s="36"/>
      <c r="J1265" s="96" t="s">
        <v>30</v>
      </c>
      <c r="K1265" s="43">
        <f>SUM(K1263:K1264)</f>
        <v>9304800</v>
      </c>
      <c r="L1265" s="43">
        <f>SUM(L1263:L1264)</f>
        <v>0</v>
      </c>
      <c r="M1265" s="43">
        <f>SUM(M1263:M1264)</f>
        <v>0</v>
      </c>
      <c r="N1265" s="85"/>
      <c r="O1265" s="12"/>
    </row>
    <row r="1266" spans="1:15" ht="15.5" x14ac:dyDescent="0.35">
      <c r="A1266" s="616"/>
      <c r="B1266" s="647" t="s">
        <v>1114</v>
      </c>
      <c r="C1266" s="648"/>
      <c r="D1266" s="648"/>
      <c r="E1266" s="648"/>
      <c r="F1266" s="648"/>
      <c r="G1266" s="648"/>
      <c r="H1266" s="648"/>
      <c r="I1266" s="648"/>
      <c r="J1266" s="648"/>
      <c r="K1266" s="700"/>
      <c r="L1266" s="648"/>
      <c r="M1266" s="651"/>
      <c r="N1266" s="649"/>
      <c r="O1266" s="8"/>
    </row>
    <row r="1267" spans="1:15" ht="15.5" x14ac:dyDescent="0.35">
      <c r="A1267" s="616"/>
      <c r="B1267" s="100" t="s">
        <v>1079</v>
      </c>
      <c r="C1267" s="52">
        <v>132</v>
      </c>
      <c r="D1267" s="2138" t="s">
        <v>1083</v>
      </c>
      <c r="E1267" s="615"/>
      <c r="F1267" s="4"/>
      <c r="G1267" s="5"/>
      <c r="H1267" s="5"/>
      <c r="I1267" s="5"/>
      <c r="J1267" s="616"/>
      <c r="K1267" s="696"/>
      <c r="L1267" s="16">
        <f>J1267*I1267*F1267</f>
        <v>0</v>
      </c>
      <c r="M1267" s="7"/>
      <c r="N1267" s="78"/>
      <c r="O1267" s="616"/>
    </row>
    <row r="1268" spans="1:15" ht="15.5" x14ac:dyDescent="0.35">
      <c r="A1268" s="616"/>
      <c r="B1268" s="100" t="s">
        <v>1078</v>
      </c>
      <c r="C1268" s="52">
        <v>132</v>
      </c>
      <c r="D1268" s="2139"/>
      <c r="E1268" s="615"/>
      <c r="F1268" s="4"/>
      <c r="G1268" s="5"/>
      <c r="H1268" s="5"/>
      <c r="I1268" s="5"/>
      <c r="J1268" s="616"/>
      <c r="K1268" s="696"/>
      <c r="L1268" s="16">
        <f>J1268*I1268*F1268</f>
        <v>0</v>
      </c>
      <c r="M1268" s="16"/>
      <c r="N1268" s="79"/>
      <c r="O1268" s="616"/>
    </row>
    <row r="1269" spans="1:15" ht="15.5" x14ac:dyDescent="0.35">
      <c r="A1269" s="616"/>
      <c r="B1269" s="95"/>
      <c r="C1269" s="89"/>
      <c r="D1269" s="89"/>
      <c r="E1269" s="89"/>
      <c r="F1269" s="37"/>
      <c r="G1269" s="37"/>
      <c r="H1269" s="37"/>
      <c r="I1269" s="37"/>
      <c r="J1269" s="95" t="s">
        <v>279</v>
      </c>
      <c r="K1269" s="699"/>
      <c r="L1269" s="55">
        <f>SUM(L1267:L1268)</f>
        <v>0</v>
      </c>
      <c r="M1269" s="633"/>
      <c r="N1269" s="634"/>
      <c r="O1269" s="616"/>
    </row>
    <row r="1270" spans="1:15" ht="15.5" x14ac:dyDescent="0.35">
      <c r="A1270" s="616"/>
      <c r="B1270" s="102"/>
      <c r="C1270" s="91"/>
      <c r="D1270" s="726"/>
      <c r="E1270" s="91"/>
      <c r="F1270" s="47"/>
      <c r="G1270" s="48"/>
      <c r="H1270" s="48"/>
      <c r="I1270" s="36"/>
      <c r="J1270" s="96"/>
      <c r="K1270" s="706"/>
      <c r="L1270" s="43"/>
      <c r="M1270" s="43"/>
      <c r="N1270" s="85"/>
      <c r="O1270" s="12"/>
    </row>
    <row r="1271" spans="1:15" ht="15.5" x14ac:dyDescent="0.35">
      <c r="A1271" s="636"/>
      <c r="B1271" s="647" t="s">
        <v>1110</v>
      </c>
      <c r="C1271" s="648"/>
      <c r="D1271" s="648"/>
      <c r="E1271" s="648"/>
      <c r="F1271" s="648"/>
      <c r="G1271" s="648"/>
      <c r="H1271" s="648"/>
      <c r="I1271" s="648"/>
      <c r="J1271" s="50"/>
      <c r="K1271" s="710"/>
      <c r="L1271" s="51"/>
      <c r="M1271" s="51"/>
      <c r="N1271" s="649"/>
      <c r="O1271" s="12"/>
    </row>
    <row r="1272" spans="1:15" ht="15.75" customHeight="1" x14ac:dyDescent="0.35">
      <c r="A1272" s="616">
        <v>4</v>
      </c>
      <c r="B1272" s="100" t="s">
        <v>3180</v>
      </c>
      <c r="C1272" s="52">
        <v>33</v>
      </c>
      <c r="D1272" s="1774" t="s">
        <v>326</v>
      </c>
      <c r="E1272" s="52" t="s">
        <v>3181</v>
      </c>
      <c r="F1272" s="4">
        <v>1</v>
      </c>
      <c r="G1272" s="21">
        <v>259393056</v>
      </c>
      <c r="H1272" s="21">
        <v>263648256</v>
      </c>
      <c r="I1272" s="21">
        <f>H1272-G1272</f>
        <v>4255200</v>
      </c>
      <c r="J1272" s="31">
        <v>1</v>
      </c>
      <c r="K1272" s="707"/>
      <c r="L1272" s="22">
        <f>J1272*I1272*F1272</f>
        <v>4255200</v>
      </c>
      <c r="M1272" s="22"/>
      <c r="N1272" s="83"/>
      <c r="O1272" s="12" t="e">
        <f>(K1276-L1276)/K1276*100</f>
        <v>#VALUE!</v>
      </c>
    </row>
    <row r="1273" spans="1:15" ht="30" x14ac:dyDescent="0.35">
      <c r="A1273" s="616">
        <v>5</v>
      </c>
      <c r="B1273" s="100" t="s">
        <v>3182</v>
      </c>
      <c r="C1273" s="52">
        <v>33</v>
      </c>
      <c r="D1273" s="1776" t="s">
        <v>326</v>
      </c>
      <c r="E1273" s="52" t="s">
        <v>3183</v>
      </c>
      <c r="F1273" s="4">
        <v>1</v>
      </c>
      <c r="G1273" s="21">
        <v>243798384</v>
      </c>
      <c r="H1273" s="21">
        <v>248843872</v>
      </c>
      <c r="I1273" s="21">
        <f>H1273-G1273</f>
        <v>5045488</v>
      </c>
      <c r="J1273" s="31">
        <v>1</v>
      </c>
      <c r="K1273" s="707"/>
      <c r="L1273" s="22">
        <f>J1273*I1273*F1273</f>
        <v>5045488</v>
      </c>
      <c r="M1273" s="22"/>
      <c r="N1273" s="83"/>
      <c r="O1273" s="12"/>
    </row>
    <row r="1274" spans="1:15" ht="15" x14ac:dyDescent="0.35">
      <c r="A1274" s="636"/>
      <c r="B1274" s="96"/>
      <c r="C1274" s="90"/>
      <c r="D1274" s="90"/>
      <c r="E1274" s="90"/>
      <c r="F1274" s="38"/>
      <c r="G1274" s="38"/>
      <c r="H1274" s="38"/>
      <c r="I1274" s="38"/>
      <c r="J1274" s="96" t="s">
        <v>30</v>
      </c>
      <c r="K1274" s="708"/>
      <c r="L1274" s="43">
        <f>SUM(L1272:L1273)</f>
        <v>9300688</v>
      </c>
      <c r="M1274" s="43">
        <f>SUM(M1272:M1273)</f>
        <v>0</v>
      </c>
      <c r="N1274" s="650">
        <f>(M1274-L1274)/L1274*100</f>
        <v>-100</v>
      </c>
      <c r="O1274" s="12"/>
    </row>
    <row r="1275" spans="1:15" ht="15.5" thickBot="1" x14ac:dyDescent="0.4">
      <c r="A1275" s="702"/>
      <c r="B1275" s="736"/>
      <c r="C1275" s="92"/>
      <c r="D1275" s="92"/>
      <c r="E1275" s="92"/>
      <c r="F1275" s="737"/>
      <c r="G1275" s="737"/>
      <c r="H1275" s="737"/>
      <c r="I1275" s="737"/>
      <c r="J1275" s="736"/>
      <c r="K1275" s="738"/>
      <c r="L1275" s="739"/>
      <c r="M1275" s="739"/>
      <c r="N1275" s="646"/>
      <c r="O1275" s="740"/>
    </row>
    <row r="1276" spans="1:15" ht="15" x14ac:dyDescent="0.35">
      <c r="A1276" s="702"/>
      <c r="B1276" s="2142" t="s">
        <v>1090</v>
      </c>
      <c r="C1276" s="2143"/>
      <c r="D1276" s="683" t="s">
        <v>14</v>
      </c>
      <c r="F1276" s="2144" t="s">
        <v>1091</v>
      </c>
      <c r="G1276" s="2145"/>
      <c r="H1276" s="2146"/>
      <c r="I1276" s="683" t="s">
        <v>14</v>
      </c>
      <c r="J1276" s="620"/>
      <c r="K1276" s="2147" t="s">
        <v>1092</v>
      </c>
      <c r="L1276" s="2148"/>
      <c r="M1276" s="684" t="s">
        <v>14</v>
      </c>
      <c r="N1276" s="646"/>
      <c r="O1276" s="740"/>
    </row>
    <row r="1277" spans="1:15" ht="15" x14ac:dyDescent="0.35">
      <c r="A1277" s="702"/>
      <c r="B1277" s="2122" t="str">
        <f>B1258</f>
        <v>MOGBAZAR 33 KV SIDE</v>
      </c>
      <c r="C1277" s="2123"/>
      <c r="D1277" s="689">
        <f>K1261</f>
        <v>9271199.9999999441</v>
      </c>
      <c r="F1277" s="2124" t="s">
        <v>1093</v>
      </c>
      <c r="G1277" s="2125"/>
      <c r="H1277" s="2126"/>
      <c r="I1277" s="685">
        <f>L1269</f>
        <v>0</v>
      </c>
      <c r="J1277" s="620"/>
      <c r="K1277" s="2160" t="str">
        <f>F1278</f>
        <v>MOGBAZAR T&amp;T 33 KV NET IMPORT</v>
      </c>
      <c r="L1277" s="2161"/>
      <c r="M1277" s="687">
        <f>I1278</f>
        <v>9271199.9999999441</v>
      </c>
      <c r="N1277" s="646"/>
      <c r="O1277" s="740"/>
    </row>
    <row r="1278" spans="1:15" ht="15" x14ac:dyDescent="0.35">
      <c r="A1278" s="702"/>
      <c r="B1278" s="2122" t="s">
        <v>1116</v>
      </c>
      <c r="C1278" s="2123"/>
      <c r="D1278" s="741"/>
      <c r="F1278" s="2124" t="s">
        <v>1119</v>
      </c>
      <c r="G1278" s="2125"/>
      <c r="H1278" s="2126"/>
      <c r="I1278" s="685">
        <f>D1281-I1277</f>
        <v>9271199.9999999441</v>
      </c>
      <c r="J1278" s="620"/>
      <c r="K1278" s="2162" t="s">
        <v>1120</v>
      </c>
      <c r="L1278" s="2163"/>
      <c r="M1278" s="685">
        <f>M1312</f>
        <v>0</v>
      </c>
      <c r="N1278" s="646"/>
      <c r="O1278" s="740"/>
    </row>
    <row r="1279" spans="1:15" ht="15" x14ac:dyDescent="0.35">
      <c r="A1279" s="702"/>
      <c r="B1279" s="2122" t="s">
        <v>1117</v>
      </c>
      <c r="C1279" s="2123"/>
      <c r="D1279" s="721"/>
      <c r="F1279" s="2124" t="s">
        <v>1089</v>
      </c>
      <c r="G1279" s="2125"/>
      <c r="H1279" s="2126"/>
      <c r="I1279" s="685">
        <f>I1277+I1278</f>
        <v>9271199.9999999441</v>
      </c>
      <c r="J1279" s="620"/>
      <c r="K1279" s="2127" t="s">
        <v>284</v>
      </c>
      <c r="L1279" s="2128"/>
      <c r="M1279" s="685">
        <f>M1277-M1278</f>
        <v>9271199.9999999441</v>
      </c>
      <c r="N1279" s="646"/>
      <c r="O1279" s="740"/>
    </row>
    <row r="1280" spans="1:15" ht="16" thickBot="1" x14ac:dyDescent="0.4">
      <c r="A1280" s="702"/>
      <c r="B1280" s="2122" t="s">
        <v>1118</v>
      </c>
      <c r="C1280" s="2123"/>
      <c r="D1280" s="722"/>
      <c r="F1280" s="2113" t="s">
        <v>1102</v>
      </c>
      <c r="G1280" s="2114"/>
      <c r="H1280" s="2115"/>
      <c r="I1280" s="690">
        <f>(D1281-I1279)/I1279</f>
        <v>0</v>
      </c>
      <c r="J1280" s="620"/>
      <c r="K1280" s="2134" t="s">
        <v>285</v>
      </c>
      <c r="L1280" s="2135"/>
      <c r="M1280" s="688">
        <f>M1279/M1277</f>
        <v>1</v>
      </c>
      <c r="N1280" s="646"/>
      <c r="O1280" s="740"/>
    </row>
    <row r="1281" spans="1:15" ht="15.5" thickBot="1" x14ac:dyDescent="0.4">
      <c r="A1281" s="702"/>
      <c r="B1281" s="2158" t="s">
        <v>1082</v>
      </c>
      <c r="C1281" s="2159"/>
      <c r="D1281" s="686">
        <f>SUM(D1277:D1279)</f>
        <v>9271199.9999999441</v>
      </c>
      <c r="F1281" s="620"/>
      <c r="G1281" s="620"/>
      <c r="H1281" s="620"/>
      <c r="I1281" s="620"/>
      <c r="J1281" s="620"/>
      <c r="K1281" s="702"/>
      <c r="L1281" s="620"/>
      <c r="M1281" s="620"/>
      <c r="N1281" s="646"/>
      <c r="O1281" s="740"/>
    </row>
    <row r="1282" spans="1:15" ht="15" x14ac:dyDescent="0.35">
      <c r="A1282" s="702"/>
      <c r="B1282" s="736"/>
      <c r="C1282" s="92"/>
      <c r="D1282" s="92"/>
      <c r="E1282" s="92"/>
      <c r="F1282" s="737"/>
      <c r="G1282" s="737"/>
      <c r="H1282" s="737"/>
      <c r="I1282" s="737"/>
      <c r="J1282" s="736"/>
      <c r="K1282" s="738"/>
      <c r="L1282" s="739"/>
      <c r="M1282" s="739"/>
      <c r="N1282" s="646"/>
      <c r="O1282" s="740"/>
    </row>
    <row r="1283" spans="1:15" x14ac:dyDescent="0.35">
      <c r="A1283" s="620"/>
      <c r="B1283" s="632"/>
      <c r="C1283" s="620"/>
      <c r="D1283" s="728"/>
      <c r="E1283" s="620"/>
      <c r="F1283" s="620"/>
      <c r="G1283" s="620"/>
      <c r="H1283" s="620"/>
      <c r="I1283" s="620"/>
      <c r="J1283" s="620"/>
      <c r="K1283" s="702"/>
      <c r="L1283" s="620"/>
      <c r="M1283" s="620"/>
      <c r="N1283" s="620"/>
      <c r="O1283" s="620"/>
    </row>
    <row r="1284" spans="1:15" x14ac:dyDescent="0.35">
      <c r="A1284" s="620"/>
      <c r="B1284" s="632"/>
      <c r="C1284" s="620"/>
      <c r="D1284" s="728"/>
      <c r="E1284" s="620"/>
      <c r="F1284" s="620"/>
      <c r="G1284" s="620"/>
      <c r="H1284" s="620"/>
      <c r="I1284" s="620"/>
      <c r="J1284" s="620"/>
      <c r="K1284" s="702"/>
      <c r="L1284" s="620"/>
      <c r="M1284" s="620"/>
      <c r="N1284" s="620"/>
      <c r="O1284" s="620"/>
    </row>
    <row r="1285" spans="1:15" ht="25" x14ac:dyDescent="0.35">
      <c r="A1285" s="2095" t="s">
        <v>1324</v>
      </c>
      <c r="B1285" s="2095"/>
      <c r="C1285" s="2095"/>
      <c r="D1285" s="2095"/>
      <c r="E1285" s="2095"/>
      <c r="F1285" s="2095"/>
      <c r="G1285" s="2095"/>
      <c r="H1285" s="2095"/>
      <c r="I1285" s="2095"/>
      <c r="J1285" s="2095"/>
      <c r="K1285" s="2095"/>
      <c r="L1285" s="2095"/>
      <c r="M1285" s="2095"/>
      <c r="N1285" s="2095"/>
      <c r="O1285" s="756" t="e">
        <f>$O$6</f>
        <v>#REF!</v>
      </c>
    </row>
    <row r="1286" spans="1:15" ht="15.5" x14ac:dyDescent="0.35">
      <c r="A1286" s="2096" t="s">
        <v>0</v>
      </c>
      <c r="B1286" s="2098" t="s">
        <v>1</v>
      </c>
      <c r="C1286" s="2100" t="s">
        <v>2</v>
      </c>
      <c r="D1286" s="2101"/>
      <c r="E1286" s="2102"/>
      <c r="F1286" s="2103" t="s">
        <v>3</v>
      </c>
      <c r="G1286" s="2100" t="s">
        <v>4</v>
      </c>
      <c r="H1286" s="2102"/>
      <c r="I1286" s="2085"/>
      <c r="J1286" s="2103" t="s">
        <v>5</v>
      </c>
      <c r="K1286" s="2100" t="s">
        <v>6</v>
      </c>
      <c r="L1286" s="2085"/>
      <c r="M1286" s="97" t="s">
        <v>32</v>
      </c>
      <c r="N1286" s="98"/>
      <c r="O1286" s="2084" t="s">
        <v>7</v>
      </c>
    </row>
    <row r="1287" spans="1:15" ht="15.5" x14ac:dyDescent="0.35">
      <c r="A1287" s="2097"/>
      <c r="B1287" s="2099"/>
      <c r="C1287" s="2086" t="s">
        <v>1108</v>
      </c>
      <c r="D1287" s="2087"/>
      <c r="E1287" s="87" t="s">
        <v>9</v>
      </c>
      <c r="F1287" s="2097"/>
      <c r="G1287" s="2">
        <f>'NORTH-1'!$G$8</f>
        <v>44774</v>
      </c>
      <c r="H1287" s="2">
        <f>'NORTH-1'!$H$8</f>
        <v>44805</v>
      </c>
      <c r="I1287" s="1" t="s">
        <v>10</v>
      </c>
      <c r="J1287" s="2097"/>
      <c r="K1287" s="1" t="s">
        <v>11</v>
      </c>
      <c r="L1287" s="1" t="s">
        <v>12</v>
      </c>
      <c r="M1287" s="617" t="s">
        <v>33</v>
      </c>
      <c r="N1287" s="76" t="s">
        <v>47</v>
      </c>
      <c r="O1287" s="2085"/>
    </row>
    <row r="1288" spans="1:15" ht="15.5" x14ac:dyDescent="0.35">
      <c r="A1288" s="3">
        <v>1</v>
      </c>
      <c r="B1288" s="88">
        <v>2</v>
      </c>
      <c r="C1288" s="2088">
        <v>4</v>
      </c>
      <c r="D1288" s="2089"/>
      <c r="E1288" s="88">
        <v>5</v>
      </c>
      <c r="F1288" s="3">
        <v>7</v>
      </c>
      <c r="G1288" s="3">
        <v>8</v>
      </c>
      <c r="H1288" s="3">
        <v>9</v>
      </c>
      <c r="I1288" s="3" t="s">
        <v>13</v>
      </c>
      <c r="J1288" s="3">
        <v>11</v>
      </c>
      <c r="K1288" s="3" t="s">
        <v>19</v>
      </c>
      <c r="L1288" s="3" t="s">
        <v>20</v>
      </c>
      <c r="M1288" s="3">
        <v>14</v>
      </c>
      <c r="N1288" s="77">
        <v>15</v>
      </c>
      <c r="O1288" s="3">
        <v>16</v>
      </c>
    </row>
    <row r="1289" spans="1:15" ht="15.5" x14ac:dyDescent="0.35">
      <c r="A1289" s="631"/>
      <c r="B1289" s="624" t="s">
        <v>1121</v>
      </c>
      <c r="C1289" s="625"/>
      <c r="D1289" s="625"/>
      <c r="E1289" s="625"/>
      <c r="F1289" s="625"/>
      <c r="G1289" s="625"/>
      <c r="H1289" s="625"/>
      <c r="I1289" s="625"/>
      <c r="J1289" s="625"/>
      <c r="K1289" s="695"/>
      <c r="L1289" s="625"/>
      <c r="M1289" s="626"/>
      <c r="N1289" s="627"/>
      <c r="O1289" s="616"/>
    </row>
    <row r="1290" spans="1:15" ht="15.5" x14ac:dyDescent="0.35">
      <c r="A1290" s="631">
        <v>16</v>
      </c>
      <c r="B1290" s="100" t="s">
        <v>3184</v>
      </c>
      <c r="C1290" s="52">
        <v>11</v>
      </c>
      <c r="D1290" s="2105"/>
      <c r="E1290" s="52" t="s">
        <v>3185</v>
      </c>
      <c r="F1290" s="4">
        <v>1</v>
      </c>
      <c r="G1290" s="21">
        <v>257587920</v>
      </c>
      <c r="H1290" s="21">
        <v>261821120</v>
      </c>
      <c r="I1290" s="21">
        <f>H1290-G1290</f>
        <v>4233200</v>
      </c>
      <c r="J1290" s="616">
        <v>1</v>
      </c>
      <c r="K1290" s="696">
        <f>F1290*I1290*J1290</f>
        <v>4233200</v>
      </c>
      <c r="L1290" s="22"/>
      <c r="M1290" s="22"/>
      <c r="N1290" s="82"/>
      <c r="O1290" s="616">
        <f>SUM(L1282:L1289)</f>
        <v>0</v>
      </c>
    </row>
    <row r="1291" spans="1:15" ht="15.5" x14ac:dyDescent="0.35">
      <c r="A1291" s="631">
        <v>17</v>
      </c>
      <c r="B1291" s="100" t="s">
        <v>3186</v>
      </c>
      <c r="C1291" s="52">
        <v>11</v>
      </c>
      <c r="D1291" s="2151"/>
      <c r="E1291" s="52" t="s">
        <v>3187</v>
      </c>
      <c r="F1291" s="4">
        <v>1</v>
      </c>
      <c r="G1291" s="21">
        <v>242914112</v>
      </c>
      <c r="H1291" s="21">
        <v>247935120</v>
      </c>
      <c r="I1291" s="21">
        <f>H1291-G1291</f>
        <v>5021008</v>
      </c>
      <c r="J1291" s="616">
        <v>1</v>
      </c>
      <c r="K1291" s="696">
        <f>F1291*I1291*J1291</f>
        <v>5021008</v>
      </c>
      <c r="L1291" s="22"/>
      <c r="M1291" s="22"/>
      <c r="N1291" s="82"/>
      <c r="O1291" s="616"/>
    </row>
    <row r="1292" spans="1:15" ht="15.5" x14ac:dyDescent="0.35">
      <c r="A1292" s="631"/>
      <c r="B1292" s="102"/>
      <c r="C1292" s="91"/>
      <c r="D1292" s="726"/>
      <c r="E1292" s="91"/>
      <c r="F1292" s="47"/>
      <c r="G1292" s="48"/>
      <c r="H1292" s="48"/>
      <c r="I1292" s="48"/>
      <c r="J1292" s="39" t="s">
        <v>30</v>
      </c>
      <c r="K1292" s="658">
        <f>SUM(K1290:K1291)</f>
        <v>9254208</v>
      </c>
      <c r="L1292" s="49"/>
      <c r="M1292" s="43">
        <f>SUM(M1290:M1291)</f>
        <v>0</v>
      </c>
      <c r="N1292" s="85"/>
      <c r="O1292" s="616"/>
    </row>
    <row r="1293" spans="1:15" ht="15.5" x14ac:dyDescent="0.35">
      <c r="A1293" s="631"/>
      <c r="B1293" s="647" t="s">
        <v>1121</v>
      </c>
      <c r="C1293" s="648"/>
      <c r="D1293" s="648"/>
      <c r="E1293" s="648"/>
      <c r="F1293" s="648"/>
      <c r="G1293" s="648"/>
      <c r="H1293" s="648"/>
      <c r="I1293" s="648"/>
      <c r="J1293" s="50"/>
      <c r="K1293" s="710"/>
      <c r="L1293" s="51"/>
      <c r="M1293" s="51"/>
      <c r="N1293" s="649"/>
      <c r="O1293" s="616"/>
    </row>
    <row r="1294" spans="1:15" ht="15.75" customHeight="1" x14ac:dyDescent="0.35">
      <c r="A1294" s="631">
        <v>8</v>
      </c>
      <c r="B1294" s="100" t="s">
        <v>2260</v>
      </c>
      <c r="C1294" s="73">
        <v>11</v>
      </c>
      <c r="D1294" s="1781"/>
      <c r="E1294" s="52" t="s">
        <v>3188</v>
      </c>
      <c r="F1294" s="32">
        <v>1</v>
      </c>
      <c r="G1294" s="6"/>
      <c r="H1294" s="6"/>
      <c r="I1294" s="20">
        <f t="shared" ref="I1294:I1311" si="42">H1294-G1294</f>
        <v>0</v>
      </c>
      <c r="J1294" s="616">
        <v>1</v>
      </c>
      <c r="K1294" s="703"/>
      <c r="L1294" s="22">
        <f t="shared" ref="L1294:L1311" si="43">J1294*I1294*F1294</f>
        <v>0</v>
      </c>
      <c r="M1294" s="22"/>
      <c r="N1294" s="72"/>
      <c r="O1294" s="15"/>
    </row>
    <row r="1295" spans="1:15" s="1952" customFormat="1" ht="15" customHeight="1" x14ac:dyDescent="0.35">
      <c r="A1295" s="1941">
        <v>9</v>
      </c>
      <c r="B1295" s="1917" t="s">
        <v>3189</v>
      </c>
      <c r="C1295" s="1942">
        <v>11</v>
      </c>
      <c r="D1295" s="1943"/>
      <c r="E1295" s="1953" t="s">
        <v>3190</v>
      </c>
      <c r="F1295" s="1945">
        <v>1</v>
      </c>
      <c r="G1295" s="1946">
        <v>869477</v>
      </c>
      <c r="H1295" s="1946">
        <v>1257676</v>
      </c>
      <c r="I1295" s="1947">
        <f t="shared" si="42"/>
        <v>388199</v>
      </c>
      <c r="J1295" s="1948">
        <v>1</v>
      </c>
      <c r="K1295" s="1949"/>
      <c r="L1295" s="1950">
        <f t="shared" si="43"/>
        <v>388199</v>
      </c>
      <c r="M1295" s="1950"/>
      <c r="N1295" s="1934" t="s">
        <v>104</v>
      </c>
      <c r="O1295" s="1951"/>
    </row>
    <row r="1296" spans="1:15" s="1989" customFormat="1" ht="15" customHeight="1" x14ac:dyDescent="0.35">
      <c r="A1296" s="1985">
        <v>10</v>
      </c>
      <c r="B1296" s="781" t="s">
        <v>3191</v>
      </c>
      <c r="C1296" s="769">
        <v>11</v>
      </c>
      <c r="D1296" s="1986"/>
      <c r="E1296" s="770" t="s">
        <v>3192</v>
      </c>
      <c r="F1296" s="1987">
        <v>1</v>
      </c>
      <c r="G1296" s="771">
        <v>28514730</v>
      </c>
      <c r="H1296" s="771">
        <v>28938530</v>
      </c>
      <c r="I1296" s="772">
        <f t="shared" si="42"/>
        <v>423800</v>
      </c>
      <c r="J1296" s="773">
        <v>1</v>
      </c>
      <c r="K1296" s="774"/>
      <c r="L1296" s="775">
        <f t="shared" si="43"/>
        <v>423800</v>
      </c>
      <c r="M1296" s="775"/>
      <c r="N1296" s="1937" t="s">
        <v>100</v>
      </c>
      <c r="O1296" s="1988"/>
    </row>
    <row r="1297" spans="1:15" s="1989" customFormat="1" ht="15" customHeight="1" x14ac:dyDescent="0.35">
      <c r="A1297" s="1985">
        <v>11</v>
      </c>
      <c r="B1297" s="781" t="s">
        <v>1743</v>
      </c>
      <c r="C1297" s="769">
        <v>11</v>
      </c>
      <c r="D1297" s="1986"/>
      <c r="E1297" s="770" t="s">
        <v>3193</v>
      </c>
      <c r="F1297" s="1987">
        <v>1.5</v>
      </c>
      <c r="G1297" s="771">
        <v>16961238</v>
      </c>
      <c r="H1297" s="771">
        <v>17103078</v>
      </c>
      <c r="I1297" s="772">
        <f t="shared" si="42"/>
        <v>141840</v>
      </c>
      <c r="J1297" s="773">
        <v>1</v>
      </c>
      <c r="K1297" s="774"/>
      <c r="L1297" s="775">
        <f t="shared" si="43"/>
        <v>212760</v>
      </c>
      <c r="M1297" s="775"/>
      <c r="N1297" s="1937" t="s">
        <v>100</v>
      </c>
      <c r="O1297" s="1988"/>
    </row>
    <row r="1298" spans="1:15" ht="15" customHeight="1" x14ac:dyDescent="0.35">
      <c r="A1298" s="631">
        <v>12</v>
      </c>
      <c r="B1298" s="100" t="s">
        <v>3194</v>
      </c>
      <c r="C1298" s="73">
        <v>11</v>
      </c>
      <c r="D1298" s="1782"/>
      <c r="E1298" s="52" t="s">
        <v>3195</v>
      </c>
      <c r="F1298" s="32">
        <v>1</v>
      </c>
      <c r="G1298" s="6">
        <v>0</v>
      </c>
      <c r="H1298" s="6">
        <v>0</v>
      </c>
      <c r="I1298" s="20">
        <f t="shared" si="42"/>
        <v>0</v>
      </c>
      <c r="J1298" s="616">
        <v>1</v>
      </c>
      <c r="K1298" s="703"/>
      <c r="L1298" s="22">
        <f t="shared" si="43"/>
        <v>0</v>
      </c>
      <c r="M1298" s="22"/>
      <c r="N1298" s="72" t="s">
        <v>104</v>
      </c>
      <c r="O1298" s="15"/>
    </row>
    <row r="1299" spans="1:15" s="1989" customFormat="1" ht="15" customHeight="1" x14ac:dyDescent="0.35">
      <c r="A1299" s="1985">
        <v>13</v>
      </c>
      <c r="B1299" s="781" t="s">
        <v>3196</v>
      </c>
      <c r="C1299" s="769">
        <v>11</v>
      </c>
      <c r="D1299" s="1986"/>
      <c r="E1299" s="770" t="s">
        <v>3197</v>
      </c>
      <c r="F1299" s="1987">
        <v>1</v>
      </c>
      <c r="G1299" s="771">
        <v>57752380</v>
      </c>
      <c r="H1299" s="771">
        <v>58866656</v>
      </c>
      <c r="I1299" s="772">
        <f t="shared" si="42"/>
        <v>1114276</v>
      </c>
      <c r="J1299" s="773">
        <v>1</v>
      </c>
      <c r="K1299" s="774"/>
      <c r="L1299" s="775">
        <f t="shared" si="43"/>
        <v>1114276</v>
      </c>
      <c r="M1299" s="775"/>
      <c r="N1299" s="1937" t="s">
        <v>116</v>
      </c>
      <c r="O1299" s="1988"/>
    </row>
    <row r="1300" spans="1:15" s="1952" customFormat="1" ht="15" customHeight="1" x14ac:dyDescent="0.35">
      <c r="A1300" s="1941">
        <v>14</v>
      </c>
      <c r="B1300" s="1917" t="s">
        <v>3198</v>
      </c>
      <c r="C1300" s="1942">
        <v>11</v>
      </c>
      <c r="D1300" s="1943"/>
      <c r="E1300" s="1953" t="s">
        <v>3199</v>
      </c>
      <c r="F1300" s="1945">
        <v>1</v>
      </c>
      <c r="G1300" s="1946">
        <v>77114928</v>
      </c>
      <c r="H1300" s="1946">
        <v>77905608</v>
      </c>
      <c r="I1300" s="1947">
        <f t="shared" si="42"/>
        <v>790680</v>
      </c>
      <c r="J1300" s="1948">
        <v>1</v>
      </c>
      <c r="K1300" s="1949"/>
      <c r="L1300" s="1950">
        <f t="shared" si="43"/>
        <v>790680</v>
      </c>
      <c r="M1300" s="1950"/>
      <c r="N1300" s="1934" t="s">
        <v>104</v>
      </c>
      <c r="O1300" s="1951"/>
    </row>
    <row r="1301" spans="1:15" s="1989" customFormat="1" ht="15" customHeight="1" x14ac:dyDescent="0.35">
      <c r="A1301" s="1985">
        <v>15</v>
      </c>
      <c r="B1301" s="781" t="s">
        <v>3200</v>
      </c>
      <c r="C1301" s="769">
        <v>11</v>
      </c>
      <c r="D1301" s="1986"/>
      <c r="E1301" s="770" t="s">
        <v>3201</v>
      </c>
      <c r="F1301" s="1987">
        <v>1</v>
      </c>
      <c r="G1301" s="771">
        <v>60353092</v>
      </c>
      <c r="H1301" s="771">
        <v>61446608</v>
      </c>
      <c r="I1301" s="772">
        <f t="shared" si="42"/>
        <v>1093516</v>
      </c>
      <c r="J1301" s="773">
        <v>1</v>
      </c>
      <c r="K1301" s="774"/>
      <c r="L1301" s="775">
        <f t="shared" si="43"/>
        <v>1093516</v>
      </c>
      <c r="M1301" s="775"/>
      <c r="N1301" s="1937" t="s">
        <v>100</v>
      </c>
      <c r="O1301" s="1988"/>
    </row>
    <row r="1302" spans="1:15" ht="15" customHeight="1" x14ac:dyDescent="0.35">
      <c r="A1302" s="631">
        <v>18</v>
      </c>
      <c r="B1302" s="100" t="s">
        <v>2260</v>
      </c>
      <c r="C1302" s="73">
        <v>11</v>
      </c>
      <c r="D1302" s="1782"/>
      <c r="E1302" s="52" t="s">
        <v>2275</v>
      </c>
      <c r="F1302" s="32">
        <v>1</v>
      </c>
      <c r="G1302" s="6"/>
      <c r="H1302" s="6"/>
      <c r="I1302" s="20">
        <f t="shared" si="42"/>
        <v>0</v>
      </c>
      <c r="J1302" s="616">
        <v>1</v>
      </c>
      <c r="K1302" s="703"/>
      <c r="L1302" s="22">
        <f t="shared" si="43"/>
        <v>0</v>
      </c>
      <c r="M1302" s="22"/>
      <c r="N1302" s="72"/>
      <c r="O1302" s="15"/>
    </row>
    <row r="1303" spans="1:15" s="1952" customFormat="1" ht="15" customHeight="1" x14ac:dyDescent="0.35">
      <c r="A1303" s="1941">
        <v>19</v>
      </c>
      <c r="B1303" s="1917" t="s">
        <v>3202</v>
      </c>
      <c r="C1303" s="1942">
        <v>11</v>
      </c>
      <c r="D1303" s="1943"/>
      <c r="E1303" s="1953" t="s">
        <v>3203</v>
      </c>
      <c r="F1303" s="1945">
        <v>1</v>
      </c>
      <c r="G1303" s="1946">
        <v>57172460</v>
      </c>
      <c r="H1303" s="1946">
        <v>58098020</v>
      </c>
      <c r="I1303" s="1947">
        <f t="shared" si="42"/>
        <v>925560</v>
      </c>
      <c r="J1303" s="1948">
        <v>1</v>
      </c>
      <c r="K1303" s="1949"/>
      <c r="L1303" s="1950">
        <f t="shared" si="43"/>
        <v>925560</v>
      </c>
      <c r="M1303" s="1950"/>
      <c r="N1303" s="1934" t="s">
        <v>104</v>
      </c>
      <c r="O1303" s="1951"/>
    </row>
    <row r="1304" spans="1:15" s="1952" customFormat="1" ht="15" customHeight="1" x14ac:dyDescent="0.35">
      <c r="A1304" s="1941">
        <v>20</v>
      </c>
      <c r="B1304" s="1917" t="s">
        <v>3204</v>
      </c>
      <c r="C1304" s="1942">
        <v>11</v>
      </c>
      <c r="D1304" s="1943"/>
      <c r="E1304" s="1953" t="s">
        <v>3205</v>
      </c>
      <c r="F1304" s="1945">
        <v>1</v>
      </c>
      <c r="G1304" s="1946">
        <v>1101237</v>
      </c>
      <c r="H1304" s="1946">
        <v>2000635</v>
      </c>
      <c r="I1304" s="1947">
        <f t="shared" si="42"/>
        <v>899398</v>
      </c>
      <c r="J1304" s="1948">
        <v>1</v>
      </c>
      <c r="K1304" s="1949"/>
      <c r="L1304" s="1950">
        <f t="shared" si="43"/>
        <v>899398</v>
      </c>
      <c r="M1304" s="1950"/>
      <c r="N1304" s="1934" t="s">
        <v>104</v>
      </c>
      <c r="O1304" s="1951"/>
    </row>
    <row r="1305" spans="1:15" s="1989" customFormat="1" ht="15" customHeight="1" x14ac:dyDescent="0.35">
      <c r="A1305" s="1985">
        <v>21</v>
      </c>
      <c r="B1305" s="781" t="s">
        <v>3206</v>
      </c>
      <c r="C1305" s="769">
        <v>11</v>
      </c>
      <c r="D1305" s="1986"/>
      <c r="E1305" s="770" t="s">
        <v>3207</v>
      </c>
      <c r="F1305" s="1987">
        <v>1</v>
      </c>
      <c r="G1305" s="771">
        <v>35488552</v>
      </c>
      <c r="H1305" s="771">
        <v>36205432</v>
      </c>
      <c r="I1305" s="772">
        <f t="shared" si="42"/>
        <v>716880</v>
      </c>
      <c r="J1305" s="773">
        <v>1</v>
      </c>
      <c r="K1305" s="774"/>
      <c r="L1305" s="775">
        <f t="shared" si="43"/>
        <v>716880</v>
      </c>
      <c r="M1305" s="775"/>
      <c r="N1305" s="1937" t="s">
        <v>100</v>
      </c>
      <c r="O1305" s="1988"/>
    </row>
    <row r="1306" spans="1:15" s="1952" customFormat="1" ht="15" customHeight="1" x14ac:dyDescent="0.35">
      <c r="A1306" s="1941">
        <v>22</v>
      </c>
      <c r="B1306" s="1917" t="s">
        <v>3208</v>
      </c>
      <c r="C1306" s="1942">
        <v>11</v>
      </c>
      <c r="D1306" s="1943"/>
      <c r="E1306" s="1953" t="s">
        <v>3209</v>
      </c>
      <c r="F1306" s="1945">
        <v>1</v>
      </c>
      <c r="G1306" s="1946">
        <v>44795652</v>
      </c>
      <c r="H1306" s="1946">
        <v>45432568</v>
      </c>
      <c r="I1306" s="1947">
        <f t="shared" si="42"/>
        <v>636916</v>
      </c>
      <c r="J1306" s="1948">
        <v>1</v>
      </c>
      <c r="K1306" s="1949"/>
      <c r="L1306" s="1950">
        <f t="shared" si="43"/>
        <v>636916</v>
      </c>
      <c r="M1306" s="1950"/>
      <c r="N1306" s="1934" t="s">
        <v>104</v>
      </c>
      <c r="O1306" s="1951"/>
    </row>
    <row r="1307" spans="1:15" s="1989" customFormat="1" ht="15" customHeight="1" x14ac:dyDescent="0.35">
      <c r="A1307" s="1985">
        <v>23</v>
      </c>
      <c r="B1307" s="781" t="s">
        <v>3210</v>
      </c>
      <c r="C1307" s="769">
        <v>11</v>
      </c>
      <c r="D1307" s="1986"/>
      <c r="E1307" s="770" t="s">
        <v>3211</v>
      </c>
      <c r="F1307" s="1987">
        <v>1</v>
      </c>
      <c r="G1307" s="771">
        <v>68281952</v>
      </c>
      <c r="H1307" s="771">
        <v>69552632</v>
      </c>
      <c r="I1307" s="772">
        <f t="shared" si="42"/>
        <v>1270680</v>
      </c>
      <c r="J1307" s="773">
        <v>1</v>
      </c>
      <c r="K1307" s="774"/>
      <c r="L1307" s="775">
        <f t="shared" si="43"/>
        <v>1270680</v>
      </c>
      <c r="M1307" s="775"/>
      <c r="N1307" s="1937" t="s">
        <v>100</v>
      </c>
      <c r="O1307" s="1988"/>
    </row>
    <row r="1308" spans="1:15" s="1989" customFormat="1" ht="15" customHeight="1" x14ac:dyDescent="0.35">
      <c r="A1308" s="1985">
        <v>24</v>
      </c>
      <c r="B1308" s="781" t="s">
        <v>3212</v>
      </c>
      <c r="C1308" s="769">
        <v>11</v>
      </c>
      <c r="D1308" s="1986"/>
      <c r="E1308" s="770" t="s">
        <v>3213</v>
      </c>
      <c r="F1308" s="1987">
        <v>1</v>
      </c>
      <c r="G1308" s="771">
        <v>38093108</v>
      </c>
      <c r="H1308" s="771">
        <v>38668904</v>
      </c>
      <c r="I1308" s="772">
        <f t="shared" si="42"/>
        <v>575796</v>
      </c>
      <c r="J1308" s="773">
        <v>1</v>
      </c>
      <c r="K1308" s="774"/>
      <c r="L1308" s="775">
        <f t="shared" si="43"/>
        <v>575796</v>
      </c>
      <c r="M1308" s="775"/>
      <c r="N1308" s="1937" t="s">
        <v>116</v>
      </c>
      <c r="O1308" s="1988"/>
    </row>
    <row r="1309" spans="1:15" ht="15.5" x14ac:dyDescent="0.35">
      <c r="A1309" s="631">
        <v>25</v>
      </c>
      <c r="B1309" s="100" t="s">
        <v>2260</v>
      </c>
      <c r="C1309" s="73">
        <v>11</v>
      </c>
      <c r="D1309" s="1782"/>
      <c r="E1309" s="52" t="s">
        <v>3214</v>
      </c>
      <c r="F1309" s="32">
        <v>1</v>
      </c>
      <c r="G1309" s="6"/>
      <c r="H1309" s="6"/>
      <c r="I1309" s="20">
        <f t="shared" si="42"/>
        <v>0</v>
      </c>
      <c r="J1309" s="616">
        <v>1</v>
      </c>
      <c r="K1309" s="703"/>
      <c r="L1309" s="22">
        <f t="shared" si="43"/>
        <v>0</v>
      </c>
      <c r="M1309" s="22"/>
      <c r="N1309" s="72"/>
      <c r="O1309" s="15"/>
    </row>
    <row r="1310" spans="1:15" ht="15.5" x14ac:dyDescent="0.35">
      <c r="A1310" s="631">
        <v>26</v>
      </c>
      <c r="B1310" s="100" t="s">
        <v>3215</v>
      </c>
      <c r="C1310" s="73">
        <v>11</v>
      </c>
      <c r="D1310" s="1782"/>
      <c r="E1310" s="52">
        <v>7803</v>
      </c>
      <c r="F1310" s="32">
        <v>1</v>
      </c>
      <c r="G1310" s="6">
        <v>2069</v>
      </c>
      <c r="H1310" s="6">
        <v>2092</v>
      </c>
      <c r="I1310" s="20">
        <f t="shared" si="42"/>
        <v>23</v>
      </c>
      <c r="J1310" s="616">
        <v>100</v>
      </c>
      <c r="K1310" s="703"/>
      <c r="L1310" s="22">
        <f t="shared" si="43"/>
        <v>2300</v>
      </c>
      <c r="M1310" s="22"/>
      <c r="N1310" s="72" t="s">
        <v>100</v>
      </c>
      <c r="O1310" s="15"/>
    </row>
    <row r="1311" spans="1:15" ht="15.5" x14ac:dyDescent="0.35">
      <c r="A1311" s="631">
        <v>27</v>
      </c>
      <c r="B1311" s="100" t="s">
        <v>3216</v>
      </c>
      <c r="C1311" s="73">
        <v>11</v>
      </c>
      <c r="D1311" s="1783"/>
      <c r="E1311" s="52">
        <v>7805</v>
      </c>
      <c r="F1311" s="32">
        <v>1</v>
      </c>
      <c r="G1311" s="6">
        <v>50</v>
      </c>
      <c r="H1311" s="6">
        <v>50</v>
      </c>
      <c r="I1311" s="20">
        <f t="shared" si="42"/>
        <v>0</v>
      </c>
      <c r="J1311" s="616">
        <v>100</v>
      </c>
      <c r="K1311" s="703">
        <f>F1311*I1311*J1311</f>
        <v>0</v>
      </c>
      <c r="L1311" s="22">
        <f t="shared" si="43"/>
        <v>0</v>
      </c>
      <c r="M1311" s="22"/>
      <c r="N1311" s="72" t="s">
        <v>100</v>
      </c>
      <c r="O1311" s="15"/>
    </row>
    <row r="1312" spans="1:15" ht="28" x14ac:dyDescent="0.35">
      <c r="A1312" s="636"/>
      <c r="B1312" s="96"/>
      <c r="C1312" s="90"/>
      <c r="D1312" s="90"/>
      <c r="E1312" s="90"/>
      <c r="F1312" s="38"/>
      <c r="G1312" s="38"/>
      <c r="H1312" s="38"/>
      <c r="I1312" s="38"/>
      <c r="J1312" s="53" t="s">
        <v>44</v>
      </c>
      <c r="K1312" s="658">
        <f>K1292</f>
        <v>9254208</v>
      </c>
      <c r="L1312" s="658">
        <f>SUM(L1294:L1311)</f>
        <v>9050761</v>
      </c>
      <c r="M1312" s="43">
        <f>SUM(M1294:M1311)</f>
        <v>0</v>
      </c>
      <c r="N1312" s="84">
        <f>(M1312-L1312)/L1312*100</f>
        <v>-100</v>
      </c>
      <c r="O1312" s="29"/>
    </row>
    <row r="1314" spans="1:15" ht="15" x14ac:dyDescent="0.35">
      <c r="A1314" s="620"/>
      <c r="B1314" s="635"/>
      <c r="C1314" s="632"/>
      <c r="D1314" s="720"/>
      <c r="F1314" s="2092" t="s">
        <v>1099</v>
      </c>
      <c r="G1314" s="2092"/>
      <c r="H1314" s="2092"/>
      <c r="I1314" s="677" t="s">
        <v>14</v>
      </c>
      <c r="J1314" s="620"/>
      <c r="K1314" s="702"/>
      <c r="L1314" s="620"/>
      <c r="M1314" s="620"/>
      <c r="N1314" s="632"/>
      <c r="O1314" s="620"/>
    </row>
    <row r="1315" spans="1:15" ht="15.5" x14ac:dyDescent="0.35">
      <c r="A1315" s="620"/>
      <c r="B1315" s="635"/>
      <c r="C1315" s="632"/>
      <c r="D1315" s="720"/>
      <c r="F1315" s="2153" t="s">
        <v>232</v>
      </c>
      <c r="G1315" s="2154"/>
      <c r="H1315" s="2155"/>
      <c r="I1315" s="643">
        <f>SUM(M1294:M1295,M1305)</f>
        <v>0</v>
      </c>
      <c r="J1315" s="620"/>
      <c r="K1315" s="702"/>
      <c r="L1315" s="620"/>
      <c r="M1315" s="620"/>
      <c r="N1315" s="632"/>
      <c r="O1315" s="620" t="s">
        <v>237</v>
      </c>
    </row>
    <row r="1316" spans="1:15" ht="15.5" x14ac:dyDescent="0.35">
      <c r="A1316" s="620"/>
      <c r="B1316" s="635"/>
      <c r="C1316" s="632"/>
      <c r="D1316" s="720"/>
      <c r="F1316" s="2153" t="s">
        <v>268</v>
      </c>
      <c r="G1316" s="2154"/>
      <c r="H1316" s="2155"/>
      <c r="I1316" s="643">
        <f>SUM(M1296:M1304,M1306,M1308,M1309,M1311)</f>
        <v>0</v>
      </c>
      <c r="J1316" s="620"/>
      <c r="K1316" s="702"/>
      <c r="L1316" s="620"/>
      <c r="M1316" s="620"/>
      <c r="N1316" s="632"/>
      <c r="O1316" s="620"/>
    </row>
    <row r="1317" spans="1:15" ht="16" thickBot="1" x14ac:dyDescent="0.4">
      <c r="A1317" s="620"/>
      <c r="B1317" s="635"/>
      <c r="C1317" s="632"/>
      <c r="D1317" s="720"/>
      <c r="F1317" s="2153" t="s">
        <v>269</v>
      </c>
      <c r="G1317" s="2154"/>
      <c r="H1317" s="2155"/>
      <c r="I1317" s="643">
        <f>SUM(M1307,M1310)</f>
        <v>0</v>
      </c>
      <c r="J1317" s="620"/>
      <c r="K1317" s="702"/>
      <c r="L1317" s="620"/>
      <c r="M1317" s="620"/>
      <c r="N1317" s="632"/>
      <c r="O1317" s="620"/>
    </row>
    <row r="1318" spans="1:15" ht="20.5" thickBot="1" x14ac:dyDescent="0.4">
      <c r="A1318" s="620"/>
      <c r="B1318" s="635"/>
      <c r="C1318" s="632"/>
      <c r="D1318" s="720"/>
      <c r="E1318" s="632"/>
      <c r="F1318" s="2156" t="s">
        <v>210</v>
      </c>
      <c r="G1318" s="2156"/>
      <c r="H1318" s="2156"/>
      <c r="I1318" s="656">
        <f>SUM(I1315:I1317)</f>
        <v>0</v>
      </c>
      <c r="J1318" s="682">
        <f>I1318-M1312</f>
        <v>0</v>
      </c>
      <c r="K1318" s="702"/>
      <c r="L1318" s="620"/>
      <c r="M1318" s="620"/>
      <c r="N1318" s="632"/>
      <c r="O1318" s="620"/>
    </row>
    <row r="1327" spans="1:15" x14ac:dyDescent="0.35">
      <c r="A1327" s="620"/>
      <c r="B1327" s="635"/>
      <c r="C1327" s="632"/>
      <c r="D1327" s="720"/>
      <c r="E1327" s="632"/>
      <c r="F1327" s="620"/>
      <c r="G1327" s="620"/>
      <c r="H1327" s="620"/>
      <c r="I1327" s="620"/>
      <c r="J1327" s="620"/>
      <c r="K1327" s="702"/>
      <c r="L1327" s="620"/>
      <c r="M1327" s="620"/>
      <c r="N1327" s="632"/>
      <c r="O1327" s="620"/>
    </row>
    <row r="1328" spans="1:15" x14ac:dyDescent="0.35">
      <c r="A1328" s="620"/>
      <c r="B1328" s="635"/>
      <c r="C1328" s="632"/>
      <c r="D1328" s="720"/>
      <c r="E1328" s="632"/>
      <c r="F1328" s="620"/>
      <c r="G1328" s="620"/>
      <c r="H1328" s="620"/>
      <c r="I1328" s="620"/>
      <c r="J1328" s="620"/>
      <c r="K1328" s="702"/>
      <c r="L1328" s="620"/>
      <c r="M1328" s="620"/>
      <c r="N1328" s="632"/>
      <c r="O1328" s="620"/>
    </row>
    <row r="1329" spans="1:15" ht="25" x14ac:dyDescent="0.35">
      <c r="A1329" s="46"/>
      <c r="B1329" s="2152"/>
      <c r="C1329" s="2152"/>
      <c r="D1329" s="2152"/>
      <c r="E1329" s="2152"/>
      <c r="F1329" s="2152"/>
      <c r="G1329" s="2152"/>
      <c r="H1329" s="2152"/>
      <c r="I1329" s="2152"/>
      <c r="J1329" s="2152"/>
      <c r="K1329" s="2152"/>
      <c r="L1329" s="2152"/>
      <c r="M1329" s="2152"/>
      <c r="N1329" s="75"/>
      <c r="O1329" s="28"/>
    </row>
    <row r="1330" spans="1:15" x14ac:dyDescent="0.35">
      <c r="A1330" s="620"/>
      <c r="B1330" s="635"/>
      <c r="C1330" s="632"/>
      <c r="D1330" s="720"/>
      <c r="E1330" s="632"/>
      <c r="F1330" s="620"/>
      <c r="G1330" s="620"/>
      <c r="H1330" s="620"/>
      <c r="I1330" s="620"/>
      <c r="J1330" s="620"/>
      <c r="K1330" s="702"/>
      <c r="L1330" s="620"/>
      <c r="M1330" s="620"/>
      <c r="N1330" s="632"/>
      <c r="O1330" s="620"/>
    </row>
    <row r="1331" spans="1:15" x14ac:dyDescent="0.35">
      <c r="A1331" s="620"/>
      <c r="B1331" s="635"/>
      <c r="C1331" s="632"/>
      <c r="D1331" s="720"/>
      <c r="E1331" s="632"/>
      <c r="F1331" s="620"/>
      <c r="G1331" s="620"/>
      <c r="H1331" s="620"/>
      <c r="I1331" s="620"/>
      <c r="J1331" s="620"/>
      <c r="K1331" s="702"/>
      <c r="L1331" s="620"/>
      <c r="M1331" s="620"/>
      <c r="N1331" s="632"/>
      <c r="O1331" s="620"/>
    </row>
    <row r="1332" spans="1:15" ht="25" x14ac:dyDescent="0.35">
      <c r="A1332" s="2095" t="s">
        <v>1325</v>
      </c>
      <c r="B1332" s="2095"/>
      <c r="C1332" s="2095"/>
      <c r="D1332" s="2095"/>
      <c r="E1332" s="2095"/>
      <c r="F1332" s="2095"/>
      <c r="G1332" s="2095"/>
      <c r="H1332" s="2095"/>
      <c r="I1332" s="2095"/>
      <c r="J1332" s="2095"/>
      <c r="K1332" s="2095"/>
      <c r="L1332" s="2095"/>
      <c r="M1332" s="2095"/>
      <c r="N1332" s="2095"/>
      <c r="O1332" s="756" t="e">
        <f>#REF!</f>
        <v>#REF!</v>
      </c>
    </row>
    <row r="1333" spans="1:15" ht="15.5" x14ac:dyDescent="0.35">
      <c r="A1333" s="2096" t="s">
        <v>0</v>
      </c>
      <c r="B1333" s="2098" t="s">
        <v>1</v>
      </c>
      <c r="C1333" s="2100" t="s">
        <v>2</v>
      </c>
      <c r="D1333" s="2101"/>
      <c r="E1333" s="2102"/>
      <c r="F1333" s="2103" t="s">
        <v>3</v>
      </c>
      <c r="G1333" s="2100" t="s">
        <v>4</v>
      </c>
      <c r="H1333" s="2102"/>
      <c r="I1333" s="2085"/>
      <c r="J1333" s="2103" t="s">
        <v>5</v>
      </c>
      <c r="K1333" s="2100" t="s">
        <v>6</v>
      </c>
      <c r="L1333" s="2102"/>
      <c r="M1333" s="97" t="s">
        <v>1088</v>
      </c>
      <c r="N1333" s="98"/>
      <c r="O1333" s="2084" t="s">
        <v>7</v>
      </c>
    </row>
    <row r="1334" spans="1:15" ht="15.5" x14ac:dyDescent="0.35">
      <c r="A1334" s="2097"/>
      <c r="B1334" s="2099"/>
      <c r="C1334" s="2086" t="s">
        <v>1108</v>
      </c>
      <c r="D1334" s="2087"/>
      <c r="E1334" s="87" t="s">
        <v>9</v>
      </c>
      <c r="F1334" s="2097"/>
      <c r="G1334" s="2">
        <f>'NORTH-1'!$G$8</f>
        <v>44774</v>
      </c>
      <c r="H1334" s="2">
        <f>'NORTH-1'!$H$8</f>
        <v>44805</v>
      </c>
      <c r="I1334" s="1" t="s">
        <v>10</v>
      </c>
      <c r="J1334" s="2097"/>
      <c r="K1334" s="1" t="s">
        <v>11</v>
      </c>
      <c r="L1334" s="1" t="s">
        <v>12</v>
      </c>
      <c r="M1334" s="617" t="s">
        <v>33</v>
      </c>
      <c r="N1334" s="76" t="s">
        <v>47</v>
      </c>
      <c r="O1334" s="2085"/>
    </row>
    <row r="1335" spans="1:15" ht="15.5" x14ac:dyDescent="0.35">
      <c r="A1335" s="3">
        <v>1</v>
      </c>
      <c r="B1335" s="88">
        <v>2</v>
      </c>
      <c r="C1335" s="2088">
        <v>4</v>
      </c>
      <c r="D1335" s="2089"/>
      <c r="E1335" s="88">
        <v>5</v>
      </c>
      <c r="F1335" s="3">
        <v>7</v>
      </c>
      <c r="G1335" s="3">
        <v>8</v>
      </c>
      <c r="H1335" s="3">
        <v>9</v>
      </c>
      <c r="I1335" s="3" t="s">
        <v>13</v>
      </c>
      <c r="J1335" s="3">
        <v>11</v>
      </c>
      <c r="K1335" s="3" t="s">
        <v>19</v>
      </c>
      <c r="L1335" s="3" t="s">
        <v>20</v>
      </c>
      <c r="M1335" s="3">
        <v>14</v>
      </c>
      <c r="N1335" s="77">
        <v>15</v>
      </c>
      <c r="O1335" s="3">
        <v>16</v>
      </c>
    </row>
    <row r="1336" spans="1:15" ht="15.5" x14ac:dyDescent="0.35">
      <c r="A1336" s="11"/>
      <c r="B1336" s="624" t="s">
        <v>4628</v>
      </c>
      <c r="C1336" s="625"/>
      <c r="D1336" s="625"/>
      <c r="E1336" s="667"/>
      <c r="F1336" s="625"/>
      <c r="G1336" s="625"/>
      <c r="H1336" s="625"/>
      <c r="I1336" s="625"/>
      <c r="J1336" s="625"/>
      <c r="K1336" s="695"/>
      <c r="L1336" s="625"/>
      <c r="M1336" s="626"/>
      <c r="N1336" s="627"/>
      <c r="O1336" s="8"/>
    </row>
    <row r="1337" spans="1:15" ht="15.5" x14ac:dyDescent="0.35">
      <c r="A1337" s="631">
        <v>1</v>
      </c>
      <c r="B1337" s="100" t="s">
        <v>3226</v>
      </c>
      <c r="C1337" s="52">
        <v>132</v>
      </c>
      <c r="D1337" s="2105" t="s">
        <v>339</v>
      </c>
      <c r="E1337" s="1854">
        <v>42627826</v>
      </c>
      <c r="F1337" s="4">
        <v>1</v>
      </c>
      <c r="G1337" s="5">
        <v>134.38300000000001</v>
      </c>
      <c r="H1337" s="5">
        <v>147.08600000000001</v>
      </c>
      <c r="I1337" s="5">
        <f>H1337-G1337</f>
        <v>12.703000000000003</v>
      </c>
      <c r="J1337" s="616">
        <v>960000</v>
      </c>
      <c r="K1337" s="696">
        <f>I1337*F1337*J1337</f>
        <v>12194880.000000004</v>
      </c>
      <c r="L1337" s="7"/>
      <c r="M1337" s="7"/>
      <c r="N1337" s="78"/>
      <c r="O1337" s="616"/>
    </row>
    <row r="1338" spans="1:15" ht="15.5" x14ac:dyDescent="0.35">
      <c r="A1338" s="631">
        <v>2</v>
      </c>
      <c r="B1338" s="100" t="s">
        <v>3227</v>
      </c>
      <c r="C1338" s="52">
        <v>132</v>
      </c>
      <c r="D1338" s="2106" t="s">
        <v>339</v>
      </c>
      <c r="E1338" s="1855">
        <v>42627815</v>
      </c>
      <c r="F1338" s="4">
        <v>1</v>
      </c>
      <c r="G1338" s="5">
        <v>78.528999999999996</v>
      </c>
      <c r="H1338" s="5">
        <v>83.816000000000003</v>
      </c>
      <c r="I1338" s="5">
        <f>H1338-G1338</f>
        <v>5.2870000000000061</v>
      </c>
      <c r="J1338" s="616">
        <v>960000</v>
      </c>
      <c r="K1338" s="696">
        <f>I1338*F1338*J1338</f>
        <v>5075520.0000000056</v>
      </c>
      <c r="L1338" s="16"/>
      <c r="M1338" s="16"/>
      <c r="N1338" s="79"/>
      <c r="O1338" s="616"/>
    </row>
    <row r="1339" spans="1:15" ht="15.5" x14ac:dyDescent="0.35">
      <c r="A1339" s="631"/>
      <c r="B1339" s="95"/>
      <c r="C1339" s="89"/>
      <c r="D1339" s="89"/>
      <c r="E1339" s="89"/>
      <c r="F1339" s="37"/>
      <c r="G1339" s="37"/>
      <c r="H1339" s="37"/>
      <c r="I1339" s="2136" t="s">
        <v>236</v>
      </c>
      <c r="J1339" s="2137"/>
      <c r="K1339" s="698">
        <f>SUM(K1337:K1338)</f>
        <v>17270400.000000007</v>
      </c>
      <c r="L1339" s="94">
        <f>SUM(L1337:L1338)</f>
        <v>0</v>
      </c>
      <c r="M1339" s="18"/>
      <c r="N1339" s="81"/>
      <c r="O1339" s="616"/>
    </row>
    <row r="1340" spans="1:15" ht="15.5" x14ac:dyDescent="0.35">
      <c r="A1340" s="631"/>
      <c r="B1340" s="95"/>
      <c r="C1340" s="89"/>
      <c r="D1340" s="89"/>
      <c r="E1340" s="89"/>
      <c r="F1340" s="37"/>
      <c r="G1340" s="37"/>
      <c r="H1340" s="37"/>
      <c r="I1340" s="665"/>
      <c r="J1340" s="665" t="s">
        <v>31</v>
      </c>
      <c r="K1340" s="699">
        <f>K1339-L1339</f>
        <v>17270400.000000007</v>
      </c>
      <c r="L1340" s="40"/>
      <c r="M1340" s="41"/>
      <c r="N1340" s="632"/>
      <c r="O1340" s="616"/>
    </row>
    <row r="1341" spans="1:15" ht="15.5" x14ac:dyDescent="0.35">
      <c r="A1341" s="631"/>
      <c r="B1341" s="624" t="s">
        <v>4649</v>
      </c>
      <c r="C1341" s="625"/>
      <c r="D1341" s="625"/>
      <c r="E1341" s="625"/>
      <c r="F1341" s="625"/>
      <c r="G1341" s="625"/>
      <c r="H1341" s="625"/>
      <c r="I1341" s="625"/>
      <c r="J1341" s="625"/>
      <c r="K1341" s="695"/>
      <c r="L1341" s="625"/>
      <c r="M1341" s="626"/>
      <c r="N1341" s="627"/>
      <c r="O1341" s="616"/>
    </row>
    <row r="1342" spans="1:15" ht="15.5" x14ac:dyDescent="0.35">
      <c r="A1342" s="631">
        <v>1</v>
      </c>
      <c r="B1342" s="100" t="s">
        <v>3217</v>
      </c>
      <c r="C1342" s="52">
        <v>132</v>
      </c>
      <c r="D1342" s="1770" t="s">
        <v>1650</v>
      </c>
      <c r="E1342" s="2149">
        <v>41808902823</v>
      </c>
      <c r="F1342" s="4">
        <v>1</v>
      </c>
      <c r="G1342" s="5">
        <v>107.45</v>
      </c>
      <c r="H1342" s="5">
        <v>117.6</v>
      </c>
      <c r="I1342" s="5">
        <f>H1342-G1342</f>
        <v>10.149999999999991</v>
      </c>
      <c r="J1342" s="616">
        <v>1200000</v>
      </c>
      <c r="K1342" s="696">
        <f>I1342*F1342*J1342</f>
        <v>12179999.999999991</v>
      </c>
      <c r="L1342" s="16"/>
      <c r="M1342" s="16"/>
      <c r="N1342" s="79"/>
      <c r="O1342" s="616"/>
    </row>
    <row r="1343" spans="1:15" ht="15.5" x14ac:dyDescent="0.35">
      <c r="A1343" s="631"/>
      <c r="B1343" s="100"/>
      <c r="C1343" s="52">
        <v>132</v>
      </c>
      <c r="D1343" s="1771" t="s">
        <v>1651</v>
      </c>
      <c r="E1343" s="2150">
        <v>41808904269</v>
      </c>
      <c r="F1343" s="4">
        <v>1</v>
      </c>
      <c r="G1343" s="5">
        <v>107.47</v>
      </c>
      <c r="H1343" s="5">
        <v>117.63</v>
      </c>
      <c r="I1343" s="5">
        <f>H1343-G1343</f>
        <v>10.159999999999997</v>
      </c>
      <c r="J1343" s="616">
        <v>1200000</v>
      </c>
      <c r="K1343" s="696">
        <f>I1343*F1343*J1343</f>
        <v>12191999.999999996</v>
      </c>
      <c r="L1343" s="16"/>
      <c r="M1343" s="16"/>
      <c r="N1343" s="79"/>
      <c r="O1343" s="616"/>
    </row>
    <row r="1344" spans="1:15" ht="15.5" x14ac:dyDescent="0.35">
      <c r="A1344" s="631">
        <v>4</v>
      </c>
      <c r="B1344" s="100" t="s">
        <v>3218</v>
      </c>
      <c r="C1344" s="52">
        <v>132</v>
      </c>
      <c r="D1344" s="1771" t="s">
        <v>2619</v>
      </c>
      <c r="E1344" s="2149">
        <v>41808902845</v>
      </c>
      <c r="F1344" s="4">
        <v>1</v>
      </c>
      <c r="G1344" s="5">
        <v>62.76</v>
      </c>
      <c r="H1344" s="5">
        <v>66.989999999999995</v>
      </c>
      <c r="I1344" s="5">
        <f>H1344-G1344</f>
        <v>4.2299999999999969</v>
      </c>
      <c r="J1344" s="616">
        <v>1200000</v>
      </c>
      <c r="K1344" s="696">
        <f>I1344*F1344*J1344</f>
        <v>5075999.9999999963</v>
      </c>
      <c r="L1344" s="16"/>
      <c r="M1344" s="16"/>
      <c r="N1344" s="79"/>
      <c r="O1344" s="616"/>
    </row>
    <row r="1345" spans="1:15" ht="15.5" x14ac:dyDescent="0.35">
      <c r="A1345" s="631"/>
      <c r="B1345" s="100"/>
      <c r="C1345" s="52">
        <v>132</v>
      </c>
      <c r="D1345" s="1772" t="s">
        <v>2620</v>
      </c>
      <c r="E1345" s="2150">
        <v>41808904256</v>
      </c>
      <c r="F1345" s="4">
        <v>1</v>
      </c>
      <c r="G1345" s="5">
        <v>62.78</v>
      </c>
      <c r="H1345" s="5">
        <v>67.069999999999993</v>
      </c>
      <c r="I1345" s="5">
        <f>H1345-G1345</f>
        <v>4.289999999999992</v>
      </c>
      <c r="J1345" s="616">
        <v>1200000</v>
      </c>
      <c r="K1345" s="697">
        <f>I1345*F1345*J1345</f>
        <v>5147999.9999999907</v>
      </c>
      <c r="L1345" s="17"/>
      <c r="M1345" s="17"/>
      <c r="N1345" s="80"/>
      <c r="O1345" s="616"/>
    </row>
    <row r="1346" spans="1:15" ht="15.5" x14ac:dyDescent="0.35">
      <c r="A1346" s="631"/>
      <c r="B1346" s="95"/>
      <c r="C1346" s="89"/>
      <c r="D1346" s="89"/>
      <c r="E1346" s="89"/>
      <c r="F1346" s="37"/>
      <c r="G1346" s="37"/>
      <c r="H1346" s="37"/>
      <c r="I1346" s="2136" t="s">
        <v>303</v>
      </c>
      <c r="J1346" s="2137"/>
      <c r="K1346" s="698">
        <f>K1342+K1344</f>
        <v>17255999.999999985</v>
      </c>
      <c r="L1346" s="94">
        <f>SUM(L1342:L1345)</f>
        <v>0</v>
      </c>
      <c r="M1346" s="18"/>
      <c r="N1346" s="81"/>
      <c r="O1346" s="633"/>
    </row>
    <row r="1347" spans="1:15" ht="15.5" x14ac:dyDescent="0.35">
      <c r="A1347" s="631"/>
      <c r="B1347" s="95"/>
      <c r="C1347" s="89"/>
      <c r="D1347" s="89"/>
      <c r="E1347" s="89"/>
      <c r="F1347" s="37"/>
      <c r="G1347" s="37"/>
      <c r="H1347" s="37"/>
      <c r="I1347" s="2136" t="s">
        <v>31</v>
      </c>
      <c r="J1347" s="2137"/>
      <c r="K1347" s="699">
        <f>K1346-L1346</f>
        <v>17255999.999999985</v>
      </c>
      <c r="L1347" s="40"/>
      <c r="M1347" s="42"/>
      <c r="N1347" s="634"/>
      <c r="O1347" s="633"/>
    </row>
    <row r="1348" spans="1:15" ht="15.5" x14ac:dyDescent="0.35">
      <c r="A1348" s="11"/>
      <c r="B1348" s="647" t="s">
        <v>4647</v>
      </c>
      <c r="C1348" s="648"/>
      <c r="D1348" s="648"/>
      <c r="E1348" s="648"/>
      <c r="F1348" s="648"/>
      <c r="G1348" s="648"/>
      <c r="H1348" s="648"/>
      <c r="I1348" s="648"/>
      <c r="J1348" s="648"/>
      <c r="K1348" s="700"/>
      <c r="L1348" s="648"/>
      <c r="M1348" s="651"/>
      <c r="N1348" s="649"/>
      <c r="O1348" s="8"/>
    </row>
    <row r="1349" spans="1:15" ht="15.5" x14ac:dyDescent="0.35">
      <c r="A1349" s="631"/>
      <c r="B1349" s="100" t="s">
        <v>1079</v>
      </c>
      <c r="C1349" s="52">
        <v>132</v>
      </c>
      <c r="D1349" s="2138" t="s">
        <v>1083</v>
      </c>
      <c r="E1349" s="615"/>
      <c r="F1349" s="4"/>
      <c r="G1349" s="5"/>
      <c r="H1349" s="5"/>
      <c r="I1349" s="5"/>
      <c r="J1349" s="616"/>
      <c r="K1349" s="696"/>
      <c r="L1349" s="16">
        <f>J1349*I1349*F1349</f>
        <v>0</v>
      </c>
      <c r="M1349" s="7"/>
      <c r="N1349" s="78"/>
      <c r="O1349" s="616"/>
    </row>
    <row r="1350" spans="1:15" ht="15.5" x14ac:dyDescent="0.35">
      <c r="A1350" s="631"/>
      <c r="B1350" s="100" t="s">
        <v>1078</v>
      </c>
      <c r="C1350" s="52">
        <v>132</v>
      </c>
      <c r="D1350" s="2139"/>
      <c r="E1350" s="615"/>
      <c r="F1350" s="4"/>
      <c r="G1350" s="5"/>
      <c r="H1350" s="5"/>
      <c r="I1350" s="5"/>
      <c r="J1350" s="616"/>
      <c r="K1350" s="696"/>
      <c r="L1350" s="16">
        <f>J1350*I1350*F1350</f>
        <v>0</v>
      </c>
      <c r="M1350" s="16"/>
      <c r="N1350" s="79"/>
      <c r="O1350" s="616"/>
    </row>
    <row r="1351" spans="1:15" ht="15.5" x14ac:dyDescent="0.35">
      <c r="A1351" s="631"/>
      <c r="B1351" s="95"/>
      <c r="C1351" s="89"/>
      <c r="D1351" s="89"/>
      <c r="E1351" s="89"/>
      <c r="F1351" s="37"/>
      <c r="G1351" s="37"/>
      <c r="H1351" s="37"/>
      <c r="I1351" s="37"/>
      <c r="J1351" s="95" t="s">
        <v>279</v>
      </c>
      <c r="K1351" s="699"/>
      <c r="L1351" s="55">
        <f>SUM(L1349:L1350)</f>
        <v>0</v>
      </c>
      <c r="M1351" s="633"/>
      <c r="N1351" s="634"/>
      <c r="O1351" s="616"/>
    </row>
    <row r="1352" spans="1:15" ht="15.5" x14ac:dyDescent="0.35">
      <c r="A1352" s="11"/>
      <c r="B1352" s="647" t="s">
        <v>4648</v>
      </c>
      <c r="C1352" s="648"/>
      <c r="D1352" s="648"/>
      <c r="E1352" s="648"/>
      <c r="F1352" s="648"/>
      <c r="G1352" s="648"/>
      <c r="H1352" s="648"/>
      <c r="I1352" s="648"/>
      <c r="J1352" s="648"/>
      <c r="K1352" s="700"/>
      <c r="L1352" s="648"/>
      <c r="M1352" s="651"/>
      <c r="N1352" s="649"/>
      <c r="O1352" s="8"/>
    </row>
    <row r="1353" spans="1:15" ht="15.5" x14ac:dyDescent="0.35">
      <c r="A1353" s="631">
        <v>2</v>
      </c>
      <c r="B1353" s="100" t="s">
        <v>2923</v>
      </c>
      <c r="C1353" s="52">
        <v>132</v>
      </c>
      <c r="D1353" s="1770" t="s">
        <v>2623</v>
      </c>
      <c r="E1353" s="2149">
        <v>41808902871</v>
      </c>
      <c r="F1353" s="4">
        <v>1</v>
      </c>
      <c r="G1353" s="5">
        <v>118.53</v>
      </c>
      <c r="H1353" s="5">
        <v>128.68</v>
      </c>
      <c r="I1353" s="5">
        <f>H1353-G1353</f>
        <v>10.150000000000006</v>
      </c>
      <c r="J1353" s="616">
        <v>1200000</v>
      </c>
      <c r="K1353" s="696"/>
      <c r="L1353" s="16">
        <f>I1353*F1353*J1353</f>
        <v>12180000.000000007</v>
      </c>
      <c r="M1353" s="16"/>
      <c r="N1353" s="79"/>
      <c r="O1353" s="616"/>
    </row>
    <row r="1354" spans="1:15" ht="15.5" x14ac:dyDescent="0.35">
      <c r="A1354" s="631"/>
      <c r="B1354" s="100"/>
      <c r="C1354" s="52">
        <v>132</v>
      </c>
      <c r="D1354" s="1771" t="s">
        <v>2624</v>
      </c>
      <c r="E1354" s="2150">
        <v>41808904257</v>
      </c>
      <c r="F1354" s="4">
        <v>1</v>
      </c>
      <c r="G1354" s="5">
        <v>118.56</v>
      </c>
      <c r="H1354" s="5">
        <v>128.71</v>
      </c>
      <c r="I1354" s="5">
        <f>H1354-G1354</f>
        <v>10.150000000000006</v>
      </c>
      <c r="J1354" s="616">
        <v>1200000</v>
      </c>
      <c r="K1354" s="696"/>
      <c r="L1354" s="16">
        <f>I1354*F1354*J1354</f>
        <v>12180000.000000007</v>
      </c>
      <c r="M1354" s="16"/>
      <c r="N1354" s="79"/>
      <c r="O1354" s="616"/>
    </row>
    <row r="1355" spans="1:15" ht="15.5" x14ac:dyDescent="0.35">
      <c r="A1355" s="631">
        <v>5</v>
      </c>
      <c r="B1355" s="100" t="s">
        <v>2924</v>
      </c>
      <c r="C1355" s="52">
        <v>132</v>
      </c>
      <c r="D1355" s="1771" t="s">
        <v>2623</v>
      </c>
      <c r="E1355" s="2149">
        <v>41808902846</v>
      </c>
      <c r="F1355" s="4">
        <v>1</v>
      </c>
      <c r="G1355" s="5">
        <v>51.62</v>
      </c>
      <c r="H1355" s="5">
        <v>55.84</v>
      </c>
      <c r="I1355" s="5">
        <f>H1355-G1355</f>
        <v>4.220000000000006</v>
      </c>
      <c r="J1355" s="616">
        <v>1200000</v>
      </c>
      <c r="K1355" s="696"/>
      <c r="L1355" s="16">
        <f>I1355*F1355*J1355</f>
        <v>5064000.0000000075</v>
      </c>
      <c r="M1355" s="16"/>
      <c r="N1355" s="79"/>
      <c r="O1355" s="616"/>
    </row>
    <row r="1356" spans="1:15" ht="15.5" x14ac:dyDescent="0.35">
      <c r="A1356" s="631"/>
      <c r="B1356" s="100"/>
      <c r="C1356" s="52">
        <v>132</v>
      </c>
      <c r="D1356" s="1772" t="s">
        <v>2624</v>
      </c>
      <c r="E1356" s="2150">
        <v>41808904243</v>
      </c>
      <c r="F1356" s="4">
        <v>1</v>
      </c>
      <c r="G1356" s="5">
        <v>51.62</v>
      </c>
      <c r="H1356" s="5">
        <v>55.84</v>
      </c>
      <c r="I1356" s="5">
        <f>H1356-G1356</f>
        <v>4.220000000000006</v>
      </c>
      <c r="J1356" s="616">
        <v>1200000</v>
      </c>
      <c r="K1356" s="697"/>
      <c r="L1356" s="17">
        <f>I1356*F1356*J1356</f>
        <v>5064000.0000000075</v>
      </c>
      <c r="M1356" s="17"/>
      <c r="N1356" s="80"/>
      <c r="O1356" s="616"/>
    </row>
    <row r="1357" spans="1:15" ht="15.5" x14ac:dyDescent="0.35">
      <c r="A1357" s="631"/>
      <c r="B1357" s="95"/>
      <c r="C1357" s="89"/>
      <c r="D1357" s="89"/>
      <c r="E1357" s="65"/>
      <c r="F1357" s="65"/>
      <c r="G1357" s="65"/>
      <c r="H1357" s="65"/>
      <c r="I1357" s="65"/>
      <c r="J1357" s="95" t="s">
        <v>30</v>
      </c>
      <c r="K1357" s="701"/>
      <c r="L1357" s="699">
        <f>L1353+L1355</f>
        <v>17244000.000000015</v>
      </c>
      <c r="M1357" s="55"/>
      <c r="N1357" s="78"/>
      <c r="O1357" s="616"/>
    </row>
    <row r="1358" spans="1:15" ht="15" thickBot="1" x14ac:dyDescent="0.4">
      <c r="A1358" s="620"/>
      <c r="B1358" s="635"/>
      <c r="C1358" s="632"/>
      <c r="D1358" s="720"/>
      <c r="K1358" s="702"/>
      <c r="L1358" s="620"/>
      <c r="M1358" s="620"/>
      <c r="N1358" s="632"/>
      <c r="O1358" s="620"/>
    </row>
    <row r="1359" spans="1:15" s="620" customFormat="1" x14ac:dyDescent="0.35">
      <c r="B1359" s="2142" t="s">
        <v>1090</v>
      </c>
      <c r="C1359" s="2143"/>
      <c r="D1359" s="683" t="s">
        <v>14</v>
      </c>
      <c r="E1359"/>
      <c r="F1359" s="2144" t="s">
        <v>1091</v>
      </c>
      <c r="G1359" s="2145"/>
      <c r="H1359" s="2146"/>
      <c r="I1359" s="683" t="s">
        <v>14</v>
      </c>
      <c r="K1359" s="2147" t="s">
        <v>1092</v>
      </c>
      <c r="L1359" s="2148"/>
      <c r="M1359" s="684" t="s">
        <v>14</v>
      </c>
      <c r="N1359" s="632"/>
    </row>
    <row r="1360" spans="1:15" s="620" customFormat="1" x14ac:dyDescent="0.35">
      <c r="B1360" s="2122" t="str">
        <f>B1336</f>
        <v>132 KV SIDE (SENDING)</v>
      </c>
      <c r="C1360" s="2123"/>
      <c r="D1360" s="689">
        <f>K1340</f>
        <v>17270400.000000007</v>
      </c>
      <c r="E1360"/>
      <c r="F1360" s="2124" t="s">
        <v>1093</v>
      </c>
      <c r="G1360" s="2125"/>
      <c r="H1360" s="2126"/>
      <c r="I1360" s="689">
        <f>L1351</f>
        <v>0</v>
      </c>
      <c r="K1360" s="2129" t="s">
        <v>4625</v>
      </c>
      <c r="L1360" s="2130"/>
      <c r="M1360" s="687">
        <f>I1361</f>
        <v>17244000.000000015</v>
      </c>
      <c r="N1360" s="632"/>
    </row>
    <row r="1361" spans="1:15" s="620" customFormat="1" x14ac:dyDescent="0.35">
      <c r="B1361" s="2122" t="s">
        <v>1116</v>
      </c>
      <c r="C1361" s="2123"/>
      <c r="D1361" s="689"/>
      <c r="E1361"/>
      <c r="F1361" s="2124" t="s">
        <v>4625</v>
      </c>
      <c r="G1361" s="2125"/>
      <c r="H1361" s="2126"/>
      <c r="I1361" s="687">
        <f>L1357</f>
        <v>17244000.000000015</v>
      </c>
      <c r="K1361" s="2127" t="s">
        <v>2455</v>
      </c>
      <c r="L1361" s="2128"/>
      <c r="M1361" s="1908">
        <f>D1365</f>
        <v>17150399.999999985</v>
      </c>
      <c r="N1361" s="632"/>
    </row>
    <row r="1362" spans="1:15" s="620" customFormat="1" x14ac:dyDescent="0.35">
      <c r="B1362" s="2122" t="s">
        <v>1117</v>
      </c>
      <c r="C1362" s="2123"/>
      <c r="D1362" s="689"/>
      <c r="E1362"/>
      <c r="F1362" s="2124" t="s">
        <v>1089</v>
      </c>
      <c r="G1362" s="2125"/>
      <c r="H1362" s="2126"/>
      <c r="I1362" s="689">
        <f>I1360+I1361</f>
        <v>17244000.000000015</v>
      </c>
      <c r="K1362" s="2129" t="s">
        <v>4622</v>
      </c>
      <c r="L1362" s="2130"/>
      <c r="M1362" s="689">
        <f>M1360-M1361</f>
        <v>93600.000000029802</v>
      </c>
      <c r="N1362" s="632"/>
    </row>
    <row r="1363" spans="1:15" s="620" customFormat="1" ht="15" thickBot="1" x14ac:dyDescent="0.4">
      <c r="B1363" s="2122" t="s">
        <v>1118</v>
      </c>
      <c r="C1363" s="2123"/>
      <c r="D1363" s="722"/>
      <c r="E1363"/>
      <c r="F1363" s="2131" t="s">
        <v>4626</v>
      </c>
      <c r="G1363" s="2132"/>
      <c r="H1363" s="2133"/>
      <c r="I1363" s="689">
        <f>D1364-I1362</f>
        <v>26399.999999992549</v>
      </c>
      <c r="K1363" s="2134" t="s">
        <v>285</v>
      </c>
      <c r="L1363" s="2135"/>
      <c r="M1363" s="1905">
        <f>M1362/M1360</f>
        <v>5.4279749478096566E-3</v>
      </c>
      <c r="N1363" s="632"/>
    </row>
    <row r="1364" spans="1:15" s="620" customFormat="1" ht="15" thickBot="1" x14ac:dyDescent="0.4">
      <c r="B1364" s="2109" t="s">
        <v>4620</v>
      </c>
      <c r="C1364" s="2110"/>
      <c r="D1364" s="1435">
        <f>SUM(D1360:D1363)</f>
        <v>17270400.000000007</v>
      </c>
      <c r="E1364"/>
      <c r="F1364" s="2113" t="s">
        <v>2454</v>
      </c>
      <c r="G1364" s="2114"/>
      <c r="H1364" s="2115"/>
      <c r="I1364" s="1904">
        <f>I1363/I1362</f>
        <v>1.5309672929710349E-3</v>
      </c>
      <c r="K1364" s="702"/>
      <c r="N1364" s="632"/>
    </row>
    <row r="1365" spans="1:15" s="620" customFormat="1" x14ac:dyDescent="0.35">
      <c r="B1365" s="2116" t="s">
        <v>4624</v>
      </c>
      <c r="C1365" s="2117"/>
      <c r="D1365" s="1908">
        <f>K1380</f>
        <v>17150399.999999985</v>
      </c>
      <c r="E1365"/>
      <c r="F1365" s="791"/>
      <c r="G1365"/>
      <c r="H1365"/>
      <c r="I1365"/>
      <c r="J1365"/>
      <c r="K1365" s="702"/>
      <c r="N1365" s="632"/>
    </row>
    <row r="1366" spans="1:15" s="620" customFormat="1" x14ac:dyDescent="0.35">
      <c r="B1366" s="2118" t="s">
        <v>4627</v>
      </c>
      <c r="C1366" s="2119"/>
      <c r="D1366" s="1436">
        <f>D1364-D1365</f>
        <v>120000.00000002235</v>
      </c>
      <c r="E1366"/>
      <c r="F1366" s="791"/>
      <c r="G1366"/>
      <c r="H1366"/>
      <c r="I1366"/>
      <c r="J1366"/>
      <c r="K1366" s="702"/>
      <c r="N1366" s="632"/>
    </row>
    <row r="1367" spans="1:15" s="620" customFormat="1" ht="15" thickBot="1" x14ac:dyDescent="0.4">
      <c r="B1367" s="2120" t="str">
        <f>K1363</f>
        <v>LOSS % IN =&gt;</v>
      </c>
      <c r="C1367" s="2121"/>
      <c r="D1367" s="1899">
        <f>D1366/D1360</f>
        <v>6.9483046136755546E-3</v>
      </c>
      <c r="E1367"/>
      <c r="F1367" s="791"/>
      <c r="G1367" s="678"/>
      <c r="H1367" s="678"/>
      <c r="I1367" s="678"/>
      <c r="J1367" s="679"/>
      <c r="K1367" s="702"/>
      <c r="N1367" s="632"/>
    </row>
    <row r="1368" spans="1:15" x14ac:dyDescent="0.35">
      <c r="A1368" s="620"/>
      <c r="B1368" s="635"/>
      <c r="C1368" s="632"/>
      <c r="D1368" s="720"/>
      <c r="G1368" s="678"/>
      <c r="H1368" s="678"/>
      <c r="I1368" s="678"/>
      <c r="J1368" s="679"/>
      <c r="K1368" s="702"/>
      <c r="L1368" s="620"/>
      <c r="M1368" s="620"/>
      <c r="N1368" s="632"/>
      <c r="O1368" s="620"/>
    </row>
    <row r="1369" spans="1:15" x14ac:dyDescent="0.35">
      <c r="A1369" s="620"/>
      <c r="B1369" s="635"/>
      <c r="C1369" s="632"/>
      <c r="D1369" s="720"/>
      <c r="G1369" s="678"/>
      <c r="H1369" s="678"/>
      <c r="I1369" s="678"/>
      <c r="J1369" s="679"/>
      <c r="K1369" s="702"/>
      <c r="L1369" s="620"/>
      <c r="M1369" s="620"/>
      <c r="N1369" s="632"/>
      <c r="O1369" s="620"/>
    </row>
    <row r="1370" spans="1:15" x14ac:dyDescent="0.35">
      <c r="A1370" s="620"/>
      <c r="B1370" s="635"/>
      <c r="C1370" s="632"/>
      <c r="D1370" s="720"/>
      <c r="E1370" s="632"/>
      <c r="F1370" s="620"/>
      <c r="G1370" s="620"/>
      <c r="H1370" s="620"/>
      <c r="I1370" s="620"/>
      <c r="J1370" s="620"/>
      <c r="K1370" s="702"/>
      <c r="L1370" s="620"/>
      <c r="M1370" s="620"/>
      <c r="N1370" s="632"/>
      <c r="O1370" s="620"/>
    </row>
    <row r="1371" spans="1:15" ht="25" x14ac:dyDescent="0.35">
      <c r="A1371" s="2095" t="s">
        <v>1326</v>
      </c>
      <c r="B1371" s="2095"/>
      <c r="C1371" s="2095"/>
      <c r="D1371" s="2095"/>
      <c r="E1371" s="2095"/>
      <c r="F1371" s="2095"/>
      <c r="G1371" s="2095"/>
      <c r="H1371" s="2095"/>
      <c r="I1371" s="2095"/>
      <c r="J1371" s="2095"/>
      <c r="K1371" s="2095"/>
      <c r="L1371" s="2095"/>
      <c r="M1371" s="2095"/>
      <c r="N1371" s="2095"/>
      <c r="O1371" s="756" t="e">
        <f>$O$6</f>
        <v>#REF!</v>
      </c>
    </row>
    <row r="1372" spans="1:15" ht="15.5" x14ac:dyDescent="0.35">
      <c r="A1372" s="2096" t="s">
        <v>0</v>
      </c>
      <c r="B1372" s="2098" t="s">
        <v>1</v>
      </c>
      <c r="C1372" s="2100" t="s">
        <v>2</v>
      </c>
      <c r="D1372" s="2101"/>
      <c r="E1372" s="2102"/>
      <c r="F1372" s="2103" t="s">
        <v>3</v>
      </c>
      <c r="G1372" s="2100" t="s">
        <v>4</v>
      </c>
      <c r="H1372" s="2102"/>
      <c r="I1372" s="2085"/>
      <c r="J1372" s="2103" t="s">
        <v>5</v>
      </c>
      <c r="K1372" s="2100" t="s">
        <v>6</v>
      </c>
      <c r="L1372" s="2085"/>
      <c r="M1372" s="97" t="s">
        <v>32</v>
      </c>
      <c r="N1372" s="98"/>
      <c r="O1372" s="2084" t="s">
        <v>7</v>
      </c>
    </row>
    <row r="1373" spans="1:15" ht="15.5" x14ac:dyDescent="0.35">
      <c r="A1373" s="2111"/>
      <c r="B1373" s="2112"/>
      <c r="C1373" s="2086" t="s">
        <v>1108</v>
      </c>
      <c r="D1373" s="2087"/>
      <c r="E1373" s="675" t="s">
        <v>9</v>
      </c>
      <c r="F1373" s="2111"/>
      <c r="G1373" s="2">
        <f>'NORTH-1'!$G$8</f>
        <v>44774</v>
      </c>
      <c r="H1373" s="2">
        <f>'NORTH-1'!$H$8</f>
        <v>44805</v>
      </c>
      <c r="I1373" s="676" t="s">
        <v>10</v>
      </c>
      <c r="J1373" s="2111"/>
      <c r="K1373" s="676" t="s">
        <v>11</v>
      </c>
      <c r="L1373" s="676" t="s">
        <v>12</v>
      </c>
      <c r="M1373" s="715" t="s">
        <v>33</v>
      </c>
      <c r="N1373" s="716" t="s">
        <v>47</v>
      </c>
      <c r="O1373" s="2104"/>
    </row>
    <row r="1374" spans="1:15" ht="15.5" x14ac:dyDescent="0.35">
      <c r="A1374" s="717">
        <v>1</v>
      </c>
      <c r="B1374" s="673">
        <v>2</v>
      </c>
      <c r="C1374" s="2088">
        <v>4</v>
      </c>
      <c r="D1374" s="2089"/>
      <c r="E1374" s="673">
        <v>5</v>
      </c>
      <c r="F1374" s="717">
        <v>7</v>
      </c>
      <c r="G1374" s="717">
        <v>8</v>
      </c>
      <c r="H1374" s="717">
        <v>9</v>
      </c>
      <c r="I1374" s="717" t="s">
        <v>13</v>
      </c>
      <c r="J1374" s="717">
        <v>11</v>
      </c>
      <c r="K1374" s="717" t="s">
        <v>19</v>
      </c>
      <c r="L1374" s="717" t="s">
        <v>20</v>
      </c>
      <c r="M1374" s="717">
        <v>14</v>
      </c>
      <c r="N1374" s="673">
        <v>15</v>
      </c>
      <c r="O1374" s="717">
        <v>16</v>
      </c>
    </row>
    <row r="1375" spans="1:15" ht="15.5" x14ac:dyDescent="0.35">
      <c r="A1375" s="11"/>
      <c r="B1375" s="624" t="s">
        <v>1100</v>
      </c>
      <c r="C1375" s="625"/>
      <c r="D1375" s="625"/>
      <c r="E1375" s="625"/>
      <c r="F1375" s="625"/>
      <c r="G1375" s="625"/>
      <c r="H1375" s="625"/>
      <c r="I1375" s="625"/>
      <c r="J1375" s="625"/>
      <c r="K1375" s="695"/>
      <c r="L1375" s="625"/>
      <c r="M1375" s="626"/>
      <c r="N1375" s="627"/>
      <c r="O1375" s="8"/>
    </row>
    <row r="1376" spans="1:15" ht="15.5" x14ac:dyDescent="0.35">
      <c r="A1376" s="631">
        <v>11</v>
      </c>
      <c r="B1376" s="100" t="s">
        <v>2629</v>
      </c>
      <c r="C1376" s="52">
        <v>33</v>
      </c>
      <c r="D1376" s="1770" t="s">
        <v>1650</v>
      </c>
      <c r="E1376" s="52">
        <v>41808902807</v>
      </c>
      <c r="F1376" s="4">
        <v>1</v>
      </c>
      <c r="G1376" s="5">
        <v>196.86</v>
      </c>
      <c r="H1376" s="5">
        <v>213.7</v>
      </c>
      <c r="I1376" s="5">
        <f>H1376-G1376</f>
        <v>16.839999999999975</v>
      </c>
      <c r="J1376" s="616">
        <v>720000</v>
      </c>
      <c r="K1376" s="696">
        <f>I1376*F1376*J1376</f>
        <v>12124799.999999981</v>
      </c>
      <c r="L1376" s="7"/>
      <c r="M1376" s="7"/>
      <c r="N1376" s="78"/>
      <c r="O1376" s="616" t="s">
        <v>2540</v>
      </c>
    </row>
    <row r="1377" spans="1:15" ht="15.5" x14ac:dyDescent="0.35">
      <c r="A1377" s="631"/>
      <c r="B1377" s="100"/>
      <c r="C1377" s="52">
        <v>33</v>
      </c>
      <c r="D1377" s="1771" t="s">
        <v>1651</v>
      </c>
      <c r="E1377" s="52">
        <v>41808904286</v>
      </c>
      <c r="F1377" s="4">
        <v>1</v>
      </c>
      <c r="G1377" s="5">
        <v>196.88</v>
      </c>
      <c r="H1377" s="5">
        <v>213.72</v>
      </c>
      <c r="I1377" s="5">
        <f>H1377-G1377</f>
        <v>16.840000000000003</v>
      </c>
      <c r="J1377" s="616">
        <v>720000</v>
      </c>
      <c r="K1377" s="696">
        <f>I1377*F1377*J1377</f>
        <v>12124800.000000002</v>
      </c>
      <c r="L1377" s="7"/>
      <c r="M1377" s="7"/>
      <c r="N1377" s="78"/>
      <c r="O1377" s="616" t="e">
        <f>L1368+L1370+L1372+L1374+#REF!</f>
        <v>#VALUE!</v>
      </c>
    </row>
    <row r="1378" spans="1:15" ht="15.5" x14ac:dyDescent="0.35">
      <c r="A1378" s="631">
        <v>12</v>
      </c>
      <c r="B1378" s="100" t="s">
        <v>2630</v>
      </c>
      <c r="C1378" s="52">
        <v>33</v>
      </c>
      <c r="D1378" s="1771" t="s">
        <v>1650</v>
      </c>
      <c r="E1378" s="52">
        <v>41808902869</v>
      </c>
      <c r="F1378" s="4">
        <v>1</v>
      </c>
      <c r="G1378" s="5">
        <v>85.44</v>
      </c>
      <c r="H1378" s="5">
        <v>92.42</v>
      </c>
      <c r="I1378" s="5">
        <f>H1378-G1378</f>
        <v>6.980000000000004</v>
      </c>
      <c r="J1378" s="616">
        <v>720000</v>
      </c>
      <c r="K1378" s="696">
        <f>I1378*F1378*J1378</f>
        <v>5025600.0000000028</v>
      </c>
      <c r="L1378" s="7"/>
      <c r="M1378" s="7"/>
      <c r="N1378" s="78"/>
      <c r="O1378" s="616" t="s">
        <v>2555</v>
      </c>
    </row>
    <row r="1379" spans="1:15" ht="15.5" x14ac:dyDescent="0.35">
      <c r="A1379" s="631"/>
      <c r="B1379" s="100"/>
      <c r="C1379" s="52">
        <v>33</v>
      </c>
      <c r="D1379" s="1772" t="s">
        <v>1651</v>
      </c>
      <c r="E1379" s="52">
        <v>41808904268</v>
      </c>
      <c r="F1379" s="4">
        <v>1</v>
      </c>
      <c r="G1379" s="5">
        <v>85.44</v>
      </c>
      <c r="H1379" s="5">
        <v>92.43</v>
      </c>
      <c r="I1379" s="5">
        <f>H1379-G1379</f>
        <v>6.9900000000000091</v>
      </c>
      <c r="J1379" s="616">
        <v>720000</v>
      </c>
      <c r="K1379" s="696">
        <f>I1379*F1379*J1379</f>
        <v>5032800.0000000065</v>
      </c>
      <c r="L1379" s="7"/>
      <c r="M1379" s="7"/>
      <c r="N1379" s="78"/>
      <c r="O1379" s="616">
        <f>L1380+L1382+L1384+L1386+L1388</f>
        <v>6570000</v>
      </c>
    </row>
    <row r="1380" spans="1:15" ht="15.5" x14ac:dyDescent="0.35">
      <c r="A1380" s="631"/>
      <c r="B1380" s="95"/>
      <c r="C1380" s="89"/>
      <c r="D1380" s="89"/>
      <c r="E1380" s="89"/>
      <c r="F1380" s="37"/>
      <c r="G1380" s="37"/>
      <c r="H1380" s="37"/>
      <c r="I1380" s="37"/>
      <c r="J1380" s="95" t="s">
        <v>30</v>
      </c>
      <c r="K1380" s="1908">
        <f>K1376+K1378</f>
        <v>17150399.999999985</v>
      </c>
      <c r="L1380" s="40"/>
      <c r="M1380" s="40">
        <f>SUM(M1376:M1379)</f>
        <v>0</v>
      </c>
      <c r="N1380" s="78"/>
      <c r="O1380" s="616"/>
    </row>
    <row r="1381" spans="1:15" ht="15.5" x14ac:dyDescent="0.35">
      <c r="A1381" s="631"/>
      <c r="B1381" s="647" t="s">
        <v>1103</v>
      </c>
      <c r="C1381" s="648"/>
      <c r="D1381" s="648"/>
      <c r="E1381" s="648"/>
      <c r="F1381" s="648"/>
      <c r="G1381" s="648"/>
      <c r="H1381" s="648"/>
      <c r="I1381" s="648"/>
      <c r="J1381" s="648"/>
      <c r="K1381" s="700"/>
      <c r="L1381" s="648"/>
      <c r="M1381" s="651"/>
      <c r="N1381" s="649"/>
      <c r="O1381" s="616"/>
    </row>
    <row r="1382" spans="1:15" ht="15.5" x14ac:dyDescent="0.35">
      <c r="A1382" s="631"/>
      <c r="B1382" s="662" t="s">
        <v>1106</v>
      </c>
      <c r="C1382" s="52"/>
      <c r="D1382" s="1777" t="s">
        <v>1083</v>
      </c>
      <c r="E1382" s="52"/>
      <c r="F1382" s="4"/>
      <c r="G1382" s="5"/>
      <c r="H1382" s="5"/>
      <c r="I1382" s="6"/>
      <c r="J1382" s="616"/>
      <c r="K1382" s="696"/>
      <c r="L1382" s="7"/>
      <c r="M1382" s="7"/>
      <c r="N1382" s="78"/>
      <c r="O1382" s="616"/>
    </row>
    <row r="1383" spans="1:15" ht="15.5" x14ac:dyDescent="0.35">
      <c r="A1383" s="11">
        <v>10</v>
      </c>
      <c r="B1383" s="100" t="s">
        <v>3219</v>
      </c>
      <c r="C1383" s="661">
        <v>33</v>
      </c>
      <c r="D1383" s="1773" t="s">
        <v>1650</v>
      </c>
      <c r="E1383" s="674">
        <v>41812909528</v>
      </c>
      <c r="F1383" s="4">
        <v>1</v>
      </c>
      <c r="G1383" s="21">
        <v>0.01</v>
      </c>
      <c r="H1383" s="21">
        <v>0.01</v>
      </c>
      <c r="I1383" s="21">
        <f>H1383-G1383</f>
        <v>0</v>
      </c>
      <c r="J1383" s="616">
        <v>360000</v>
      </c>
      <c r="K1383" s="696"/>
      <c r="L1383" s="22">
        <f>I1383*F1383*J1383</f>
        <v>0</v>
      </c>
      <c r="M1383" s="22"/>
      <c r="N1383" s="82"/>
      <c r="O1383" s="9" t="s">
        <v>2584</v>
      </c>
    </row>
    <row r="1384" spans="1:15" ht="15.5" x14ac:dyDescent="0.35">
      <c r="A1384" s="631"/>
      <c r="B1384" s="100"/>
      <c r="C1384" s="661">
        <v>33</v>
      </c>
      <c r="D1384" s="1773" t="s">
        <v>1651</v>
      </c>
      <c r="E1384" s="674">
        <v>41808904284</v>
      </c>
      <c r="F1384" s="4">
        <v>1</v>
      </c>
      <c r="G1384" s="21">
        <v>0.01</v>
      </c>
      <c r="H1384" s="21">
        <v>0.01</v>
      </c>
      <c r="I1384" s="21">
        <f>H1384-G1384</f>
        <v>0</v>
      </c>
      <c r="J1384" s="616">
        <v>360000</v>
      </c>
      <c r="K1384" s="696"/>
      <c r="L1384" s="22">
        <f>I1384*F1384*J1384</f>
        <v>0</v>
      </c>
      <c r="M1384" s="22"/>
      <c r="N1384" s="82"/>
      <c r="O1384" s="616">
        <f>(K1403-L1403)/K1403*100</f>
        <v>-6.2972292191566151E-2</v>
      </c>
    </row>
    <row r="1385" spans="1:15" ht="15.5" x14ac:dyDescent="0.35">
      <c r="A1385" s="616">
        <v>13</v>
      </c>
      <c r="B1385" s="100" t="s">
        <v>2640</v>
      </c>
      <c r="C1385" s="661">
        <v>33</v>
      </c>
      <c r="D1385" s="1773" t="s">
        <v>1650</v>
      </c>
      <c r="E1385" s="674">
        <v>41808902809</v>
      </c>
      <c r="F1385" s="4">
        <v>1</v>
      </c>
      <c r="G1385" s="21">
        <v>0.02</v>
      </c>
      <c r="H1385" s="21">
        <v>0.02</v>
      </c>
      <c r="I1385" s="21">
        <f>H1385-G1385</f>
        <v>0</v>
      </c>
      <c r="J1385" s="616">
        <v>240000</v>
      </c>
      <c r="K1385" s="696"/>
      <c r="L1385" s="22">
        <f>I1385*F1385*J1385</f>
        <v>0</v>
      </c>
      <c r="M1385" s="22"/>
      <c r="N1385" s="82"/>
      <c r="O1385" s="616"/>
    </row>
    <row r="1386" spans="1:15" ht="15.5" x14ac:dyDescent="0.35">
      <c r="A1386" s="616"/>
      <c r="B1386" s="100"/>
      <c r="C1386" s="661">
        <v>33</v>
      </c>
      <c r="D1386" s="1773" t="s">
        <v>1651</v>
      </c>
      <c r="E1386" s="674">
        <v>41808904275</v>
      </c>
      <c r="F1386" s="4">
        <v>1</v>
      </c>
      <c r="G1386" s="21">
        <v>0.02</v>
      </c>
      <c r="H1386" s="21">
        <v>0.02</v>
      </c>
      <c r="I1386" s="21">
        <f>H1386-G1386</f>
        <v>0</v>
      </c>
      <c r="J1386" s="616">
        <v>240000</v>
      </c>
      <c r="K1386" s="696"/>
      <c r="L1386" s="22">
        <f>I1386*F1386*J1386</f>
        <v>0</v>
      </c>
      <c r="M1386" s="22"/>
      <c r="N1386" s="82"/>
      <c r="O1386" s="12"/>
    </row>
    <row r="1387" spans="1:15" ht="15.5" x14ac:dyDescent="0.35">
      <c r="A1387" s="616"/>
      <c r="B1387" s="662" t="s">
        <v>1107</v>
      </c>
      <c r="C1387" s="89"/>
      <c r="D1387" s="1773"/>
      <c r="E1387" s="89"/>
      <c r="F1387" s="37"/>
      <c r="G1387" s="37"/>
      <c r="H1387" s="37"/>
      <c r="I1387" s="37"/>
      <c r="J1387" s="95" t="s">
        <v>30</v>
      </c>
      <c r="K1387" s="696"/>
      <c r="L1387" s="43">
        <f>SUM(L1383:L1386)</f>
        <v>0</v>
      </c>
      <c r="M1387" s="43">
        <f>SUM(M1383:M1386)</f>
        <v>0</v>
      </c>
      <c r="N1387" s="83"/>
      <c r="O1387" s="12"/>
    </row>
    <row r="1388" spans="1:15" ht="15.5" x14ac:dyDescent="0.35">
      <c r="A1388" s="636">
        <v>7</v>
      </c>
      <c r="B1388" s="100" t="s">
        <v>3220</v>
      </c>
      <c r="C1388" s="661">
        <v>33</v>
      </c>
      <c r="D1388" s="1773" t="s">
        <v>1650</v>
      </c>
      <c r="E1388" s="674">
        <v>41808902815</v>
      </c>
      <c r="F1388" s="4">
        <v>1</v>
      </c>
      <c r="G1388" s="6">
        <v>208.79</v>
      </c>
      <c r="H1388" s="6">
        <v>227.04</v>
      </c>
      <c r="I1388" s="20">
        <f t="shared" ref="I1388:I1401" si="44">H1388-G1388</f>
        <v>18.25</v>
      </c>
      <c r="J1388" s="616">
        <v>360000</v>
      </c>
      <c r="K1388" s="703"/>
      <c r="L1388" s="22">
        <f t="shared" ref="L1388:L1401" si="45">I1388*F1388*J1388</f>
        <v>6570000</v>
      </c>
      <c r="M1388" s="22"/>
      <c r="N1388" s="82"/>
      <c r="O1388" s="15"/>
    </row>
    <row r="1389" spans="1:15" ht="15.5" x14ac:dyDescent="0.35">
      <c r="A1389" s="636"/>
      <c r="B1389" s="100"/>
      <c r="C1389" s="661">
        <v>33</v>
      </c>
      <c r="D1389" s="1773" t="s">
        <v>1651</v>
      </c>
      <c r="E1389" s="691">
        <v>41808904225</v>
      </c>
      <c r="F1389" s="4">
        <v>1</v>
      </c>
      <c r="G1389" s="6">
        <v>208.76</v>
      </c>
      <c r="H1389" s="6">
        <v>227.01</v>
      </c>
      <c r="I1389" s="20">
        <f t="shared" si="44"/>
        <v>18.25</v>
      </c>
      <c r="J1389" s="616">
        <v>360000</v>
      </c>
      <c r="K1389" s="704"/>
      <c r="L1389" s="22">
        <f t="shared" si="45"/>
        <v>6570000</v>
      </c>
      <c r="M1389" s="22"/>
      <c r="N1389" s="82"/>
      <c r="O1389" s="14"/>
    </row>
    <row r="1390" spans="1:15" ht="15.5" x14ac:dyDescent="0.35">
      <c r="A1390" s="636">
        <v>8</v>
      </c>
      <c r="B1390" s="100" t="s">
        <v>2632</v>
      </c>
      <c r="C1390" s="661">
        <v>33</v>
      </c>
      <c r="D1390" s="1773" t="s">
        <v>1650</v>
      </c>
      <c r="E1390" s="691">
        <v>41808902814</v>
      </c>
      <c r="F1390" s="4">
        <v>1</v>
      </c>
      <c r="G1390" s="6">
        <v>0.01</v>
      </c>
      <c r="H1390" s="6">
        <v>0.01</v>
      </c>
      <c r="I1390" s="20">
        <f t="shared" si="44"/>
        <v>0</v>
      </c>
      <c r="J1390" s="616">
        <v>360000</v>
      </c>
      <c r="K1390" s="704"/>
      <c r="L1390" s="22">
        <f t="shared" si="45"/>
        <v>0</v>
      </c>
      <c r="M1390" s="22"/>
      <c r="N1390" s="82"/>
      <c r="O1390" s="14"/>
    </row>
    <row r="1391" spans="1:15" ht="15.5" x14ac:dyDescent="0.35">
      <c r="A1391" s="636"/>
      <c r="B1391" s="100"/>
      <c r="C1391" s="661">
        <v>33</v>
      </c>
      <c r="D1391" s="1773" t="s">
        <v>1651</v>
      </c>
      <c r="E1391" s="674">
        <v>41808904226</v>
      </c>
      <c r="F1391" s="4">
        <v>1</v>
      </c>
      <c r="G1391" s="6">
        <v>0.01</v>
      </c>
      <c r="H1391" s="6">
        <v>0.01</v>
      </c>
      <c r="I1391" s="20">
        <f t="shared" si="44"/>
        <v>0</v>
      </c>
      <c r="J1391" s="616">
        <v>360000</v>
      </c>
      <c r="K1391" s="704"/>
      <c r="L1391" s="22">
        <f t="shared" si="45"/>
        <v>0</v>
      </c>
      <c r="M1391" s="22"/>
      <c r="N1391" s="82"/>
      <c r="O1391" s="14" t="s">
        <v>2570</v>
      </c>
    </row>
    <row r="1392" spans="1:15" ht="15.5" x14ac:dyDescent="0.35">
      <c r="A1392" s="636">
        <v>9</v>
      </c>
      <c r="B1392" s="100" t="s">
        <v>3221</v>
      </c>
      <c r="C1392" s="661">
        <v>33</v>
      </c>
      <c r="D1392" s="1773" t="s">
        <v>1650</v>
      </c>
      <c r="E1392" s="674">
        <v>41808902810</v>
      </c>
      <c r="F1392" s="4">
        <v>1</v>
      </c>
      <c r="G1392" s="6">
        <v>185.25</v>
      </c>
      <c r="H1392" s="6">
        <v>200.69</v>
      </c>
      <c r="I1392" s="20">
        <f t="shared" si="44"/>
        <v>15.439999999999998</v>
      </c>
      <c r="J1392" s="616">
        <v>360000</v>
      </c>
      <c r="K1392" s="704"/>
      <c r="L1392" s="22">
        <f t="shared" si="45"/>
        <v>5558399.9999999991</v>
      </c>
      <c r="M1392" s="22"/>
      <c r="N1392" s="82"/>
      <c r="O1392" s="14" t="e">
        <f>(K1387-L1385-L1411)/K1387*100</f>
        <v>#DIV/0!</v>
      </c>
    </row>
    <row r="1393" spans="1:15" ht="15.5" x14ac:dyDescent="0.35">
      <c r="A1393" s="636"/>
      <c r="B1393" s="100"/>
      <c r="C1393" s="661">
        <v>33</v>
      </c>
      <c r="D1393" s="1773" t="s">
        <v>1651</v>
      </c>
      <c r="E1393" s="674">
        <v>41808904252</v>
      </c>
      <c r="F1393" s="4">
        <v>1</v>
      </c>
      <c r="G1393" s="6">
        <v>185.23</v>
      </c>
      <c r="H1393" s="6">
        <v>200.67</v>
      </c>
      <c r="I1393" s="20">
        <f t="shared" si="44"/>
        <v>15.439999999999998</v>
      </c>
      <c r="J1393" s="616">
        <v>360000</v>
      </c>
      <c r="K1393" s="704"/>
      <c r="L1393" s="22">
        <f t="shared" si="45"/>
        <v>5558399.9999999991</v>
      </c>
      <c r="M1393" s="22"/>
      <c r="N1393" s="82"/>
      <c r="O1393" s="14"/>
    </row>
    <row r="1394" spans="1:15" ht="15.5" x14ac:dyDescent="0.35">
      <c r="A1394" s="636">
        <v>14</v>
      </c>
      <c r="B1394" s="100" t="s">
        <v>3222</v>
      </c>
      <c r="C1394" s="661">
        <v>33</v>
      </c>
      <c r="D1394" s="1773" t="s">
        <v>1650</v>
      </c>
      <c r="E1394" s="674">
        <v>41808902750</v>
      </c>
      <c r="F1394" s="4">
        <v>1</v>
      </c>
      <c r="G1394" s="6">
        <v>0.01</v>
      </c>
      <c r="H1394" s="6">
        <v>0.01</v>
      </c>
      <c r="I1394" s="20">
        <f t="shared" si="44"/>
        <v>0</v>
      </c>
      <c r="J1394" s="616">
        <v>360000</v>
      </c>
      <c r="K1394" s="704"/>
      <c r="L1394" s="22">
        <f t="shared" si="45"/>
        <v>0</v>
      </c>
      <c r="M1394" s="22"/>
      <c r="N1394" s="82"/>
      <c r="O1394" s="14"/>
    </row>
    <row r="1395" spans="1:15" ht="15.5" x14ac:dyDescent="0.35">
      <c r="A1395" s="636"/>
      <c r="B1395" s="100"/>
      <c r="C1395" s="661">
        <v>33</v>
      </c>
      <c r="D1395" s="1773" t="s">
        <v>1651</v>
      </c>
      <c r="E1395" s="674">
        <v>41808904289</v>
      </c>
      <c r="F1395" s="4">
        <v>1</v>
      </c>
      <c r="G1395" s="6">
        <v>0.01</v>
      </c>
      <c r="H1395" s="6">
        <v>0.01</v>
      </c>
      <c r="I1395" s="20">
        <f t="shared" si="44"/>
        <v>0</v>
      </c>
      <c r="J1395" s="616">
        <v>360000</v>
      </c>
      <c r="K1395" s="703"/>
      <c r="L1395" s="22">
        <f t="shared" si="45"/>
        <v>0</v>
      </c>
      <c r="M1395" s="22"/>
      <c r="N1395" s="82"/>
      <c r="O1395" s="15"/>
    </row>
    <row r="1396" spans="1:15" ht="15.5" x14ac:dyDescent="0.35">
      <c r="A1396" s="636">
        <v>15</v>
      </c>
      <c r="B1396" s="100" t="s">
        <v>3223</v>
      </c>
      <c r="C1396" s="661">
        <v>33</v>
      </c>
      <c r="D1396" s="1773" t="s">
        <v>1650</v>
      </c>
      <c r="E1396" s="674">
        <v>41808902831</v>
      </c>
      <c r="F1396" s="4">
        <v>1</v>
      </c>
      <c r="G1396" s="6">
        <v>0.01</v>
      </c>
      <c r="H1396" s="6">
        <v>0.01</v>
      </c>
      <c r="I1396" s="20">
        <f t="shared" si="44"/>
        <v>0</v>
      </c>
      <c r="J1396" s="616">
        <v>360000</v>
      </c>
      <c r="K1396" s="704"/>
      <c r="L1396" s="22">
        <f t="shared" si="45"/>
        <v>0</v>
      </c>
      <c r="M1396" s="22"/>
      <c r="N1396" s="82"/>
      <c r="O1396" s="10"/>
    </row>
    <row r="1397" spans="1:15" ht="15.5" x14ac:dyDescent="0.35">
      <c r="A1397" s="636"/>
      <c r="B1397" s="100"/>
      <c r="C1397" s="661">
        <v>33</v>
      </c>
      <c r="D1397" s="1773" t="s">
        <v>1651</v>
      </c>
      <c r="E1397" s="674">
        <v>41808904265</v>
      </c>
      <c r="F1397" s="4">
        <v>1</v>
      </c>
      <c r="G1397" s="6">
        <v>0.01</v>
      </c>
      <c r="H1397" s="6">
        <v>0.01</v>
      </c>
      <c r="I1397" s="20">
        <f t="shared" si="44"/>
        <v>0</v>
      </c>
      <c r="J1397" s="616">
        <v>360000</v>
      </c>
      <c r="K1397" s="703"/>
      <c r="L1397" s="22">
        <f t="shared" si="45"/>
        <v>0</v>
      </c>
      <c r="M1397" s="22"/>
      <c r="N1397" s="82"/>
      <c r="O1397" s="13"/>
    </row>
    <row r="1398" spans="1:15" ht="15.5" x14ac:dyDescent="0.35">
      <c r="A1398" s="636">
        <v>16</v>
      </c>
      <c r="B1398" s="101" t="s">
        <v>3224</v>
      </c>
      <c r="C1398" s="661">
        <v>33</v>
      </c>
      <c r="D1398" s="1773" t="s">
        <v>1650</v>
      </c>
      <c r="E1398" s="674">
        <v>41812909525</v>
      </c>
      <c r="F1398" s="4">
        <v>1</v>
      </c>
      <c r="G1398" s="6">
        <v>0.01</v>
      </c>
      <c r="H1398" s="6">
        <v>0.01</v>
      </c>
      <c r="I1398" s="20">
        <f t="shared" si="44"/>
        <v>0</v>
      </c>
      <c r="J1398" s="616">
        <v>360000</v>
      </c>
      <c r="K1398" s="705"/>
      <c r="L1398" s="22">
        <f t="shared" si="45"/>
        <v>0</v>
      </c>
      <c r="M1398" s="22"/>
      <c r="N1398" s="82"/>
      <c r="O1398" s="30"/>
    </row>
    <row r="1399" spans="1:15" ht="15.5" x14ac:dyDescent="0.35">
      <c r="A1399" s="636"/>
      <c r="B1399" s="100"/>
      <c r="C1399" s="661">
        <v>33</v>
      </c>
      <c r="D1399" s="1773" t="s">
        <v>1651</v>
      </c>
      <c r="E1399" s="674">
        <v>41812909577</v>
      </c>
      <c r="F1399" s="4">
        <v>1</v>
      </c>
      <c r="G1399" s="6">
        <v>0.01</v>
      </c>
      <c r="H1399" s="6">
        <v>0.01</v>
      </c>
      <c r="I1399" s="20">
        <f t="shared" si="44"/>
        <v>0</v>
      </c>
      <c r="J1399" s="616">
        <v>360000</v>
      </c>
      <c r="K1399" s="696"/>
      <c r="L1399" s="22">
        <f t="shared" si="45"/>
        <v>0</v>
      </c>
      <c r="M1399" s="22"/>
      <c r="N1399" s="82"/>
      <c r="O1399" s="616"/>
    </row>
    <row r="1400" spans="1:15" ht="15.5" x14ac:dyDescent="0.35">
      <c r="A1400" s="636">
        <v>17</v>
      </c>
      <c r="B1400" s="101" t="s">
        <v>3225</v>
      </c>
      <c r="C1400" s="661">
        <v>33</v>
      </c>
      <c r="D1400" s="1773" t="s">
        <v>1650</v>
      </c>
      <c r="E1400" s="674">
        <v>41812909470</v>
      </c>
      <c r="F1400" s="4">
        <v>1</v>
      </c>
      <c r="G1400" s="6">
        <v>170.51</v>
      </c>
      <c r="H1400" s="6">
        <v>184.49</v>
      </c>
      <c r="I1400" s="20">
        <f t="shared" si="44"/>
        <v>13.980000000000018</v>
      </c>
      <c r="J1400" s="616">
        <v>360000</v>
      </c>
      <c r="K1400" s="705"/>
      <c r="L1400" s="22">
        <f t="shared" si="45"/>
        <v>5032800.0000000065</v>
      </c>
      <c r="M1400" s="22"/>
      <c r="N1400" s="82"/>
      <c r="O1400" s="13"/>
    </row>
    <row r="1401" spans="1:15" ht="15.5" x14ac:dyDescent="0.35">
      <c r="A1401" s="636"/>
      <c r="B1401" s="100"/>
      <c r="C1401" s="661">
        <v>33</v>
      </c>
      <c r="D1401" s="1850" t="s">
        <v>1651</v>
      </c>
      <c r="E1401" s="674">
        <v>41812909573</v>
      </c>
      <c r="F1401" s="4">
        <v>1</v>
      </c>
      <c r="G1401" s="6">
        <v>170.46</v>
      </c>
      <c r="H1401" s="6">
        <v>184.43</v>
      </c>
      <c r="I1401" s="20">
        <f t="shared" si="44"/>
        <v>13.969999999999999</v>
      </c>
      <c r="J1401" s="616">
        <v>360000</v>
      </c>
      <c r="K1401" s="696"/>
      <c r="L1401" s="22">
        <f t="shared" si="45"/>
        <v>5029200</v>
      </c>
      <c r="M1401" s="22"/>
      <c r="N1401" s="82"/>
      <c r="O1401" s="616"/>
    </row>
    <row r="1402" spans="1:15" ht="15.5" x14ac:dyDescent="0.35">
      <c r="A1402" s="636"/>
      <c r="B1402" s="96"/>
      <c r="C1402" s="90"/>
      <c r="D1402" s="90"/>
      <c r="E1402" s="90"/>
      <c r="F1402" s="38"/>
      <c r="G1402" s="38"/>
      <c r="H1402" s="38"/>
      <c r="I1402" s="38"/>
      <c r="J1402" s="95" t="s">
        <v>30</v>
      </c>
      <c r="K1402" s="696"/>
      <c r="L1402" s="43">
        <f>L1388+L1390+L1392+L1394+L1396+L1398+L1400</f>
        <v>17161200.000000007</v>
      </c>
      <c r="M1402" s="43">
        <f>SUM(M1388:M1401)</f>
        <v>0</v>
      </c>
      <c r="N1402" s="83"/>
      <c r="O1402" s="13"/>
    </row>
    <row r="1403" spans="1:15" ht="20" x14ac:dyDescent="0.35">
      <c r="A1403" s="636"/>
      <c r="B1403" s="96"/>
      <c r="C1403" s="90"/>
      <c r="D1403" s="90"/>
      <c r="E1403" s="90"/>
      <c r="F1403" s="38"/>
      <c r="G1403" s="38"/>
      <c r="H1403" s="38"/>
      <c r="I1403" s="2107" t="s">
        <v>44</v>
      </c>
      <c r="J1403" s="2108"/>
      <c r="K1403" s="698">
        <f>K1380</f>
        <v>17150399.999999985</v>
      </c>
      <c r="L1403" s="44">
        <f>L1387+L1402</f>
        <v>17161200.000000007</v>
      </c>
      <c r="M1403" s="44">
        <f>M1402+M1387</f>
        <v>0</v>
      </c>
      <c r="N1403" s="84">
        <f>(M1403-L1403)/L1403*100</f>
        <v>-100</v>
      </c>
      <c r="O1403" s="29"/>
    </row>
    <row r="1404" spans="1:15" x14ac:dyDescent="0.35">
      <c r="A1404" s="620"/>
      <c r="B1404" s="635"/>
      <c r="C1404" s="632"/>
      <c r="D1404" s="720"/>
      <c r="K1404" s="702"/>
      <c r="L1404" s="620"/>
      <c r="M1404" s="620"/>
      <c r="N1404" s="632"/>
      <c r="O1404" s="620"/>
    </row>
    <row r="1405" spans="1:15" ht="15" x14ac:dyDescent="0.35">
      <c r="A1405" s="620"/>
      <c r="D1405" s="725"/>
      <c r="G1405" s="2092" t="s">
        <v>1096</v>
      </c>
      <c r="H1405" s="2092"/>
      <c r="I1405" s="2092"/>
      <c r="J1405" s="677" t="s">
        <v>14</v>
      </c>
      <c r="K1405" s="69" t="s">
        <v>1098</v>
      </c>
      <c r="L1405" s="620"/>
      <c r="M1405" s="620"/>
      <c r="N1405" s="632"/>
      <c r="O1405" s="620"/>
    </row>
    <row r="1406" spans="1:15" ht="17.5" x14ac:dyDescent="0.35">
      <c r="A1406" s="620"/>
      <c r="D1406" s="725"/>
      <c r="G1406" s="2093" t="s">
        <v>1071</v>
      </c>
      <c r="H1406" s="2093"/>
      <c r="I1406" s="2093"/>
      <c r="J1406" s="692">
        <f>M1387</f>
        <v>0</v>
      </c>
      <c r="K1406" s="70">
        <v>6.933634163553025</v>
      </c>
      <c r="L1406" s="620"/>
      <c r="M1406" s="620"/>
      <c r="N1406" s="632"/>
      <c r="O1406" s="620"/>
    </row>
    <row r="1407" spans="1:15" ht="17.5" x14ac:dyDescent="0.35">
      <c r="A1407" s="620"/>
      <c r="D1407" s="725"/>
      <c r="G1407" s="2093" t="s">
        <v>206</v>
      </c>
      <c r="H1407" s="2093"/>
      <c r="I1407" s="2093"/>
      <c r="J1407" s="692">
        <f>M1388+M1389+M1390</f>
        <v>0</v>
      </c>
      <c r="K1407" s="70">
        <v>-0.33769527905653496</v>
      </c>
      <c r="L1407" s="620"/>
      <c r="M1407" s="620"/>
      <c r="N1407" s="632"/>
      <c r="O1407" s="620"/>
    </row>
    <row r="1408" spans="1:15" ht="17.5" x14ac:dyDescent="0.35">
      <c r="A1408" s="620"/>
      <c r="D1408" s="725"/>
      <c r="G1408" s="2093" t="s">
        <v>207</v>
      </c>
      <c r="H1408" s="2093"/>
      <c r="I1408" s="2093"/>
      <c r="J1408" s="692">
        <f>M1391+M1395</f>
        <v>0</v>
      </c>
      <c r="K1408" s="70"/>
      <c r="L1408" s="620"/>
      <c r="M1408" s="620"/>
      <c r="N1408" s="632"/>
      <c r="O1408" s="620"/>
    </row>
    <row r="1409" spans="1:15" ht="17.5" x14ac:dyDescent="0.35">
      <c r="A1409" s="620"/>
      <c r="D1409" s="725"/>
      <c r="G1409" s="2093" t="s">
        <v>208</v>
      </c>
      <c r="H1409" s="2093"/>
      <c r="I1409" s="2093"/>
      <c r="J1409" s="692">
        <f>M1396</f>
        <v>0</v>
      </c>
      <c r="K1409" s="70">
        <v>0.58957194954853154</v>
      </c>
      <c r="L1409" s="620"/>
      <c r="M1409" s="620"/>
      <c r="N1409" s="632"/>
      <c r="O1409" s="620"/>
    </row>
    <row r="1410" spans="1:15" ht="17.5" x14ac:dyDescent="0.35">
      <c r="A1410" s="620"/>
      <c r="B1410" s="635"/>
      <c r="C1410" s="632"/>
      <c r="D1410" s="720"/>
      <c r="G1410" s="2093" t="s">
        <v>209</v>
      </c>
      <c r="H1410" s="2093"/>
      <c r="I1410" s="2093"/>
      <c r="J1410" s="692">
        <f>M1397</f>
        <v>0</v>
      </c>
      <c r="K1410" s="70"/>
      <c r="L1410" s="620"/>
      <c r="M1410" s="620"/>
      <c r="N1410" s="632"/>
      <c r="O1410" s="620"/>
    </row>
    <row r="1411" spans="1:15" ht="17.5" x14ac:dyDescent="0.35">
      <c r="A1411" s="620"/>
      <c r="B1411" s="635"/>
      <c r="C1411" s="632"/>
      <c r="D1411" s="720"/>
      <c r="G1411" s="2093" t="s">
        <v>40</v>
      </c>
      <c r="H1411" s="2093"/>
      <c r="I1411" s="2093"/>
      <c r="J1411" s="692">
        <f>M1398+M1399</f>
        <v>0</v>
      </c>
      <c r="K1411" s="70">
        <v>2.4391608198671739</v>
      </c>
      <c r="L1411" s="620"/>
      <c r="M1411" s="620"/>
      <c r="N1411" s="632"/>
      <c r="O1411" s="620"/>
    </row>
    <row r="1412" spans="1:15" x14ac:dyDescent="0.35">
      <c r="A1412" s="620"/>
      <c r="B1412" s="635"/>
      <c r="C1412" s="632"/>
      <c r="D1412" s="720"/>
      <c r="G1412" s="2094" t="s">
        <v>42</v>
      </c>
      <c r="H1412" s="2094"/>
      <c r="I1412" s="2094"/>
      <c r="J1412" s="693">
        <f>M1400</f>
        <v>0</v>
      </c>
      <c r="K1412" s="694" t="s">
        <v>1097</v>
      </c>
      <c r="L1412" s="620"/>
      <c r="M1412" s="620"/>
      <c r="N1412" s="632"/>
      <c r="O1412" s="620"/>
    </row>
    <row r="1413" spans="1:15" ht="18" thickBot="1" x14ac:dyDescent="0.4">
      <c r="A1413" s="620"/>
      <c r="B1413" s="635"/>
      <c r="C1413" s="632"/>
      <c r="D1413" s="720"/>
      <c r="E1413" s="632"/>
      <c r="F1413" s="620"/>
      <c r="G1413" s="2093" t="s">
        <v>41</v>
      </c>
      <c r="H1413" s="2093"/>
      <c r="I1413" s="2093"/>
      <c r="J1413" s="692">
        <f>M1401</f>
        <v>0</v>
      </c>
      <c r="K1413" s="681">
        <v>1.4463055987403735</v>
      </c>
      <c r="L1413" s="620"/>
      <c r="M1413" s="620"/>
      <c r="N1413" s="632"/>
      <c r="O1413" s="620"/>
    </row>
    <row r="1414" spans="1:15" ht="20.5" thickBot="1" x14ac:dyDescent="0.4">
      <c r="A1414" s="620"/>
      <c r="B1414" s="635"/>
      <c r="C1414" s="632"/>
      <c r="D1414" s="720"/>
      <c r="E1414" s="632"/>
      <c r="F1414" s="620"/>
      <c r="G1414" s="620"/>
      <c r="H1414" s="620"/>
      <c r="I1414" s="642" t="s">
        <v>210</v>
      </c>
      <c r="J1414" s="680">
        <f>SUM(J1406:J1413)</f>
        <v>0</v>
      </c>
      <c r="K1414" s="682">
        <f>J1414-M1403</f>
        <v>0</v>
      </c>
      <c r="L1414" s="620"/>
      <c r="M1414" s="620"/>
      <c r="N1414" s="632"/>
      <c r="O1414" s="620"/>
    </row>
    <row r="1415" spans="1:15" x14ac:dyDescent="0.35">
      <c r="A1415" s="620"/>
      <c r="B1415" s="635"/>
      <c r="C1415" s="632"/>
      <c r="D1415" s="720"/>
      <c r="E1415" s="632"/>
      <c r="F1415" s="620"/>
      <c r="G1415" s="620"/>
      <c r="H1415" s="620"/>
      <c r="I1415" s="620"/>
      <c r="J1415" s="620"/>
      <c r="K1415" s="702"/>
      <c r="L1415" s="620"/>
      <c r="M1415" s="620"/>
      <c r="N1415" s="632"/>
      <c r="O1415" s="620"/>
    </row>
    <row r="1416" spans="1:15" ht="25" x14ac:dyDescent="0.35">
      <c r="A1416" s="2095" t="s">
        <v>3231</v>
      </c>
      <c r="B1416" s="2095"/>
      <c r="C1416" s="2095"/>
      <c r="D1416" s="2095"/>
      <c r="E1416" s="2095"/>
      <c r="F1416" s="2095"/>
      <c r="G1416" s="2095"/>
      <c r="H1416" s="2095"/>
      <c r="I1416" s="2095"/>
      <c r="J1416" s="2095"/>
      <c r="K1416" s="2095"/>
      <c r="L1416" s="2095"/>
      <c r="M1416" s="2095"/>
      <c r="N1416" s="2095"/>
      <c r="O1416" s="756" t="e">
        <f>$O$6</f>
        <v>#REF!</v>
      </c>
    </row>
    <row r="1417" spans="1:15" ht="15.5" x14ac:dyDescent="0.35">
      <c r="A1417" s="2096" t="s">
        <v>0</v>
      </c>
      <c r="B1417" s="2098" t="s">
        <v>1</v>
      </c>
      <c r="C1417" s="2100" t="s">
        <v>2</v>
      </c>
      <c r="D1417" s="2101"/>
      <c r="E1417" s="2102"/>
      <c r="F1417" s="2103" t="s">
        <v>3</v>
      </c>
      <c r="G1417" s="2100" t="s">
        <v>4</v>
      </c>
      <c r="H1417" s="2102"/>
      <c r="I1417" s="2085"/>
      <c r="J1417" s="2103" t="s">
        <v>5</v>
      </c>
      <c r="K1417" s="2100" t="s">
        <v>6</v>
      </c>
      <c r="L1417" s="2085"/>
      <c r="M1417" s="97" t="s">
        <v>32</v>
      </c>
      <c r="N1417" s="98"/>
      <c r="O1417" s="2084" t="s">
        <v>7</v>
      </c>
    </row>
    <row r="1418" spans="1:15" ht="15.5" x14ac:dyDescent="0.35">
      <c r="A1418" s="2097"/>
      <c r="B1418" s="2099"/>
      <c r="C1418" s="2086" t="s">
        <v>1108</v>
      </c>
      <c r="D1418" s="2087"/>
      <c r="E1418" s="87" t="s">
        <v>9</v>
      </c>
      <c r="F1418" s="2097"/>
      <c r="G1418" s="2">
        <f>'NORTH-1'!$G$8</f>
        <v>44774</v>
      </c>
      <c r="H1418" s="2">
        <f>'NORTH-1'!$H$8</f>
        <v>44805</v>
      </c>
      <c r="I1418" s="1" t="s">
        <v>10</v>
      </c>
      <c r="J1418" s="2097"/>
      <c r="K1418" s="1" t="s">
        <v>11</v>
      </c>
      <c r="L1418" s="1" t="s">
        <v>12</v>
      </c>
      <c r="M1418" s="617" t="s">
        <v>33</v>
      </c>
      <c r="N1418" s="76" t="s">
        <v>47</v>
      </c>
      <c r="O1418" s="2085"/>
    </row>
    <row r="1419" spans="1:15" ht="15.5" x14ac:dyDescent="0.35">
      <c r="A1419" s="3">
        <v>1</v>
      </c>
      <c r="B1419" s="88">
        <v>2</v>
      </c>
      <c r="C1419" s="2088">
        <v>4</v>
      </c>
      <c r="D1419" s="2089"/>
      <c r="E1419" s="88">
        <v>5</v>
      </c>
      <c r="F1419" s="3">
        <v>7</v>
      </c>
      <c r="G1419" s="3">
        <v>8</v>
      </c>
      <c r="H1419" s="3">
        <v>9</v>
      </c>
      <c r="I1419" s="3" t="s">
        <v>13</v>
      </c>
      <c r="J1419" s="3">
        <v>11</v>
      </c>
      <c r="K1419" s="3" t="s">
        <v>19</v>
      </c>
      <c r="L1419" s="3" t="s">
        <v>20</v>
      </c>
      <c r="M1419" s="3">
        <v>14</v>
      </c>
      <c r="N1419" s="77">
        <v>15</v>
      </c>
      <c r="O1419" s="3">
        <v>16</v>
      </c>
    </row>
    <row r="1420" spans="1:15" ht="15.5" x14ac:dyDescent="0.35">
      <c r="A1420" s="11"/>
      <c r="B1420" s="624" t="s">
        <v>3230</v>
      </c>
      <c r="C1420" s="625"/>
      <c r="D1420" s="625"/>
      <c r="E1420" s="667"/>
      <c r="F1420" s="625"/>
      <c r="G1420" s="625"/>
      <c r="H1420" s="625"/>
      <c r="I1420" s="625"/>
      <c r="J1420" s="625"/>
      <c r="K1420" s="695"/>
      <c r="L1420" s="625"/>
      <c r="M1420" s="626"/>
      <c r="N1420" s="627"/>
      <c r="O1420" s="8"/>
    </row>
    <row r="1421" spans="1:15" ht="15.5" x14ac:dyDescent="0.35">
      <c r="A1421" s="631">
        <v>1</v>
      </c>
      <c r="B1421" s="100" t="s">
        <v>3228</v>
      </c>
      <c r="C1421" s="52">
        <v>33</v>
      </c>
      <c r="D1421" s="2105" t="s">
        <v>339</v>
      </c>
      <c r="E1421" s="1854" t="s">
        <v>3070</v>
      </c>
      <c r="F1421" s="4">
        <v>1</v>
      </c>
      <c r="G1421" s="5">
        <v>185.25</v>
      </c>
      <c r="H1421" s="5">
        <v>200.69</v>
      </c>
      <c r="I1421" s="5">
        <f>SUM(H1421-G1421)</f>
        <v>15.439999999999998</v>
      </c>
      <c r="J1421" s="616">
        <f>J1389</f>
        <v>360000</v>
      </c>
      <c r="K1421" s="696">
        <f>J1421*I1421*F1421</f>
        <v>5558399.9999999991</v>
      </c>
      <c r="L1421" s="7"/>
      <c r="M1421" s="7"/>
      <c r="N1421" s="78"/>
      <c r="O1421" s="616"/>
    </row>
    <row r="1422" spans="1:15" ht="15.5" x14ac:dyDescent="0.35">
      <c r="A1422" s="631">
        <v>2</v>
      </c>
      <c r="B1422" s="100" t="s">
        <v>3229</v>
      </c>
      <c r="C1422" s="52">
        <v>33</v>
      </c>
      <c r="D1422" s="2106" t="s">
        <v>339</v>
      </c>
      <c r="E1422" s="1855" t="s">
        <v>3045</v>
      </c>
      <c r="F1422" s="4">
        <v>1</v>
      </c>
      <c r="G1422" s="5">
        <v>1964.43</v>
      </c>
      <c r="H1422" s="5">
        <v>1994.49</v>
      </c>
      <c r="I1422" s="5">
        <f>SUM(H1422-G1422)</f>
        <v>30.059999999999945</v>
      </c>
      <c r="J1422" s="616">
        <v>240000</v>
      </c>
      <c r="K1422" s="696">
        <f>J1422*I1422*F1422</f>
        <v>7214399.999999987</v>
      </c>
      <c r="L1422" s="16"/>
      <c r="M1422" s="16"/>
      <c r="N1422" s="79"/>
      <c r="O1422" s="616"/>
    </row>
    <row r="1423" spans="1:15" ht="15.5" x14ac:dyDescent="0.35">
      <c r="A1423" s="631"/>
      <c r="B1423" s="95"/>
      <c r="C1423" s="89"/>
      <c r="D1423" s="89"/>
      <c r="E1423" s="89"/>
      <c r="F1423" s="37"/>
      <c r="G1423" s="37"/>
      <c r="H1423" s="37"/>
      <c r="I1423" s="665"/>
      <c r="J1423" s="1849" t="s">
        <v>30</v>
      </c>
      <c r="K1423" s="699">
        <f>SUM(K1421:K1422)</f>
        <v>12772799.999999985</v>
      </c>
      <c r="L1423" s="40"/>
      <c r="M1423" s="41"/>
      <c r="N1423" s="632"/>
      <c r="O1423" s="616"/>
    </row>
    <row r="1424" spans="1:15" ht="15.5" x14ac:dyDescent="0.35">
      <c r="A1424" s="631"/>
      <c r="B1424" s="624" t="s">
        <v>3232</v>
      </c>
      <c r="C1424" s="625"/>
      <c r="D1424" s="625"/>
      <c r="E1424" s="625"/>
      <c r="F1424" s="625"/>
      <c r="G1424" s="625"/>
      <c r="H1424" s="625"/>
      <c r="I1424" s="625"/>
      <c r="J1424" s="695"/>
      <c r="K1424" s="695"/>
      <c r="L1424" s="625"/>
      <c r="M1424" s="626"/>
      <c r="N1424" s="627"/>
      <c r="O1424" s="616"/>
    </row>
    <row r="1425" spans="1:15" ht="15.5" x14ac:dyDescent="0.35">
      <c r="A1425" s="631">
        <v>1</v>
      </c>
      <c r="B1425" s="100" t="s">
        <v>3233</v>
      </c>
      <c r="C1425" s="52">
        <v>33</v>
      </c>
      <c r="D1425" s="1770" t="s">
        <v>326</v>
      </c>
      <c r="E1425" s="2149" t="s">
        <v>3234</v>
      </c>
      <c r="F1425" s="4">
        <v>1</v>
      </c>
      <c r="G1425" s="5">
        <v>897869.3</v>
      </c>
      <c r="H1425" s="5">
        <v>918473.2</v>
      </c>
      <c r="I1425" s="5">
        <f>H1425-G1425</f>
        <v>20603.899999999907</v>
      </c>
      <c r="J1425" s="616">
        <v>270</v>
      </c>
      <c r="K1425" s="696">
        <f>J1425*I1425*F1425</f>
        <v>5563052.9999999749</v>
      </c>
      <c r="L1425" s="16"/>
      <c r="M1425" s="16"/>
      <c r="N1425" s="79"/>
      <c r="O1425" s="616"/>
    </row>
    <row r="1426" spans="1:15" ht="15.5" x14ac:dyDescent="0.35">
      <c r="A1426" s="631">
        <v>5</v>
      </c>
      <c r="B1426" s="100" t="s">
        <v>3235</v>
      </c>
      <c r="C1426" s="52">
        <v>33</v>
      </c>
      <c r="D1426" s="1771" t="s">
        <v>339</v>
      </c>
      <c r="E1426" s="2150" t="s">
        <v>3236</v>
      </c>
      <c r="F1426" s="4">
        <v>1</v>
      </c>
      <c r="G1426" s="5">
        <v>159854.70000000001</v>
      </c>
      <c r="H1426" s="5">
        <v>186748.2</v>
      </c>
      <c r="I1426" s="5">
        <f>H1426-G1426</f>
        <v>26893.5</v>
      </c>
      <c r="J1426" s="616">
        <v>270</v>
      </c>
      <c r="K1426" s="696">
        <f>J1426*I1426*F1426</f>
        <v>7261245</v>
      </c>
      <c r="L1426" s="16"/>
      <c r="M1426" s="16"/>
      <c r="N1426" s="79"/>
      <c r="O1426" s="616"/>
    </row>
    <row r="1427" spans="1:15" ht="15.5" x14ac:dyDescent="0.35">
      <c r="A1427" s="631"/>
      <c r="B1427" s="95"/>
      <c r="C1427" s="89"/>
      <c r="D1427" s="89"/>
      <c r="E1427" s="89"/>
      <c r="F1427" s="37"/>
      <c r="G1427" s="37"/>
      <c r="H1427" s="37"/>
      <c r="I1427" s="665"/>
      <c r="J1427" s="1849" t="s">
        <v>30</v>
      </c>
      <c r="K1427" s="699">
        <f>SUM(K1425:K1426)</f>
        <v>12824297.999999974</v>
      </c>
      <c r="L1427" s="40"/>
      <c r="M1427" s="42"/>
      <c r="N1427" s="634"/>
      <c r="O1427" s="633"/>
    </row>
    <row r="1428" spans="1:15" ht="15.5" x14ac:dyDescent="0.35">
      <c r="A1428" s="11"/>
      <c r="B1428" s="647" t="s">
        <v>3241</v>
      </c>
      <c r="C1428" s="648"/>
      <c r="D1428" s="648"/>
      <c r="E1428" s="648"/>
      <c r="F1428" s="648"/>
      <c r="G1428" s="648"/>
      <c r="H1428" s="648"/>
      <c r="I1428" s="648"/>
      <c r="J1428" s="700"/>
      <c r="K1428" s="700"/>
      <c r="L1428" s="648"/>
      <c r="M1428" s="651"/>
      <c r="N1428" s="649"/>
      <c r="O1428" s="8"/>
    </row>
    <row r="1429" spans="1:15" ht="15.5" x14ac:dyDescent="0.35">
      <c r="A1429" s="631">
        <v>3</v>
      </c>
      <c r="B1429" s="100" t="s">
        <v>3237</v>
      </c>
      <c r="C1429" s="52">
        <v>33</v>
      </c>
      <c r="D1429" s="1770" t="s">
        <v>326</v>
      </c>
      <c r="E1429" s="2149" t="s">
        <v>3238</v>
      </c>
      <c r="F1429" s="4">
        <v>1</v>
      </c>
      <c r="G1429" s="5">
        <v>948873.2</v>
      </c>
      <c r="H1429" s="5">
        <v>977865.4</v>
      </c>
      <c r="I1429" s="5">
        <f>H1429-G1429</f>
        <v>28992.20000000007</v>
      </c>
      <c r="J1429" s="616">
        <v>180</v>
      </c>
      <c r="K1429" s="696"/>
      <c r="L1429" s="16">
        <f>J1429*I1429*F1429</f>
        <v>5218596.000000013</v>
      </c>
      <c r="M1429" s="16"/>
      <c r="N1429" s="79"/>
      <c r="O1429" s="616" t="e">
        <f>(K1436-L1436)/K1436*100</f>
        <v>#DIV/0!</v>
      </c>
    </row>
    <row r="1430" spans="1:15" ht="15.5" x14ac:dyDescent="0.35">
      <c r="A1430" s="631">
        <v>4</v>
      </c>
      <c r="B1430" s="100" t="s">
        <v>3239</v>
      </c>
      <c r="C1430" s="52">
        <v>33</v>
      </c>
      <c r="D1430" s="1771" t="s">
        <v>326</v>
      </c>
      <c r="E1430" s="2150" t="s">
        <v>3240</v>
      </c>
      <c r="F1430" s="4">
        <v>1</v>
      </c>
      <c r="G1430" s="5">
        <v>281668.40000000002</v>
      </c>
      <c r="H1430" s="5">
        <v>324004.90000000002</v>
      </c>
      <c r="I1430" s="5">
        <f>H1430-G1430</f>
        <v>42336.5</v>
      </c>
      <c r="J1430" s="616">
        <v>180</v>
      </c>
      <c r="K1430" s="696"/>
      <c r="L1430" s="16">
        <f>J1430*I1430*F1430</f>
        <v>7620570</v>
      </c>
      <c r="M1430" s="16"/>
      <c r="N1430" s="79"/>
      <c r="O1430" s="616"/>
    </row>
    <row r="1431" spans="1:15" ht="15.5" x14ac:dyDescent="0.35">
      <c r="A1431" s="631"/>
      <c r="B1431" s="95"/>
      <c r="C1431" s="89"/>
      <c r="D1431" s="89"/>
      <c r="E1431" s="65"/>
      <c r="F1431" s="65"/>
      <c r="G1431" s="65"/>
      <c r="H1431" s="65"/>
      <c r="I1431" s="65"/>
      <c r="J1431" s="95" t="s">
        <v>30</v>
      </c>
      <c r="K1431" s="701"/>
      <c r="L1431" s="699">
        <f>SUM(L1429:L1430)</f>
        <v>12839166.000000013</v>
      </c>
      <c r="M1431" s="55"/>
      <c r="N1431" s="78"/>
      <c r="O1431" s="616"/>
    </row>
    <row r="1432" spans="1:15" ht="15.5" x14ac:dyDescent="0.35">
      <c r="A1432" s="631"/>
      <c r="B1432" s="624" t="s">
        <v>3243</v>
      </c>
      <c r="C1432" s="625"/>
      <c r="D1432" s="625"/>
      <c r="E1432" s="625"/>
      <c r="F1432" s="625"/>
      <c r="G1432" s="625"/>
      <c r="H1432" s="625"/>
      <c r="I1432" s="625"/>
      <c r="J1432" s="625"/>
      <c r="K1432" s="695"/>
      <c r="L1432" s="625"/>
      <c r="M1432" s="626"/>
      <c r="N1432" s="627"/>
      <c r="O1432" s="616"/>
    </row>
    <row r="1433" spans="1:15" ht="15.5" x14ac:dyDescent="0.35">
      <c r="A1433" s="631">
        <v>8</v>
      </c>
      <c r="B1433" s="100" t="s">
        <v>3244</v>
      </c>
      <c r="C1433" s="52">
        <v>11</v>
      </c>
      <c r="D1433" s="2105"/>
      <c r="E1433" s="52" t="s">
        <v>3245</v>
      </c>
      <c r="F1433" s="4">
        <v>1.165</v>
      </c>
      <c r="G1433" s="21">
        <v>572643.6</v>
      </c>
      <c r="H1433" s="21">
        <v>598578.9</v>
      </c>
      <c r="I1433" s="21">
        <f>H1433-G1433</f>
        <v>25935.300000000047</v>
      </c>
      <c r="J1433" s="616">
        <v>180</v>
      </c>
      <c r="K1433" s="696">
        <f>J1433*I1433*F1433</f>
        <v>5438632.4100000104</v>
      </c>
      <c r="L1433" s="22"/>
      <c r="M1433" s="22"/>
      <c r="N1433" s="82"/>
      <c r="O1433" s="616">
        <f>SUM(L1426:L1432)</f>
        <v>25678332.000000026</v>
      </c>
    </row>
    <row r="1434" spans="1:15" ht="15.5" x14ac:dyDescent="0.35">
      <c r="A1434" s="631">
        <v>9</v>
      </c>
      <c r="B1434" s="100" t="s">
        <v>3246</v>
      </c>
      <c r="C1434" s="52">
        <v>11</v>
      </c>
      <c r="D1434" s="2151"/>
      <c r="E1434" s="52" t="s">
        <v>3247</v>
      </c>
      <c r="F1434" s="4">
        <v>1.165</v>
      </c>
      <c r="G1434" s="21">
        <v>558460.6</v>
      </c>
      <c r="H1434" s="21">
        <v>594462.80000000005</v>
      </c>
      <c r="I1434" s="21">
        <f>H1434-G1434</f>
        <v>36002.20000000007</v>
      </c>
      <c r="J1434" s="616">
        <v>180</v>
      </c>
      <c r="K1434" s="696">
        <f>J1434*I1434*F1434</f>
        <v>7549661.3400000157</v>
      </c>
      <c r="L1434" s="22"/>
      <c r="M1434" s="22"/>
      <c r="N1434" s="82"/>
      <c r="O1434" s="616"/>
    </row>
    <row r="1435" spans="1:15" ht="15.5" x14ac:dyDescent="0.35">
      <c r="A1435" s="631"/>
      <c r="B1435" s="102"/>
      <c r="C1435" s="91"/>
      <c r="D1435" s="726"/>
      <c r="E1435" s="91"/>
      <c r="F1435" s="47"/>
      <c r="G1435" s="48"/>
      <c r="H1435" s="48"/>
      <c r="I1435" s="48"/>
      <c r="J1435" s="39" t="s">
        <v>30</v>
      </c>
      <c r="K1435" s="658">
        <f>SUM(K1433:K1434)</f>
        <v>12988293.750000026</v>
      </c>
      <c r="L1435" s="49"/>
      <c r="M1435" s="43">
        <f>SUM(M1433:M1434)</f>
        <v>0</v>
      </c>
      <c r="N1435" s="85"/>
      <c r="O1435" s="616"/>
    </row>
    <row r="1436" spans="1:15" ht="15.5" x14ac:dyDescent="0.35">
      <c r="A1436" s="631"/>
      <c r="B1436" s="647" t="s">
        <v>3242</v>
      </c>
      <c r="C1436" s="648"/>
      <c r="D1436" s="648"/>
      <c r="E1436" s="648"/>
      <c r="F1436" s="648"/>
      <c r="G1436" s="648"/>
      <c r="H1436" s="648"/>
      <c r="I1436" s="648"/>
      <c r="J1436" s="648"/>
      <c r="K1436" s="700"/>
      <c r="L1436" s="648"/>
      <c r="M1436" s="651"/>
      <c r="N1436" s="649"/>
      <c r="O1436" s="616"/>
    </row>
    <row r="1437" spans="1:15" ht="15.75" customHeight="1" x14ac:dyDescent="0.35">
      <c r="A1437" s="631">
        <v>1</v>
      </c>
      <c r="B1437" s="100" t="s">
        <v>3248</v>
      </c>
      <c r="C1437" s="73">
        <v>11</v>
      </c>
      <c r="D1437" s="1781" t="s">
        <v>92</v>
      </c>
      <c r="E1437" s="52" t="s">
        <v>3249</v>
      </c>
      <c r="F1437" s="32">
        <v>1</v>
      </c>
      <c r="G1437" s="6">
        <v>53876788</v>
      </c>
      <c r="H1437" s="6">
        <v>54577487</v>
      </c>
      <c r="I1437" s="20">
        <f t="shared" ref="I1437:I1451" si="46">H1437-G1437</f>
        <v>700699</v>
      </c>
      <c r="J1437" s="616">
        <v>1</v>
      </c>
      <c r="K1437" s="703"/>
      <c r="L1437" s="22">
        <f>J1437*I1437*F1437</f>
        <v>700699</v>
      </c>
      <c r="M1437" s="22"/>
      <c r="N1437" s="72" t="s">
        <v>92</v>
      </c>
      <c r="O1437" s="15"/>
    </row>
    <row r="1438" spans="1:15" ht="15.5" x14ac:dyDescent="0.35">
      <c r="A1438" s="631">
        <v>2</v>
      </c>
      <c r="B1438" s="100" t="s">
        <v>3250</v>
      </c>
      <c r="C1438" s="73">
        <v>11</v>
      </c>
      <c r="D1438" s="1782" t="s">
        <v>99</v>
      </c>
      <c r="E1438" s="52" t="s">
        <v>3251</v>
      </c>
      <c r="F1438" s="32">
        <v>1</v>
      </c>
      <c r="G1438" s="6">
        <v>132384</v>
      </c>
      <c r="H1438" s="6">
        <v>1130802</v>
      </c>
      <c r="I1438" s="20">
        <f t="shared" si="46"/>
        <v>998418</v>
      </c>
      <c r="J1438" s="616">
        <v>1</v>
      </c>
      <c r="K1438" s="703"/>
      <c r="L1438" s="22">
        <f>J1438*I1438*F1438+(59655700-58651143)</f>
        <v>2002975</v>
      </c>
      <c r="M1438" s="22"/>
      <c r="N1438" s="72" t="s">
        <v>99</v>
      </c>
      <c r="O1438" s="15"/>
    </row>
    <row r="1439" spans="1:15" ht="15.75" customHeight="1" x14ac:dyDescent="0.35">
      <c r="A1439" s="631">
        <v>3</v>
      </c>
      <c r="B1439" s="100" t="s">
        <v>3252</v>
      </c>
      <c r="C1439" s="73">
        <v>11</v>
      </c>
      <c r="D1439" s="1782" t="s">
        <v>92</v>
      </c>
      <c r="E1439" s="52" t="s">
        <v>3253</v>
      </c>
      <c r="F1439" s="32">
        <v>1</v>
      </c>
      <c r="G1439" s="6">
        <v>20298858</v>
      </c>
      <c r="H1439" s="6">
        <v>20783448</v>
      </c>
      <c r="I1439" s="20">
        <f t="shared" si="46"/>
        <v>484590</v>
      </c>
      <c r="J1439" s="616">
        <v>1</v>
      </c>
      <c r="K1439" s="703"/>
      <c r="L1439" s="22">
        <f>J1439*I1439*F1439</f>
        <v>484590</v>
      </c>
      <c r="M1439" s="22"/>
      <c r="N1439" s="72" t="s">
        <v>99</v>
      </c>
      <c r="O1439" s="15"/>
    </row>
    <row r="1440" spans="1:15" ht="14.25" customHeight="1" x14ac:dyDescent="0.35">
      <c r="A1440" s="631">
        <v>4</v>
      </c>
      <c r="B1440" s="100" t="s">
        <v>3254</v>
      </c>
      <c r="C1440" s="73">
        <v>11</v>
      </c>
      <c r="D1440" s="1782" t="s">
        <v>92</v>
      </c>
      <c r="E1440" s="52" t="s">
        <v>3255</v>
      </c>
      <c r="F1440" s="32">
        <v>1</v>
      </c>
      <c r="G1440" s="6">
        <v>63992188</v>
      </c>
      <c r="H1440" s="6">
        <v>64922573</v>
      </c>
      <c r="I1440" s="20">
        <f t="shared" si="46"/>
        <v>930385</v>
      </c>
      <c r="J1440" s="616">
        <v>1</v>
      </c>
      <c r="K1440" s="703"/>
      <c r="L1440" s="22">
        <f>J1440*I1440*F1440</f>
        <v>930385</v>
      </c>
      <c r="M1440" s="22"/>
      <c r="N1440" s="72" t="s">
        <v>92</v>
      </c>
      <c r="O1440" s="15"/>
    </row>
    <row r="1441" spans="1:15" ht="30" x14ac:dyDescent="0.35">
      <c r="A1441" s="631">
        <v>6</v>
      </c>
      <c r="B1441" s="100" t="s">
        <v>3256</v>
      </c>
      <c r="C1441" s="73">
        <v>11</v>
      </c>
      <c r="D1441" s="1782" t="s">
        <v>92</v>
      </c>
      <c r="E1441" s="52" t="s">
        <v>3257</v>
      </c>
      <c r="F1441" s="32">
        <v>1</v>
      </c>
      <c r="G1441" s="6">
        <v>349177.8</v>
      </c>
      <c r="H1441" s="6">
        <v>359047.7</v>
      </c>
      <c r="I1441" s="20">
        <f t="shared" si="46"/>
        <v>9869.9000000000233</v>
      </c>
      <c r="J1441" s="616">
        <v>60</v>
      </c>
      <c r="K1441" s="703"/>
      <c r="L1441" s="22">
        <f>J1441*I1441*F1441</f>
        <v>592194.0000000014</v>
      </c>
      <c r="M1441" s="22"/>
      <c r="N1441" s="72" t="s">
        <v>92</v>
      </c>
      <c r="O1441" s="15"/>
    </row>
    <row r="1442" spans="1:15" ht="30" x14ac:dyDescent="0.35">
      <c r="A1442" s="631">
        <v>5</v>
      </c>
      <c r="B1442" s="100" t="s">
        <v>3258</v>
      </c>
      <c r="C1442" s="73">
        <v>11</v>
      </c>
      <c r="D1442" s="1782" t="s">
        <v>92</v>
      </c>
      <c r="E1442" s="52" t="s">
        <v>3259</v>
      </c>
      <c r="F1442" s="32">
        <v>1</v>
      </c>
      <c r="G1442" s="6">
        <v>729453.6</v>
      </c>
      <c r="H1442" s="6">
        <v>741876.2</v>
      </c>
      <c r="I1442" s="20">
        <f t="shared" si="46"/>
        <v>12422.599999999977</v>
      </c>
      <c r="J1442" s="616">
        <v>60</v>
      </c>
      <c r="K1442" s="703"/>
      <c r="L1442" s="22">
        <f>J1442*I1442*F1442</f>
        <v>745355.9999999986</v>
      </c>
      <c r="M1442" s="22"/>
      <c r="N1442" s="72" t="s">
        <v>92</v>
      </c>
      <c r="O1442" s="15"/>
    </row>
    <row r="1443" spans="1:15" ht="30" x14ac:dyDescent="0.35">
      <c r="A1443" s="631">
        <v>7</v>
      </c>
      <c r="B1443" s="100" t="s">
        <v>3260</v>
      </c>
      <c r="C1443" s="73">
        <v>11</v>
      </c>
      <c r="D1443" s="1782" t="s">
        <v>92</v>
      </c>
      <c r="E1443" s="52" t="s">
        <v>3261</v>
      </c>
      <c r="F1443" s="32">
        <v>1</v>
      </c>
      <c r="G1443" s="6">
        <v>617597.30000000005</v>
      </c>
      <c r="H1443" s="6">
        <v>630048.30000000005</v>
      </c>
      <c r="I1443" s="20">
        <f t="shared" si="46"/>
        <v>12451</v>
      </c>
      <c r="J1443" s="616">
        <v>60</v>
      </c>
      <c r="K1443" s="703"/>
      <c r="L1443" s="22">
        <f>J1443*I1443*F1443</f>
        <v>747060</v>
      </c>
      <c r="M1443" s="22"/>
      <c r="N1443" s="72" t="s">
        <v>92</v>
      </c>
      <c r="O1443" s="15"/>
    </row>
    <row r="1444" spans="1:15" ht="15.5" x14ac:dyDescent="0.35">
      <c r="A1444" s="631">
        <v>10</v>
      </c>
      <c r="B1444" s="100" t="s">
        <v>3262</v>
      </c>
      <c r="C1444" s="73">
        <v>11</v>
      </c>
      <c r="D1444" s="1782" t="s">
        <v>99</v>
      </c>
      <c r="E1444" s="52" t="s">
        <v>3263</v>
      </c>
      <c r="F1444" s="32">
        <v>1</v>
      </c>
      <c r="G1444" s="6">
        <v>505949.4</v>
      </c>
      <c r="H1444" s="6">
        <v>507184.7</v>
      </c>
      <c r="I1444" s="20">
        <f t="shared" si="46"/>
        <v>1235.2999999999884</v>
      </c>
      <c r="J1444" s="616">
        <v>60</v>
      </c>
      <c r="K1444" s="703"/>
      <c r="L1444" s="22">
        <f t="shared" ref="L1444:L1451" si="47">J1444*I1444*F1444</f>
        <v>74117.999999999302</v>
      </c>
      <c r="M1444" s="22"/>
      <c r="N1444" s="72" t="s">
        <v>92</v>
      </c>
      <c r="O1444" s="15"/>
    </row>
    <row r="1445" spans="1:15" ht="16.5" customHeight="1" x14ac:dyDescent="0.35">
      <c r="A1445" s="631">
        <v>11</v>
      </c>
      <c r="B1445" s="100" t="s">
        <v>3264</v>
      </c>
      <c r="C1445" s="73">
        <v>11</v>
      </c>
      <c r="D1445" s="1782" t="s">
        <v>92</v>
      </c>
      <c r="E1445" s="52" t="s">
        <v>3265</v>
      </c>
      <c r="F1445" s="32">
        <v>1</v>
      </c>
      <c r="G1445" s="6">
        <v>665340.30000000005</v>
      </c>
      <c r="H1445" s="6">
        <v>688804.5</v>
      </c>
      <c r="I1445" s="20">
        <f t="shared" si="46"/>
        <v>23464.199999999953</v>
      </c>
      <c r="J1445" s="616">
        <v>60</v>
      </c>
      <c r="K1445" s="703"/>
      <c r="L1445" s="22">
        <f t="shared" si="47"/>
        <v>1407851.9999999972</v>
      </c>
      <c r="M1445" s="22"/>
      <c r="N1445" s="72" t="s">
        <v>92</v>
      </c>
      <c r="O1445" s="15"/>
    </row>
    <row r="1446" spans="1:15" ht="15.5" x14ac:dyDescent="0.35">
      <c r="A1446" s="631">
        <v>12</v>
      </c>
      <c r="B1446" s="100" t="s">
        <v>3266</v>
      </c>
      <c r="C1446" s="73">
        <v>11</v>
      </c>
      <c r="D1446" s="1782" t="s">
        <v>99</v>
      </c>
      <c r="E1446" s="52" t="s">
        <v>3267</v>
      </c>
      <c r="F1446" s="32">
        <v>1</v>
      </c>
      <c r="G1446" s="6">
        <v>60122.5</v>
      </c>
      <c r="H1446" s="6">
        <v>85095.4</v>
      </c>
      <c r="I1446" s="20">
        <f t="shared" si="46"/>
        <v>24972.899999999994</v>
      </c>
      <c r="J1446" s="616">
        <v>60</v>
      </c>
      <c r="K1446" s="703"/>
      <c r="L1446" s="22">
        <f t="shared" si="47"/>
        <v>1498373.9999999995</v>
      </c>
      <c r="M1446" s="22"/>
      <c r="N1446" s="72" t="s">
        <v>99</v>
      </c>
      <c r="O1446" s="15"/>
    </row>
    <row r="1447" spans="1:15" ht="15.5" x14ac:dyDescent="0.35">
      <c r="A1447" s="631">
        <v>13</v>
      </c>
      <c r="B1447" s="100" t="s">
        <v>3268</v>
      </c>
      <c r="C1447" s="73">
        <v>11</v>
      </c>
      <c r="D1447" s="1782" t="s">
        <v>99</v>
      </c>
      <c r="E1447" s="52" t="s">
        <v>3269</v>
      </c>
      <c r="F1447" s="32">
        <v>1</v>
      </c>
      <c r="G1447" s="6">
        <v>24342122</v>
      </c>
      <c r="H1447" s="6">
        <v>25959883</v>
      </c>
      <c r="I1447" s="20">
        <f t="shared" si="46"/>
        <v>1617761</v>
      </c>
      <c r="J1447" s="616">
        <v>1</v>
      </c>
      <c r="K1447" s="703"/>
      <c r="L1447" s="22">
        <f t="shared" si="47"/>
        <v>1617761</v>
      </c>
      <c r="M1447" s="22"/>
      <c r="N1447" s="72" t="s">
        <v>99</v>
      </c>
      <c r="O1447" s="15"/>
    </row>
    <row r="1448" spans="1:15" ht="15.5" x14ac:dyDescent="0.35">
      <c r="A1448" s="631">
        <v>14</v>
      </c>
      <c r="B1448" s="100" t="s">
        <v>3270</v>
      </c>
      <c r="C1448" s="73">
        <v>11</v>
      </c>
      <c r="D1448" s="1782" t="s">
        <v>99</v>
      </c>
      <c r="E1448" s="52" t="s">
        <v>3271</v>
      </c>
      <c r="F1448" s="32">
        <v>1</v>
      </c>
      <c r="G1448" s="6">
        <v>8270682</v>
      </c>
      <c r="H1448" s="6">
        <v>9673896</v>
      </c>
      <c r="I1448" s="20">
        <f t="shared" si="46"/>
        <v>1403214</v>
      </c>
      <c r="J1448" s="616">
        <v>1</v>
      </c>
      <c r="K1448" s="703"/>
      <c r="L1448" s="22">
        <f t="shared" si="47"/>
        <v>1403214</v>
      </c>
      <c r="M1448" s="22"/>
      <c r="N1448" s="72" t="s">
        <v>99</v>
      </c>
      <c r="O1448" s="15"/>
    </row>
    <row r="1449" spans="1:15" ht="18.75" customHeight="1" x14ac:dyDescent="0.35">
      <c r="A1449" s="631">
        <v>15</v>
      </c>
      <c r="B1449" s="100" t="s">
        <v>3272</v>
      </c>
      <c r="C1449" s="73">
        <v>11</v>
      </c>
      <c r="D1449" s="1782" t="s">
        <v>92</v>
      </c>
      <c r="E1449" s="52" t="s">
        <v>3273</v>
      </c>
      <c r="F1449" s="32">
        <v>1</v>
      </c>
      <c r="G1449" s="6">
        <v>45431042</v>
      </c>
      <c r="H1449" s="6">
        <v>46486532</v>
      </c>
      <c r="I1449" s="20">
        <f t="shared" si="46"/>
        <v>1055490</v>
      </c>
      <c r="J1449" s="616">
        <v>1</v>
      </c>
      <c r="K1449" s="703"/>
      <c r="L1449" s="22">
        <f t="shared" si="47"/>
        <v>1055490</v>
      </c>
      <c r="M1449" s="22"/>
      <c r="N1449" s="72" t="s">
        <v>92</v>
      </c>
      <c r="O1449" s="15"/>
    </row>
    <row r="1450" spans="1:15" ht="30" x14ac:dyDescent="0.35">
      <c r="A1450" s="631">
        <v>16</v>
      </c>
      <c r="B1450" s="100" t="s">
        <v>3274</v>
      </c>
      <c r="C1450" s="73">
        <v>11</v>
      </c>
      <c r="D1450" s="1782" t="s">
        <v>92</v>
      </c>
      <c r="E1450" s="52" t="s">
        <v>3275</v>
      </c>
      <c r="F1450" s="32">
        <v>1</v>
      </c>
      <c r="G1450" s="6">
        <v>50894302</v>
      </c>
      <c r="H1450" s="6">
        <v>51322896</v>
      </c>
      <c r="I1450" s="20">
        <f t="shared" si="46"/>
        <v>428594</v>
      </c>
      <c r="J1450" s="616">
        <v>1</v>
      </c>
      <c r="K1450" s="703"/>
      <c r="L1450" s="22">
        <f t="shared" si="47"/>
        <v>428594</v>
      </c>
      <c r="M1450" s="22"/>
      <c r="N1450" s="72" t="s">
        <v>92</v>
      </c>
      <c r="O1450" s="15"/>
    </row>
    <row r="1451" spans="1:15" ht="15.5" x14ac:dyDescent="0.35">
      <c r="A1451" s="631">
        <v>17</v>
      </c>
      <c r="B1451" s="101" t="s">
        <v>3172</v>
      </c>
      <c r="C1451" s="73">
        <v>11</v>
      </c>
      <c r="D1451" s="1782"/>
      <c r="E1451" s="52" t="s">
        <v>3276</v>
      </c>
      <c r="F1451" s="32">
        <v>1</v>
      </c>
      <c r="G1451" s="6">
        <v>9963.09</v>
      </c>
      <c r="H1451" s="6">
        <v>10003.129999999999</v>
      </c>
      <c r="I1451" s="20">
        <f t="shared" si="46"/>
        <v>40.039999999999054</v>
      </c>
      <c r="J1451" s="616">
        <v>80</v>
      </c>
      <c r="K1451" s="703"/>
      <c r="L1451" s="22">
        <f t="shared" si="47"/>
        <v>3203.1999999999243</v>
      </c>
      <c r="M1451" s="22"/>
      <c r="N1451" s="72" t="s">
        <v>92</v>
      </c>
      <c r="O1451" s="15"/>
    </row>
    <row r="1452" spans="1:15" ht="20" x14ac:dyDescent="0.35">
      <c r="A1452" s="636"/>
      <c r="B1452" s="96"/>
      <c r="C1452" s="90"/>
      <c r="D1452" s="90"/>
      <c r="E1452" s="90"/>
      <c r="F1452" s="38"/>
      <c r="G1452" s="38"/>
      <c r="H1452" s="38"/>
      <c r="I1452" s="38"/>
      <c r="J1452" s="96" t="s">
        <v>30</v>
      </c>
      <c r="K1452" s="708">
        <f>K1435</f>
        <v>12988293.750000026</v>
      </c>
      <c r="L1452" s="43">
        <f>SUM(L1437:L1451)</f>
        <v>13691865.199999996</v>
      </c>
      <c r="M1452" s="43">
        <f>SUM(M1437:M1451)</f>
        <v>0</v>
      </c>
      <c r="N1452" s="84">
        <f>(M1452-L1452)/L1452*100</f>
        <v>-100</v>
      </c>
      <c r="O1452" s="13"/>
    </row>
    <row r="1453" spans="1:15" x14ac:dyDescent="0.35">
      <c r="D1453" s="725"/>
      <c r="K1453" s="34"/>
    </row>
    <row r="1454" spans="1:15" ht="15" x14ac:dyDescent="0.35">
      <c r="A1454" s="620"/>
      <c r="B1454" s="635"/>
      <c r="C1454" s="632"/>
      <c r="D1454" s="720"/>
      <c r="G1454" s="2092" t="s">
        <v>1099</v>
      </c>
      <c r="H1454" s="2092"/>
      <c r="I1454" s="2092"/>
      <c r="J1454" s="677" t="s">
        <v>14</v>
      </c>
      <c r="K1454" s="702"/>
      <c r="L1454" s="620"/>
      <c r="M1454" s="620"/>
      <c r="N1454" s="632"/>
      <c r="O1454" s="620"/>
    </row>
    <row r="1455" spans="1:15" ht="15.5" x14ac:dyDescent="0.35">
      <c r="A1455" s="620"/>
      <c r="B1455" s="635"/>
      <c r="C1455" s="632"/>
      <c r="D1455" s="720"/>
      <c r="G1455" s="2082" t="s">
        <v>232</v>
      </c>
      <c r="H1455" s="2082"/>
      <c r="I1455" s="2082"/>
      <c r="J1455" s="643" t="e">
        <f>M1443+M1447+M1449+M1450+M1451+#REF!+#REF!+#REF!+#REF!</f>
        <v>#REF!</v>
      </c>
      <c r="K1455" s="702"/>
      <c r="L1455" s="620"/>
      <c r="M1455" s="620"/>
      <c r="N1455" s="632"/>
      <c r="O1455" s="620" t="s">
        <v>237</v>
      </c>
    </row>
    <row r="1456" spans="1:15" ht="15.5" x14ac:dyDescent="0.35">
      <c r="A1456" s="620"/>
      <c r="B1456" s="635"/>
      <c r="C1456" s="632"/>
      <c r="D1456" s="720"/>
      <c r="G1456" s="2082" t="s">
        <v>233</v>
      </c>
      <c r="H1456" s="2082"/>
      <c r="I1456" s="2082"/>
      <c r="J1456" s="643" t="e">
        <f>M1438+M1439+M1440+M1444+M1445+M1446+#REF!+#REF!+#REF!</f>
        <v>#REF!</v>
      </c>
      <c r="K1456" s="702"/>
      <c r="L1456" s="620"/>
      <c r="M1456" s="620"/>
      <c r="N1456" s="632"/>
      <c r="O1456" s="620"/>
    </row>
    <row r="1457" spans="1:15" ht="15.5" x14ac:dyDescent="0.35">
      <c r="A1457" s="620"/>
      <c r="B1457" s="635"/>
      <c r="C1457" s="632"/>
      <c r="D1457" s="720"/>
      <c r="G1457" s="2082" t="s">
        <v>234</v>
      </c>
      <c r="H1457" s="2082"/>
      <c r="I1457" s="2082"/>
      <c r="J1457" s="643" t="e">
        <f>#REF!</f>
        <v>#REF!</v>
      </c>
      <c r="K1457" s="702"/>
      <c r="L1457" s="620"/>
      <c r="M1457" s="620"/>
      <c r="N1457" s="632"/>
      <c r="O1457" s="620"/>
    </row>
    <row r="1458" spans="1:15" ht="16" thickBot="1" x14ac:dyDescent="0.4">
      <c r="A1458" s="620"/>
      <c r="B1458" s="635"/>
      <c r="C1458" s="632"/>
      <c r="D1458" s="720"/>
      <c r="G1458" s="2082" t="s">
        <v>235</v>
      </c>
      <c r="H1458" s="2082"/>
      <c r="I1458" s="2082"/>
      <c r="J1458" s="643" t="e">
        <f>M1437+M1441+M1442+M1448+#REF!+#REF!+#REF!+#REF!+#REF!</f>
        <v>#REF!</v>
      </c>
      <c r="K1458" s="702"/>
      <c r="L1458" s="620"/>
      <c r="M1458" s="620"/>
      <c r="N1458" s="632"/>
      <c r="O1458" s="620"/>
    </row>
    <row r="1459" spans="1:15" ht="20.5" thickBot="1" x14ac:dyDescent="0.4">
      <c r="A1459" s="620"/>
      <c r="B1459" s="635"/>
      <c r="C1459" s="632"/>
      <c r="D1459" s="720"/>
      <c r="G1459" s="2083" t="s">
        <v>210</v>
      </c>
      <c r="H1459" s="2083"/>
      <c r="I1459" s="2083"/>
      <c r="J1459" s="714" t="e">
        <f>SUM(J1455:J1458)</f>
        <v>#REF!</v>
      </c>
      <c r="K1459" s="682" t="e">
        <f>J1459-M1452</f>
        <v>#REF!</v>
      </c>
      <c r="L1459" s="620"/>
      <c r="M1459" s="620"/>
      <c r="N1459" s="632"/>
      <c r="O1459" s="620"/>
    </row>
    <row r="1463" spans="1:15" x14ac:dyDescent="0.35">
      <c r="A1463" s="620"/>
      <c r="B1463" s="635"/>
      <c r="C1463" s="632"/>
      <c r="D1463" s="720"/>
      <c r="E1463" s="632"/>
      <c r="F1463" s="620"/>
      <c r="G1463" s="620"/>
      <c r="H1463" s="620"/>
      <c r="I1463" s="620"/>
      <c r="J1463" s="620"/>
      <c r="K1463" s="702"/>
      <c r="L1463" s="620"/>
      <c r="M1463" s="620"/>
      <c r="N1463" s="632"/>
      <c r="O1463" s="620"/>
    </row>
    <row r="1464" spans="1:15" x14ac:dyDescent="0.35">
      <c r="A1464" s="620"/>
      <c r="B1464" s="635"/>
      <c r="C1464" s="632"/>
      <c r="D1464" s="720"/>
      <c r="E1464" s="632"/>
      <c r="F1464" s="620"/>
      <c r="G1464" s="620"/>
      <c r="H1464" s="620"/>
      <c r="I1464" s="620"/>
      <c r="J1464" s="620"/>
      <c r="K1464" s="702"/>
      <c r="L1464" s="620"/>
      <c r="M1464" s="620"/>
      <c r="N1464" s="632"/>
      <c r="O1464" s="620"/>
    </row>
    <row r="1465" spans="1:15" x14ac:dyDescent="0.35">
      <c r="A1465" s="620"/>
      <c r="B1465" s="635"/>
      <c r="C1465" s="632"/>
      <c r="D1465" s="720"/>
      <c r="E1465" s="632"/>
      <c r="F1465" s="620"/>
      <c r="G1465" s="620"/>
      <c r="H1465" s="620"/>
      <c r="I1465" s="620"/>
      <c r="J1465" s="620"/>
      <c r="K1465" s="702"/>
      <c r="L1465" s="620"/>
      <c r="M1465" s="620"/>
      <c r="N1465" s="632"/>
      <c r="O1465" s="620"/>
    </row>
    <row r="1466" spans="1:15" x14ac:dyDescent="0.35">
      <c r="A1466" s="620"/>
      <c r="B1466" s="635"/>
      <c r="C1466" s="632"/>
      <c r="D1466" s="720"/>
      <c r="E1466" s="632"/>
      <c r="F1466" s="620"/>
      <c r="G1466" s="620"/>
      <c r="H1466" s="620"/>
      <c r="I1466" s="620"/>
      <c r="J1466" s="620"/>
      <c r="K1466" s="702"/>
      <c r="L1466" s="620"/>
      <c r="M1466" s="620"/>
      <c r="N1466" s="632"/>
      <c r="O1466" s="620"/>
    </row>
    <row r="1467" spans="1:15" x14ac:dyDescent="0.35">
      <c r="A1467" s="620"/>
      <c r="B1467" s="635"/>
      <c r="C1467" s="632"/>
      <c r="D1467" s="720"/>
      <c r="E1467" s="632"/>
      <c r="F1467" s="620"/>
      <c r="G1467" s="620"/>
      <c r="H1467" s="620"/>
      <c r="I1467" s="620"/>
      <c r="J1467" s="620"/>
      <c r="K1467" s="702"/>
      <c r="L1467" s="620"/>
      <c r="M1467" s="620"/>
      <c r="N1467" s="632"/>
      <c r="O1467" s="620"/>
    </row>
    <row r="1468" spans="1:15" x14ac:dyDescent="0.35">
      <c r="A1468" s="620"/>
      <c r="B1468" s="632"/>
      <c r="C1468" s="632"/>
      <c r="D1468" s="720"/>
      <c r="E1468" s="632"/>
      <c r="F1468" s="620"/>
      <c r="G1468" s="620"/>
      <c r="H1468" s="620"/>
      <c r="I1468" s="620"/>
      <c r="J1468" s="620"/>
      <c r="K1468" s="702"/>
      <c r="L1468" s="620"/>
      <c r="M1468" s="620"/>
      <c r="N1468" s="632"/>
      <c r="O1468" s="620"/>
    </row>
    <row r="1469" spans="1:15" x14ac:dyDescent="0.35">
      <c r="A1469" s="620"/>
      <c r="B1469" s="632"/>
      <c r="C1469" s="632"/>
      <c r="D1469" s="720"/>
      <c r="E1469" s="632"/>
      <c r="F1469" s="620"/>
      <c r="G1469" s="620"/>
      <c r="H1469" s="620"/>
      <c r="I1469" s="620"/>
      <c r="J1469" s="620"/>
      <c r="K1469" s="702"/>
      <c r="L1469" s="620"/>
      <c r="M1469" s="620"/>
      <c r="N1469" s="632"/>
      <c r="O1469" s="620"/>
    </row>
    <row r="1470" spans="1:15" x14ac:dyDescent="0.35">
      <c r="A1470" s="620"/>
      <c r="B1470" s="635"/>
      <c r="C1470" s="632"/>
      <c r="D1470" s="720"/>
      <c r="E1470" s="632"/>
      <c r="F1470" s="620"/>
      <c r="G1470" s="620"/>
      <c r="H1470" s="620"/>
      <c r="I1470" s="620"/>
      <c r="J1470" s="620"/>
      <c r="K1470" s="702"/>
      <c r="L1470" s="620"/>
      <c r="M1470" s="620"/>
      <c r="N1470" s="632"/>
      <c r="O1470" s="620"/>
    </row>
    <row r="1471" spans="1:15" x14ac:dyDescent="0.35">
      <c r="A1471" s="620"/>
      <c r="B1471" s="635"/>
      <c r="C1471" s="632"/>
      <c r="D1471" s="720"/>
      <c r="E1471" s="632"/>
      <c r="F1471" s="620"/>
      <c r="G1471" s="620"/>
      <c r="H1471" s="620"/>
      <c r="I1471" s="620"/>
      <c r="J1471" s="620"/>
      <c r="K1471" s="702"/>
      <c r="L1471" s="620"/>
      <c r="M1471" s="620"/>
      <c r="N1471" s="632"/>
      <c r="O1471" s="620"/>
    </row>
    <row r="1472" spans="1:15" x14ac:dyDescent="0.35">
      <c r="A1472" s="620"/>
      <c r="B1472" s="635"/>
      <c r="C1472" s="632"/>
      <c r="D1472" s="720"/>
      <c r="E1472" s="632"/>
      <c r="F1472" s="620"/>
      <c r="G1472" s="620"/>
      <c r="H1472" s="620"/>
      <c r="I1472" s="620"/>
      <c r="J1472" s="620"/>
      <c r="K1472" s="702"/>
      <c r="L1472" s="620"/>
      <c r="M1472" s="620"/>
      <c r="N1472" s="632"/>
      <c r="O1472" s="620"/>
    </row>
    <row r="1473" spans="1:15" ht="25" x14ac:dyDescent="0.35">
      <c r="A1473" s="28"/>
      <c r="B1473" s="2152"/>
      <c r="C1473" s="2152"/>
      <c r="D1473" s="2152"/>
      <c r="E1473" s="2152"/>
      <c r="F1473" s="2152"/>
      <c r="G1473" s="2152"/>
      <c r="H1473" s="2152"/>
      <c r="I1473" s="2152"/>
      <c r="J1473" s="2152"/>
      <c r="K1473" s="2152"/>
      <c r="L1473" s="2152"/>
      <c r="M1473" s="2152"/>
      <c r="N1473" s="632"/>
      <c r="O1473" s="620"/>
    </row>
    <row r="1474" spans="1:15" x14ac:dyDescent="0.35">
      <c r="A1474" s="620"/>
      <c r="B1474" s="635"/>
      <c r="C1474" s="632"/>
      <c r="D1474" s="720"/>
      <c r="E1474" s="632"/>
      <c r="F1474" s="620"/>
      <c r="G1474" s="620"/>
      <c r="H1474" s="620"/>
      <c r="I1474" s="620"/>
      <c r="J1474" s="620"/>
      <c r="K1474" s="702"/>
      <c r="L1474" s="620"/>
      <c r="M1474" s="620"/>
      <c r="N1474" s="632"/>
      <c r="O1474" s="620"/>
    </row>
    <row r="1475" spans="1:15" x14ac:dyDescent="0.35">
      <c r="A1475" s="620"/>
      <c r="B1475" s="635"/>
      <c r="C1475" s="632"/>
      <c r="D1475" s="720"/>
      <c r="E1475" s="632"/>
      <c r="F1475" s="620"/>
      <c r="G1475" s="620"/>
      <c r="H1475" s="620"/>
      <c r="I1475" s="620"/>
      <c r="J1475" s="620"/>
      <c r="K1475" s="702"/>
      <c r="L1475" s="620"/>
      <c r="M1475" s="620"/>
      <c r="N1475" s="632"/>
      <c r="O1475" s="620"/>
    </row>
    <row r="1476" spans="1:15" ht="25" x14ac:dyDescent="0.35">
      <c r="A1476" s="2095" t="s">
        <v>1327</v>
      </c>
      <c r="B1476" s="2095"/>
      <c r="C1476" s="2095"/>
      <c r="D1476" s="2095"/>
      <c r="E1476" s="2095"/>
      <c r="F1476" s="2095"/>
      <c r="G1476" s="2095"/>
      <c r="H1476" s="2095"/>
      <c r="I1476" s="2095"/>
      <c r="J1476" s="2095"/>
      <c r="K1476" s="2095"/>
      <c r="L1476" s="2095"/>
      <c r="M1476" s="2095"/>
      <c r="N1476" s="2095"/>
      <c r="O1476" s="756" t="e">
        <f>$O$6</f>
        <v>#REF!</v>
      </c>
    </row>
    <row r="1477" spans="1:15" ht="15.5" x14ac:dyDescent="0.35">
      <c r="A1477" s="2096" t="s">
        <v>0</v>
      </c>
      <c r="B1477" s="2098" t="s">
        <v>1</v>
      </c>
      <c r="C1477" s="2100" t="s">
        <v>2</v>
      </c>
      <c r="D1477" s="2101"/>
      <c r="E1477" s="2102"/>
      <c r="F1477" s="2103" t="s">
        <v>3</v>
      </c>
      <c r="G1477" s="2100" t="s">
        <v>4</v>
      </c>
      <c r="H1477" s="2102"/>
      <c r="I1477" s="2085"/>
      <c r="J1477" s="2103" t="s">
        <v>5</v>
      </c>
      <c r="K1477" s="2100" t="s">
        <v>6</v>
      </c>
      <c r="L1477" s="2085"/>
      <c r="M1477" s="97" t="s">
        <v>32</v>
      </c>
      <c r="N1477" s="98"/>
      <c r="O1477" s="2084" t="s">
        <v>7</v>
      </c>
    </row>
    <row r="1478" spans="1:15" ht="15.5" x14ac:dyDescent="0.35">
      <c r="A1478" s="2097"/>
      <c r="B1478" s="2099"/>
      <c r="C1478" s="2086" t="s">
        <v>1108</v>
      </c>
      <c r="D1478" s="2087"/>
      <c r="E1478" s="87" t="s">
        <v>9</v>
      </c>
      <c r="F1478" s="2097"/>
      <c r="G1478" s="2">
        <f>'NORTH-1'!$G$8</f>
        <v>44774</v>
      </c>
      <c r="H1478" s="2">
        <f>'NORTH-1'!$H$8</f>
        <v>44805</v>
      </c>
      <c r="I1478" s="1" t="s">
        <v>10</v>
      </c>
      <c r="J1478" s="2097"/>
      <c r="K1478" s="1" t="s">
        <v>11</v>
      </c>
      <c r="L1478" s="1" t="s">
        <v>12</v>
      </c>
      <c r="M1478" s="617" t="s">
        <v>33</v>
      </c>
      <c r="N1478" s="76" t="s">
        <v>47</v>
      </c>
      <c r="O1478" s="2085"/>
    </row>
    <row r="1479" spans="1:15" ht="15.5" x14ac:dyDescent="0.35">
      <c r="A1479" s="3">
        <v>1</v>
      </c>
      <c r="B1479" s="88">
        <v>2</v>
      </c>
      <c r="C1479" s="2088">
        <v>4</v>
      </c>
      <c r="D1479" s="2089"/>
      <c r="E1479" s="88">
        <v>5</v>
      </c>
      <c r="F1479" s="3">
        <v>7</v>
      </c>
      <c r="G1479" s="3">
        <v>8</v>
      </c>
      <c r="H1479" s="3">
        <v>9</v>
      </c>
      <c r="I1479" s="3" t="s">
        <v>13</v>
      </c>
      <c r="J1479" s="3">
        <v>11</v>
      </c>
      <c r="K1479" s="3" t="s">
        <v>19</v>
      </c>
      <c r="L1479" s="3" t="s">
        <v>20</v>
      </c>
      <c r="M1479" s="3">
        <v>14</v>
      </c>
      <c r="N1479" s="77">
        <v>15</v>
      </c>
      <c r="O1479" s="3">
        <v>16</v>
      </c>
    </row>
    <row r="1480" spans="1:15" ht="15.5" x14ac:dyDescent="0.35">
      <c r="A1480" s="631"/>
      <c r="B1480" s="624" t="s">
        <v>1100</v>
      </c>
      <c r="C1480" s="625"/>
      <c r="D1480" s="625"/>
      <c r="E1480" s="625"/>
      <c r="F1480" s="625"/>
      <c r="G1480" s="625"/>
      <c r="H1480" s="625"/>
      <c r="I1480" s="625"/>
      <c r="J1480" s="625"/>
      <c r="K1480" s="695"/>
      <c r="L1480" s="625"/>
      <c r="M1480" s="626"/>
      <c r="N1480" s="627"/>
      <c r="O1480" s="616"/>
    </row>
    <row r="1481" spans="1:15" ht="15.5" x14ac:dyDescent="0.35">
      <c r="A1481" s="11">
        <v>1</v>
      </c>
      <c r="B1481" s="100" t="s">
        <v>3277</v>
      </c>
      <c r="C1481" s="52">
        <v>33</v>
      </c>
      <c r="D1481" s="2105" t="s">
        <v>527</v>
      </c>
      <c r="E1481" s="52">
        <v>41812909470</v>
      </c>
      <c r="F1481" s="4">
        <v>1</v>
      </c>
      <c r="G1481" s="21">
        <v>170.51</v>
      </c>
      <c r="H1481" s="21">
        <v>184.49</v>
      </c>
      <c r="I1481" s="21">
        <f>H1481-G1481</f>
        <v>13.980000000000018</v>
      </c>
      <c r="J1481" s="616">
        <v>360000</v>
      </c>
      <c r="K1481" s="696">
        <f>F1481*I1481*J1481</f>
        <v>5032800.0000000065</v>
      </c>
      <c r="L1481" s="22"/>
      <c r="M1481" s="22"/>
      <c r="N1481" s="82"/>
      <c r="O1481" s="9"/>
    </row>
    <row r="1482" spans="1:15" ht="15.5" x14ac:dyDescent="0.35">
      <c r="A1482" s="631">
        <v>2</v>
      </c>
      <c r="B1482" s="100" t="s">
        <v>3278</v>
      </c>
      <c r="C1482" s="52">
        <v>33</v>
      </c>
      <c r="D1482" s="2151" t="s">
        <v>527</v>
      </c>
      <c r="E1482" s="52">
        <v>41808902815</v>
      </c>
      <c r="F1482" s="4">
        <v>1</v>
      </c>
      <c r="G1482" s="21">
        <v>208.79</v>
      </c>
      <c r="H1482" s="21">
        <v>227.04</v>
      </c>
      <c r="I1482" s="21">
        <f>H1482-G1482</f>
        <v>18.25</v>
      </c>
      <c r="J1482" s="616">
        <v>360000</v>
      </c>
      <c r="K1482" s="696">
        <f>F1482*I1482*J1482</f>
        <v>6570000</v>
      </c>
      <c r="L1482" s="22"/>
      <c r="M1482" s="22"/>
      <c r="N1482" s="82"/>
      <c r="O1482" s="616"/>
    </row>
    <row r="1483" spans="1:15" ht="15.5" x14ac:dyDescent="0.35">
      <c r="A1483" s="631"/>
      <c r="B1483" s="102"/>
      <c r="C1483" s="91"/>
      <c r="D1483" s="726"/>
      <c r="E1483" s="91"/>
      <c r="F1483" s="47"/>
      <c r="G1483" s="48"/>
      <c r="H1483" s="48"/>
      <c r="I1483" s="48"/>
      <c r="J1483" s="96" t="s">
        <v>30</v>
      </c>
      <c r="K1483" s="658">
        <f>SUM(K1481:K1482)</f>
        <v>11602800.000000007</v>
      </c>
      <c r="L1483" s="43">
        <f>SUM(L1481:L1482)</f>
        <v>0</v>
      </c>
      <c r="M1483" s="43">
        <f>SUM(M1481:M1482)</f>
        <v>0</v>
      </c>
      <c r="N1483" s="646" t="e">
        <f>(M1483-L1483)/L1483*100</f>
        <v>#DIV/0!</v>
      </c>
      <c r="O1483" s="616"/>
    </row>
    <row r="1484" spans="1:15" ht="15.5" x14ac:dyDescent="0.35">
      <c r="A1484" s="616"/>
      <c r="B1484" s="624" t="s">
        <v>1113</v>
      </c>
      <c r="C1484" s="625"/>
      <c r="D1484" s="625"/>
      <c r="E1484" s="625"/>
      <c r="F1484" s="625"/>
      <c r="G1484" s="625"/>
      <c r="H1484" s="625"/>
      <c r="I1484" s="625"/>
      <c r="J1484" s="732"/>
      <c r="K1484" s="733"/>
      <c r="L1484" s="734"/>
      <c r="M1484" s="734"/>
      <c r="N1484" s="627"/>
      <c r="O1484" s="12"/>
    </row>
    <row r="1485" spans="1:15" ht="15.5" x14ac:dyDescent="0.35">
      <c r="A1485" s="616">
        <v>3</v>
      </c>
      <c r="B1485" s="100" t="s">
        <v>3279</v>
      </c>
      <c r="C1485" s="52">
        <v>33</v>
      </c>
      <c r="D1485" s="2105" t="s">
        <v>339</v>
      </c>
      <c r="E1485" s="52" t="s">
        <v>3280</v>
      </c>
      <c r="F1485" s="4">
        <v>1</v>
      </c>
      <c r="G1485" s="21">
        <v>167833.5</v>
      </c>
      <c r="H1485" s="21">
        <v>177160.4</v>
      </c>
      <c r="I1485" s="20">
        <f>H1485-G1485</f>
        <v>9326.8999999999942</v>
      </c>
      <c r="J1485" s="616">
        <v>540</v>
      </c>
      <c r="K1485" s="696">
        <f>J1485*I1485*F1485</f>
        <v>5036525.9999999972</v>
      </c>
      <c r="L1485" s="22"/>
      <c r="M1485" s="22"/>
      <c r="N1485" s="82"/>
      <c r="O1485" s="12" t="s">
        <v>3177</v>
      </c>
    </row>
    <row r="1486" spans="1:15" ht="15.5" x14ac:dyDescent="0.35">
      <c r="A1486" s="616">
        <v>6</v>
      </c>
      <c r="B1486" s="100" t="s">
        <v>3281</v>
      </c>
      <c r="C1486" s="52">
        <v>33</v>
      </c>
      <c r="D1486" s="2106" t="s">
        <v>339</v>
      </c>
      <c r="E1486" s="52" t="s">
        <v>3282</v>
      </c>
      <c r="F1486" s="4">
        <v>1</v>
      </c>
      <c r="G1486" s="21">
        <v>322097.59999999998</v>
      </c>
      <c r="H1486" s="21">
        <v>334276.3</v>
      </c>
      <c r="I1486" s="20">
        <f>H1486-G1486</f>
        <v>12178.700000000012</v>
      </c>
      <c r="J1486" s="616">
        <v>540</v>
      </c>
      <c r="K1486" s="696">
        <f>J1486*I1486*F1486</f>
        <v>6576498.0000000065</v>
      </c>
      <c r="L1486" s="22"/>
      <c r="M1486" s="22"/>
      <c r="N1486" s="82"/>
      <c r="O1486" s="12"/>
    </row>
    <row r="1487" spans="1:15" ht="15.5" x14ac:dyDescent="0.35">
      <c r="A1487" s="616"/>
      <c r="B1487" s="102"/>
      <c r="C1487" s="91"/>
      <c r="D1487" s="726"/>
      <c r="E1487" s="91"/>
      <c r="F1487" s="47"/>
      <c r="G1487" s="48"/>
      <c r="H1487" s="48"/>
      <c r="I1487" s="36"/>
      <c r="J1487" s="96" t="s">
        <v>30</v>
      </c>
      <c r="K1487" s="658">
        <f>SUM(K1485:K1486)</f>
        <v>11613024.000000004</v>
      </c>
      <c r="L1487" s="43">
        <f>SUM(L1485:L1486)</f>
        <v>0</v>
      </c>
      <c r="M1487" s="43">
        <f>SUM(M1485:M1486)</f>
        <v>0</v>
      </c>
      <c r="N1487" s="85"/>
      <c r="O1487" s="12"/>
    </row>
    <row r="1488" spans="1:15" ht="15.5" x14ac:dyDescent="0.35">
      <c r="A1488" s="616"/>
      <c r="B1488" s="647" t="s">
        <v>1114</v>
      </c>
      <c r="C1488" s="648"/>
      <c r="D1488" s="648"/>
      <c r="E1488" s="648"/>
      <c r="F1488" s="648"/>
      <c r="G1488" s="648"/>
      <c r="H1488" s="648"/>
      <c r="I1488" s="648"/>
      <c r="J1488" s="648"/>
      <c r="K1488" s="700"/>
      <c r="L1488" s="648"/>
      <c r="M1488" s="651"/>
      <c r="N1488" s="649"/>
      <c r="O1488" s="8"/>
    </row>
    <row r="1489" spans="1:15" ht="15.5" x14ac:dyDescent="0.35">
      <c r="A1489" s="616"/>
      <c r="B1489" s="100" t="s">
        <v>1079</v>
      </c>
      <c r="C1489" s="52">
        <v>132</v>
      </c>
      <c r="D1489" s="2138" t="s">
        <v>1083</v>
      </c>
      <c r="E1489" s="615"/>
      <c r="F1489" s="4"/>
      <c r="G1489" s="5"/>
      <c r="H1489" s="5"/>
      <c r="I1489" s="5"/>
      <c r="J1489" s="616"/>
      <c r="K1489" s="696"/>
      <c r="L1489" s="16">
        <f>J1489*I1489*F1489</f>
        <v>0</v>
      </c>
      <c r="M1489" s="7"/>
      <c r="N1489" s="78"/>
      <c r="O1489" s="616"/>
    </row>
    <row r="1490" spans="1:15" ht="15.5" x14ac:dyDescent="0.35">
      <c r="A1490" s="616"/>
      <c r="B1490" s="100" t="s">
        <v>1078</v>
      </c>
      <c r="C1490" s="52">
        <v>132</v>
      </c>
      <c r="D1490" s="2139"/>
      <c r="E1490" s="615"/>
      <c r="F1490" s="4"/>
      <c r="G1490" s="5"/>
      <c r="H1490" s="5"/>
      <c r="I1490" s="5"/>
      <c r="J1490" s="616"/>
      <c r="K1490" s="696"/>
      <c r="L1490" s="16">
        <f>J1490*I1490*F1490</f>
        <v>0</v>
      </c>
      <c r="M1490" s="16"/>
      <c r="N1490" s="79"/>
      <c r="O1490" s="616"/>
    </row>
    <row r="1491" spans="1:15" ht="15.5" x14ac:dyDescent="0.35">
      <c r="A1491" s="616"/>
      <c r="B1491" s="95"/>
      <c r="C1491" s="89"/>
      <c r="D1491" s="89"/>
      <c r="E1491" s="89"/>
      <c r="F1491" s="37"/>
      <c r="G1491" s="37"/>
      <c r="H1491" s="37"/>
      <c r="I1491" s="37"/>
      <c r="J1491" s="95" t="s">
        <v>279</v>
      </c>
      <c r="K1491" s="699"/>
      <c r="L1491" s="55">
        <f>SUM(L1489:L1490)</f>
        <v>0</v>
      </c>
      <c r="M1491" s="633"/>
      <c r="N1491" s="634"/>
      <c r="O1491" s="616"/>
    </row>
    <row r="1492" spans="1:15" ht="15.5" x14ac:dyDescent="0.35">
      <c r="A1492" s="616"/>
      <c r="B1492" s="102"/>
      <c r="C1492" s="91"/>
      <c r="D1492" s="726"/>
      <c r="E1492" s="91"/>
      <c r="F1492" s="47"/>
      <c r="G1492" s="48"/>
      <c r="H1492" s="48"/>
      <c r="I1492" s="36"/>
      <c r="J1492" s="96"/>
      <c r="K1492" s="706"/>
      <c r="L1492" s="43"/>
      <c r="M1492" s="43"/>
      <c r="N1492" s="85"/>
      <c r="O1492" s="12"/>
    </row>
    <row r="1493" spans="1:15" ht="15.5" x14ac:dyDescent="0.35">
      <c r="A1493" s="636"/>
      <c r="B1493" s="647" t="s">
        <v>1110</v>
      </c>
      <c r="C1493" s="648"/>
      <c r="D1493" s="648"/>
      <c r="E1493" s="648"/>
      <c r="F1493" s="648"/>
      <c r="G1493" s="648"/>
      <c r="H1493" s="648"/>
      <c r="I1493" s="648"/>
      <c r="J1493" s="50"/>
      <c r="K1493" s="710"/>
      <c r="L1493" s="51"/>
      <c r="M1493" s="51"/>
      <c r="N1493" s="649"/>
      <c r="O1493" s="12"/>
    </row>
    <row r="1494" spans="1:15" ht="15.75" customHeight="1" x14ac:dyDescent="0.35">
      <c r="A1494" s="616">
        <v>4</v>
      </c>
      <c r="B1494" s="100" t="s">
        <v>3237</v>
      </c>
      <c r="C1494" s="52">
        <v>33</v>
      </c>
      <c r="D1494" s="1774" t="s">
        <v>326</v>
      </c>
      <c r="E1494" s="52" t="s">
        <v>3283</v>
      </c>
      <c r="F1494" s="4">
        <v>1</v>
      </c>
      <c r="G1494" s="21">
        <v>468481.7</v>
      </c>
      <c r="H1494" s="21">
        <v>496442.8</v>
      </c>
      <c r="I1494" s="21">
        <f>H1494-G1494</f>
        <v>27961.099999999977</v>
      </c>
      <c r="J1494" s="31">
        <v>180</v>
      </c>
      <c r="K1494" s="707"/>
      <c r="L1494" s="22">
        <f>J1494*I1494*F1494</f>
        <v>5032997.9999999963</v>
      </c>
      <c r="M1494" s="22"/>
      <c r="N1494" s="83"/>
      <c r="O1494" s="12" t="e">
        <f>(K1498-L1498)/K1498*100</f>
        <v>#VALUE!</v>
      </c>
    </row>
    <row r="1495" spans="1:15" ht="30" x14ac:dyDescent="0.35">
      <c r="A1495" s="616">
        <v>5</v>
      </c>
      <c r="B1495" s="100" t="s">
        <v>3239</v>
      </c>
      <c r="C1495" s="52">
        <v>33</v>
      </c>
      <c r="D1495" s="1776" t="s">
        <v>326</v>
      </c>
      <c r="E1495" s="52" t="s">
        <v>3284</v>
      </c>
      <c r="F1495" s="4">
        <v>1</v>
      </c>
      <c r="G1495" s="21">
        <v>129.30000000000001</v>
      </c>
      <c r="H1495" s="21">
        <v>36658.9</v>
      </c>
      <c r="I1495" s="21">
        <f>H1495-G1495</f>
        <v>36529.599999999999</v>
      </c>
      <c r="J1495" s="31">
        <v>180</v>
      </c>
      <c r="K1495" s="707"/>
      <c r="L1495" s="22">
        <f>J1495*I1495*F1495</f>
        <v>6575328</v>
      </c>
      <c r="M1495" s="22"/>
      <c r="N1495" s="83"/>
      <c r="O1495" s="12"/>
    </row>
    <row r="1496" spans="1:15" ht="15" x14ac:dyDescent="0.35">
      <c r="A1496" s="636"/>
      <c r="B1496" s="96"/>
      <c r="C1496" s="90"/>
      <c r="D1496" s="90"/>
      <c r="E1496" s="90"/>
      <c r="F1496" s="38"/>
      <c r="G1496" s="38"/>
      <c r="H1496" s="38"/>
      <c r="I1496" s="38"/>
      <c r="J1496" s="96" t="s">
        <v>30</v>
      </c>
      <c r="K1496" s="708"/>
      <c r="L1496" s="658">
        <f>SUM(L1494:L1495)</f>
        <v>11608325.999999996</v>
      </c>
      <c r="M1496" s="43">
        <f>SUM(M1494:M1495)</f>
        <v>0</v>
      </c>
      <c r="N1496" s="650">
        <f>(M1496-L1496)/L1496*100</f>
        <v>-100</v>
      </c>
      <c r="O1496" s="12"/>
    </row>
    <row r="1497" spans="1:15" ht="15.5" thickBot="1" x14ac:dyDescent="0.4">
      <c r="A1497" s="702"/>
      <c r="B1497" s="736"/>
      <c r="C1497" s="92"/>
      <c r="D1497" s="92"/>
      <c r="E1497" s="92"/>
      <c r="F1497" s="737"/>
      <c r="G1497" s="737"/>
      <c r="H1497" s="737"/>
      <c r="I1497" s="737"/>
      <c r="J1497" s="736"/>
      <c r="K1497" s="738"/>
      <c r="L1497" s="739"/>
      <c r="M1497" s="739"/>
      <c r="N1497" s="646"/>
      <c r="O1497" s="740"/>
    </row>
    <row r="1498" spans="1:15" ht="15" x14ac:dyDescent="0.35">
      <c r="A1498" s="702"/>
      <c r="B1498" s="2142" t="s">
        <v>1090</v>
      </c>
      <c r="C1498" s="2143"/>
      <c r="D1498" s="683" t="s">
        <v>14</v>
      </c>
      <c r="F1498" s="2144" t="s">
        <v>1091</v>
      </c>
      <c r="G1498" s="2145"/>
      <c r="H1498" s="2146"/>
      <c r="I1498" s="683" t="s">
        <v>14</v>
      </c>
      <c r="J1498" s="620"/>
      <c r="K1498" s="2147" t="s">
        <v>1092</v>
      </c>
      <c r="L1498" s="2148"/>
      <c r="M1498" s="684" t="s">
        <v>14</v>
      </c>
      <c r="N1498" s="646"/>
      <c r="O1498" s="740"/>
    </row>
    <row r="1499" spans="1:15" ht="15" x14ac:dyDescent="0.35">
      <c r="A1499" s="702"/>
      <c r="B1499" s="2122" t="str">
        <f>B1480</f>
        <v>MOGBAZAR 33 KV SIDE</v>
      </c>
      <c r="C1499" s="2123"/>
      <c r="D1499" s="689">
        <f>K1483</f>
        <v>11602800.000000007</v>
      </c>
      <c r="F1499" s="2124" t="s">
        <v>1093</v>
      </c>
      <c r="G1499" s="2125"/>
      <c r="H1499" s="2126"/>
      <c r="I1499" s="685">
        <f>L1491</f>
        <v>0</v>
      </c>
      <c r="J1499" s="620"/>
      <c r="K1499" s="2160" t="str">
        <f>F1500</f>
        <v>MOGBAZAR T&amp;T 33 KV NET IMPORT</v>
      </c>
      <c r="L1499" s="2161"/>
      <c r="M1499" s="687">
        <f>I1500</f>
        <v>11602800.000000007</v>
      </c>
      <c r="N1499" s="646"/>
      <c r="O1499" s="740"/>
    </row>
    <row r="1500" spans="1:15" ht="15" x14ac:dyDescent="0.35">
      <c r="A1500" s="702"/>
      <c r="B1500" s="2122" t="s">
        <v>1116</v>
      </c>
      <c r="C1500" s="2123"/>
      <c r="D1500" s="741"/>
      <c r="F1500" s="2124" t="s">
        <v>1119</v>
      </c>
      <c r="G1500" s="2125"/>
      <c r="H1500" s="2126"/>
      <c r="I1500" s="685">
        <f>D1503-I1499</f>
        <v>11602800.000000007</v>
      </c>
      <c r="J1500" s="620"/>
      <c r="K1500" s="2162" t="s">
        <v>1120</v>
      </c>
      <c r="L1500" s="2163"/>
      <c r="M1500" s="685">
        <f>M1531</f>
        <v>0</v>
      </c>
      <c r="N1500" s="646"/>
      <c r="O1500" s="740"/>
    </row>
    <row r="1501" spans="1:15" ht="15" x14ac:dyDescent="0.35">
      <c r="A1501" s="702"/>
      <c r="B1501" s="2122" t="s">
        <v>1117</v>
      </c>
      <c r="C1501" s="2123"/>
      <c r="D1501" s="721"/>
      <c r="F1501" s="2124" t="s">
        <v>1089</v>
      </c>
      <c r="G1501" s="2125"/>
      <c r="H1501" s="2126"/>
      <c r="I1501" s="685">
        <f>I1499+I1500</f>
        <v>11602800.000000007</v>
      </c>
      <c r="J1501" s="620"/>
      <c r="K1501" s="2127" t="s">
        <v>284</v>
      </c>
      <c r="L1501" s="2128"/>
      <c r="M1501" s="685">
        <f>M1499-M1500</f>
        <v>11602800.000000007</v>
      </c>
      <c r="N1501" s="646"/>
      <c r="O1501" s="740"/>
    </row>
    <row r="1502" spans="1:15" ht="16" thickBot="1" x14ac:dyDescent="0.4">
      <c r="A1502" s="702"/>
      <c r="B1502" s="2122" t="s">
        <v>1118</v>
      </c>
      <c r="C1502" s="2123"/>
      <c r="D1502" s="722"/>
      <c r="F1502" s="2113" t="s">
        <v>1102</v>
      </c>
      <c r="G1502" s="2114"/>
      <c r="H1502" s="2115"/>
      <c r="I1502" s="690">
        <f>(D1503-I1501)/I1501</f>
        <v>0</v>
      </c>
      <c r="J1502" s="620"/>
      <c r="K1502" s="2134" t="s">
        <v>285</v>
      </c>
      <c r="L1502" s="2135"/>
      <c r="M1502" s="688">
        <f>M1501/M1499</f>
        <v>1</v>
      </c>
      <c r="N1502" s="646"/>
      <c r="O1502" s="740"/>
    </row>
    <row r="1503" spans="1:15" ht="15.5" thickBot="1" x14ac:dyDescent="0.4">
      <c r="A1503" s="702"/>
      <c r="B1503" s="2158" t="s">
        <v>1082</v>
      </c>
      <c r="C1503" s="2159"/>
      <c r="D1503" s="686">
        <f>SUM(D1499:D1501)</f>
        <v>11602800.000000007</v>
      </c>
      <c r="F1503" s="620"/>
      <c r="G1503" s="620"/>
      <c r="H1503" s="620"/>
      <c r="I1503" s="620"/>
      <c r="J1503" s="620"/>
      <c r="K1503" s="702"/>
      <c r="L1503" s="620"/>
      <c r="M1503" s="620"/>
      <c r="N1503" s="646"/>
      <c r="O1503" s="740"/>
    </row>
    <row r="1504" spans="1:15" ht="15" x14ac:dyDescent="0.35">
      <c r="A1504" s="702"/>
      <c r="B1504" s="736"/>
      <c r="C1504" s="92"/>
      <c r="D1504" s="92"/>
      <c r="E1504" s="92"/>
      <c r="F1504" s="737"/>
      <c r="G1504" s="737"/>
      <c r="H1504" s="737"/>
      <c r="I1504" s="737"/>
      <c r="J1504" s="736"/>
      <c r="K1504" s="738"/>
      <c r="L1504" s="739"/>
      <c r="M1504" s="739"/>
      <c r="N1504" s="646"/>
      <c r="O1504" s="740"/>
    </row>
    <row r="1505" spans="1:15" x14ac:dyDescent="0.35">
      <c r="A1505" s="620"/>
      <c r="B1505" s="632"/>
      <c r="C1505" s="620"/>
      <c r="D1505" s="728"/>
      <c r="E1505" s="620"/>
      <c r="F1505" s="620"/>
      <c r="G1505" s="620"/>
      <c r="H1505" s="620"/>
      <c r="I1505" s="620"/>
      <c r="J1505" s="620"/>
      <c r="K1505" s="702"/>
      <c r="L1505" s="620"/>
      <c r="M1505" s="620"/>
      <c r="N1505" s="620"/>
      <c r="O1505" s="620"/>
    </row>
    <row r="1506" spans="1:15" x14ac:dyDescent="0.35">
      <c r="A1506" s="620"/>
      <c r="B1506" s="632"/>
      <c r="C1506" s="620"/>
      <c r="D1506" s="728"/>
      <c r="E1506" s="620"/>
      <c r="F1506" s="620"/>
      <c r="G1506" s="620"/>
      <c r="H1506" s="620"/>
      <c r="I1506" s="620"/>
      <c r="J1506" s="620"/>
      <c r="K1506" s="702"/>
      <c r="L1506" s="620"/>
      <c r="M1506" s="620"/>
      <c r="N1506" s="620"/>
      <c r="O1506" s="620"/>
    </row>
    <row r="1507" spans="1:15" ht="25" x14ac:dyDescent="0.35">
      <c r="A1507" s="2095" t="s">
        <v>1328</v>
      </c>
      <c r="B1507" s="2095"/>
      <c r="C1507" s="2095"/>
      <c r="D1507" s="2095"/>
      <c r="E1507" s="2095"/>
      <c r="F1507" s="2095"/>
      <c r="G1507" s="2095"/>
      <c r="H1507" s="2095"/>
      <c r="I1507" s="2095"/>
      <c r="J1507" s="2095"/>
      <c r="K1507" s="2095"/>
      <c r="L1507" s="2095"/>
      <c r="M1507" s="2095"/>
      <c r="N1507" s="2095"/>
      <c r="O1507" s="756" t="e">
        <f>$O$6</f>
        <v>#REF!</v>
      </c>
    </row>
    <row r="1508" spans="1:15" ht="15.5" x14ac:dyDescent="0.35">
      <c r="A1508" s="2096" t="s">
        <v>0</v>
      </c>
      <c r="B1508" s="2098" t="s">
        <v>1</v>
      </c>
      <c r="C1508" s="2100" t="s">
        <v>2</v>
      </c>
      <c r="D1508" s="2101"/>
      <c r="E1508" s="2102"/>
      <c r="F1508" s="2103" t="s">
        <v>3</v>
      </c>
      <c r="G1508" s="2100" t="s">
        <v>4</v>
      </c>
      <c r="H1508" s="2102"/>
      <c r="I1508" s="2085"/>
      <c r="J1508" s="2103" t="s">
        <v>5</v>
      </c>
      <c r="K1508" s="2100" t="s">
        <v>6</v>
      </c>
      <c r="L1508" s="2085"/>
      <c r="M1508" s="97" t="s">
        <v>32</v>
      </c>
      <c r="N1508" s="98"/>
      <c r="O1508" s="2084" t="s">
        <v>7</v>
      </c>
    </row>
    <row r="1509" spans="1:15" ht="15.5" x14ac:dyDescent="0.35">
      <c r="A1509" s="2097"/>
      <c r="B1509" s="2099"/>
      <c r="C1509" s="2086" t="s">
        <v>1108</v>
      </c>
      <c r="D1509" s="2087"/>
      <c r="E1509" s="87" t="s">
        <v>9</v>
      </c>
      <c r="F1509" s="2097"/>
      <c r="G1509" s="2">
        <f>'NORTH-1'!$G$8</f>
        <v>44774</v>
      </c>
      <c r="H1509" s="2">
        <f>'NORTH-1'!$H$8</f>
        <v>44805</v>
      </c>
      <c r="I1509" s="1" t="s">
        <v>10</v>
      </c>
      <c r="J1509" s="2097"/>
      <c r="K1509" s="1" t="s">
        <v>11</v>
      </c>
      <c r="L1509" s="1" t="s">
        <v>12</v>
      </c>
      <c r="M1509" s="617" t="s">
        <v>33</v>
      </c>
      <c r="N1509" s="76" t="s">
        <v>47</v>
      </c>
      <c r="O1509" s="2085"/>
    </row>
    <row r="1510" spans="1:15" ht="15.5" x14ac:dyDescent="0.35">
      <c r="A1510" s="3">
        <v>1</v>
      </c>
      <c r="B1510" s="88">
        <v>2</v>
      </c>
      <c r="C1510" s="2088">
        <v>4</v>
      </c>
      <c r="D1510" s="2089"/>
      <c r="E1510" s="88">
        <v>5</v>
      </c>
      <c r="F1510" s="3">
        <v>7</v>
      </c>
      <c r="G1510" s="3">
        <v>8</v>
      </c>
      <c r="H1510" s="3">
        <v>9</v>
      </c>
      <c r="I1510" s="3" t="s">
        <v>13</v>
      </c>
      <c r="J1510" s="3">
        <v>11</v>
      </c>
      <c r="K1510" s="3" t="s">
        <v>19</v>
      </c>
      <c r="L1510" s="3" t="s">
        <v>20</v>
      </c>
      <c r="M1510" s="3">
        <v>14</v>
      </c>
      <c r="N1510" s="77">
        <v>15</v>
      </c>
      <c r="O1510" s="3">
        <v>16</v>
      </c>
    </row>
    <row r="1511" spans="1:15" ht="15.5" x14ac:dyDescent="0.35">
      <c r="A1511" s="631"/>
      <c r="B1511" s="624" t="s">
        <v>1121</v>
      </c>
      <c r="C1511" s="625"/>
      <c r="D1511" s="625"/>
      <c r="E1511" s="625"/>
      <c r="F1511" s="625"/>
      <c r="G1511" s="625"/>
      <c r="H1511" s="625"/>
      <c r="I1511" s="625"/>
      <c r="J1511" s="625"/>
      <c r="K1511" s="695"/>
      <c r="L1511" s="625"/>
      <c r="M1511" s="626"/>
      <c r="N1511" s="627"/>
      <c r="O1511" s="616"/>
    </row>
    <row r="1512" spans="1:15" ht="15.5" x14ac:dyDescent="0.35">
      <c r="A1512" s="631">
        <v>8</v>
      </c>
      <c r="B1512" s="100" t="s">
        <v>3285</v>
      </c>
      <c r="C1512" s="52">
        <v>11</v>
      </c>
      <c r="D1512" s="2105"/>
      <c r="E1512" s="52" t="s">
        <v>3286</v>
      </c>
      <c r="F1512" s="4">
        <v>1</v>
      </c>
      <c r="G1512" s="21">
        <v>3413.64</v>
      </c>
      <c r="H1512" s="21">
        <v>3441</v>
      </c>
      <c r="I1512" s="21">
        <f>H1512-G1512</f>
        <v>27.360000000000127</v>
      </c>
      <c r="J1512" s="616">
        <v>180000</v>
      </c>
      <c r="K1512" s="696">
        <f>J1512*I1512*F1512</f>
        <v>4924800.0000000233</v>
      </c>
      <c r="L1512" s="22"/>
      <c r="M1512" s="22"/>
      <c r="N1512" s="82"/>
      <c r="O1512" s="616">
        <f>SUM(L1505:L1511)</f>
        <v>0</v>
      </c>
    </row>
    <row r="1513" spans="1:15" ht="15.5" x14ac:dyDescent="0.35">
      <c r="A1513" s="631">
        <v>9</v>
      </c>
      <c r="B1513" s="100" t="s">
        <v>3287</v>
      </c>
      <c r="C1513" s="52">
        <v>11</v>
      </c>
      <c r="D1513" s="2151"/>
      <c r="E1513" s="52" t="s">
        <v>3288</v>
      </c>
      <c r="F1513" s="4">
        <v>1</v>
      </c>
      <c r="G1513" s="21">
        <v>3969.59</v>
      </c>
      <c r="H1513" s="21">
        <v>4004.51</v>
      </c>
      <c r="I1513" s="21">
        <f>H1513-G1513</f>
        <v>34.920000000000073</v>
      </c>
      <c r="J1513" s="616">
        <v>180000</v>
      </c>
      <c r="K1513" s="696">
        <f>J1513*I1513*F1513</f>
        <v>6285600.000000013</v>
      </c>
      <c r="L1513" s="22"/>
      <c r="M1513" s="22"/>
      <c r="N1513" s="82"/>
      <c r="O1513" s="616"/>
    </row>
    <row r="1514" spans="1:15" ht="15.5" x14ac:dyDescent="0.35">
      <c r="A1514" s="631"/>
      <c r="B1514" s="102"/>
      <c r="C1514" s="91"/>
      <c r="D1514" s="726"/>
      <c r="E1514" s="91"/>
      <c r="F1514" s="47"/>
      <c r="G1514" s="48"/>
      <c r="H1514" s="48"/>
      <c r="I1514" s="48"/>
      <c r="J1514" s="39" t="s">
        <v>30</v>
      </c>
      <c r="K1514" s="658">
        <f>SUM(K1512:K1513)</f>
        <v>11210400.000000037</v>
      </c>
      <c r="L1514" s="49"/>
      <c r="M1514" s="43">
        <f>SUM(M1512:M1513)</f>
        <v>0</v>
      </c>
      <c r="N1514" s="85"/>
      <c r="O1514" s="616"/>
    </row>
    <row r="1515" spans="1:15" ht="15.5" x14ac:dyDescent="0.35">
      <c r="A1515" s="631"/>
      <c r="B1515" s="647" t="s">
        <v>1121</v>
      </c>
      <c r="C1515" s="648"/>
      <c r="D1515" s="648"/>
      <c r="E1515" s="648"/>
      <c r="F1515" s="648"/>
      <c r="G1515" s="648"/>
      <c r="H1515" s="648"/>
      <c r="I1515" s="648"/>
      <c r="J1515" s="50"/>
      <c r="K1515" s="710"/>
      <c r="L1515" s="51"/>
      <c r="M1515" s="51"/>
      <c r="N1515" s="649"/>
      <c r="O1515" s="616"/>
    </row>
    <row r="1516" spans="1:15" ht="18" customHeight="1" x14ac:dyDescent="0.35">
      <c r="A1516" s="631">
        <v>1</v>
      </c>
      <c r="B1516" s="100" t="s">
        <v>3289</v>
      </c>
      <c r="C1516" s="73">
        <v>11</v>
      </c>
      <c r="D1516" s="1781"/>
      <c r="E1516" s="52" t="s">
        <v>3290</v>
      </c>
      <c r="F1516" s="32">
        <v>1</v>
      </c>
      <c r="G1516" s="6"/>
      <c r="H1516" s="6"/>
      <c r="I1516" s="20">
        <f t="shared" ref="I1516:I1530" si="48">H1516-G1516</f>
        <v>0</v>
      </c>
      <c r="J1516" s="616">
        <v>60</v>
      </c>
      <c r="K1516" s="703"/>
      <c r="L1516" s="22">
        <f t="shared" ref="L1516:L1530" si="49">J1516*I1516*F1516</f>
        <v>0</v>
      </c>
      <c r="M1516" s="22"/>
      <c r="N1516" s="72"/>
      <c r="O1516" s="15"/>
    </row>
    <row r="1517" spans="1:15" ht="18" customHeight="1" x14ac:dyDescent="0.35">
      <c r="A1517" s="631">
        <v>2</v>
      </c>
      <c r="B1517" s="100" t="s">
        <v>3291</v>
      </c>
      <c r="C1517" s="73">
        <v>11</v>
      </c>
      <c r="D1517" s="1782"/>
      <c r="E1517" s="52" t="s">
        <v>3292</v>
      </c>
      <c r="F1517" s="32">
        <v>1</v>
      </c>
      <c r="G1517" s="6"/>
      <c r="H1517" s="6"/>
      <c r="I1517" s="20">
        <f t="shared" si="48"/>
        <v>0</v>
      </c>
      <c r="J1517" s="616">
        <v>60</v>
      </c>
      <c r="K1517" s="703"/>
      <c r="L1517" s="22">
        <f t="shared" si="49"/>
        <v>0</v>
      </c>
      <c r="M1517" s="22"/>
      <c r="N1517" s="72"/>
      <c r="O1517" s="15"/>
    </row>
    <row r="1518" spans="1:15" ht="18" customHeight="1" x14ac:dyDescent="0.35">
      <c r="A1518" s="631">
        <v>3</v>
      </c>
      <c r="B1518" s="100" t="s">
        <v>3293</v>
      </c>
      <c r="C1518" s="73">
        <v>11</v>
      </c>
      <c r="D1518" s="1782"/>
      <c r="E1518" s="52" t="s">
        <v>3294</v>
      </c>
      <c r="F1518" s="32">
        <v>1</v>
      </c>
      <c r="G1518" s="6">
        <v>21196.5</v>
      </c>
      <c r="H1518" s="6">
        <v>39724.1</v>
      </c>
      <c r="I1518" s="20">
        <f t="shared" si="48"/>
        <v>18527.599999999999</v>
      </c>
      <c r="J1518" s="616">
        <v>60</v>
      </c>
      <c r="K1518" s="703"/>
      <c r="L1518" s="22">
        <f t="shared" si="49"/>
        <v>1111656</v>
      </c>
      <c r="M1518" s="22"/>
      <c r="N1518" s="72" t="s">
        <v>93</v>
      </c>
      <c r="O1518" s="15"/>
    </row>
    <row r="1519" spans="1:15" ht="18" customHeight="1" x14ac:dyDescent="0.35">
      <c r="A1519" s="631">
        <v>4</v>
      </c>
      <c r="B1519" s="100" t="s">
        <v>3295</v>
      </c>
      <c r="C1519" s="73">
        <v>11</v>
      </c>
      <c r="D1519" s="1782"/>
      <c r="E1519" s="52" t="s">
        <v>3296</v>
      </c>
      <c r="F1519" s="32">
        <v>1</v>
      </c>
      <c r="G1519" s="6">
        <v>412315</v>
      </c>
      <c r="H1519" s="6">
        <v>419563.1</v>
      </c>
      <c r="I1519" s="20">
        <f t="shared" si="48"/>
        <v>7248.0999999999767</v>
      </c>
      <c r="J1519" s="616">
        <v>60</v>
      </c>
      <c r="K1519" s="703"/>
      <c r="L1519" s="22">
        <f t="shared" si="49"/>
        <v>434885.9999999986</v>
      </c>
      <c r="M1519" s="22"/>
      <c r="N1519" s="72" t="s">
        <v>92</v>
      </c>
      <c r="O1519" s="15"/>
    </row>
    <row r="1520" spans="1:15" ht="18" customHeight="1" x14ac:dyDescent="0.35">
      <c r="A1520" s="631">
        <v>5</v>
      </c>
      <c r="B1520" s="100" t="s">
        <v>3297</v>
      </c>
      <c r="C1520" s="73">
        <v>11</v>
      </c>
      <c r="D1520" s="1782"/>
      <c r="E1520" s="52" t="s">
        <v>3298</v>
      </c>
      <c r="F1520" s="32">
        <v>1</v>
      </c>
      <c r="G1520" s="6">
        <v>348459.6</v>
      </c>
      <c r="H1520" s="6">
        <v>366083.9</v>
      </c>
      <c r="I1520" s="20">
        <f t="shared" si="48"/>
        <v>17624.300000000047</v>
      </c>
      <c r="J1520" s="616">
        <v>60</v>
      </c>
      <c r="K1520" s="703"/>
      <c r="L1520" s="22">
        <f t="shared" si="49"/>
        <v>1057458.0000000028</v>
      </c>
      <c r="M1520" s="22"/>
      <c r="N1520" s="72" t="s">
        <v>92</v>
      </c>
      <c r="O1520" s="15"/>
    </row>
    <row r="1521" spans="1:15" ht="18" customHeight="1" x14ac:dyDescent="0.35">
      <c r="A1521" s="631">
        <v>6</v>
      </c>
      <c r="B1521" s="100" t="s">
        <v>3299</v>
      </c>
      <c r="C1521" s="73">
        <v>11</v>
      </c>
      <c r="D1521" s="1782"/>
      <c r="E1521" s="52" t="s">
        <v>3300</v>
      </c>
      <c r="F1521" s="32">
        <v>1</v>
      </c>
      <c r="G1521" s="6">
        <v>3386.31</v>
      </c>
      <c r="H1521" s="6">
        <v>3406.26</v>
      </c>
      <c r="I1521" s="20">
        <f t="shared" si="48"/>
        <v>19.950000000000273</v>
      </c>
      <c r="J1521" s="616">
        <v>60000</v>
      </c>
      <c r="K1521" s="703"/>
      <c r="L1521" s="22">
        <f t="shared" si="49"/>
        <v>1197000.0000000163</v>
      </c>
      <c r="M1521" s="22"/>
      <c r="N1521" s="72" t="s">
        <v>93</v>
      </c>
      <c r="O1521" s="15"/>
    </row>
    <row r="1522" spans="1:15" ht="18" customHeight="1" x14ac:dyDescent="0.35">
      <c r="A1522" s="631">
        <v>7</v>
      </c>
      <c r="B1522" s="100" t="s">
        <v>3301</v>
      </c>
      <c r="C1522" s="73">
        <v>11</v>
      </c>
      <c r="D1522" s="1782"/>
      <c r="E1522" s="52" t="s">
        <v>3302</v>
      </c>
      <c r="F1522" s="32">
        <v>1</v>
      </c>
      <c r="G1522" s="6">
        <v>2170.63</v>
      </c>
      <c r="H1522" s="6">
        <v>2190.96</v>
      </c>
      <c r="I1522" s="20">
        <f t="shared" si="48"/>
        <v>20.329999999999927</v>
      </c>
      <c r="J1522" s="616">
        <v>60000</v>
      </c>
      <c r="K1522" s="703"/>
      <c r="L1522" s="22">
        <f t="shared" si="49"/>
        <v>1219799.9999999956</v>
      </c>
      <c r="M1522" s="22"/>
      <c r="N1522" s="72" t="s">
        <v>101</v>
      </c>
      <c r="O1522" s="15"/>
    </row>
    <row r="1523" spans="1:15" ht="18" customHeight="1" x14ac:dyDescent="0.35">
      <c r="A1523" s="631">
        <v>10</v>
      </c>
      <c r="B1523" s="100" t="s">
        <v>3303</v>
      </c>
      <c r="C1523" s="73">
        <v>11</v>
      </c>
      <c r="D1523" s="1782"/>
      <c r="E1523" s="52" t="s">
        <v>3304</v>
      </c>
      <c r="F1523" s="32">
        <v>1</v>
      </c>
      <c r="G1523" s="6">
        <v>635.54</v>
      </c>
      <c r="H1523" s="6">
        <v>649.35</v>
      </c>
      <c r="I1523" s="20">
        <f t="shared" si="48"/>
        <v>13.810000000000059</v>
      </c>
      <c r="J1523" s="616">
        <v>60000</v>
      </c>
      <c r="K1523" s="703"/>
      <c r="L1523" s="22">
        <f t="shared" si="49"/>
        <v>828600.00000000349</v>
      </c>
      <c r="M1523" s="22"/>
      <c r="N1523" s="72" t="s">
        <v>92</v>
      </c>
      <c r="O1523" s="15"/>
    </row>
    <row r="1524" spans="1:15" ht="18" customHeight="1" x14ac:dyDescent="0.35">
      <c r="A1524" s="631">
        <v>11</v>
      </c>
      <c r="B1524" s="100" t="s">
        <v>3305</v>
      </c>
      <c r="C1524" s="73">
        <v>11</v>
      </c>
      <c r="D1524" s="1782"/>
      <c r="E1524" s="52" t="s">
        <v>3306</v>
      </c>
      <c r="F1524" s="32">
        <v>1</v>
      </c>
      <c r="G1524" s="6">
        <v>147084.5</v>
      </c>
      <c r="H1524" s="6">
        <v>167993.4</v>
      </c>
      <c r="I1524" s="20">
        <f t="shared" si="48"/>
        <v>20908.899999999994</v>
      </c>
      <c r="J1524" s="616">
        <v>60</v>
      </c>
      <c r="K1524" s="703"/>
      <c r="L1524" s="22">
        <f t="shared" si="49"/>
        <v>1254533.9999999995</v>
      </c>
      <c r="M1524" s="22"/>
      <c r="N1524" s="72" t="s">
        <v>92</v>
      </c>
      <c r="O1524" s="15"/>
    </row>
    <row r="1525" spans="1:15" ht="18" customHeight="1" x14ac:dyDescent="0.35">
      <c r="A1525" s="631">
        <v>12</v>
      </c>
      <c r="B1525" s="100" t="s">
        <v>3307</v>
      </c>
      <c r="C1525" s="73">
        <v>11</v>
      </c>
      <c r="D1525" s="1782"/>
      <c r="E1525" s="52" t="s">
        <v>3308</v>
      </c>
      <c r="F1525" s="32">
        <v>1</v>
      </c>
      <c r="G1525" s="6">
        <v>816.36</v>
      </c>
      <c r="H1525" s="6">
        <v>831.25</v>
      </c>
      <c r="I1525" s="20">
        <f t="shared" si="48"/>
        <v>14.889999999999986</v>
      </c>
      <c r="J1525" s="616">
        <v>60000</v>
      </c>
      <c r="K1525" s="703"/>
      <c r="L1525" s="22">
        <f t="shared" si="49"/>
        <v>893399.99999999919</v>
      </c>
      <c r="M1525" s="22"/>
      <c r="N1525" s="72" t="s">
        <v>93</v>
      </c>
      <c r="O1525" s="15"/>
    </row>
    <row r="1526" spans="1:15" ht="18" customHeight="1" x14ac:dyDescent="0.35">
      <c r="A1526" s="631">
        <v>13</v>
      </c>
      <c r="B1526" s="100" t="s">
        <v>3309</v>
      </c>
      <c r="C1526" s="73">
        <v>11</v>
      </c>
      <c r="D1526" s="1782"/>
      <c r="E1526" s="52" t="s">
        <v>3310</v>
      </c>
      <c r="F1526" s="32">
        <v>1</v>
      </c>
      <c r="G1526" s="6">
        <v>3628.83</v>
      </c>
      <c r="H1526" s="6">
        <v>3655.72</v>
      </c>
      <c r="I1526" s="20">
        <f t="shared" si="48"/>
        <v>26.889999999999873</v>
      </c>
      <c r="J1526" s="616">
        <v>60000</v>
      </c>
      <c r="K1526" s="703"/>
      <c r="L1526" s="22">
        <f t="shared" si="49"/>
        <v>1613399.9999999923</v>
      </c>
      <c r="M1526" s="22"/>
      <c r="N1526" s="72" t="s">
        <v>101</v>
      </c>
      <c r="O1526" s="15"/>
    </row>
    <row r="1527" spans="1:15" ht="18" customHeight="1" x14ac:dyDescent="0.35">
      <c r="A1527" s="631">
        <v>14</v>
      </c>
      <c r="B1527" s="100" t="s">
        <v>3311</v>
      </c>
      <c r="C1527" s="73">
        <v>11</v>
      </c>
      <c r="D1527" s="1782"/>
      <c r="E1527" s="52" t="s">
        <v>3312</v>
      </c>
      <c r="F1527" s="32">
        <v>1</v>
      </c>
      <c r="G1527" s="6"/>
      <c r="H1527" s="6"/>
      <c r="I1527" s="20">
        <f t="shared" si="48"/>
        <v>0</v>
      </c>
      <c r="J1527" s="616">
        <v>60</v>
      </c>
      <c r="K1527" s="703"/>
      <c r="L1527" s="22">
        <f t="shared" si="49"/>
        <v>0</v>
      </c>
      <c r="M1527" s="22"/>
      <c r="N1527" s="72"/>
      <c r="O1527" s="15"/>
    </row>
    <row r="1528" spans="1:15" ht="18" customHeight="1" x14ac:dyDescent="0.35">
      <c r="A1528" s="631">
        <v>15</v>
      </c>
      <c r="B1528" s="100" t="s">
        <v>3313</v>
      </c>
      <c r="C1528" s="73">
        <v>11</v>
      </c>
      <c r="D1528" s="1782"/>
      <c r="E1528" s="52" t="s">
        <v>3314</v>
      </c>
      <c r="F1528" s="32">
        <v>1</v>
      </c>
      <c r="G1528" s="6">
        <v>467211.5</v>
      </c>
      <c r="H1528" s="6">
        <v>489363.20000000001</v>
      </c>
      <c r="I1528" s="20">
        <f t="shared" si="48"/>
        <v>22151.700000000012</v>
      </c>
      <c r="J1528" s="616">
        <v>60</v>
      </c>
      <c r="K1528" s="703"/>
      <c r="L1528" s="22">
        <f t="shared" si="49"/>
        <v>1329102.0000000007</v>
      </c>
      <c r="M1528" s="22"/>
      <c r="N1528" s="72" t="s">
        <v>101</v>
      </c>
      <c r="O1528" s="15"/>
    </row>
    <row r="1529" spans="1:15" ht="18" customHeight="1" x14ac:dyDescent="0.35">
      <c r="A1529" s="631">
        <v>16</v>
      </c>
      <c r="B1529" s="100" t="s">
        <v>3315</v>
      </c>
      <c r="C1529" s="73">
        <v>11</v>
      </c>
      <c r="D1529" s="1782"/>
      <c r="E1529" s="52" t="s">
        <v>3316</v>
      </c>
      <c r="F1529" s="32">
        <v>1</v>
      </c>
      <c r="G1529" s="6">
        <v>59870.3</v>
      </c>
      <c r="H1529" s="6">
        <v>69656.3</v>
      </c>
      <c r="I1529" s="20">
        <f t="shared" si="48"/>
        <v>9786</v>
      </c>
      <c r="J1529" s="616">
        <v>60</v>
      </c>
      <c r="K1529" s="703"/>
      <c r="L1529" s="22">
        <f t="shared" si="49"/>
        <v>587160</v>
      </c>
      <c r="M1529" s="22"/>
      <c r="N1529" s="72" t="s">
        <v>92</v>
      </c>
      <c r="O1529" s="15"/>
    </row>
    <row r="1530" spans="1:15" ht="18" customHeight="1" x14ac:dyDescent="0.35">
      <c r="A1530" s="631">
        <v>18</v>
      </c>
      <c r="B1530" s="100" t="s">
        <v>3172</v>
      </c>
      <c r="C1530" s="73">
        <v>11</v>
      </c>
      <c r="D1530" s="1783"/>
      <c r="E1530" s="52" t="s">
        <v>3317</v>
      </c>
      <c r="F1530" s="32">
        <v>1</v>
      </c>
      <c r="G1530" s="6">
        <v>267550</v>
      </c>
      <c r="H1530" s="6">
        <v>268785</v>
      </c>
      <c r="I1530" s="20">
        <f t="shared" si="48"/>
        <v>1235</v>
      </c>
      <c r="J1530" s="616">
        <v>1</v>
      </c>
      <c r="K1530" s="703"/>
      <c r="L1530" s="22">
        <f t="shared" si="49"/>
        <v>1235</v>
      </c>
      <c r="M1530" s="22"/>
      <c r="N1530" s="72" t="s">
        <v>92</v>
      </c>
      <c r="O1530" s="15"/>
    </row>
    <row r="1531" spans="1:15" ht="28" x14ac:dyDescent="0.35">
      <c r="A1531" s="636"/>
      <c r="B1531" s="96"/>
      <c r="C1531" s="90"/>
      <c r="D1531" s="90"/>
      <c r="E1531" s="90"/>
      <c r="F1531" s="38"/>
      <c r="G1531" s="38"/>
      <c r="H1531" s="38"/>
      <c r="I1531" s="38"/>
      <c r="J1531" s="53" t="s">
        <v>44</v>
      </c>
      <c r="K1531" s="658">
        <f>K1514</f>
        <v>11210400.000000037</v>
      </c>
      <c r="L1531" s="658">
        <f>SUM(L1516:L1530)</f>
        <v>11528231.000000007</v>
      </c>
      <c r="M1531" s="43">
        <f>SUM(M1516:M1530)</f>
        <v>0</v>
      </c>
      <c r="N1531" s="84">
        <f>(M1531-L1531)/L1531*100</f>
        <v>-100</v>
      </c>
      <c r="O1531" s="29"/>
    </row>
    <row r="1533" spans="1:15" ht="15" x14ac:dyDescent="0.35">
      <c r="A1533" s="620"/>
      <c r="B1533" s="635"/>
      <c r="C1533" s="632"/>
      <c r="D1533" s="720"/>
      <c r="F1533" s="2092" t="s">
        <v>1099</v>
      </c>
      <c r="G1533" s="2092"/>
      <c r="H1533" s="2092"/>
      <c r="I1533" s="677" t="s">
        <v>14</v>
      </c>
      <c r="J1533" s="620"/>
      <c r="K1533" s="702"/>
      <c r="L1533" s="620"/>
      <c r="M1533" s="620"/>
      <c r="N1533" s="632"/>
      <c r="O1533" s="620"/>
    </row>
    <row r="1534" spans="1:15" ht="15.5" x14ac:dyDescent="0.35">
      <c r="A1534" s="620"/>
      <c r="B1534" s="635"/>
      <c r="C1534" s="632"/>
      <c r="D1534" s="720"/>
      <c r="F1534" s="2153" t="s">
        <v>232</v>
      </c>
      <c r="G1534" s="2154"/>
      <c r="H1534" s="2155"/>
      <c r="I1534" s="643">
        <f>SUM(M1516:M1517,M1524)</f>
        <v>0</v>
      </c>
      <c r="J1534" s="620"/>
      <c r="K1534" s="702"/>
      <c r="L1534" s="620"/>
      <c r="M1534" s="620"/>
      <c r="N1534" s="632"/>
      <c r="O1534" s="620" t="s">
        <v>237</v>
      </c>
    </row>
    <row r="1535" spans="1:15" ht="15.5" x14ac:dyDescent="0.35">
      <c r="A1535" s="620"/>
      <c r="B1535" s="635"/>
      <c r="C1535" s="632"/>
      <c r="D1535" s="720"/>
      <c r="F1535" s="2153" t="s">
        <v>268</v>
      </c>
      <c r="G1535" s="2154"/>
      <c r="H1535" s="2155"/>
      <c r="I1535" s="643">
        <f>SUM(M1518:M1519,M1525,M1527,M1528,M1530)</f>
        <v>0</v>
      </c>
      <c r="J1535" s="620"/>
      <c r="K1535" s="702"/>
      <c r="L1535" s="620"/>
      <c r="M1535" s="620"/>
      <c r="N1535" s="632"/>
      <c r="O1535" s="620"/>
    </row>
    <row r="1536" spans="1:15" ht="16" thickBot="1" x14ac:dyDescent="0.4">
      <c r="A1536" s="620"/>
      <c r="B1536" s="635"/>
      <c r="C1536" s="632"/>
      <c r="D1536" s="720"/>
      <c r="F1536" s="2153" t="s">
        <v>269</v>
      </c>
      <c r="G1536" s="2154"/>
      <c r="H1536" s="2155"/>
      <c r="I1536" s="643">
        <f>SUM(M1526,M1529)</f>
        <v>0</v>
      </c>
      <c r="J1536" s="620"/>
      <c r="K1536" s="702"/>
      <c r="L1536" s="620"/>
      <c r="M1536" s="620"/>
      <c r="N1536" s="632"/>
      <c r="O1536" s="620"/>
    </row>
    <row r="1537" spans="1:15" ht="20.5" thickBot="1" x14ac:dyDescent="0.4">
      <c r="A1537" s="620"/>
      <c r="B1537" s="635"/>
      <c r="C1537" s="632"/>
      <c r="D1537" s="720"/>
      <c r="E1537" s="632"/>
      <c r="F1537" s="2156" t="s">
        <v>210</v>
      </c>
      <c r="G1537" s="2156"/>
      <c r="H1537" s="2156"/>
      <c r="I1537" s="656">
        <f>SUM(I1534:I1536)</f>
        <v>0</v>
      </c>
      <c r="J1537" s="682">
        <f>I1537-M1531</f>
        <v>0</v>
      </c>
      <c r="K1537" s="702"/>
      <c r="L1537" s="620"/>
      <c r="M1537" s="620"/>
      <c r="N1537" s="632"/>
      <c r="O1537" s="620"/>
    </row>
  </sheetData>
  <mergeCells count="909">
    <mergeCell ref="F1537:H1537"/>
    <mergeCell ref="O1508:O1509"/>
    <mergeCell ref="C1509:D1509"/>
    <mergeCell ref="C1510:D1510"/>
    <mergeCell ref="D1512:D1513"/>
    <mergeCell ref="F1533:H1533"/>
    <mergeCell ref="F1534:H1534"/>
    <mergeCell ref="F1535:H1535"/>
    <mergeCell ref="F1536:H1536"/>
    <mergeCell ref="B1502:C1502"/>
    <mergeCell ref="F1502:H1502"/>
    <mergeCell ref="K1502:L1502"/>
    <mergeCell ref="B1503:C1503"/>
    <mergeCell ref="A1507:N1507"/>
    <mergeCell ref="A1508:A1509"/>
    <mergeCell ref="B1508:B1509"/>
    <mergeCell ref="C1508:E1508"/>
    <mergeCell ref="F1508:F1509"/>
    <mergeCell ref="G1508:I1508"/>
    <mergeCell ref="J1508:J1509"/>
    <mergeCell ref="K1508:L1508"/>
    <mergeCell ref="B1499:C1499"/>
    <mergeCell ref="F1499:H1499"/>
    <mergeCell ref="K1499:L1499"/>
    <mergeCell ref="B1500:C1500"/>
    <mergeCell ref="F1500:H1500"/>
    <mergeCell ref="K1500:L1500"/>
    <mergeCell ref="B1501:C1501"/>
    <mergeCell ref="F1501:H1501"/>
    <mergeCell ref="K1501:L1501"/>
    <mergeCell ref="O1477:O1478"/>
    <mergeCell ref="C1478:D1478"/>
    <mergeCell ref="C1479:D1479"/>
    <mergeCell ref="D1481:D1482"/>
    <mergeCell ref="D1485:D1486"/>
    <mergeCell ref="D1489:D1490"/>
    <mergeCell ref="B1498:C1498"/>
    <mergeCell ref="F1498:H1498"/>
    <mergeCell ref="K1498:L1498"/>
    <mergeCell ref="G1458:I1458"/>
    <mergeCell ref="G1459:I1459"/>
    <mergeCell ref="B1473:M1473"/>
    <mergeCell ref="A1476:N1476"/>
    <mergeCell ref="A1477:A1478"/>
    <mergeCell ref="B1477:B1478"/>
    <mergeCell ref="C1477:E1477"/>
    <mergeCell ref="F1477:F1478"/>
    <mergeCell ref="G1477:I1477"/>
    <mergeCell ref="J1477:J1478"/>
    <mergeCell ref="K1477:L1477"/>
    <mergeCell ref="O1417:O1418"/>
    <mergeCell ref="C1418:D1418"/>
    <mergeCell ref="C1419:D1419"/>
    <mergeCell ref="G1454:I1454"/>
    <mergeCell ref="G1455:I1455"/>
    <mergeCell ref="G1456:I1456"/>
    <mergeCell ref="G1457:I1457"/>
    <mergeCell ref="D1421:D1422"/>
    <mergeCell ref="E1425:E1426"/>
    <mergeCell ref="E1429:E1430"/>
    <mergeCell ref="D1433:D1434"/>
    <mergeCell ref="G1407:I1407"/>
    <mergeCell ref="G1408:I1408"/>
    <mergeCell ref="G1409:I1409"/>
    <mergeCell ref="G1410:I1410"/>
    <mergeCell ref="G1411:I1411"/>
    <mergeCell ref="G1412:I1412"/>
    <mergeCell ref="G1413:I1413"/>
    <mergeCell ref="A1416:N1416"/>
    <mergeCell ref="A1417:A1418"/>
    <mergeCell ref="B1417:B1418"/>
    <mergeCell ref="C1417:E1417"/>
    <mergeCell ref="F1417:F1418"/>
    <mergeCell ref="G1417:I1417"/>
    <mergeCell ref="J1417:J1418"/>
    <mergeCell ref="K1417:L1417"/>
    <mergeCell ref="O1372:O1373"/>
    <mergeCell ref="C1373:D1373"/>
    <mergeCell ref="C1374:D1374"/>
    <mergeCell ref="I1403:J1403"/>
    <mergeCell ref="G1405:I1405"/>
    <mergeCell ref="G1406:I1406"/>
    <mergeCell ref="B1364:C1364"/>
    <mergeCell ref="A1371:N1371"/>
    <mergeCell ref="A1372:A1373"/>
    <mergeCell ref="B1372:B1373"/>
    <mergeCell ref="C1372:E1372"/>
    <mergeCell ref="F1372:F1373"/>
    <mergeCell ref="G1372:I1372"/>
    <mergeCell ref="J1372:J1373"/>
    <mergeCell ref="K1372:L1372"/>
    <mergeCell ref="F1364:H1364"/>
    <mergeCell ref="B1365:C1365"/>
    <mergeCell ref="B1366:C1366"/>
    <mergeCell ref="B1367:C1367"/>
    <mergeCell ref="B1361:C1361"/>
    <mergeCell ref="F1361:H1361"/>
    <mergeCell ref="K1361:L1361"/>
    <mergeCell ref="B1362:C1362"/>
    <mergeCell ref="F1362:H1362"/>
    <mergeCell ref="K1362:L1362"/>
    <mergeCell ref="B1363:C1363"/>
    <mergeCell ref="F1363:H1363"/>
    <mergeCell ref="K1363:L1363"/>
    <mergeCell ref="I1346:J1346"/>
    <mergeCell ref="I1347:J1347"/>
    <mergeCell ref="D1349:D1350"/>
    <mergeCell ref="B1359:C1359"/>
    <mergeCell ref="F1359:H1359"/>
    <mergeCell ref="K1359:L1359"/>
    <mergeCell ref="B1360:C1360"/>
    <mergeCell ref="F1360:H1360"/>
    <mergeCell ref="K1360:L1360"/>
    <mergeCell ref="E1353:E1354"/>
    <mergeCell ref="E1355:E1356"/>
    <mergeCell ref="O1333:O1334"/>
    <mergeCell ref="C1334:D1334"/>
    <mergeCell ref="C1335:D1335"/>
    <mergeCell ref="D1337:D1338"/>
    <mergeCell ref="I1339:J1339"/>
    <mergeCell ref="E1342:E1343"/>
    <mergeCell ref="E1344:E1345"/>
    <mergeCell ref="F1318:H1318"/>
    <mergeCell ref="B1329:M1329"/>
    <mergeCell ref="A1332:N1332"/>
    <mergeCell ref="A1333:A1334"/>
    <mergeCell ref="B1333:B1334"/>
    <mergeCell ref="C1333:E1333"/>
    <mergeCell ref="F1333:F1334"/>
    <mergeCell ref="G1333:I1333"/>
    <mergeCell ref="J1333:J1334"/>
    <mergeCell ref="K1333:L1333"/>
    <mergeCell ref="O1286:O1287"/>
    <mergeCell ref="C1287:D1287"/>
    <mergeCell ref="C1288:D1288"/>
    <mergeCell ref="D1290:D1291"/>
    <mergeCell ref="F1314:H1314"/>
    <mergeCell ref="F1315:H1315"/>
    <mergeCell ref="F1316:H1316"/>
    <mergeCell ref="F1317:H1317"/>
    <mergeCell ref="B1280:C1280"/>
    <mergeCell ref="F1280:H1280"/>
    <mergeCell ref="K1280:L1280"/>
    <mergeCell ref="B1281:C1281"/>
    <mergeCell ref="A1285:N1285"/>
    <mergeCell ref="A1286:A1287"/>
    <mergeCell ref="B1286:B1287"/>
    <mergeCell ref="C1286:E1286"/>
    <mergeCell ref="F1286:F1287"/>
    <mergeCell ref="G1286:I1286"/>
    <mergeCell ref="J1286:J1287"/>
    <mergeCell ref="K1286:L1286"/>
    <mergeCell ref="B1277:C1277"/>
    <mergeCell ref="F1277:H1277"/>
    <mergeCell ref="K1277:L1277"/>
    <mergeCell ref="B1278:C1278"/>
    <mergeCell ref="F1278:H1278"/>
    <mergeCell ref="K1278:L1278"/>
    <mergeCell ref="B1279:C1279"/>
    <mergeCell ref="F1279:H1279"/>
    <mergeCell ref="K1279:L1279"/>
    <mergeCell ref="O1255:O1256"/>
    <mergeCell ref="C1256:D1256"/>
    <mergeCell ref="C1257:D1257"/>
    <mergeCell ref="D1259:D1260"/>
    <mergeCell ref="D1263:D1264"/>
    <mergeCell ref="D1267:D1268"/>
    <mergeCell ref="B1276:C1276"/>
    <mergeCell ref="F1276:H1276"/>
    <mergeCell ref="K1276:L1276"/>
    <mergeCell ref="F1237:H1237"/>
    <mergeCell ref="B1251:M1251"/>
    <mergeCell ref="A1254:N1254"/>
    <mergeCell ref="A1255:A1256"/>
    <mergeCell ref="B1255:B1256"/>
    <mergeCell ref="C1255:E1255"/>
    <mergeCell ref="F1255:F1256"/>
    <mergeCell ref="G1255:I1255"/>
    <mergeCell ref="J1255:J1256"/>
    <mergeCell ref="K1255:L1255"/>
    <mergeCell ref="O1207:O1208"/>
    <mergeCell ref="C1208:D1208"/>
    <mergeCell ref="C1209:D1209"/>
    <mergeCell ref="F1233:H1233"/>
    <mergeCell ref="F1234:H1234"/>
    <mergeCell ref="F1235:H1235"/>
    <mergeCell ref="F1236:H1236"/>
    <mergeCell ref="B1201:C1201"/>
    <mergeCell ref="F1201:H1201"/>
    <mergeCell ref="K1201:L1201"/>
    <mergeCell ref="B1202:C1202"/>
    <mergeCell ref="A1206:N1206"/>
    <mergeCell ref="A1207:A1208"/>
    <mergeCell ref="B1207:B1208"/>
    <mergeCell ref="C1207:E1207"/>
    <mergeCell ref="F1207:F1208"/>
    <mergeCell ref="G1207:I1207"/>
    <mergeCell ref="J1207:J1208"/>
    <mergeCell ref="K1207:L1207"/>
    <mergeCell ref="B1198:C1198"/>
    <mergeCell ref="F1198:H1198"/>
    <mergeCell ref="K1198:L1198"/>
    <mergeCell ref="B1199:C1199"/>
    <mergeCell ref="F1199:H1199"/>
    <mergeCell ref="K1199:L1199"/>
    <mergeCell ref="B1200:C1200"/>
    <mergeCell ref="F1200:H1200"/>
    <mergeCell ref="K1200:L1200"/>
    <mergeCell ref="O1176:O1177"/>
    <mergeCell ref="C1177:D1177"/>
    <mergeCell ref="C1178:D1178"/>
    <mergeCell ref="D1180:D1181"/>
    <mergeCell ref="D1184:D1185"/>
    <mergeCell ref="D1188:D1189"/>
    <mergeCell ref="B1197:C1197"/>
    <mergeCell ref="F1197:H1197"/>
    <mergeCell ref="K1197:L1197"/>
    <mergeCell ref="G1157:I1157"/>
    <mergeCell ref="G1158:I1158"/>
    <mergeCell ref="B1172:M1172"/>
    <mergeCell ref="A1175:N1175"/>
    <mergeCell ref="A1176:A1177"/>
    <mergeCell ref="B1176:B1177"/>
    <mergeCell ref="C1176:E1176"/>
    <mergeCell ref="F1176:F1177"/>
    <mergeCell ref="G1176:I1176"/>
    <mergeCell ref="J1176:J1177"/>
    <mergeCell ref="K1176:L1176"/>
    <mergeCell ref="O1105:O1106"/>
    <mergeCell ref="C1106:D1106"/>
    <mergeCell ref="C1107:D1107"/>
    <mergeCell ref="D1109:D1112"/>
    <mergeCell ref="G1153:I1153"/>
    <mergeCell ref="G1154:I1154"/>
    <mergeCell ref="G1155:I1155"/>
    <mergeCell ref="G1156:I1156"/>
    <mergeCell ref="G1095:I1095"/>
    <mergeCell ref="G1096:I1096"/>
    <mergeCell ref="G1097:I1097"/>
    <mergeCell ref="G1098:I1098"/>
    <mergeCell ref="G1099:I1099"/>
    <mergeCell ref="G1100:I1100"/>
    <mergeCell ref="G1101:I1101"/>
    <mergeCell ref="A1104:N1104"/>
    <mergeCell ref="A1105:A1106"/>
    <mergeCell ref="B1105:B1106"/>
    <mergeCell ref="C1105:E1105"/>
    <mergeCell ref="F1105:F1106"/>
    <mergeCell ref="G1105:I1105"/>
    <mergeCell ref="J1105:J1106"/>
    <mergeCell ref="K1105:L1105"/>
    <mergeCell ref="O1058:O1059"/>
    <mergeCell ref="C1059:D1059"/>
    <mergeCell ref="C1060:D1060"/>
    <mergeCell ref="D1062:D1065"/>
    <mergeCell ref="I1091:J1091"/>
    <mergeCell ref="G1093:I1093"/>
    <mergeCell ref="G1094:I1094"/>
    <mergeCell ref="B1050:C1050"/>
    <mergeCell ref="A1057:N1057"/>
    <mergeCell ref="A1058:A1059"/>
    <mergeCell ref="B1058:B1059"/>
    <mergeCell ref="C1058:E1058"/>
    <mergeCell ref="F1058:F1059"/>
    <mergeCell ref="G1058:I1058"/>
    <mergeCell ref="J1058:J1059"/>
    <mergeCell ref="K1058:L1058"/>
    <mergeCell ref="F1050:H1050"/>
    <mergeCell ref="B1051:C1051"/>
    <mergeCell ref="B1052:C1052"/>
    <mergeCell ref="B1053:C1053"/>
    <mergeCell ref="B1047:C1047"/>
    <mergeCell ref="F1047:H1047"/>
    <mergeCell ref="K1047:L1047"/>
    <mergeCell ref="B1048:C1048"/>
    <mergeCell ref="F1048:H1048"/>
    <mergeCell ref="K1048:L1048"/>
    <mergeCell ref="B1049:C1049"/>
    <mergeCell ref="F1049:H1049"/>
    <mergeCell ref="K1049:L1049"/>
    <mergeCell ref="I1032:J1032"/>
    <mergeCell ref="I1033:J1033"/>
    <mergeCell ref="D1035:D1036"/>
    <mergeCell ref="B1045:C1045"/>
    <mergeCell ref="F1045:H1045"/>
    <mergeCell ref="K1045:L1045"/>
    <mergeCell ref="B1046:C1046"/>
    <mergeCell ref="F1046:H1046"/>
    <mergeCell ref="K1046:L1046"/>
    <mergeCell ref="E1039:E1040"/>
    <mergeCell ref="E1041:E1042"/>
    <mergeCell ref="O1017:O1018"/>
    <mergeCell ref="C1018:D1018"/>
    <mergeCell ref="C1019:D1019"/>
    <mergeCell ref="E1021:E1022"/>
    <mergeCell ref="E1023:E1024"/>
    <mergeCell ref="I1025:J1025"/>
    <mergeCell ref="E1028:E1029"/>
    <mergeCell ref="E1030:E1031"/>
    <mergeCell ref="G1002:I1002"/>
    <mergeCell ref="G1003:I1003"/>
    <mergeCell ref="B1013:M1013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O956:O957"/>
    <mergeCell ref="C957:D957"/>
    <mergeCell ref="C958:D958"/>
    <mergeCell ref="G998:I998"/>
    <mergeCell ref="G999:I999"/>
    <mergeCell ref="G1000:I1000"/>
    <mergeCell ref="G1001:I1001"/>
    <mergeCell ref="G946:I946"/>
    <mergeCell ref="G947:I947"/>
    <mergeCell ref="G948:I948"/>
    <mergeCell ref="G949:I949"/>
    <mergeCell ref="G950:I950"/>
    <mergeCell ref="G951:I951"/>
    <mergeCell ref="G952:I952"/>
    <mergeCell ref="A955:N955"/>
    <mergeCell ref="A956:A957"/>
    <mergeCell ref="B956:B957"/>
    <mergeCell ref="C956:E956"/>
    <mergeCell ref="F956:F957"/>
    <mergeCell ref="G956:I956"/>
    <mergeCell ref="J956:J957"/>
    <mergeCell ref="K956:L956"/>
    <mergeCell ref="O905:O906"/>
    <mergeCell ref="C906:D906"/>
    <mergeCell ref="C907:D907"/>
    <mergeCell ref="I942:J942"/>
    <mergeCell ref="G944:I944"/>
    <mergeCell ref="G945:I945"/>
    <mergeCell ref="B897:C897"/>
    <mergeCell ref="A904:N904"/>
    <mergeCell ref="A905:A906"/>
    <mergeCell ref="B905:B906"/>
    <mergeCell ref="C905:E905"/>
    <mergeCell ref="F905:F906"/>
    <mergeCell ref="G905:I905"/>
    <mergeCell ref="J905:J906"/>
    <mergeCell ref="K905:L905"/>
    <mergeCell ref="F897:H897"/>
    <mergeCell ref="B898:C898"/>
    <mergeCell ref="B899:C899"/>
    <mergeCell ref="B900:C900"/>
    <mergeCell ref="B894:C894"/>
    <mergeCell ref="F894:H894"/>
    <mergeCell ref="K894:L894"/>
    <mergeCell ref="B895:C895"/>
    <mergeCell ref="F895:H895"/>
    <mergeCell ref="K895:L895"/>
    <mergeCell ref="B896:C896"/>
    <mergeCell ref="F896:H896"/>
    <mergeCell ref="K896:L896"/>
    <mergeCell ref="I879:J879"/>
    <mergeCell ref="I880:J880"/>
    <mergeCell ref="D882:D883"/>
    <mergeCell ref="B892:C892"/>
    <mergeCell ref="F892:H892"/>
    <mergeCell ref="K892:L892"/>
    <mergeCell ref="B893:C893"/>
    <mergeCell ref="F893:H893"/>
    <mergeCell ref="K893:L893"/>
    <mergeCell ref="E886:E887"/>
    <mergeCell ref="E888:E889"/>
    <mergeCell ref="O866:O867"/>
    <mergeCell ref="C867:D867"/>
    <mergeCell ref="C868:D868"/>
    <mergeCell ref="D870:D871"/>
    <mergeCell ref="E870:E871"/>
    <mergeCell ref="I872:J872"/>
    <mergeCell ref="E875:E876"/>
    <mergeCell ref="E877:E878"/>
    <mergeCell ref="F852:H852"/>
    <mergeCell ref="B862:M862"/>
    <mergeCell ref="A865:N865"/>
    <mergeCell ref="A866:A867"/>
    <mergeCell ref="B866:B867"/>
    <mergeCell ref="C866:E866"/>
    <mergeCell ref="F866:F867"/>
    <mergeCell ref="G866:I866"/>
    <mergeCell ref="J866:J867"/>
    <mergeCell ref="K866:L866"/>
    <mergeCell ref="O826:O827"/>
    <mergeCell ref="C827:D827"/>
    <mergeCell ref="C828:D828"/>
    <mergeCell ref="D830:D831"/>
    <mergeCell ref="F848:H848"/>
    <mergeCell ref="F849:H849"/>
    <mergeCell ref="F850:H850"/>
    <mergeCell ref="F851:H851"/>
    <mergeCell ref="B820:C820"/>
    <mergeCell ref="F820:H820"/>
    <mergeCell ref="K820:L820"/>
    <mergeCell ref="B821:C821"/>
    <mergeCell ref="A825:N825"/>
    <mergeCell ref="A826:A827"/>
    <mergeCell ref="B826:B827"/>
    <mergeCell ref="C826:E826"/>
    <mergeCell ref="F826:F827"/>
    <mergeCell ref="G826:I826"/>
    <mergeCell ref="J826:J827"/>
    <mergeCell ref="K826:L826"/>
    <mergeCell ref="B817:C817"/>
    <mergeCell ref="F817:H817"/>
    <mergeCell ref="K817:L817"/>
    <mergeCell ref="B818:C818"/>
    <mergeCell ref="F818:H818"/>
    <mergeCell ref="K818:L818"/>
    <mergeCell ref="B819:C819"/>
    <mergeCell ref="F819:H819"/>
    <mergeCell ref="K819:L819"/>
    <mergeCell ref="O795:O796"/>
    <mergeCell ref="C796:D796"/>
    <mergeCell ref="C797:D797"/>
    <mergeCell ref="D799:D800"/>
    <mergeCell ref="D807:D808"/>
    <mergeCell ref="B816:C816"/>
    <mergeCell ref="F816:H816"/>
    <mergeCell ref="K816:L816"/>
    <mergeCell ref="F778:H778"/>
    <mergeCell ref="B791:M791"/>
    <mergeCell ref="A794:N794"/>
    <mergeCell ref="A795:A796"/>
    <mergeCell ref="B795:B796"/>
    <mergeCell ref="C795:E795"/>
    <mergeCell ref="F795:F796"/>
    <mergeCell ref="G795:I795"/>
    <mergeCell ref="J795:J796"/>
    <mergeCell ref="K795:L795"/>
    <mergeCell ref="O748:O749"/>
    <mergeCell ref="C749:D749"/>
    <mergeCell ref="C750:D750"/>
    <mergeCell ref="D752:D753"/>
    <mergeCell ref="F774:H774"/>
    <mergeCell ref="F775:H775"/>
    <mergeCell ref="F776:H776"/>
    <mergeCell ref="F777:H777"/>
    <mergeCell ref="B742:C742"/>
    <mergeCell ref="F742:H742"/>
    <mergeCell ref="K742:L742"/>
    <mergeCell ref="B743:C743"/>
    <mergeCell ref="A747:N747"/>
    <mergeCell ref="A748:A749"/>
    <mergeCell ref="B748:B749"/>
    <mergeCell ref="C748:E748"/>
    <mergeCell ref="F748:F749"/>
    <mergeCell ref="G748:I748"/>
    <mergeCell ref="J748:J749"/>
    <mergeCell ref="K748:L748"/>
    <mergeCell ref="B739:C739"/>
    <mergeCell ref="F739:H739"/>
    <mergeCell ref="K739:L739"/>
    <mergeCell ref="B740:C740"/>
    <mergeCell ref="F740:H740"/>
    <mergeCell ref="K740:L740"/>
    <mergeCell ref="B741:C741"/>
    <mergeCell ref="F741:H741"/>
    <mergeCell ref="K741:L741"/>
    <mergeCell ref="O713:O714"/>
    <mergeCell ref="C714:D714"/>
    <mergeCell ref="C715:D715"/>
    <mergeCell ref="D729:D730"/>
    <mergeCell ref="B738:C738"/>
    <mergeCell ref="F738:H738"/>
    <mergeCell ref="K738:L738"/>
    <mergeCell ref="B709:M709"/>
    <mergeCell ref="A712:N712"/>
    <mergeCell ref="A713:A714"/>
    <mergeCell ref="B713:B714"/>
    <mergeCell ref="C713:E713"/>
    <mergeCell ref="F713:F714"/>
    <mergeCell ref="G713:I713"/>
    <mergeCell ref="J713:J714"/>
    <mergeCell ref="K713:L713"/>
    <mergeCell ref="B3:M3"/>
    <mergeCell ref="F189:H189"/>
    <mergeCell ref="F190:H190"/>
    <mergeCell ref="F191:H191"/>
    <mergeCell ref="F192:H192"/>
    <mergeCell ref="F193:H193"/>
    <mergeCell ref="J163:J164"/>
    <mergeCell ref="K163:L163"/>
    <mergeCell ref="B155:C155"/>
    <mergeCell ref="F155:H155"/>
    <mergeCell ref="K155:L155"/>
    <mergeCell ref="B156:C156"/>
    <mergeCell ref="F156:H156"/>
    <mergeCell ref="K156:L156"/>
    <mergeCell ref="B153:C153"/>
    <mergeCell ref="F153:H153"/>
    <mergeCell ref="K153:L153"/>
    <mergeCell ref="B154:C154"/>
    <mergeCell ref="F154:H154"/>
    <mergeCell ref="K154:L154"/>
    <mergeCell ref="G113:I113"/>
    <mergeCell ref="G114:I114"/>
    <mergeCell ref="G115:I115"/>
    <mergeCell ref="G116:I116"/>
    <mergeCell ref="O163:O164"/>
    <mergeCell ref="C164:D164"/>
    <mergeCell ref="C165:D165"/>
    <mergeCell ref="B157:C157"/>
    <mergeCell ref="F157:H157"/>
    <mergeCell ref="K157:L157"/>
    <mergeCell ref="B158:C158"/>
    <mergeCell ref="A162:N162"/>
    <mergeCell ref="A163:A164"/>
    <mergeCell ref="B163:B164"/>
    <mergeCell ref="C163:E163"/>
    <mergeCell ref="F163:F164"/>
    <mergeCell ref="G163:I163"/>
    <mergeCell ref="O132:O133"/>
    <mergeCell ref="C133:D133"/>
    <mergeCell ref="C134:D134"/>
    <mergeCell ref="D144:D145"/>
    <mergeCell ref="A131:N131"/>
    <mergeCell ref="A132:A133"/>
    <mergeCell ref="B132:B133"/>
    <mergeCell ref="C132:E132"/>
    <mergeCell ref="F132:F133"/>
    <mergeCell ref="G132:I132"/>
    <mergeCell ref="J132:J133"/>
    <mergeCell ref="K132:L132"/>
    <mergeCell ref="G117:I117"/>
    <mergeCell ref="B128:M128"/>
    <mergeCell ref="O86:O87"/>
    <mergeCell ref="C87:D87"/>
    <mergeCell ref="C88:D88"/>
    <mergeCell ref="G112:I112"/>
    <mergeCell ref="A85:N85"/>
    <mergeCell ref="A86:A87"/>
    <mergeCell ref="B86:B87"/>
    <mergeCell ref="C86:E86"/>
    <mergeCell ref="F86:F87"/>
    <mergeCell ref="G86:I86"/>
    <mergeCell ref="J86:J87"/>
    <mergeCell ref="K86:L86"/>
    <mergeCell ref="G77:I77"/>
    <mergeCell ref="G78:I78"/>
    <mergeCell ref="G79:I79"/>
    <mergeCell ref="G80:I80"/>
    <mergeCell ref="G81:I81"/>
    <mergeCell ref="G82:I82"/>
    <mergeCell ref="I72:J72"/>
    <mergeCell ref="G74:I74"/>
    <mergeCell ref="G75:I75"/>
    <mergeCell ref="G76:I76"/>
    <mergeCell ref="J48:J49"/>
    <mergeCell ref="K48:L48"/>
    <mergeCell ref="O48:O49"/>
    <mergeCell ref="C49:D49"/>
    <mergeCell ref="C50:D50"/>
    <mergeCell ref="B39:C39"/>
    <mergeCell ref="F39:H39"/>
    <mergeCell ref="K39:L39"/>
    <mergeCell ref="B40:C40"/>
    <mergeCell ref="A47:N47"/>
    <mergeCell ref="A48:A49"/>
    <mergeCell ref="B48:B49"/>
    <mergeCell ref="C48:E48"/>
    <mergeCell ref="F48:F49"/>
    <mergeCell ref="G48:I48"/>
    <mergeCell ref="F40:H40"/>
    <mergeCell ref="B41:C41"/>
    <mergeCell ref="B42:C42"/>
    <mergeCell ref="B43:C43"/>
    <mergeCell ref="B37:C37"/>
    <mergeCell ref="F37:H37"/>
    <mergeCell ref="K37:L37"/>
    <mergeCell ref="B38:C38"/>
    <mergeCell ref="F38:H38"/>
    <mergeCell ref="K38:L38"/>
    <mergeCell ref="D24:D28"/>
    <mergeCell ref="B35:C35"/>
    <mergeCell ref="F35:H35"/>
    <mergeCell ref="K35:L35"/>
    <mergeCell ref="B36:C36"/>
    <mergeCell ref="F36:H36"/>
    <mergeCell ref="K36:L36"/>
    <mergeCell ref="D17:D20"/>
    <mergeCell ref="E17:E18"/>
    <mergeCell ref="E19:E20"/>
    <mergeCell ref="I21:J21"/>
    <mergeCell ref="I22:J22"/>
    <mergeCell ref="O7:O8"/>
    <mergeCell ref="C8:D8"/>
    <mergeCell ref="C9:D9"/>
    <mergeCell ref="D11:D13"/>
    <mergeCell ref="E11:E12"/>
    <mergeCell ref="A6:N6"/>
    <mergeCell ref="A7:A8"/>
    <mergeCell ref="B7:B8"/>
    <mergeCell ref="C7:E7"/>
    <mergeCell ref="F7:F8"/>
    <mergeCell ref="G7:I7"/>
    <mergeCell ref="J7:J8"/>
    <mergeCell ref="K7:L7"/>
    <mergeCell ref="I14:J14"/>
    <mergeCell ref="B201:M201"/>
    <mergeCell ref="A204:N204"/>
    <mergeCell ref="A205:A206"/>
    <mergeCell ref="B205:B206"/>
    <mergeCell ref="C205:E205"/>
    <mergeCell ref="F205:F206"/>
    <mergeCell ref="G205:I205"/>
    <mergeCell ref="J205:J206"/>
    <mergeCell ref="K205:L205"/>
    <mergeCell ref="O205:O206"/>
    <mergeCell ref="C206:D206"/>
    <mergeCell ref="C207:D207"/>
    <mergeCell ref="D209:D210"/>
    <mergeCell ref="E209:E210"/>
    <mergeCell ref="I211:J211"/>
    <mergeCell ref="E214:E215"/>
    <mergeCell ref="E216:E217"/>
    <mergeCell ref="I218:J218"/>
    <mergeCell ref="I219:J219"/>
    <mergeCell ref="B233:C233"/>
    <mergeCell ref="F233:H233"/>
    <mergeCell ref="K233:L233"/>
    <mergeCell ref="B234:C234"/>
    <mergeCell ref="F234:H234"/>
    <mergeCell ref="K234:L234"/>
    <mergeCell ref="B235:C235"/>
    <mergeCell ref="F235:H235"/>
    <mergeCell ref="K235:L235"/>
    <mergeCell ref="B236:C236"/>
    <mergeCell ref="F236:H236"/>
    <mergeCell ref="K236:L236"/>
    <mergeCell ref="B237:C237"/>
    <mergeCell ref="F237:H237"/>
    <mergeCell ref="K237:L237"/>
    <mergeCell ref="B238:C238"/>
    <mergeCell ref="A245:N245"/>
    <mergeCell ref="A246:A247"/>
    <mergeCell ref="B246:B247"/>
    <mergeCell ref="C246:E246"/>
    <mergeCell ref="F246:F247"/>
    <mergeCell ref="G246:I246"/>
    <mergeCell ref="J246:J247"/>
    <mergeCell ref="K246:L246"/>
    <mergeCell ref="F238:H238"/>
    <mergeCell ref="B239:C239"/>
    <mergeCell ref="B240:C240"/>
    <mergeCell ref="B241:C241"/>
    <mergeCell ref="O246:O247"/>
    <mergeCell ref="C247:D247"/>
    <mergeCell ref="C248:D248"/>
    <mergeCell ref="I279:J279"/>
    <mergeCell ref="G281:I281"/>
    <mergeCell ref="G282:I282"/>
    <mergeCell ref="G283:I283"/>
    <mergeCell ref="G284:I284"/>
    <mergeCell ref="G285:I285"/>
    <mergeCell ref="G286:I286"/>
    <mergeCell ref="G287:I287"/>
    <mergeCell ref="G288:I288"/>
    <mergeCell ref="G289:I289"/>
    <mergeCell ref="A292:N292"/>
    <mergeCell ref="A293:A294"/>
    <mergeCell ref="B293:B294"/>
    <mergeCell ref="C293:E293"/>
    <mergeCell ref="F293:F294"/>
    <mergeCell ref="G293:I293"/>
    <mergeCell ref="J293:J294"/>
    <mergeCell ref="K293:L293"/>
    <mergeCell ref="O293:O294"/>
    <mergeCell ref="C294:D294"/>
    <mergeCell ref="C295:D295"/>
    <mergeCell ref="G320:I320"/>
    <mergeCell ref="G321:I321"/>
    <mergeCell ref="G322:I322"/>
    <mergeCell ref="G323:I323"/>
    <mergeCell ref="G324:I324"/>
    <mergeCell ref="G325:I325"/>
    <mergeCell ref="O341:O342"/>
    <mergeCell ref="C342:D342"/>
    <mergeCell ref="C343:D343"/>
    <mergeCell ref="D361:D362"/>
    <mergeCell ref="D366:D367"/>
    <mergeCell ref="B370:C370"/>
    <mergeCell ref="F370:H370"/>
    <mergeCell ref="K370:L370"/>
    <mergeCell ref="B337:M337"/>
    <mergeCell ref="A340:N340"/>
    <mergeCell ref="A341:A342"/>
    <mergeCell ref="B341:B342"/>
    <mergeCell ref="C341:E341"/>
    <mergeCell ref="F341:F342"/>
    <mergeCell ref="G341:I341"/>
    <mergeCell ref="J341:J342"/>
    <mergeCell ref="K341:L341"/>
    <mergeCell ref="B371:C371"/>
    <mergeCell ref="F371:H371"/>
    <mergeCell ref="K371:L371"/>
    <mergeCell ref="B372:C372"/>
    <mergeCell ref="F372:H372"/>
    <mergeCell ref="K372:L372"/>
    <mergeCell ref="B373:C373"/>
    <mergeCell ref="F373:H373"/>
    <mergeCell ref="K373:L373"/>
    <mergeCell ref="O380:O381"/>
    <mergeCell ref="C381:D381"/>
    <mergeCell ref="C382:D382"/>
    <mergeCell ref="D384:D385"/>
    <mergeCell ref="F408:H408"/>
    <mergeCell ref="F409:H409"/>
    <mergeCell ref="F410:H410"/>
    <mergeCell ref="F411:H411"/>
    <mergeCell ref="B374:C374"/>
    <mergeCell ref="F374:H374"/>
    <mergeCell ref="K374:L374"/>
    <mergeCell ref="B375:C375"/>
    <mergeCell ref="A379:N379"/>
    <mergeCell ref="A380:A381"/>
    <mergeCell ref="B380:B381"/>
    <mergeCell ref="C380:E380"/>
    <mergeCell ref="F380:F381"/>
    <mergeCell ref="G380:I380"/>
    <mergeCell ref="J380:J381"/>
    <mergeCell ref="K380:L380"/>
    <mergeCell ref="O428:O429"/>
    <mergeCell ref="C429:D429"/>
    <mergeCell ref="C430:D430"/>
    <mergeCell ref="D447:D448"/>
    <mergeCell ref="B451:C451"/>
    <mergeCell ref="F451:H451"/>
    <mergeCell ref="K451:L451"/>
    <mergeCell ref="F412:H412"/>
    <mergeCell ref="B424:M424"/>
    <mergeCell ref="A427:N427"/>
    <mergeCell ref="A428:A429"/>
    <mergeCell ref="B428:B429"/>
    <mergeCell ref="C428:E428"/>
    <mergeCell ref="F428:F429"/>
    <mergeCell ref="G428:I428"/>
    <mergeCell ref="J428:J429"/>
    <mergeCell ref="K428:L428"/>
    <mergeCell ref="B452:C452"/>
    <mergeCell ref="F452:H452"/>
    <mergeCell ref="K452:L452"/>
    <mergeCell ref="B453:C453"/>
    <mergeCell ref="F453:H453"/>
    <mergeCell ref="K453:L453"/>
    <mergeCell ref="B454:C454"/>
    <mergeCell ref="F454:H454"/>
    <mergeCell ref="K454:L454"/>
    <mergeCell ref="O461:O462"/>
    <mergeCell ref="C462:D462"/>
    <mergeCell ref="C463:D463"/>
    <mergeCell ref="F489:H489"/>
    <mergeCell ref="F490:H490"/>
    <mergeCell ref="F491:H491"/>
    <mergeCell ref="F492:H492"/>
    <mergeCell ref="B455:C455"/>
    <mergeCell ref="F455:H455"/>
    <mergeCell ref="K455:L455"/>
    <mergeCell ref="B456:C456"/>
    <mergeCell ref="A460:N460"/>
    <mergeCell ref="A461:A462"/>
    <mergeCell ref="B461:B462"/>
    <mergeCell ref="C461:E461"/>
    <mergeCell ref="F461:F462"/>
    <mergeCell ref="G461:I461"/>
    <mergeCell ref="J461:J462"/>
    <mergeCell ref="K461:L461"/>
    <mergeCell ref="F493:H493"/>
    <mergeCell ref="B505:M505"/>
    <mergeCell ref="A508:N508"/>
    <mergeCell ref="A509:A510"/>
    <mergeCell ref="B509:B510"/>
    <mergeCell ref="C509:E509"/>
    <mergeCell ref="F509:F510"/>
    <mergeCell ref="G509:I509"/>
    <mergeCell ref="J509:J510"/>
    <mergeCell ref="K509:L509"/>
    <mergeCell ref="O509:O510"/>
    <mergeCell ref="C510:D510"/>
    <mergeCell ref="C511:D511"/>
    <mergeCell ref="D521:D522"/>
    <mergeCell ref="D526:D527"/>
    <mergeCell ref="B530:C530"/>
    <mergeCell ref="F530:H530"/>
    <mergeCell ref="K530:L530"/>
    <mergeCell ref="B531:C531"/>
    <mergeCell ref="F531:H531"/>
    <mergeCell ref="K531:L531"/>
    <mergeCell ref="D513:D514"/>
    <mergeCell ref="D517:D518"/>
    <mergeCell ref="B532:C532"/>
    <mergeCell ref="F532:H532"/>
    <mergeCell ref="K532:L532"/>
    <mergeCell ref="B533:C533"/>
    <mergeCell ref="F533:H533"/>
    <mergeCell ref="K533:L533"/>
    <mergeCell ref="B534:C534"/>
    <mergeCell ref="F534:H534"/>
    <mergeCell ref="K534:L534"/>
    <mergeCell ref="B535:C535"/>
    <mergeCell ref="A542:N542"/>
    <mergeCell ref="A543:A544"/>
    <mergeCell ref="B543:B544"/>
    <mergeCell ref="C543:E543"/>
    <mergeCell ref="F543:F544"/>
    <mergeCell ref="G543:I543"/>
    <mergeCell ref="J543:J544"/>
    <mergeCell ref="K543:L543"/>
    <mergeCell ref="F535:H535"/>
    <mergeCell ref="B536:C536"/>
    <mergeCell ref="B537:C537"/>
    <mergeCell ref="B538:C538"/>
    <mergeCell ref="O543:O544"/>
    <mergeCell ref="C544:D544"/>
    <mergeCell ref="C545:D545"/>
    <mergeCell ref="D547:D548"/>
    <mergeCell ref="F575:H575"/>
    <mergeCell ref="F576:H576"/>
    <mergeCell ref="F577:H577"/>
    <mergeCell ref="F578:H578"/>
    <mergeCell ref="F579:H579"/>
    <mergeCell ref="B588:M588"/>
    <mergeCell ref="A591:N591"/>
    <mergeCell ref="A592:A593"/>
    <mergeCell ref="B592:B593"/>
    <mergeCell ref="C592:E592"/>
    <mergeCell ref="F592:F593"/>
    <mergeCell ref="G592:I592"/>
    <mergeCell ref="J592:J593"/>
    <mergeCell ref="K592:L592"/>
    <mergeCell ref="O592:O593"/>
    <mergeCell ref="C593:D593"/>
    <mergeCell ref="C594:D594"/>
    <mergeCell ref="D596:D597"/>
    <mergeCell ref="E596:E597"/>
    <mergeCell ref="I598:J598"/>
    <mergeCell ref="D601:D604"/>
    <mergeCell ref="E601:E602"/>
    <mergeCell ref="E603:E604"/>
    <mergeCell ref="I605:J605"/>
    <mergeCell ref="I606:J606"/>
    <mergeCell ref="D608:D609"/>
    <mergeCell ref="D612:D613"/>
    <mergeCell ref="B616:C616"/>
    <mergeCell ref="F616:H616"/>
    <mergeCell ref="K616:L616"/>
    <mergeCell ref="B617:C617"/>
    <mergeCell ref="F617:H617"/>
    <mergeCell ref="K617:L617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B621:C621"/>
    <mergeCell ref="A628:N628"/>
    <mergeCell ref="A629:A630"/>
    <mergeCell ref="B629:B630"/>
    <mergeCell ref="C629:E629"/>
    <mergeCell ref="F629:F630"/>
    <mergeCell ref="G629:I629"/>
    <mergeCell ref="J629:J630"/>
    <mergeCell ref="K629:L629"/>
    <mergeCell ref="F621:H621"/>
    <mergeCell ref="B622:C622"/>
    <mergeCell ref="B623:C623"/>
    <mergeCell ref="B624:C624"/>
    <mergeCell ref="O629:O630"/>
    <mergeCell ref="C630:D630"/>
    <mergeCell ref="C631:D631"/>
    <mergeCell ref="D633:D634"/>
    <mergeCell ref="I649:J649"/>
    <mergeCell ref="G651:I651"/>
    <mergeCell ref="G652:I652"/>
    <mergeCell ref="G653:I653"/>
    <mergeCell ref="G654:I654"/>
    <mergeCell ref="G655:I655"/>
    <mergeCell ref="G656:I656"/>
    <mergeCell ref="G657:I657"/>
    <mergeCell ref="G658:I658"/>
    <mergeCell ref="G659:I659"/>
    <mergeCell ref="A662:N662"/>
    <mergeCell ref="A663:A664"/>
    <mergeCell ref="B663:B664"/>
    <mergeCell ref="C663:E663"/>
    <mergeCell ref="F663:F664"/>
    <mergeCell ref="G663:I663"/>
    <mergeCell ref="J663:J664"/>
    <mergeCell ref="K663:L663"/>
    <mergeCell ref="G695:I695"/>
    <mergeCell ref="G696:I696"/>
    <mergeCell ref="O663:O664"/>
    <mergeCell ref="C664:D664"/>
    <mergeCell ref="C665:D665"/>
    <mergeCell ref="D667:D668"/>
    <mergeCell ref="G691:I691"/>
    <mergeCell ref="G692:I692"/>
    <mergeCell ref="G693:I693"/>
    <mergeCell ref="G694:I694"/>
  </mergeCells>
  <phoneticPr fontId="3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N380:N405 N1484:N1490 N1207:N1230 N1424:N1426 N1417:N1422 N1262:N1268 N1187:N1189 N1183:N1185 N1105:N1150 N1058:N1090 N748:N771 N866:N872 N802:N808 N722:N730 N543:N572 N629:N648 N530:N538 N592:N598 N516:N522 N436:N443 N1286:N1311 N293:N317 N246:N278 N205:N211 N139:N145 N1428:N1451 N48:N71 N611:N627 N7:N14 N1508:N1530 N1533:N1537 N1477:N1482 N1492:N1495 N1474:N1475 N1463:N1472 N1333:N1339 N1372:N1402 N1348:N1350 N1038:N1056 N1454:N1459 N1341:N1346 N1404:N1415 N1327:N1331 N163:N186 N1314:N1318 N1255:N1260 N1270:N1273 N1252:N1253 N1241:N1250 N956:N995 N1233:N1237 N1176:N1181 N1191:N1194 N1173:N1174 N1162:N1171 N1034:N1036 N885:N903 N1017:N1025 N1153:N1158 N1027:N1032 N1092:N1103 N1011:N1015 N905:N941 N881:N883 N30:N46 N998:N1003 N874:N879 N943:N954 N860:N864 N226:N244 N848:N852 N795:N800 N810:N813 N792:N793 N781:N790 N663:N688 N774:N778 N713:N720 N732:N735 N710:N711 N699:N708 N607:N609 N691:N696 N600:N605 N650:N661 N586:N590 N826:N845 N575:N579 N509:N514 N524:N527 N506:N507 N495:N504 N461:N486 N489:N493 N428:N434 N445:N448 N425:N426 N414:N423 N352:N362 N408:N412 N341:N350 N364:N367 N338:N339 N327:N336 N220:N224 N1352:N1370 N320:N325 N213:N218 N280:N291 N199:N203 N86:N109 N23:N28 N189:N193 N132:N137 N147:N150 N129:N130 N112:N127 N16:N21 N73:N84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477"/>
  <sheetViews>
    <sheetView zoomScale="51" zoomScaleNormal="51" workbookViewId="0">
      <selection activeCell="A1460" sqref="A1460:N1470"/>
    </sheetView>
  </sheetViews>
  <sheetFormatPr defaultRowHeight="14.5" x14ac:dyDescent="0.35"/>
  <cols>
    <col min="1" max="1" width="3.7265625" customWidth="1"/>
    <col min="2" max="2" width="37" customWidth="1"/>
    <col min="3" max="3" width="4.26953125" customWidth="1"/>
    <col min="4" max="4" width="5.81640625" customWidth="1"/>
    <col min="5" max="5" width="16.1796875" style="1796" customWidth="1"/>
    <col min="6" max="6" width="6.1796875" customWidth="1"/>
    <col min="7" max="9" width="15.1796875" customWidth="1"/>
    <col min="10" max="10" width="10.26953125" customWidth="1"/>
    <col min="11" max="11" width="20.54296875" customWidth="1"/>
    <col min="12" max="12" width="16.26953125" customWidth="1"/>
    <col min="13" max="13" width="15.54296875" customWidth="1"/>
    <col min="14" max="14" width="19.453125" style="34" customWidth="1"/>
    <col min="15" max="15" width="26.7265625" customWidth="1"/>
  </cols>
  <sheetData>
    <row r="1" spans="1:15" x14ac:dyDescent="0.35">
      <c r="A1" s="620"/>
      <c r="B1" s="635"/>
      <c r="C1" s="632"/>
      <c r="D1" s="720"/>
      <c r="E1" s="1788"/>
      <c r="F1" s="620"/>
      <c r="G1" s="620"/>
      <c r="H1" s="620"/>
      <c r="I1" s="620"/>
      <c r="J1" s="620"/>
      <c r="K1" s="702"/>
      <c r="L1" s="620"/>
      <c r="M1" s="620"/>
      <c r="N1" s="635"/>
      <c r="O1" s="620"/>
    </row>
    <row r="2" spans="1:15" x14ac:dyDescent="0.35">
      <c r="A2" s="620"/>
      <c r="B2" s="635"/>
      <c r="C2" s="632"/>
      <c r="D2" s="720"/>
      <c r="E2" s="1788"/>
      <c r="F2" s="620"/>
      <c r="G2" s="620"/>
      <c r="H2" s="620"/>
      <c r="I2" s="620"/>
      <c r="J2" s="620"/>
      <c r="K2" s="702"/>
      <c r="L2" s="620"/>
      <c r="M2" s="620"/>
      <c r="N2" s="635"/>
      <c r="O2" s="620"/>
    </row>
    <row r="3" spans="1:15" ht="25" x14ac:dyDescent="0.35">
      <c r="A3" s="46"/>
      <c r="B3" s="2152"/>
      <c r="C3" s="2152"/>
      <c r="D3" s="2152"/>
      <c r="E3" s="2152"/>
      <c r="F3" s="2152"/>
      <c r="G3" s="2152"/>
      <c r="H3" s="2152"/>
      <c r="I3" s="2152"/>
      <c r="J3" s="2152"/>
      <c r="K3" s="2152"/>
      <c r="L3" s="2152"/>
      <c r="M3" s="2152"/>
      <c r="N3" s="1967"/>
      <c r="O3" s="28"/>
    </row>
    <row r="4" spans="1:15" x14ac:dyDescent="0.35">
      <c r="A4" s="620"/>
      <c r="B4" s="635"/>
      <c r="C4" s="632"/>
      <c r="D4" s="720"/>
      <c r="E4" s="1788"/>
      <c r="F4" s="620"/>
      <c r="G4" s="620"/>
      <c r="H4" s="620"/>
      <c r="I4" s="620"/>
      <c r="J4" s="620"/>
      <c r="K4" s="702"/>
      <c r="L4" s="620"/>
      <c r="M4" s="620"/>
      <c r="N4" s="635"/>
      <c r="O4" s="620"/>
    </row>
    <row r="5" spans="1:15" x14ac:dyDescent="0.35">
      <c r="A5" s="620"/>
      <c r="B5" s="635"/>
      <c r="C5" s="632"/>
      <c r="D5" s="720"/>
      <c r="E5" s="1788"/>
      <c r="F5" s="620"/>
      <c r="G5" s="620"/>
      <c r="H5" s="620"/>
      <c r="I5" s="620"/>
      <c r="J5" s="620"/>
      <c r="K5" s="702"/>
      <c r="L5" s="620"/>
      <c r="M5" s="620"/>
      <c r="N5" s="635"/>
      <c r="O5" s="620"/>
    </row>
    <row r="6" spans="1:15" ht="25.5" thickBot="1" x14ac:dyDescent="0.4">
      <c r="A6" s="2095" t="s">
        <v>1188</v>
      </c>
      <c r="B6" s="2095"/>
      <c r="C6" s="2095"/>
      <c r="D6" s="2095"/>
      <c r="E6" s="2095"/>
      <c r="F6" s="2095"/>
      <c r="G6" s="2095"/>
      <c r="H6" s="2095"/>
      <c r="I6" s="2095"/>
      <c r="J6" s="2095"/>
      <c r="K6" s="2095"/>
      <c r="L6" s="2095"/>
      <c r="M6" s="2095"/>
      <c r="N6" s="2095"/>
      <c r="O6" s="756" t="str">
        <f>'PDB Bill AMR'!$N$2</f>
        <v>Month December-2022</v>
      </c>
    </row>
    <row r="7" spans="1:15" ht="15.5" x14ac:dyDescent="0.35">
      <c r="A7" s="2170" t="s">
        <v>0</v>
      </c>
      <c r="B7" s="2172" t="s">
        <v>1</v>
      </c>
      <c r="C7" s="2174" t="s">
        <v>2</v>
      </c>
      <c r="D7" s="2175"/>
      <c r="E7" s="2176"/>
      <c r="F7" s="2172" t="s">
        <v>3</v>
      </c>
      <c r="G7" s="2177" t="s">
        <v>4</v>
      </c>
      <c r="H7" s="2178"/>
      <c r="I7" s="2179"/>
      <c r="J7" s="2172" t="s">
        <v>5</v>
      </c>
      <c r="K7" s="2177" t="s">
        <v>6</v>
      </c>
      <c r="L7" s="2179"/>
      <c r="M7" s="1758" t="s">
        <v>1088</v>
      </c>
      <c r="N7" s="1759"/>
      <c r="O7" s="2181" t="s">
        <v>7</v>
      </c>
    </row>
    <row r="8" spans="1:15" ht="15.5" x14ac:dyDescent="0.35">
      <c r="A8" s="2171"/>
      <c r="B8" s="2173"/>
      <c r="C8" s="1453" t="s">
        <v>8</v>
      </c>
      <c r="D8" s="1453" t="s">
        <v>1649</v>
      </c>
      <c r="E8" s="1789" t="s">
        <v>9</v>
      </c>
      <c r="F8" s="2173"/>
      <c r="G8" s="1454">
        <v>44896</v>
      </c>
      <c r="H8" s="1454">
        <v>44927</v>
      </c>
      <c r="I8" s="1453" t="s">
        <v>10</v>
      </c>
      <c r="J8" s="2180"/>
      <c r="K8" s="1453" t="s">
        <v>11</v>
      </c>
      <c r="L8" s="1453" t="s">
        <v>12</v>
      </c>
      <c r="M8" s="617" t="s">
        <v>33</v>
      </c>
      <c r="N8" s="1731" t="s">
        <v>47</v>
      </c>
      <c r="O8" s="2182"/>
    </row>
    <row r="9" spans="1:15" ht="16" thickBot="1" x14ac:dyDescent="0.4">
      <c r="A9" s="1760">
        <v>1</v>
      </c>
      <c r="B9" s="1761">
        <v>2</v>
      </c>
      <c r="C9" s="1761">
        <v>3</v>
      </c>
      <c r="D9" s="1761">
        <v>4</v>
      </c>
      <c r="E9" s="1790">
        <v>5</v>
      </c>
      <c r="F9" s="1761">
        <v>6</v>
      </c>
      <c r="G9" s="1761">
        <v>7</v>
      </c>
      <c r="H9" s="1761">
        <v>8</v>
      </c>
      <c r="I9" s="1761" t="s">
        <v>2438</v>
      </c>
      <c r="J9" s="1761">
        <v>10</v>
      </c>
      <c r="K9" s="1761" t="s">
        <v>2439</v>
      </c>
      <c r="L9" s="1761" t="s">
        <v>2440</v>
      </c>
      <c r="M9" s="1762">
        <v>13</v>
      </c>
      <c r="N9" s="1763">
        <v>14</v>
      </c>
      <c r="O9" s="1764">
        <v>15</v>
      </c>
    </row>
    <row r="10" spans="1:15" ht="15.5" x14ac:dyDescent="0.35">
      <c r="A10" s="1753"/>
      <c r="B10" s="1754" t="s">
        <v>2436</v>
      </c>
      <c r="C10" s="1755"/>
      <c r="D10" s="1755"/>
      <c r="E10" s="1791"/>
      <c r="F10" s="1755"/>
      <c r="G10" s="1755"/>
      <c r="H10" s="1755"/>
      <c r="I10" s="1755"/>
      <c r="J10" s="1755"/>
      <c r="K10" s="1445"/>
      <c r="L10" s="1755"/>
      <c r="M10" s="1756"/>
      <c r="N10" s="1445"/>
      <c r="O10" s="8"/>
    </row>
    <row r="11" spans="1:15" ht="15.5" x14ac:dyDescent="0.35">
      <c r="A11" s="1457"/>
      <c r="B11" s="1458" t="s">
        <v>1654</v>
      </c>
      <c r="C11" s="1459">
        <v>132</v>
      </c>
      <c r="D11" s="1459" t="s">
        <v>1652</v>
      </c>
      <c r="E11" s="1792" t="s">
        <v>1655</v>
      </c>
      <c r="F11" s="1460">
        <v>1</v>
      </c>
      <c r="G11" s="1461">
        <v>8081.1109999999999</v>
      </c>
      <c r="H11" s="1461">
        <v>8107.4759999999997</v>
      </c>
      <c r="I11" s="1462">
        <f>H11-G11</f>
        <v>26.364999999999782</v>
      </c>
      <c r="J11" s="1459">
        <v>960000</v>
      </c>
      <c r="K11" s="1738">
        <f>F11*I11*J11</f>
        <v>25310399.999999791</v>
      </c>
      <c r="L11" s="1732"/>
      <c r="M11" s="1733"/>
      <c r="N11" s="1968"/>
      <c r="O11" s="616"/>
    </row>
    <row r="12" spans="1:15" ht="15.5" x14ac:dyDescent="0.35">
      <c r="A12" s="1452"/>
      <c r="B12" s="1458" t="s">
        <v>1656</v>
      </c>
      <c r="C12" s="1463">
        <v>132</v>
      </c>
      <c r="D12" s="1463" t="s">
        <v>1652</v>
      </c>
      <c r="E12" s="1793" t="s">
        <v>1657</v>
      </c>
      <c r="F12" s="1464">
        <v>1</v>
      </c>
      <c r="G12" s="1465">
        <v>8074.32</v>
      </c>
      <c r="H12" s="1465">
        <v>8100.482</v>
      </c>
      <c r="I12" s="1466">
        <f>H12-G12</f>
        <v>26.162000000000262</v>
      </c>
      <c r="J12" s="1463">
        <v>960000</v>
      </c>
      <c r="K12" s="1739">
        <f>F12*I12*J12</f>
        <v>25115520.000000253</v>
      </c>
      <c r="L12" s="1741"/>
      <c r="M12" s="1733"/>
      <c r="N12" s="1968"/>
      <c r="O12" s="616"/>
    </row>
    <row r="13" spans="1:15" ht="15.5" x14ac:dyDescent="0.35">
      <c r="A13" s="631"/>
      <c r="B13" s="95"/>
      <c r="C13" s="89"/>
      <c r="D13" s="89"/>
      <c r="E13" s="1784"/>
      <c r="F13" s="788"/>
      <c r="G13" s="37"/>
      <c r="H13" s="37"/>
      <c r="I13" s="1468"/>
      <c r="J13" s="1468" t="s">
        <v>30</v>
      </c>
      <c r="K13" s="1740">
        <f>SUM(K11:K12)</f>
        <v>50425920.000000045</v>
      </c>
      <c r="L13" s="40"/>
      <c r="M13" s="40"/>
      <c r="N13" s="52"/>
      <c r="O13" s="616"/>
    </row>
    <row r="14" spans="1:15" ht="15.5" x14ac:dyDescent="0.35">
      <c r="A14" s="631"/>
      <c r="B14" s="624" t="s">
        <v>2437</v>
      </c>
      <c r="C14" s="625"/>
      <c r="D14" s="625"/>
      <c r="E14" s="1794"/>
      <c r="F14" s="625"/>
      <c r="G14" s="625"/>
      <c r="H14" s="625"/>
      <c r="I14" s="625"/>
      <c r="J14" s="625"/>
      <c r="K14" s="695"/>
      <c r="L14" s="1742"/>
      <c r="M14" s="1742"/>
      <c r="N14" s="735"/>
      <c r="O14" s="616"/>
    </row>
    <row r="15" spans="1:15" ht="15.5" x14ac:dyDescent="0.35">
      <c r="A15" s="1452"/>
      <c r="B15" s="1458" t="s">
        <v>1654</v>
      </c>
      <c r="C15" s="1470">
        <v>132</v>
      </c>
      <c r="D15" s="1470" t="s">
        <v>1652</v>
      </c>
      <c r="E15" s="1795" t="s">
        <v>1660</v>
      </c>
      <c r="F15" s="1471">
        <v>1</v>
      </c>
      <c r="G15" s="1472">
        <v>8081.1109999999999</v>
      </c>
      <c r="H15" s="1472">
        <v>8107.4759999999997</v>
      </c>
      <c r="I15" s="1466">
        <f>H15-G15</f>
        <v>26.364999999999782</v>
      </c>
      <c r="J15" s="1463">
        <v>960000</v>
      </c>
      <c r="K15" s="1739">
        <f>F15*I15*J15</f>
        <v>25310399.999999791</v>
      </c>
      <c r="L15" s="1741"/>
      <c r="M15" s="1733"/>
      <c r="N15" s="635"/>
      <c r="O15" s="616"/>
    </row>
    <row r="16" spans="1:15" ht="15.5" x14ac:dyDescent="0.35">
      <c r="A16" s="1452"/>
      <c r="B16" s="1458" t="s">
        <v>1656</v>
      </c>
      <c r="C16" s="1463">
        <v>132</v>
      </c>
      <c r="D16" s="1463" t="s">
        <v>1652</v>
      </c>
      <c r="E16" s="1793" t="s">
        <v>1661</v>
      </c>
      <c r="F16" s="1464">
        <v>1</v>
      </c>
      <c r="G16" s="1465">
        <v>8074.32</v>
      </c>
      <c r="H16" s="1465">
        <v>8100.482</v>
      </c>
      <c r="I16" s="1466">
        <f>H16-G16</f>
        <v>26.162000000000262</v>
      </c>
      <c r="J16" s="1463">
        <v>960000</v>
      </c>
      <c r="K16" s="1739">
        <f>F16*I16*J16</f>
        <v>25115520.000000253</v>
      </c>
      <c r="L16" s="1741"/>
      <c r="M16" s="1733"/>
      <c r="N16" s="635"/>
      <c r="O16" s="616"/>
    </row>
    <row r="17" spans="1:15" ht="25" x14ac:dyDescent="0.35">
      <c r="A17" s="631"/>
      <c r="B17" s="95"/>
      <c r="C17" s="89"/>
      <c r="D17" s="89"/>
      <c r="E17" s="1784"/>
      <c r="F17" s="788"/>
      <c r="G17" s="37"/>
      <c r="H17" s="37"/>
      <c r="I17" s="1468"/>
      <c r="J17" s="1468" t="s">
        <v>30</v>
      </c>
      <c r="K17" s="1740">
        <f>SUM(K15:K16)</f>
        <v>50425920.000000045</v>
      </c>
      <c r="L17" s="40"/>
      <c r="M17" s="40"/>
      <c r="N17" s="1967"/>
      <c r="O17" s="616"/>
    </row>
    <row r="18" spans="1:15" ht="15" thickBot="1" x14ac:dyDescent="0.4">
      <c r="N18" s="635"/>
    </row>
    <row r="19" spans="1:15" s="620" customFormat="1" x14ac:dyDescent="0.35">
      <c r="B19" s="2142" t="s">
        <v>1090</v>
      </c>
      <c r="C19" s="2143"/>
      <c r="D19" s="683" t="s">
        <v>14</v>
      </c>
      <c r="E19"/>
      <c r="F19" s="2144" t="s">
        <v>1091</v>
      </c>
      <c r="G19" s="2145"/>
      <c r="H19" s="2146"/>
      <c r="I19" s="683" t="s">
        <v>14</v>
      </c>
      <c r="K19" s="2147" t="s">
        <v>1092</v>
      </c>
      <c r="L19" s="2148"/>
      <c r="M19" s="684" t="s">
        <v>14</v>
      </c>
      <c r="N19" s="635"/>
    </row>
    <row r="20" spans="1:15" s="620" customFormat="1" x14ac:dyDescent="0.35">
      <c r="B20" s="2122" t="str">
        <f>B10</f>
        <v>SIDDHIRGANJ 132 KV SIDE (TARIFF POINT)</v>
      </c>
      <c r="C20" s="2123"/>
      <c r="D20" s="689">
        <f>K13</f>
        <v>50425920.000000045</v>
      </c>
      <c r="E20"/>
      <c r="F20" s="2124" t="s">
        <v>1093</v>
      </c>
      <c r="G20" s="2125"/>
      <c r="H20" s="2126"/>
      <c r="I20" s="689">
        <f>L12</f>
        <v>0</v>
      </c>
      <c r="K20" s="2129" t="s">
        <v>4625</v>
      </c>
      <c r="L20" s="2130"/>
      <c r="M20" s="687">
        <f>I21</f>
        <v>0</v>
      </c>
      <c r="N20" s="635"/>
    </row>
    <row r="21" spans="1:15" s="620" customFormat="1" x14ac:dyDescent="0.35">
      <c r="B21" s="2122" t="s">
        <v>1116</v>
      </c>
      <c r="C21" s="2123"/>
      <c r="D21" s="689"/>
      <c r="E21"/>
      <c r="F21" s="2124" t="s">
        <v>4625</v>
      </c>
      <c r="G21" s="2125"/>
      <c r="H21" s="2126"/>
      <c r="I21" s="687">
        <f>L17</f>
        <v>0</v>
      </c>
      <c r="K21" s="2127" t="s">
        <v>2455</v>
      </c>
      <c r="L21" s="2128"/>
      <c r="M21" s="1908">
        <f>D25</f>
        <v>50713439.999999247</v>
      </c>
      <c r="N21" s="635"/>
    </row>
    <row r="22" spans="1:15" s="620" customFormat="1" x14ac:dyDescent="0.35">
      <c r="B22" s="2122" t="s">
        <v>1117</v>
      </c>
      <c r="C22" s="2123"/>
      <c r="D22" s="689"/>
      <c r="E22"/>
      <c r="F22" s="2124" t="s">
        <v>1089</v>
      </c>
      <c r="G22" s="2125"/>
      <c r="H22" s="2126"/>
      <c r="I22" s="689">
        <f>I20+I21</f>
        <v>0</v>
      </c>
      <c r="K22" s="2129" t="s">
        <v>4622</v>
      </c>
      <c r="L22" s="2130"/>
      <c r="M22" s="689">
        <f>M20-M21</f>
        <v>-50713439.999999247</v>
      </c>
      <c r="N22" s="635"/>
    </row>
    <row r="23" spans="1:15" s="620" customFormat="1" ht="15" thickBot="1" x14ac:dyDescent="0.4">
      <c r="B23" s="2122" t="s">
        <v>1118</v>
      </c>
      <c r="C23" s="2123"/>
      <c r="D23" s="722"/>
      <c r="E23"/>
      <c r="F23" s="2131" t="s">
        <v>4626</v>
      </c>
      <c r="G23" s="2132"/>
      <c r="H23" s="2133"/>
      <c r="I23" s="689">
        <f>D24-I22</f>
        <v>50425920.000000045</v>
      </c>
      <c r="K23" s="2134" t="s">
        <v>285</v>
      </c>
      <c r="L23" s="2135"/>
      <c r="M23" s="1905" t="e">
        <f>M22/M20</f>
        <v>#DIV/0!</v>
      </c>
      <c r="N23" s="635"/>
    </row>
    <row r="24" spans="1:15" s="620" customFormat="1" ht="15" thickBot="1" x14ac:dyDescent="0.4">
      <c r="B24" s="2109" t="s">
        <v>4620</v>
      </c>
      <c r="C24" s="2110"/>
      <c r="D24" s="1435">
        <f>SUM(D20:D23)</f>
        <v>50425920.000000045</v>
      </c>
      <c r="E24"/>
      <c r="F24" s="2113" t="s">
        <v>2454</v>
      </c>
      <c r="G24" s="2114"/>
      <c r="H24" s="2115"/>
      <c r="I24" s="1904" t="e">
        <f>I23/I22</f>
        <v>#DIV/0!</v>
      </c>
      <c r="K24" s="702"/>
      <c r="N24" s="635"/>
    </row>
    <row r="25" spans="1:15" s="620" customFormat="1" x14ac:dyDescent="0.35">
      <c r="B25" s="2116" t="s">
        <v>4624</v>
      </c>
      <c r="C25" s="2117"/>
      <c r="D25" s="1908">
        <f>K45</f>
        <v>50713439.999999247</v>
      </c>
      <c r="E25"/>
      <c r="F25" s="791"/>
      <c r="G25"/>
      <c r="H25"/>
      <c r="I25"/>
      <c r="J25"/>
      <c r="K25" s="702"/>
      <c r="N25" s="635"/>
    </row>
    <row r="26" spans="1:15" s="620" customFormat="1" x14ac:dyDescent="0.35">
      <c r="B26" s="2118" t="s">
        <v>4627</v>
      </c>
      <c r="C26" s="2119"/>
      <c r="D26" s="1436">
        <f>D24-D25</f>
        <v>-287519.99999920279</v>
      </c>
      <c r="E26"/>
      <c r="F26" s="791"/>
      <c r="G26"/>
      <c r="H26"/>
      <c r="I26"/>
      <c r="J26"/>
      <c r="K26" s="702"/>
      <c r="N26" s="635"/>
    </row>
    <row r="27" spans="1:15" s="620" customFormat="1" ht="15" thickBot="1" x14ac:dyDescent="0.4">
      <c r="B27" s="2120" t="str">
        <f>K23</f>
        <v>LOSS % IN =&gt;</v>
      </c>
      <c r="C27" s="2121"/>
      <c r="D27" s="1899">
        <f>D26/D20</f>
        <v>-5.7018295352708002E-3</v>
      </c>
      <c r="E27"/>
      <c r="F27" s="791"/>
      <c r="G27" s="678"/>
      <c r="H27" s="678"/>
      <c r="I27" s="678"/>
      <c r="J27" s="679"/>
      <c r="K27" s="702"/>
      <c r="N27" s="635"/>
    </row>
    <row r="31" spans="1:15" ht="15" thickBot="1" x14ac:dyDescent="0.4"/>
    <row r="32" spans="1:15" ht="25.5" thickBot="1" x14ac:dyDescent="0.4">
      <c r="A32" s="2185" t="s">
        <v>2443</v>
      </c>
      <c r="B32" s="2186"/>
      <c r="C32" s="2186"/>
      <c r="D32" s="2186"/>
      <c r="E32" s="2186"/>
      <c r="F32" s="2186"/>
      <c r="G32" s="2186"/>
      <c r="H32" s="2186"/>
      <c r="I32" s="2186"/>
      <c r="J32" s="2186"/>
      <c r="K32" s="2186"/>
      <c r="L32" s="2186"/>
      <c r="M32" s="2186"/>
      <c r="N32" s="2187"/>
      <c r="O32" s="1765" t="str">
        <f>O6</f>
        <v>Month December-2022</v>
      </c>
    </row>
    <row r="33" spans="1:22" s="1446" customFormat="1" ht="15" customHeight="1" x14ac:dyDescent="0.35">
      <c r="A33" s="2170" t="s">
        <v>0</v>
      </c>
      <c r="B33" s="2172" t="s">
        <v>1</v>
      </c>
      <c r="C33" s="2174" t="s">
        <v>2</v>
      </c>
      <c r="D33" s="2175"/>
      <c r="E33" s="2176"/>
      <c r="F33" s="2172" t="s">
        <v>3</v>
      </c>
      <c r="G33" s="2177" t="s">
        <v>4</v>
      </c>
      <c r="H33" s="2178"/>
      <c r="I33" s="2179"/>
      <c r="J33" s="2172" t="s">
        <v>5</v>
      </c>
      <c r="K33" s="2177" t="s">
        <v>6</v>
      </c>
      <c r="L33" s="2179"/>
      <c r="M33" s="1758" t="s">
        <v>1088</v>
      </c>
      <c r="N33" s="1759"/>
      <c r="O33" s="2181" t="s">
        <v>7</v>
      </c>
      <c r="P33" s="1450"/>
      <c r="Q33" s="1450"/>
      <c r="R33" s="1450"/>
      <c r="S33" s="1450"/>
      <c r="T33" s="1450"/>
      <c r="U33" s="1450"/>
      <c r="V33" s="1450"/>
    </row>
    <row r="34" spans="1:22" s="1446" customFormat="1" ht="15" customHeight="1" x14ac:dyDescent="0.35">
      <c r="A34" s="2171"/>
      <c r="B34" s="2173"/>
      <c r="C34" s="1453" t="s">
        <v>8</v>
      </c>
      <c r="D34" s="1453" t="s">
        <v>1649</v>
      </c>
      <c r="E34" s="1789" t="s">
        <v>9</v>
      </c>
      <c r="F34" s="2173"/>
      <c r="G34" s="1454">
        <v>44896</v>
      </c>
      <c r="H34" s="1454">
        <v>44927</v>
      </c>
      <c r="I34" s="1453" t="s">
        <v>10</v>
      </c>
      <c r="J34" s="2180"/>
      <c r="K34" s="1453" t="s">
        <v>11</v>
      </c>
      <c r="L34" s="1453" t="s">
        <v>12</v>
      </c>
      <c r="M34" s="617" t="s">
        <v>33</v>
      </c>
      <c r="N34" s="1731" t="s">
        <v>47</v>
      </c>
      <c r="O34" s="2182"/>
      <c r="P34" s="1450"/>
      <c r="Q34" s="1450"/>
      <c r="R34" s="1450"/>
      <c r="S34" s="1450"/>
      <c r="T34" s="1450"/>
      <c r="U34" s="1450"/>
      <c r="V34" s="1450"/>
    </row>
    <row r="35" spans="1:22" s="1446" customFormat="1" ht="15.75" customHeight="1" thickBot="1" x14ac:dyDescent="0.4">
      <c r="A35" s="1760">
        <v>1</v>
      </c>
      <c r="B35" s="1761">
        <v>2</v>
      </c>
      <c r="C35" s="1761">
        <v>3</v>
      </c>
      <c r="D35" s="1761">
        <v>4</v>
      </c>
      <c r="E35" s="1790">
        <v>5</v>
      </c>
      <c r="F35" s="1761">
        <v>6</v>
      </c>
      <c r="G35" s="1761">
        <v>7</v>
      </c>
      <c r="H35" s="1761">
        <v>8</v>
      </c>
      <c r="I35" s="1761" t="s">
        <v>2438</v>
      </c>
      <c r="J35" s="1761">
        <v>10</v>
      </c>
      <c r="K35" s="1761" t="s">
        <v>2439</v>
      </c>
      <c r="L35" s="1761" t="s">
        <v>2440</v>
      </c>
      <c r="M35" s="1762">
        <v>13</v>
      </c>
      <c r="N35" s="1763">
        <v>14</v>
      </c>
      <c r="O35" s="1764">
        <v>15</v>
      </c>
      <c r="P35" s="1456"/>
      <c r="Q35" s="1456"/>
      <c r="R35" s="1456"/>
      <c r="S35" s="1456"/>
      <c r="T35" s="1456"/>
      <c r="U35" s="1456"/>
      <c r="V35" s="1456"/>
    </row>
    <row r="36" spans="1:22" ht="15.5" x14ac:dyDescent="0.35">
      <c r="A36" s="1753"/>
      <c r="B36" s="1754" t="s">
        <v>2444</v>
      </c>
      <c r="C36" s="1755"/>
      <c r="D36" s="1444" t="s">
        <v>698</v>
      </c>
      <c r="E36" s="1797"/>
      <c r="F36" s="1755"/>
      <c r="G36" s="1755"/>
      <c r="H36" s="1755"/>
      <c r="I36" s="1755"/>
      <c r="J36" s="1755"/>
      <c r="K36" s="1445"/>
      <c r="L36" s="1755"/>
      <c r="M36" s="1756"/>
      <c r="N36" s="1969"/>
      <c r="O36" s="1757"/>
    </row>
    <row r="37" spans="1:22" s="1446" customFormat="1" ht="15.75" customHeight="1" x14ac:dyDescent="0.35">
      <c r="A37" s="1474">
        <v>3</v>
      </c>
      <c r="B37" s="1475" t="s">
        <v>1662</v>
      </c>
      <c r="C37" s="1459">
        <v>33</v>
      </c>
      <c r="D37" s="1463" t="s">
        <v>414</v>
      </c>
      <c r="E37" s="1792" t="s">
        <v>1658</v>
      </c>
      <c r="F37" s="1476">
        <v>1</v>
      </c>
      <c r="G37" s="1461">
        <v>20157.059000000001</v>
      </c>
      <c r="H37" s="1461">
        <v>20333.457999999999</v>
      </c>
      <c r="I37" s="1462">
        <f>H37-G37</f>
        <v>176.39899999999761</v>
      </c>
      <c r="J37" s="1459">
        <v>144000</v>
      </c>
      <c r="K37" s="1743">
        <f>J37*I37*F37</f>
        <v>25401455.999999657</v>
      </c>
      <c r="L37" s="1732"/>
      <c r="M37" s="1733"/>
      <c r="N37" s="1967"/>
      <c r="O37" s="1733"/>
      <c r="P37" s="1447"/>
      <c r="Q37" s="1447"/>
      <c r="R37" s="1447"/>
      <c r="S37" s="1447"/>
      <c r="T37" s="1447"/>
      <c r="U37" s="1447"/>
      <c r="V37" s="1447"/>
    </row>
    <row r="38" spans="1:22" s="1446" customFormat="1" ht="15.75" customHeight="1" thickBot="1" x14ac:dyDescent="0.4">
      <c r="A38" s="1477">
        <v>4</v>
      </c>
      <c r="B38" s="1458" t="s">
        <v>1663</v>
      </c>
      <c r="C38" s="1478">
        <v>33</v>
      </c>
      <c r="D38" s="1478" t="s">
        <v>414</v>
      </c>
      <c r="E38" s="1798" t="s">
        <v>1659</v>
      </c>
      <c r="F38" s="1479">
        <v>1</v>
      </c>
      <c r="G38" s="1480">
        <v>30151.482</v>
      </c>
      <c r="H38" s="1480">
        <v>30326.84</v>
      </c>
      <c r="I38" s="1481">
        <f>H38-G38</f>
        <v>175.35800000000017</v>
      </c>
      <c r="J38" s="1478">
        <v>144000</v>
      </c>
      <c r="K38" s="1743">
        <f>J38*I38*F38</f>
        <v>25251552.000000026</v>
      </c>
      <c r="L38" s="1732"/>
      <c r="M38" s="1733"/>
      <c r="N38" s="1967"/>
      <c r="O38" s="1733"/>
      <c r="P38" s="1447"/>
      <c r="Q38" s="1447"/>
      <c r="R38" s="1447"/>
      <c r="S38" s="1447"/>
      <c r="T38" s="1447"/>
      <c r="U38" s="1447"/>
      <c r="V38" s="1447"/>
    </row>
    <row r="39" spans="1:22" s="1446" customFormat="1" ht="15.75" customHeight="1" thickBot="1" x14ac:dyDescent="0.4">
      <c r="A39" s="1482"/>
      <c r="B39" s="1483"/>
      <c r="C39" s="1484"/>
      <c r="D39" s="1485"/>
      <c r="E39" s="1799"/>
      <c r="F39" s="1484"/>
      <c r="G39" s="1486"/>
      <c r="H39" s="1486"/>
      <c r="I39" s="1487"/>
      <c r="J39" s="1468" t="s">
        <v>1049</v>
      </c>
      <c r="K39" s="1740">
        <f>SUM(K37:K38)</f>
        <v>50653007.999999687</v>
      </c>
      <c r="M39" s="1450"/>
      <c r="N39" s="1967"/>
      <c r="O39" s="1745"/>
      <c r="P39" s="1450"/>
      <c r="Q39" s="1450"/>
      <c r="R39" s="1450"/>
      <c r="S39" s="1450"/>
      <c r="T39" s="1450"/>
      <c r="U39" s="1450"/>
      <c r="V39" s="1450"/>
    </row>
    <row r="40" spans="1:22" s="1446" customFormat="1" ht="15.75" customHeight="1" x14ac:dyDescent="0.35">
      <c r="A40" s="1474"/>
      <c r="B40" s="1475" t="s">
        <v>1677</v>
      </c>
      <c r="C40" s="1459">
        <v>33</v>
      </c>
      <c r="D40" s="1459" t="s">
        <v>527</v>
      </c>
      <c r="E40" s="1792" t="s">
        <v>1678</v>
      </c>
      <c r="F40" s="1476">
        <v>1</v>
      </c>
      <c r="G40" s="1461">
        <v>1090.8800000000001</v>
      </c>
      <c r="H40" s="1461">
        <v>1143.8599999999999</v>
      </c>
      <c r="I40" s="1462">
        <f>H40-G40</f>
        <v>52.979999999999791</v>
      </c>
      <c r="J40" s="1459">
        <v>480000</v>
      </c>
      <c r="K40" s="1743">
        <f>F40*I40*J40</f>
        <v>25430399.999999899</v>
      </c>
      <c r="L40" s="1732"/>
      <c r="M40" s="1733"/>
      <c r="N40" s="1967"/>
      <c r="O40" s="1733"/>
      <c r="P40" s="1497"/>
      <c r="Q40" s="1497"/>
      <c r="R40" s="1497"/>
      <c r="S40" s="1497"/>
      <c r="T40" s="1497"/>
      <c r="U40" s="1497"/>
      <c r="V40" s="1497"/>
    </row>
    <row r="41" spans="1:22" s="1446" customFormat="1" ht="15.75" customHeight="1" thickBot="1" x14ac:dyDescent="0.4">
      <c r="A41" s="1477"/>
      <c r="B41" s="1458" t="s">
        <v>1680</v>
      </c>
      <c r="C41" s="1478">
        <v>33</v>
      </c>
      <c r="D41" s="1478" t="s">
        <v>527</v>
      </c>
      <c r="E41" s="1798" t="s">
        <v>1681</v>
      </c>
      <c r="F41" s="1479">
        <v>1.038</v>
      </c>
      <c r="G41" s="1480">
        <v>515.41</v>
      </c>
      <c r="H41" s="1480">
        <v>565.6</v>
      </c>
      <c r="I41" s="1481">
        <f>H41-G41</f>
        <v>50.190000000000055</v>
      </c>
      <c r="J41" s="1478">
        <v>480000</v>
      </c>
      <c r="K41" s="1743">
        <f>F41*I41*J41</f>
        <v>25006665.600000028</v>
      </c>
      <c r="L41" s="1732"/>
      <c r="M41" s="1733"/>
      <c r="N41" s="1967"/>
      <c r="O41" s="1733"/>
      <c r="P41" s="1497"/>
      <c r="Q41" s="1497"/>
      <c r="R41" s="1497"/>
      <c r="S41" s="1497"/>
      <c r="T41" s="1497"/>
      <c r="U41" s="1497"/>
      <c r="V41" s="1497"/>
    </row>
    <row r="42" spans="1:22" s="1446" customFormat="1" ht="15.75" customHeight="1" thickBot="1" x14ac:dyDescent="0.4">
      <c r="A42" s="1482"/>
      <c r="B42" s="1483"/>
      <c r="C42" s="1484"/>
      <c r="D42" s="1485"/>
      <c r="E42" s="1799"/>
      <c r="F42" s="1484"/>
      <c r="G42" s="1486"/>
      <c r="H42" s="1486"/>
      <c r="I42" s="1487"/>
      <c r="J42" s="1468" t="s">
        <v>1049</v>
      </c>
      <c r="K42" s="1740">
        <f>SUM(K40:K41)</f>
        <v>50437065.599999927</v>
      </c>
      <c r="M42" s="1450"/>
      <c r="N42" s="1967"/>
      <c r="O42" s="1745"/>
      <c r="P42" s="1450"/>
      <c r="Q42" s="1450"/>
      <c r="R42" s="1450"/>
      <c r="S42" s="1450"/>
      <c r="T42" s="1450"/>
      <c r="U42" s="1450"/>
      <c r="V42" s="1450"/>
    </row>
    <row r="43" spans="1:22" s="1446" customFormat="1" ht="15.75" customHeight="1" x14ac:dyDescent="0.35">
      <c r="A43" s="1474"/>
      <c r="B43" s="1475" t="s">
        <v>1677</v>
      </c>
      <c r="C43" s="1459">
        <v>33</v>
      </c>
      <c r="D43" s="1459" t="s">
        <v>1653</v>
      </c>
      <c r="E43" s="1792" t="s">
        <v>1679</v>
      </c>
      <c r="F43" s="1476">
        <v>1</v>
      </c>
      <c r="G43" s="1461">
        <v>10356.277</v>
      </c>
      <c r="H43" s="1461">
        <v>10409.236999999999</v>
      </c>
      <c r="I43" s="1462">
        <f>H43-G43</f>
        <v>52.959999999999127</v>
      </c>
      <c r="J43" s="1459">
        <v>480000</v>
      </c>
      <c r="K43" s="1743">
        <f>F43*I43*J43</f>
        <v>25420799.999999583</v>
      </c>
      <c r="L43" s="1732"/>
      <c r="M43" s="1733"/>
      <c r="N43" s="1967"/>
      <c r="O43" s="1733"/>
      <c r="P43" s="1497"/>
      <c r="Q43" s="1497"/>
      <c r="R43" s="1497"/>
      <c r="S43" s="1497"/>
      <c r="T43" s="1497"/>
      <c r="U43" s="1497"/>
      <c r="V43" s="1497"/>
    </row>
    <row r="44" spans="1:22" s="1446" customFormat="1" ht="15.75" customHeight="1" thickBot="1" x14ac:dyDescent="0.4">
      <c r="A44" s="1477"/>
      <c r="B44" s="1458" t="s">
        <v>1680</v>
      </c>
      <c r="C44" s="1478">
        <v>33</v>
      </c>
      <c r="D44" s="1478" t="s">
        <v>1653</v>
      </c>
      <c r="E44" s="1798">
        <v>8993667</v>
      </c>
      <c r="F44" s="1479">
        <v>1</v>
      </c>
      <c r="G44" s="1480">
        <v>10270.674000000001</v>
      </c>
      <c r="H44" s="1480">
        <v>10323.367</v>
      </c>
      <c r="I44" s="1481">
        <f>H44-G44</f>
        <v>52.692999999999302</v>
      </c>
      <c r="J44" s="1478">
        <v>480000</v>
      </c>
      <c r="K44" s="1743">
        <f>F44*I44*J44</f>
        <v>25292639.999999665</v>
      </c>
      <c r="L44" s="1732"/>
      <c r="M44" s="1733"/>
      <c r="N44" s="1967"/>
      <c r="O44" s="1733"/>
      <c r="P44" s="1497"/>
      <c r="Q44" s="1497"/>
      <c r="R44" s="1497"/>
      <c r="S44" s="1497"/>
      <c r="T44" s="1497"/>
      <c r="U44" s="1497"/>
      <c r="V44" s="1497"/>
    </row>
    <row r="45" spans="1:22" s="1446" customFormat="1" ht="15.75" customHeight="1" thickBot="1" x14ac:dyDescent="0.4">
      <c r="A45" s="1482"/>
      <c r="B45" s="1483"/>
      <c r="C45" s="1484"/>
      <c r="D45" s="1485"/>
      <c r="E45" s="1799"/>
      <c r="F45" s="1484"/>
      <c r="G45" s="1486"/>
      <c r="H45" s="1486"/>
      <c r="I45" s="1487"/>
      <c r="J45" s="1468" t="s">
        <v>1049</v>
      </c>
      <c r="K45" s="1908">
        <f>SUM(K43:K44)</f>
        <v>50713439.999999247</v>
      </c>
      <c r="L45" s="1746"/>
      <c r="M45" s="1450"/>
      <c r="N45" s="1967"/>
      <c r="O45" s="1744"/>
      <c r="P45" s="1450"/>
      <c r="Q45" s="1450"/>
      <c r="R45" s="1450"/>
      <c r="S45" s="1450"/>
      <c r="T45" s="1450"/>
      <c r="U45" s="1450"/>
      <c r="V45" s="1450"/>
    </row>
    <row r="46" spans="1:22" ht="25" x14ac:dyDescent="0.35">
      <c r="A46" s="631"/>
      <c r="B46" s="647" t="s">
        <v>1103</v>
      </c>
      <c r="C46" s="648"/>
      <c r="D46" s="648"/>
      <c r="E46" s="1800"/>
      <c r="F46" s="648"/>
      <c r="G46" s="648"/>
      <c r="H46" s="648"/>
      <c r="I46" s="648"/>
      <c r="J46" s="648"/>
      <c r="K46" s="700"/>
      <c r="L46" s="648"/>
      <c r="M46" s="651"/>
      <c r="N46" s="1967"/>
      <c r="O46" s="616"/>
    </row>
    <row r="47" spans="1:22" ht="25" x14ac:dyDescent="0.35">
      <c r="A47" s="631"/>
      <c r="B47" s="662" t="s">
        <v>1106</v>
      </c>
      <c r="C47" s="52"/>
      <c r="D47" s="1748" t="s">
        <v>1083</v>
      </c>
      <c r="E47" s="1801"/>
      <c r="F47" s="4"/>
      <c r="G47" s="5"/>
      <c r="H47" s="5"/>
      <c r="I47" s="6"/>
      <c r="J47" s="616"/>
      <c r="K47" s="696"/>
      <c r="L47" s="7"/>
      <c r="M47" s="7"/>
      <c r="N47" s="1967"/>
      <c r="O47" s="616"/>
    </row>
    <row r="48" spans="1:22" s="1446" customFormat="1" ht="15.75" customHeight="1" x14ac:dyDescent="0.35">
      <c r="A48" s="2183">
        <v>9</v>
      </c>
      <c r="B48" s="1520" t="s">
        <v>1674</v>
      </c>
      <c r="C48" s="1490">
        <v>33</v>
      </c>
      <c r="D48" s="1490" t="s">
        <v>527</v>
      </c>
      <c r="E48" s="1802" t="s">
        <v>1675</v>
      </c>
      <c r="F48" s="1508">
        <v>1</v>
      </c>
      <c r="G48" s="1521">
        <v>5446.47</v>
      </c>
      <c r="H48" s="1521">
        <v>5464.94</v>
      </c>
      <c r="I48" s="1517">
        <f>H48-G48</f>
        <v>18.469999999999345</v>
      </c>
      <c r="J48" s="1506">
        <v>240000</v>
      </c>
      <c r="K48" s="1496"/>
      <c r="L48" s="1496">
        <f>F48*I48*J48</f>
        <v>4432799.9999998426</v>
      </c>
      <c r="M48" s="1747">
        <f>L48*$K$70/$L$70</f>
        <v>4433328.0119270338</v>
      </c>
      <c r="N48" s="1967"/>
      <c r="O48" s="1735"/>
      <c r="P48" s="1497"/>
      <c r="Q48" s="1497"/>
      <c r="R48" s="1497"/>
      <c r="S48" s="1497"/>
      <c r="T48" s="1497"/>
      <c r="U48" s="1497"/>
      <c r="V48" s="1497"/>
    </row>
    <row r="49" spans="1:22" s="1446" customFormat="1" ht="15.75" customHeight="1" x14ac:dyDescent="0.35">
      <c r="A49" s="2204"/>
      <c r="B49" s="1498"/>
      <c r="C49" s="1470">
        <v>33</v>
      </c>
      <c r="D49" s="1470" t="s">
        <v>1653</v>
      </c>
      <c r="E49" s="1795" t="s">
        <v>1676</v>
      </c>
      <c r="F49" s="1471">
        <v>1</v>
      </c>
      <c r="G49" s="1501">
        <v>4803.1540000000005</v>
      </c>
      <c r="H49" s="1501">
        <v>4821.6149999999998</v>
      </c>
      <c r="I49" s="1501">
        <f>H49-G49</f>
        <v>18.460999999999331</v>
      </c>
      <c r="J49" s="1470">
        <v>240000</v>
      </c>
      <c r="K49" s="1503"/>
      <c r="L49" s="1503">
        <f>F49*I49*J49</f>
        <v>4430639.9999998398</v>
      </c>
      <c r="M49" s="1747">
        <f t="shared" ref="M49:M69" si="0">L49*$K$70/$L$70</f>
        <v>4431167.7546391403</v>
      </c>
      <c r="N49" s="1967"/>
      <c r="O49" s="1733"/>
      <c r="P49" s="1447"/>
      <c r="Q49" s="1447"/>
      <c r="R49" s="1447"/>
      <c r="S49" s="1447"/>
      <c r="T49" s="1447"/>
      <c r="U49" s="1447"/>
      <c r="V49" s="1447"/>
    </row>
    <row r="50" spans="1:22" s="1446" customFormat="1" ht="15.75" customHeight="1" x14ac:dyDescent="0.35">
      <c r="A50" s="2183">
        <v>12</v>
      </c>
      <c r="B50" s="1520" t="s">
        <v>1682</v>
      </c>
      <c r="C50" s="1506">
        <v>33</v>
      </c>
      <c r="D50" s="1506" t="s">
        <v>527</v>
      </c>
      <c r="E50" s="1802" t="s">
        <v>1683</v>
      </c>
      <c r="F50" s="1508">
        <v>1</v>
      </c>
      <c r="G50" s="1522">
        <v>5595.05</v>
      </c>
      <c r="H50" s="1522">
        <v>5615.68</v>
      </c>
      <c r="I50" s="1517">
        <f>H50-G50</f>
        <v>20.630000000000109</v>
      </c>
      <c r="J50" s="1490">
        <v>240000</v>
      </c>
      <c r="K50" s="1523"/>
      <c r="L50" s="1523">
        <f>F50*I50*J50</f>
        <v>4951200.0000000261</v>
      </c>
      <c r="M50" s="1747">
        <f t="shared" si="0"/>
        <v>4951789.7610210311</v>
      </c>
      <c r="N50" s="1967"/>
      <c r="O50" s="1735"/>
      <c r="P50" s="1497"/>
      <c r="Q50" s="1497"/>
      <c r="R50" s="1497"/>
      <c r="S50" s="1497"/>
      <c r="T50" s="1497"/>
      <c r="U50" s="1497"/>
      <c r="V50" s="1497"/>
    </row>
    <row r="51" spans="1:22" s="1446" customFormat="1" ht="15.75" customHeight="1" x14ac:dyDescent="0.35">
      <c r="A51" s="2184"/>
      <c r="B51" s="1455"/>
      <c r="C51" s="1470">
        <v>33</v>
      </c>
      <c r="D51" s="1470" t="s">
        <v>1653</v>
      </c>
      <c r="E51" s="1795" t="s">
        <v>1684</v>
      </c>
      <c r="F51" s="1471">
        <v>1</v>
      </c>
      <c r="G51" s="1501">
        <v>4859.25</v>
      </c>
      <c r="H51" s="1501">
        <v>4879.8450000000003</v>
      </c>
      <c r="I51" s="1501">
        <f>H51-G51</f>
        <v>20.595000000000255</v>
      </c>
      <c r="J51" s="1470">
        <v>240000</v>
      </c>
      <c r="K51" s="1503"/>
      <c r="L51" s="1503">
        <f>F51*I51*J51</f>
        <v>4942800.0000000615</v>
      </c>
      <c r="M51" s="1747">
        <f t="shared" si="0"/>
        <v>4943388.7604570463</v>
      </c>
      <c r="N51" s="1967"/>
      <c r="O51" s="1733"/>
      <c r="P51" s="1447"/>
      <c r="Q51" s="1447"/>
      <c r="R51" s="1447"/>
      <c r="S51" s="1447"/>
      <c r="T51" s="1447"/>
      <c r="U51" s="1447"/>
      <c r="V51" s="1447"/>
    </row>
    <row r="52" spans="1:22" ht="25" x14ac:dyDescent="0.35">
      <c r="A52" s="616"/>
      <c r="B52" s="662" t="s">
        <v>1107</v>
      </c>
      <c r="C52" s="89"/>
      <c r="D52" s="1550"/>
      <c r="E52" s="1784"/>
      <c r="F52" s="37"/>
      <c r="G52" s="37"/>
      <c r="H52" s="37"/>
      <c r="I52" s="37"/>
      <c r="J52" s="95" t="s">
        <v>30</v>
      </c>
      <c r="K52" s="696"/>
      <c r="L52" s="43">
        <f>L48+L50</f>
        <v>9383999.9999998696</v>
      </c>
      <c r="M52" s="1750">
        <f>M48+M50</f>
        <v>9385117.7729480639</v>
      </c>
      <c r="N52" s="1967"/>
      <c r="O52" s="12"/>
    </row>
    <row r="53" spans="1:22" s="1446" customFormat="1" ht="15.75" customHeight="1" x14ac:dyDescent="0.35">
      <c r="A53" s="2205">
        <v>5</v>
      </c>
      <c r="B53" s="1489" t="s">
        <v>1664</v>
      </c>
      <c r="C53" s="1490">
        <v>33</v>
      </c>
      <c r="D53" s="1491" t="s">
        <v>527</v>
      </c>
      <c r="E53" s="1803">
        <v>7389488</v>
      </c>
      <c r="F53" s="1492">
        <v>1</v>
      </c>
      <c r="G53" s="1493">
        <v>3940.902</v>
      </c>
      <c r="H53" s="1493">
        <v>3973.43</v>
      </c>
      <c r="I53" s="1494">
        <f t="shared" ref="I53:I69" si="1">H53-G53</f>
        <v>32.527999999999793</v>
      </c>
      <c r="J53" s="1490">
        <v>240000</v>
      </c>
      <c r="K53" s="1495"/>
      <c r="L53" s="1747">
        <f t="shared" ref="L53:L69" si="2">F53*I53*J53</f>
        <v>7806719.9999999506</v>
      </c>
      <c r="M53" s="1747">
        <f t="shared" si="0"/>
        <v>7807649.8956127111</v>
      </c>
      <c r="N53" s="1967"/>
      <c r="O53" s="1735"/>
      <c r="P53" s="1497"/>
      <c r="Q53" s="1497"/>
      <c r="R53" s="1497"/>
      <c r="S53" s="1497"/>
      <c r="T53" s="1497"/>
      <c r="U53" s="1497"/>
      <c r="V53" s="1497"/>
    </row>
    <row r="54" spans="1:22" s="1446" customFormat="1" ht="15.75" customHeight="1" x14ac:dyDescent="0.35">
      <c r="A54" s="2204"/>
      <c r="B54" s="1498"/>
      <c r="C54" s="1499">
        <v>33</v>
      </c>
      <c r="D54" s="1499" t="s">
        <v>1653</v>
      </c>
      <c r="E54" s="1795" t="s">
        <v>1665</v>
      </c>
      <c r="F54" s="1471">
        <v>1</v>
      </c>
      <c r="G54" s="1500">
        <v>3941.7280000000001</v>
      </c>
      <c r="H54" s="1500">
        <v>3974.2530000000002</v>
      </c>
      <c r="I54" s="1501">
        <f t="shared" si="1"/>
        <v>32.525000000000091</v>
      </c>
      <c r="J54" s="1499">
        <v>240000</v>
      </c>
      <c r="K54" s="1502"/>
      <c r="L54" s="1503">
        <f t="shared" si="2"/>
        <v>7806000.0000000214</v>
      </c>
      <c r="M54" s="1747">
        <f t="shared" si="0"/>
        <v>7806929.8098501507</v>
      </c>
      <c r="N54" s="1967"/>
      <c r="O54" s="1733"/>
      <c r="P54" s="1447"/>
      <c r="Q54" s="1447"/>
      <c r="R54" s="1447"/>
      <c r="S54" s="1447"/>
      <c r="T54" s="1447"/>
      <c r="U54" s="1447"/>
      <c r="V54" s="1447"/>
    </row>
    <row r="55" spans="1:22" s="1446" customFormat="1" ht="15.75" customHeight="1" x14ac:dyDescent="0.35">
      <c r="A55" s="2183">
        <v>6</v>
      </c>
      <c r="B55" s="1505" t="s">
        <v>1666</v>
      </c>
      <c r="C55" s="1506">
        <v>33</v>
      </c>
      <c r="D55" s="1507" t="s">
        <v>527</v>
      </c>
      <c r="E55" s="1804" t="s">
        <v>1667</v>
      </c>
      <c r="F55" s="1508">
        <v>1</v>
      </c>
      <c r="G55" s="1509">
        <v>2213.3200000000002</v>
      </c>
      <c r="H55" s="1509">
        <v>2213.3200000000002</v>
      </c>
      <c r="I55" s="1510">
        <f t="shared" si="1"/>
        <v>0</v>
      </c>
      <c r="J55" s="1506">
        <v>240000</v>
      </c>
      <c r="K55" s="1495"/>
      <c r="L55" s="1511">
        <f t="shared" si="2"/>
        <v>0</v>
      </c>
      <c r="M55" s="1747">
        <f t="shared" si="0"/>
        <v>0</v>
      </c>
      <c r="N55" s="1967"/>
      <c r="O55" s="1735"/>
      <c r="P55" s="1497"/>
      <c r="Q55" s="1497"/>
      <c r="R55" s="1497"/>
      <c r="S55" s="1497"/>
      <c r="T55" s="1497"/>
      <c r="U55" s="1497"/>
      <c r="V55" s="1497"/>
    </row>
    <row r="56" spans="1:22" s="1446" customFormat="1" ht="15.75" customHeight="1" x14ac:dyDescent="0.35">
      <c r="A56" s="2184"/>
      <c r="B56" s="1455"/>
      <c r="C56" s="1463">
        <v>33</v>
      </c>
      <c r="D56" s="1463" t="s">
        <v>1653</v>
      </c>
      <c r="E56" s="1805" t="s">
        <v>1668</v>
      </c>
      <c r="F56" s="1464">
        <v>1</v>
      </c>
      <c r="G56" s="1512">
        <v>2000.943</v>
      </c>
      <c r="H56" s="1512">
        <v>2000.943</v>
      </c>
      <c r="I56" s="1466">
        <f t="shared" si="1"/>
        <v>0</v>
      </c>
      <c r="J56" s="1463">
        <v>240000</v>
      </c>
      <c r="K56" s="1513"/>
      <c r="L56" s="1503">
        <f t="shared" si="2"/>
        <v>0</v>
      </c>
      <c r="M56" s="1747">
        <f t="shared" si="0"/>
        <v>0</v>
      </c>
      <c r="N56" s="1967"/>
      <c r="O56" s="1735"/>
      <c r="P56" s="1497"/>
      <c r="Q56" s="1497"/>
      <c r="R56" s="1497"/>
      <c r="S56" s="1497"/>
      <c r="T56" s="1497"/>
      <c r="U56" s="1497"/>
      <c r="V56" s="1497"/>
    </row>
    <row r="57" spans="1:22" s="1446" customFormat="1" ht="15.75" customHeight="1" x14ac:dyDescent="0.35">
      <c r="A57" s="2183">
        <v>7</v>
      </c>
      <c r="B57" s="1505" t="s">
        <v>1669</v>
      </c>
      <c r="C57" s="1490">
        <v>33</v>
      </c>
      <c r="D57" s="1491" t="s">
        <v>527</v>
      </c>
      <c r="E57" s="1806">
        <v>7389554</v>
      </c>
      <c r="F57" s="1508">
        <v>1</v>
      </c>
      <c r="G57" s="1514">
        <v>4926.3999999999996</v>
      </c>
      <c r="H57" s="1514">
        <v>4926.3999999999996</v>
      </c>
      <c r="I57" s="1501">
        <f t="shared" si="1"/>
        <v>0</v>
      </c>
      <c r="J57" s="1490">
        <v>240000</v>
      </c>
      <c r="K57" s="1495"/>
      <c r="L57" s="1496">
        <f t="shared" si="2"/>
        <v>0</v>
      </c>
      <c r="M57" s="1747">
        <f t="shared" si="0"/>
        <v>0</v>
      </c>
      <c r="N57" s="1967"/>
      <c r="O57" s="1735"/>
      <c r="P57" s="1497"/>
      <c r="Q57" s="1497"/>
      <c r="R57" s="1497"/>
      <c r="S57" s="1497"/>
      <c r="T57" s="1497"/>
      <c r="U57" s="1497"/>
      <c r="V57" s="1497"/>
    </row>
    <row r="58" spans="1:22" s="1446" customFormat="1" ht="15.75" customHeight="1" x14ac:dyDescent="0.35">
      <c r="A58" s="2184"/>
      <c r="B58" s="1455"/>
      <c r="C58" s="1499">
        <v>33</v>
      </c>
      <c r="D58" s="1499" t="s">
        <v>1653</v>
      </c>
      <c r="E58" s="1795" t="s">
        <v>1670</v>
      </c>
      <c r="F58" s="1471">
        <v>1</v>
      </c>
      <c r="G58" s="1500">
        <v>4638.4399999999996</v>
      </c>
      <c r="H58" s="1500">
        <v>4638.4399999999996</v>
      </c>
      <c r="I58" s="1501">
        <f t="shared" si="1"/>
        <v>0</v>
      </c>
      <c r="J58" s="1499">
        <v>240000</v>
      </c>
      <c r="K58" s="1515"/>
      <c r="L58" s="1516">
        <f t="shared" si="2"/>
        <v>0</v>
      </c>
      <c r="M58" s="1747">
        <f t="shared" si="0"/>
        <v>0</v>
      </c>
      <c r="N58" s="1967"/>
      <c r="O58" s="1733"/>
      <c r="P58" s="1447"/>
      <c r="Q58" s="1447"/>
      <c r="R58" s="1447"/>
      <c r="S58" s="1447"/>
      <c r="T58" s="1447"/>
      <c r="U58" s="1447"/>
      <c r="V58" s="1447"/>
    </row>
    <row r="59" spans="1:22" s="1446" customFormat="1" ht="15.75" customHeight="1" x14ac:dyDescent="0.35">
      <c r="A59" s="2183">
        <v>8</v>
      </c>
      <c r="B59" s="1505" t="s">
        <v>1671</v>
      </c>
      <c r="C59" s="1506">
        <v>33</v>
      </c>
      <c r="D59" s="1507" t="s">
        <v>527</v>
      </c>
      <c r="E59" s="1802" t="s">
        <v>1672</v>
      </c>
      <c r="F59" s="1508">
        <v>1</v>
      </c>
      <c r="G59" s="1514">
        <v>5788.71</v>
      </c>
      <c r="H59" s="1514">
        <v>5824.31</v>
      </c>
      <c r="I59" s="1517">
        <f t="shared" si="1"/>
        <v>35.600000000000364</v>
      </c>
      <c r="J59" s="1506">
        <v>240000</v>
      </c>
      <c r="K59" s="1518"/>
      <c r="L59" s="1519">
        <f t="shared" si="2"/>
        <v>8544000.0000000875</v>
      </c>
      <c r="M59" s="1747">
        <f t="shared" si="0"/>
        <v>8545017.716546271</v>
      </c>
      <c r="N59" s="1967"/>
      <c r="O59" s="1735"/>
      <c r="P59" s="1497"/>
      <c r="Q59" s="1497"/>
      <c r="R59" s="1497"/>
      <c r="S59" s="1497"/>
      <c r="T59" s="1497"/>
      <c r="U59" s="1497"/>
      <c r="V59" s="1497"/>
    </row>
    <row r="60" spans="1:22" s="1446" customFormat="1" ht="15.75" customHeight="1" x14ac:dyDescent="0.35">
      <c r="A60" s="2184"/>
      <c r="B60" s="1455"/>
      <c r="C60" s="1470">
        <v>33</v>
      </c>
      <c r="D60" s="1470" t="s">
        <v>1653</v>
      </c>
      <c r="E60" s="1795" t="s">
        <v>1673</v>
      </c>
      <c r="F60" s="1471">
        <v>1</v>
      </c>
      <c r="G60" s="1500">
        <v>5434.2969999999996</v>
      </c>
      <c r="H60" s="1500">
        <v>5469.9070000000002</v>
      </c>
      <c r="I60" s="1501">
        <f t="shared" si="1"/>
        <v>35.610000000000582</v>
      </c>
      <c r="J60" s="1470">
        <v>240000</v>
      </c>
      <c r="K60" s="1502"/>
      <c r="L60" s="1503">
        <f t="shared" si="2"/>
        <v>8546400.0000001397</v>
      </c>
      <c r="M60" s="1747">
        <f t="shared" si="0"/>
        <v>8547418.0024217572</v>
      </c>
      <c r="N60" s="1967"/>
      <c r="O60" s="1733"/>
      <c r="P60" s="1447"/>
      <c r="Q60" s="1447"/>
      <c r="R60" s="1447"/>
      <c r="S60" s="1447"/>
      <c r="T60" s="1447"/>
      <c r="U60" s="1447"/>
      <c r="V60" s="1447"/>
    </row>
    <row r="61" spans="1:22" s="1446" customFormat="1" ht="15.75" customHeight="1" x14ac:dyDescent="0.35">
      <c r="A61" s="2183">
        <v>13</v>
      </c>
      <c r="B61" s="1524" t="s">
        <v>1685</v>
      </c>
      <c r="C61" s="1490">
        <v>33</v>
      </c>
      <c r="D61" s="1490" t="s">
        <v>527</v>
      </c>
      <c r="E61" s="1802" t="s">
        <v>1686</v>
      </c>
      <c r="F61" s="1508">
        <v>1</v>
      </c>
      <c r="G61" s="1522">
        <v>5307.35</v>
      </c>
      <c r="H61" s="1522">
        <v>5338.88</v>
      </c>
      <c r="I61" s="1525">
        <f t="shared" si="1"/>
        <v>31.529999999999745</v>
      </c>
      <c r="J61" s="1490">
        <v>240000</v>
      </c>
      <c r="K61" s="1496"/>
      <c r="L61" s="1496">
        <f t="shared" si="2"/>
        <v>7567199.9999999385</v>
      </c>
      <c r="M61" s="1747">
        <f t="shared" si="0"/>
        <v>7568101.3652443532</v>
      </c>
      <c r="N61" s="1967"/>
      <c r="O61" s="1735"/>
      <c r="P61" s="1497"/>
      <c r="Q61" s="1497"/>
      <c r="R61" s="1497"/>
      <c r="S61" s="1497"/>
      <c r="T61" s="1497"/>
      <c r="U61" s="1497"/>
      <c r="V61" s="1497"/>
    </row>
    <row r="62" spans="1:22" s="1446" customFormat="1" ht="15.75" customHeight="1" x14ac:dyDescent="0.35">
      <c r="A62" s="2184"/>
      <c r="B62" s="1455"/>
      <c r="C62" s="1499">
        <v>33</v>
      </c>
      <c r="D62" s="1499" t="s">
        <v>1653</v>
      </c>
      <c r="E62" s="1795" t="s">
        <v>1687</v>
      </c>
      <c r="F62" s="1471">
        <v>1</v>
      </c>
      <c r="G62" s="1501">
        <v>5015.6319999999996</v>
      </c>
      <c r="H62" s="1501">
        <v>5047.1509999999998</v>
      </c>
      <c r="I62" s="1501">
        <f t="shared" si="1"/>
        <v>31.519000000000233</v>
      </c>
      <c r="J62" s="1499">
        <v>240000</v>
      </c>
      <c r="K62" s="1516"/>
      <c r="L62" s="1516">
        <f t="shared" si="2"/>
        <v>7564560.0000000559</v>
      </c>
      <c r="M62" s="1747">
        <f t="shared" si="0"/>
        <v>7565461.0507814931</v>
      </c>
      <c r="N62" s="1967"/>
      <c r="O62" s="1733"/>
      <c r="P62" s="1447"/>
      <c r="Q62" s="1447"/>
      <c r="R62" s="1447"/>
      <c r="S62" s="1447"/>
      <c r="T62" s="1447"/>
      <c r="U62" s="1447"/>
      <c r="V62" s="1447"/>
    </row>
    <row r="63" spans="1:22" s="1446" customFormat="1" ht="15.75" customHeight="1" x14ac:dyDescent="0.35">
      <c r="A63" s="2183">
        <v>14</v>
      </c>
      <c r="B63" s="1520" t="s">
        <v>1688</v>
      </c>
      <c r="C63" s="1506">
        <v>33</v>
      </c>
      <c r="D63" s="1506" t="s">
        <v>527</v>
      </c>
      <c r="E63" s="1802" t="s">
        <v>1689</v>
      </c>
      <c r="F63" s="1508">
        <v>1</v>
      </c>
      <c r="G63" s="1522">
        <v>2680.54</v>
      </c>
      <c r="H63" s="1522">
        <v>2680.54</v>
      </c>
      <c r="I63" s="1517">
        <f t="shared" si="1"/>
        <v>0</v>
      </c>
      <c r="J63" s="1506">
        <v>240000</v>
      </c>
      <c r="K63" s="1523"/>
      <c r="L63" s="1523">
        <f t="shared" si="2"/>
        <v>0</v>
      </c>
      <c r="M63" s="1747">
        <f t="shared" si="0"/>
        <v>0</v>
      </c>
      <c r="N63" s="1967"/>
      <c r="O63" s="1735"/>
      <c r="P63" s="1497"/>
      <c r="Q63" s="1497"/>
      <c r="R63" s="1497"/>
      <c r="S63" s="1497"/>
      <c r="T63" s="1497"/>
      <c r="U63" s="1497"/>
      <c r="V63" s="1497"/>
    </row>
    <row r="64" spans="1:22" s="1446" customFormat="1" ht="15.75" customHeight="1" x14ac:dyDescent="0.35">
      <c r="A64" s="2184"/>
      <c r="B64" s="1455"/>
      <c r="C64" s="1470">
        <v>33</v>
      </c>
      <c r="D64" s="1470" t="s">
        <v>1653</v>
      </c>
      <c r="E64" s="1795" t="s">
        <v>1690</v>
      </c>
      <c r="F64" s="1471">
        <v>1</v>
      </c>
      <c r="G64" s="1501">
        <v>2387.953</v>
      </c>
      <c r="H64" s="1501">
        <v>2387.953</v>
      </c>
      <c r="I64" s="1501">
        <f t="shared" si="1"/>
        <v>0</v>
      </c>
      <c r="J64" s="1470">
        <v>240000</v>
      </c>
      <c r="K64" s="1503"/>
      <c r="L64" s="1503">
        <f t="shared" si="2"/>
        <v>0</v>
      </c>
      <c r="M64" s="1747">
        <f t="shared" si="0"/>
        <v>0</v>
      </c>
      <c r="N64" s="1967"/>
      <c r="O64" s="1733"/>
      <c r="P64" s="1447"/>
      <c r="Q64" s="1447"/>
      <c r="R64" s="1447"/>
      <c r="S64" s="1447"/>
      <c r="T64" s="1447"/>
      <c r="U64" s="1447"/>
      <c r="V64" s="1447"/>
    </row>
    <row r="65" spans="1:22" s="1446" customFormat="1" ht="15.75" customHeight="1" x14ac:dyDescent="0.35">
      <c r="A65" s="2183">
        <v>15</v>
      </c>
      <c r="B65" s="1520" t="s">
        <v>1691</v>
      </c>
      <c r="C65" s="1490">
        <v>33</v>
      </c>
      <c r="D65" s="1490" t="s">
        <v>527</v>
      </c>
      <c r="E65" s="1806">
        <v>7389486</v>
      </c>
      <c r="F65" s="1508">
        <v>1</v>
      </c>
      <c r="G65" s="1489">
        <v>4329.92</v>
      </c>
      <c r="H65" s="1489">
        <v>4356.3</v>
      </c>
      <c r="I65" s="1501">
        <f t="shared" si="1"/>
        <v>26.380000000000109</v>
      </c>
      <c r="J65" s="1499">
        <v>240000</v>
      </c>
      <c r="K65" s="1526"/>
      <c r="L65" s="1516">
        <f t="shared" si="2"/>
        <v>6331200.0000000261</v>
      </c>
      <c r="M65" s="1747">
        <f t="shared" si="0"/>
        <v>6331954.139395766</v>
      </c>
      <c r="N65" s="1967"/>
      <c r="O65" s="1735"/>
      <c r="P65" s="1497"/>
      <c r="Q65" s="1497"/>
      <c r="R65" s="1497"/>
      <c r="S65" s="1497"/>
      <c r="T65" s="1497"/>
      <c r="U65" s="1497"/>
      <c r="V65" s="1497"/>
    </row>
    <row r="66" spans="1:22" s="1446" customFormat="1" ht="15.75" customHeight="1" x14ac:dyDescent="0.35">
      <c r="A66" s="2184"/>
      <c r="B66" s="1455"/>
      <c r="C66" s="1499">
        <v>33</v>
      </c>
      <c r="D66" s="1499" t="s">
        <v>1653</v>
      </c>
      <c r="E66" s="1795" t="s">
        <v>1692</v>
      </c>
      <c r="F66" s="1471">
        <v>1</v>
      </c>
      <c r="G66" s="1501">
        <v>3575.6320000000001</v>
      </c>
      <c r="H66" s="1501">
        <v>3601.9989999999998</v>
      </c>
      <c r="I66" s="1501">
        <f t="shared" si="1"/>
        <v>26.366999999999734</v>
      </c>
      <c r="J66" s="1499">
        <v>240000</v>
      </c>
      <c r="K66" s="1526"/>
      <c r="L66" s="1516">
        <f t="shared" si="2"/>
        <v>6328079.9999999367</v>
      </c>
      <c r="M66" s="1747">
        <f t="shared" si="0"/>
        <v>6328833.7677576113</v>
      </c>
      <c r="N66" s="1967"/>
      <c r="O66" s="1735"/>
      <c r="P66" s="1497"/>
      <c r="Q66" s="1497"/>
      <c r="R66" s="1497"/>
      <c r="S66" s="1497"/>
      <c r="T66" s="1497"/>
      <c r="U66" s="1497"/>
      <c r="V66" s="1497"/>
    </row>
    <row r="67" spans="1:22" s="1446" customFormat="1" ht="15.75" customHeight="1" x14ac:dyDescent="0.35">
      <c r="A67" s="2183">
        <v>16</v>
      </c>
      <c r="B67" s="1524" t="s">
        <v>1693</v>
      </c>
      <c r="C67" s="1506">
        <v>33</v>
      </c>
      <c r="D67" s="1506" t="s">
        <v>527</v>
      </c>
      <c r="E67" s="1802" t="s">
        <v>1694</v>
      </c>
      <c r="F67" s="1508">
        <v>1</v>
      </c>
      <c r="G67" s="1522">
        <v>3740.4</v>
      </c>
      <c r="H67" s="1522">
        <v>3758.94</v>
      </c>
      <c r="I67" s="1517">
        <f t="shared" si="1"/>
        <v>18.539999999999964</v>
      </c>
      <c r="J67" s="1506">
        <v>240000</v>
      </c>
      <c r="K67" s="1523"/>
      <c r="L67" s="1523">
        <f t="shared" si="2"/>
        <v>4449599.9999999916</v>
      </c>
      <c r="M67" s="1747">
        <f t="shared" si="0"/>
        <v>4450130.013055223</v>
      </c>
      <c r="N67" s="1967"/>
      <c r="O67" s="1735"/>
      <c r="P67" s="1497"/>
      <c r="Q67" s="1497"/>
      <c r="R67" s="1497"/>
      <c r="S67" s="1497"/>
      <c r="T67" s="1497"/>
      <c r="U67" s="1497"/>
      <c r="V67" s="1497"/>
    </row>
    <row r="68" spans="1:22" s="1446" customFormat="1" ht="15.75" customHeight="1" x14ac:dyDescent="0.35">
      <c r="A68" s="2184"/>
      <c r="B68" s="1455"/>
      <c r="C68" s="1470">
        <v>33</v>
      </c>
      <c r="D68" s="1470" t="s">
        <v>1653</v>
      </c>
      <c r="E68" s="1795" t="s">
        <v>1668</v>
      </c>
      <c r="F68" s="1471">
        <v>1</v>
      </c>
      <c r="G68" s="1501">
        <v>3462.3490000000002</v>
      </c>
      <c r="H68" s="1501">
        <v>3480.8719999999998</v>
      </c>
      <c r="I68" s="1501">
        <f t="shared" si="1"/>
        <v>18.522999999999683</v>
      </c>
      <c r="J68" s="1470">
        <v>240000</v>
      </c>
      <c r="K68" s="1503"/>
      <c r="L68" s="1503">
        <f t="shared" si="2"/>
        <v>4445519.9999999236</v>
      </c>
      <c r="M68" s="1747">
        <f t="shared" si="0"/>
        <v>4446049.5270669172</v>
      </c>
      <c r="N68" s="1967"/>
      <c r="O68" s="1733"/>
      <c r="P68" s="1447"/>
      <c r="Q68" s="1447"/>
      <c r="R68" s="1447"/>
      <c r="S68" s="1447"/>
      <c r="T68" s="1447"/>
      <c r="U68" s="1447"/>
      <c r="V68" s="1447"/>
    </row>
    <row r="69" spans="1:22" s="1446" customFormat="1" ht="15.75" customHeight="1" thickBot="1" x14ac:dyDescent="0.4">
      <c r="A69" s="1527">
        <v>17</v>
      </c>
      <c r="B69" s="1528" t="s">
        <v>1695</v>
      </c>
      <c r="C69" s="1529">
        <v>33</v>
      </c>
      <c r="D69" s="1529" t="s">
        <v>527</v>
      </c>
      <c r="E69" s="1807" t="s">
        <v>1696</v>
      </c>
      <c r="F69" s="1530">
        <v>1</v>
      </c>
      <c r="G69" s="1531">
        <v>332353.8</v>
      </c>
      <c r="H69" s="1531">
        <v>335666.5</v>
      </c>
      <c r="I69" s="1532">
        <f t="shared" si="1"/>
        <v>3312.7000000000116</v>
      </c>
      <c r="J69" s="1529">
        <v>2000</v>
      </c>
      <c r="K69" s="1533"/>
      <c r="L69" s="1533">
        <f t="shared" si="2"/>
        <v>6625400.0000000233</v>
      </c>
      <c r="M69" s="1747">
        <f t="shared" si="0"/>
        <v>6626189.1829594197</v>
      </c>
      <c r="N69" s="1967"/>
      <c r="O69" s="1735"/>
      <c r="P69" s="1497"/>
      <c r="Q69" s="1497"/>
      <c r="R69" s="1497"/>
      <c r="S69" s="1497"/>
      <c r="T69" s="1497"/>
      <c r="U69" s="1497"/>
      <c r="V69" s="1497"/>
    </row>
    <row r="70" spans="1:22" s="1446" customFormat="1" ht="21" customHeight="1" thickBot="1" x14ac:dyDescent="0.4">
      <c r="A70" s="1535"/>
      <c r="B70" s="1536"/>
      <c r="C70" s="1537"/>
      <c r="D70" s="1537"/>
      <c r="E70" s="1808"/>
      <c r="F70" s="1537"/>
      <c r="G70" s="1487"/>
      <c r="H70" s="1538"/>
      <c r="I70" s="1487"/>
      <c r="J70" s="1539" t="s">
        <v>1049</v>
      </c>
      <c r="K70" s="1749">
        <f>K45</f>
        <v>50713439.999999247</v>
      </c>
      <c r="L70" s="1540">
        <f>L69+L67+L65+L63+L61+L50+L48+L59+L57+L54+L55</f>
        <v>50707399.999999955</v>
      </c>
      <c r="M70" s="1730">
        <f>M69+M67+M65+M63+M61+M50+M48+M59+M57+M54+M55</f>
        <v>50713439.999999247</v>
      </c>
      <c r="N70" s="1752">
        <f>(M70-L70)/L70*100</f>
        <v>1.1911476430052024E-2</v>
      </c>
      <c r="O70" s="1751"/>
      <c r="P70" s="1450"/>
      <c r="Q70" s="1450"/>
      <c r="R70" s="1450"/>
      <c r="S70" s="1450"/>
      <c r="T70" s="1450"/>
      <c r="U70" s="1450"/>
      <c r="V70" s="1450"/>
    </row>
    <row r="71" spans="1:22" s="1446" customFormat="1" ht="15.75" customHeight="1" x14ac:dyDescent="0.35">
      <c r="A71" s="1541"/>
      <c r="B71" s="1449"/>
      <c r="C71" s="1542"/>
      <c r="D71" s="1448"/>
      <c r="E71" s="1809"/>
      <c r="F71" s="1541"/>
      <c r="G71" s="1449"/>
      <c r="H71" s="1449"/>
      <c r="I71" s="1449"/>
      <c r="J71" s="1543"/>
      <c r="K71" s="1544"/>
      <c r="L71" s="1449"/>
      <c r="M71" s="1450"/>
      <c r="N71" s="1970"/>
      <c r="O71" s="1734"/>
      <c r="P71" s="1450"/>
      <c r="Q71" s="1450"/>
      <c r="R71" s="1450"/>
      <c r="S71" s="1450"/>
      <c r="T71" s="1450"/>
      <c r="U71" s="1450"/>
      <c r="V71" s="1450"/>
    </row>
    <row r="72" spans="1:22" s="1446" customFormat="1" ht="15.75" customHeight="1" x14ac:dyDescent="0.35">
      <c r="A72" s="1541"/>
      <c r="B72" s="1449"/>
      <c r="C72" s="1542"/>
      <c r="D72" s="1448"/>
      <c r="E72" s="1809"/>
      <c r="F72" s="1541"/>
      <c r="G72" s="2092" t="s">
        <v>1096</v>
      </c>
      <c r="H72" s="2092"/>
      <c r="I72" s="2092"/>
      <c r="J72" s="677" t="s">
        <v>14</v>
      </c>
      <c r="K72" s="69" t="s">
        <v>1098</v>
      </c>
      <c r="L72" s="1545"/>
      <c r="M72" s="1450"/>
      <c r="N72" s="1967"/>
      <c r="O72" s="1734"/>
      <c r="P72" s="1450"/>
      <c r="Q72" s="1450"/>
      <c r="R72" s="1450"/>
      <c r="S72" s="1450"/>
      <c r="T72" s="1450"/>
      <c r="U72" s="1450"/>
      <c r="V72" s="1450"/>
    </row>
    <row r="73" spans="1:22" s="1446" customFormat="1" ht="15.75" customHeight="1" x14ac:dyDescent="0.35">
      <c r="A73" s="1541"/>
      <c r="B73" s="1449"/>
      <c r="C73" s="1542"/>
      <c r="D73" s="1448"/>
      <c r="E73" s="1809"/>
      <c r="F73" s="1541"/>
      <c r="G73" s="2093" t="s">
        <v>1071</v>
      </c>
      <c r="H73" s="2093"/>
      <c r="I73" s="2093"/>
      <c r="J73" s="692">
        <f>M57</f>
        <v>0</v>
      </c>
      <c r="K73" s="70">
        <v>6.933634163553025</v>
      </c>
      <c r="L73" s="1545"/>
      <c r="M73" s="1450"/>
      <c r="N73" s="1967"/>
      <c r="O73" s="1734"/>
      <c r="P73" s="1450"/>
      <c r="Q73" s="1450"/>
      <c r="R73" s="1450"/>
      <c r="S73" s="1450"/>
      <c r="T73" s="1450"/>
      <c r="U73" s="1450"/>
      <c r="V73" s="1450"/>
    </row>
    <row r="74" spans="1:22" s="1446" customFormat="1" ht="15.75" customHeight="1" x14ac:dyDescent="0.35">
      <c r="A74" s="1541"/>
      <c r="B74" s="1449"/>
      <c r="C74" s="1542"/>
      <c r="D74" s="1448"/>
      <c r="E74" s="1809"/>
      <c r="F74" s="1541"/>
      <c r="G74" s="2093" t="s">
        <v>206</v>
      </c>
      <c r="H74" s="2093"/>
      <c r="I74" s="2093"/>
      <c r="J74" s="692">
        <f>M58+M59+M60</f>
        <v>17092435.718968026</v>
      </c>
      <c r="K74" s="70">
        <v>-0.33769527905653496</v>
      </c>
      <c r="L74" s="1545"/>
      <c r="M74" s="1450"/>
      <c r="N74" s="1967"/>
      <c r="O74" s="1734"/>
      <c r="P74" s="1450"/>
      <c r="Q74" s="1450"/>
      <c r="R74" s="1450"/>
      <c r="S74" s="1450"/>
      <c r="T74" s="1450"/>
      <c r="U74" s="1450"/>
      <c r="V74" s="1450"/>
    </row>
    <row r="75" spans="1:22" s="1446" customFormat="1" ht="15.75" customHeight="1" x14ac:dyDescent="0.35">
      <c r="A75" s="1541"/>
      <c r="B75" s="1449"/>
      <c r="C75" s="1542"/>
      <c r="D75" s="1448"/>
      <c r="E75" s="1809"/>
      <c r="F75" s="1541"/>
      <c r="G75" s="2093" t="s">
        <v>207</v>
      </c>
      <c r="H75" s="2093"/>
      <c r="I75" s="2093"/>
      <c r="J75" s="692">
        <f>M61+M62</f>
        <v>15133562.416025847</v>
      </c>
      <c r="K75" s="70"/>
      <c r="L75" s="1545"/>
      <c r="M75" s="1450"/>
      <c r="N75" s="1967"/>
      <c r="O75" s="1734"/>
      <c r="P75" s="1450"/>
      <c r="Q75" s="1450"/>
      <c r="R75" s="1450"/>
      <c r="S75" s="1450"/>
      <c r="T75" s="1450"/>
      <c r="U75" s="1450"/>
      <c r="V75" s="1450"/>
    </row>
    <row r="76" spans="1:22" s="1446" customFormat="1" ht="15.75" customHeight="1" x14ac:dyDescent="0.35">
      <c r="A76" s="1541"/>
      <c r="B76" s="1449"/>
      <c r="C76" s="1542"/>
      <c r="D76" s="1448"/>
      <c r="E76" s="1809"/>
      <c r="F76" s="1541"/>
      <c r="G76" s="2093" t="s">
        <v>208</v>
      </c>
      <c r="H76" s="2093"/>
      <c r="I76" s="2093"/>
      <c r="J76" s="692">
        <f>M63</f>
        <v>0</v>
      </c>
      <c r="K76" s="70">
        <v>0.58957194954853154</v>
      </c>
      <c r="L76" s="1545"/>
      <c r="M76" s="1450"/>
      <c r="N76" s="1967"/>
      <c r="O76" s="1734"/>
      <c r="P76" s="1450"/>
      <c r="Q76" s="1450"/>
      <c r="R76" s="1450"/>
      <c r="S76" s="1450"/>
      <c r="T76" s="1450"/>
      <c r="U76" s="1450"/>
      <c r="V76" s="1450"/>
    </row>
    <row r="77" spans="1:22" s="1446" customFormat="1" ht="15.75" customHeight="1" x14ac:dyDescent="0.35">
      <c r="A77" s="1541"/>
      <c r="B77" s="1449"/>
      <c r="C77" s="1542"/>
      <c r="D77" s="1448"/>
      <c r="E77" s="1809"/>
      <c r="F77" s="1541"/>
      <c r="G77" s="2093" t="s">
        <v>209</v>
      </c>
      <c r="H77" s="2093"/>
      <c r="I77" s="2093"/>
      <c r="J77" s="692">
        <f>M64</f>
        <v>0</v>
      </c>
      <c r="K77" s="70"/>
      <c r="L77" s="1545"/>
      <c r="M77" s="1450"/>
      <c r="N77" s="1967"/>
      <c r="O77" s="1734"/>
      <c r="P77" s="1450"/>
      <c r="Q77" s="1450"/>
      <c r="R77" s="1450"/>
      <c r="S77" s="1450"/>
      <c r="T77" s="1450"/>
      <c r="U77" s="1450"/>
      <c r="V77" s="1450"/>
    </row>
    <row r="78" spans="1:22" s="1446" customFormat="1" ht="15.75" customHeight="1" x14ac:dyDescent="0.35">
      <c r="A78" s="1541"/>
      <c r="B78" s="1449"/>
      <c r="C78" s="1542"/>
      <c r="D78" s="1448"/>
      <c r="E78" s="1809"/>
      <c r="F78" s="1541"/>
      <c r="G78" s="2093" t="s">
        <v>40</v>
      </c>
      <c r="H78" s="2093"/>
      <c r="I78" s="2093"/>
      <c r="J78" s="692">
        <f>M65+M66</f>
        <v>12660787.907153377</v>
      </c>
      <c r="K78" s="70">
        <v>2.4391608198671739</v>
      </c>
      <c r="L78" s="1545"/>
      <c r="M78" s="1450"/>
      <c r="N78" s="1967"/>
      <c r="O78" s="1734"/>
      <c r="P78" s="1450"/>
      <c r="Q78" s="1450"/>
      <c r="R78" s="1450"/>
      <c r="S78" s="1450"/>
      <c r="T78" s="1450"/>
      <c r="U78" s="1450"/>
      <c r="V78" s="1450"/>
    </row>
    <row r="79" spans="1:22" s="1446" customFormat="1" ht="15.75" customHeight="1" x14ac:dyDescent="0.35">
      <c r="A79" s="1541"/>
      <c r="B79" s="1449"/>
      <c r="C79" s="1542"/>
      <c r="D79" s="1448"/>
      <c r="E79" s="1809"/>
      <c r="F79" s="1541"/>
      <c r="G79" s="2094" t="s">
        <v>42</v>
      </c>
      <c r="H79" s="2094"/>
      <c r="I79" s="2094"/>
      <c r="J79" s="693">
        <f>M67</f>
        <v>4450130.013055223</v>
      </c>
      <c r="K79" s="694"/>
      <c r="L79" s="1545"/>
      <c r="M79" s="1450"/>
      <c r="N79" s="1967"/>
      <c r="O79" s="1734"/>
      <c r="P79" s="1450"/>
      <c r="Q79" s="1450"/>
      <c r="R79" s="1450"/>
      <c r="S79" s="1450"/>
      <c r="T79" s="1450"/>
      <c r="U79" s="1450"/>
      <c r="V79" s="1450"/>
    </row>
    <row r="80" spans="1:22" s="1446" customFormat="1" ht="15.75" customHeight="1" thickBot="1" x14ac:dyDescent="0.4">
      <c r="A80" s="1541"/>
      <c r="B80" s="1449"/>
      <c r="C80" s="1542"/>
      <c r="D80" s="1448"/>
      <c r="E80" s="1809"/>
      <c r="F80" s="1541"/>
      <c r="G80" s="2093" t="s">
        <v>41</v>
      </c>
      <c r="H80" s="2093"/>
      <c r="I80" s="2093"/>
      <c r="J80" s="692">
        <f>M68</f>
        <v>4446049.5270669172</v>
      </c>
      <c r="K80" s="681">
        <v>1.4463055987403735</v>
      </c>
      <c r="L80" s="1545"/>
      <c r="M80" s="1450"/>
      <c r="N80" s="1967"/>
      <c r="O80" s="1734"/>
      <c r="P80" s="1450"/>
      <c r="Q80" s="1450"/>
      <c r="R80" s="1450"/>
      <c r="S80" s="1450"/>
      <c r="T80" s="1450"/>
      <c r="U80" s="1450"/>
      <c r="V80" s="1450"/>
    </row>
    <row r="81" spans="1:22" s="1446" customFormat="1" ht="15.75" customHeight="1" thickBot="1" x14ac:dyDescent="0.4">
      <c r="A81" s="1541"/>
      <c r="B81" s="1449"/>
      <c r="C81" s="1542"/>
      <c r="D81" s="1448"/>
      <c r="E81" s="1809"/>
      <c r="F81" s="1541"/>
      <c r="G81" s="620"/>
      <c r="H81" s="620"/>
      <c r="I81" s="642" t="s">
        <v>210</v>
      </c>
      <c r="J81" s="680">
        <f>SUM(J73:J80)</f>
        <v>53782965.582269385</v>
      </c>
      <c r="K81" s="682">
        <f>J81-M70</f>
        <v>3069525.582270138</v>
      </c>
      <c r="L81" s="1545"/>
      <c r="M81" s="1450"/>
      <c r="N81" s="1967"/>
      <c r="O81" s="1734"/>
      <c r="P81" s="1450"/>
      <c r="Q81" s="1450"/>
      <c r="R81" s="1450"/>
      <c r="S81" s="1450"/>
      <c r="T81" s="1450"/>
      <c r="U81" s="1450"/>
      <c r="V81" s="1450"/>
    </row>
    <row r="82" spans="1:22" ht="25" x14ac:dyDescent="0.35">
      <c r="N82" s="1967"/>
    </row>
    <row r="83" spans="1:22" ht="25" x14ac:dyDescent="0.35">
      <c r="N83" s="1967"/>
    </row>
    <row r="84" spans="1:22" ht="25" x14ac:dyDescent="0.35">
      <c r="N84" s="1967"/>
    </row>
    <row r="85" spans="1:22" ht="25.5" thickBot="1" x14ac:dyDescent="0.4">
      <c r="N85" s="1967"/>
    </row>
    <row r="86" spans="1:22" ht="25.5" thickBot="1" x14ac:dyDescent="0.4">
      <c r="A86" s="2185" t="s">
        <v>2447</v>
      </c>
      <c r="B86" s="2186"/>
      <c r="C86" s="2186"/>
      <c r="D86" s="2186"/>
      <c r="E86" s="2186"/>
      <c r="F86" s="2186"/>
      <c r="G86" s="2186"/>
      <c r="H86" s="2186"/>
      <c r="I86" s="2186"/>
      <c r="J86" s="2186"/>
      <c r="K86" s="2186"/>
      <c r="L86" s="2186"/>
      <c r="M86" s="2186"/>
      <c r="N86" s="2187"/>
      <c r="O86" s="1765" t="str">
        <f>O6</f>
        <v>Month December-2022</v>
      </c>
    </row>
    <row r="87" spans="1:22" s="1446" customFormat="1" ht="15" customHeight="1" x14ac:dyDescent="0.35">
      <c r="A87" s="2170" t="s">
        <v>0</v>
      </c>
      <c r="B87" s="2172" t="s">
        <v>1</v>
      </c>
      <c r="C87" s="2174" t="s">
        <v>2</v>
      </c>
      <c r="D87" s="2175"/>
      <c r="E87" s="2176"/>
      <c r="F87" s="2172" t="s">
        <v>3</v>
      </c>
      <c r="G87" s="2177" t="s">
        <v>4</v>
      </c>
      <c r="H87" s="2178"/>
      <c r="I87" s="2179"/>
      <c r="J87" s="2172" t="s">
        <v>5</v>
      </c>
      <c r="K87" s="2177" t="s">
        <v>6</v>
      </c>
      <c r="L87" s="2179"/>
      <c r="M87" s="1758" t="s">
        <v>1088</v>
      </c>
      <c r="N87" s="1759"/>
      <c r="O87" s="2181" t="s">
        <v>7</v>
      </c>
      <c r="P87" s="1450"/>
      <c r="Q87" s="1450"/>
      <c r="R87" s="1450"/>
      <c r="S87" s="1450"/>
      <c r="T87" s="1450"/>
      <c r="U87" s="1450"/>
      <c r="V87" s="1450"/>
    </row>
    <row r="88" spans="1:22" s="1446" customFormat="1" ht="15" customHeight="1" x14ac:dyDescent="0.35">
      <c r="A88" s="2171"/>
      <c r="B88" s="2173"/>
      <c r="C88" s="1453" t="s">
        <v>8</v>
      </c>
      <c r="D88" s="1453" t="s">
        <v>1649</v>
      </c>
      <c r="E88" s="1789" t="s">
        <v>9</v>
      </c>
      <c r="F88" s="2173"/>
      <c r="G88" s="1454">
        <v>44896</v>
      </c>
      <c r="H88" s="1454">
        <v>44927</v>
      </c>
      <c r="I88" s="1453" t="s">
        <v>10</v>
      </c>
      <c r="J88" s="2180"/>
      <c r="K88" s="1453" t="s">
        <v>11</v>
      </c>
      <c r="L88" s="1453" t="s">
        <v>12</v>
      </c>
      <c r="M88" s="617" t="s">
        <v>33</v>
      </c>
      <c r="N88" s="1731" t="s">
        <v>47</v>
      </c>
      <c r="O88" s="2182"/>
      <c r="P88" s="1450"/>
      <c r="Q88" s="1450"/>
      <c r="R88" s="1450"/>
      <c r="S88" s="1450"/>
      <c r="T88" s="1450"/>
      <c r="U88" s="1450"/>
      <c r="V88" s="1450"/>
    </row>
    <row r="89" spans="1:22" s="1446" customFormat="1" ht="15.75" customHeight="1" thickBot="1" x14ac:dyDescent="0.4">
      <c r="A89" s="1760">
        <v>1</v>
      </c>
      <c r="B89" s="1761">
        <v>2</v>
      </c>
      <c r="C89" s="1761">
        <v>3</v>
      </c>
      <c r="D89" s="1761">
        <v>4</v>
      </c>
      <c r="E89" s="1790">
        <v>5</v>
      </c>
      <c r="F89" s="1761">
        <v>6</v>
      </c>
      <c r="G89" s="1761">
        <v>7</v>
      </c>
      <c r="H89" s="1761">
        <v>8</v>
      </c>
      <c r="I89" s="1761" t="s">
        <v>2438</v>
      </c>
      <c r="J89" s="1761">
        <v>10</v>
      </c>
      <c r="K89" s="1761" t="s">
        <v>2439</v>
      </c>
      <c r="L89" s="1761" t="s">
        <v>2440</v>
      </c>
      <c r="M89" s="1762">
        <v>13</v>
      </c>
      <c r="N89" s="1763">
        <v>14</v>
      </c>
      <c r="O89" s="1764">
        <v>15</v>
      </c>
      <c r="P89" s="1456"/>
      <c r="Q89" s="1456"/>
      <c r="R89" s="1456"/>
      <c r="S89" s="1456"/>
      <c r="T89" s="1456"/>
      <c r="U89" s="1456"/>
      <c r="V89" s="1456"/>
    </row>
    <row r="90" spans="1:22" ht="15.5" x14ac:dyDescent="0.35">
      <c r="A90" s="1753"/>
      <c r="B90" s="1754" t="s">
        <v>2445</v>
      </c>
      <c r="C90" s="1755"/>
      <c r="D90" s="1444" t="s">
        <v>698</v>
      </c>
      <c r="E90" s="1797"/>
      <c r="F90" s="1755"/>
      <c r="G90" s="1755"/>
      <c r="H90" s="1755"/>
      <c r="I90" s="1755"/>
      <c r="J90" s="1755"/>
      <c r="K90" s="1445"/>
      <c r="L90" s="1755"/>
      <c r="M90" s="1756"/>
      <c r="N90" s="1969"/>
      <c r="O90" s="1757"/>
    </row>
    <row r="91" spans="1:22" s="1446" customFormat="1" ht="15.75" customHeight="1" x14ac:dyDescent="0.35">
      <c r="A91" s="1474">
        <v>8</v>
      </c>
      <c r="B91" s="1475" t="s">
        <v>1709</v>
      </c>
      <c r="C91" s="1459">
        <v>11</v>
      </c>
      <c r="D91" s="1463" t="s">
        <v>1699</v>
      </c>
      <c r="E91" s="1792" t="s">
        <v>1710</v>
      </c>
      <c r="F91" s="1476">
        <v>1</v>
      </c>
      <c r="G91" s="1461">
        <v>634167</v>
      </c>
      <c r="H91" s="1461">
        <v>638588.5</v>
      </c>
      <c r="I91" s="1462">
        <f>H91-G91</f>
        <v>4421.5</v>
      </c>
      <c r="J91" s="1459">
        <v>1000</v>
      </c>
      <c r="K91" s="1743">
        <f>I91*J91*F91</f>
        <v>4421500</v>
      </c>
      <c r="L91" s="1732"/>
      <c r="M91" s="1766">
        <f>K91*$M$52/$K$93</f>
        <v>4441289.291052389</v>
      </c>
      <c r="N91" s="1968"/>
      <c r="O91" s="1733"/>
      <c r="P91" s="1447"/>
      <c r="Q91" s="1447"/>
      <c r="R91" s="1447"/>
      <c r="S91" s="1447"/>
      <c r="T91" s="1447"/>
      <c r="U91" s="1447"/>
      <c r="V91" s="1447"/>
    </row>
    <row r="92" spans="1:22" s="1446" customFormat="1" ht="15.75" customHeight="1" thickBot="1" x14ac:dyDescent="0.4">
      <c r="A92" s="1477">
        <v>9</v>
      </c>
      <c r="B92" s="1458" t="s">
        <v>1711</v>
      </c>
      <c r="C92" s="1478">
        <v>11</v>
      </c>
      <c r="D92" s="1478" t="s">
        <v>1699</v>
      </c>
      <c r="E92" s="1798" t="s">
        <v>1712</v>
      </c>
      <c r="F92" s="1479">
        <v>1</v>
      </c>
      <c r="G92" s="1480">
        <v>257380.1</v>
      </c>
      <c r="H92" s="1480">
        <v>262301.90000000002</v>
      </c>
      <c r="I92" s="1481">
        <f>H92-G92</f>
        <v>4921.8000000000175</v>
      </c>
      <c r="J92" s="1478">
        <v>1000</v>
      </c>
      <c r="K92" s="1743">
        <f>I92*J92*F92</f>
        <v>4921800.0000000177</v>
      </c>
      <c r="L92" s="1732"/>
      <c r="M92" s="1766">
        <f>K92*$M$52/$K$93</f>
        <v>4943828.481895674</v>
      </c>
      <c r="N92" s="1968"/>
      <c r="O92" s="1733"/>
      <c r="P92" s="1447"/>
      <c r="Q92" s="1447"/>
      <c r="R92" s="1447"/>
      <c r="S92" s="1447"/>
      <c r="T92" s="1447"/>
      <c r="U92" s="1447"/>
      <c r="V92" s="1447"/>
    </row>
    <row r="93" spans="1:22" s="1446" customFormat="1" ht="15.75" customHeight="1" thickBot="1" x14ac:dyDescent="0.4">
      <c r="A93" s="1482"/>
      <c r="B93" s="1483"/>
      <c r="C93" s="1484"/>
      <c r="D93" s="1485"/>
      <c r="E93" s="1799"/>
      <c r="F93" s="1484"/>
      <c r="G93" s="1486"/>
      <c r="H93" s="1486"/>
      <c r="I93" s="1487"/>
      <c r="J93" s="1468" t="s">
        <v>1049</v>
      </c>
      <c r="K93" s="699">
        <f>SUM(K91:K92)</f>
        <v>9343300.0000000186</v>
      </c>
      <c r="M93" s="699">
        <f>SUM(M91:M92)</f>
        <v>9385117.7729480639</v>
      </c>
      <c r="N93" s="1970"/>
      <c r="O93" s="1745"/>
      <c r="P93" s="1450"/>
      <c r="Q93" s="1450"/>
      <c r="R93" s="1450"/>
      <c r="S93" s="1450"/>
      <c r="T93" s="1450"/>
      <c r="U93" s="1450"/>
      <c r="V93" s="1450"/>
    </row>
    <row r="94" spans="1:22" ht="15.5" x14ac:dyDescent="0.35">
      <c r="A94" s="631"/>
      <c r="B94" s="647" t="s">
        <v>2446</v>
      </c>
      <c r="C94" s="648"/>
      <c r="D94" s="700" t="s">
        <v>1083</v>
      </c>
      <c r="E94" s="1800"/>
      <c r="F94" s="648"/>
      <c r="G94" s="648"/>
      <c r="H94" s="648"/>
      <c r="I94" s="648"/>
      <c r="J94" s="648"/>
      <c r="K94" s="700"/>
      <c r="L94" s="648"/>
      <c r="M94" s="651"/>
      <c r="N94" s="1971"/>
      <c r="O94" s="616"/>
    </row>
    <row r="95" spans="1:22" s="1446" customFormat="1" ht="21" customHeight="1" x14ac:dyDescent="0.35">
      <c r="A95" s="1553">
        <v>3</v>
      </c>
      <c r="B95" s="1554" t="s">
        <v>1698</v>
      </c>
      <c r="C95" s="1459">
        <v>11</v>
      </c>
      <c r="D95" s="1463" t="s">
        <v>1699</v>
      </c>
      <c r="E95" s="1792" t="s">
        <v>1700</v>
      </c>
      <c r="F95" s="1476">
        <v>1</v>
      </c>
      <c r="G95" s="1461">
        <v>196845.3</v>
      </c>
      <c r="H95" s="1461">
        <v>198253</v>
      </c>
      <c r="I95" s="1462">
        <f t="shared" ref="I95:I108" si="3">H95-G95</f>
        <v>1407.7000000000116</v>
      </c>
      <c r="J95" s="1459">
        <v>1000</v>
      </c>
      <c r="K95" s="1743"/>
      <c r="L95" s="1767">
        <f t="shared" ref="L95:L102" si="4">I95*J95*F95</f>
        <v>1407700.0000000116</v>
      </c>
      <c r="M95" s="1767">
        <f>L95*$K$109/$L$109</f>
        <v>1434096.4834007018</v>
      </c>
      <c r="N95" s="1964" t="s">
        <v>95</v>
      </c>
      <c r="O95" s="1735"/>
      <c r="P95" s="1497"/>
      <c r="Q95" s="1497"/>
      <c r="R95" s="1497"/>
      <c r="S95" s="1497"/>
      <c r="T95" s="1497"/>
      <c r="U95" s="1497"/>
      <c r="V95" s="1497"/>
    </row>
    <row r="96" spans="1:22" s="1446" customFormat="1" ht="33.75" customHeight="1" x14ac:dyDescent="0.35">
      <c r="A96" s="1547">
        <v>4</v>
      </c>
      <c r="B96" s="1557" t="s">
        <v>1701</v>
      </c>
      <c r="C96" s="1459">
        <v>11</v>
      </c>
      <c r="D96" s="1463" t="s">
        <v>1699</v>
      </c>
      <c r="E96" s="1792" t="s">
        <v>1702</v>
      </c>
      <c r="F96" s="1476">
        <v>1</v>
      </c>
      <c r="G96" s="1461">
        <v>15932</v>
      </c>
      <c r="H96" s="1461">
        <v>16023.1</v>
      </c>
      <c r="I96" s="1462">
        <f t="shared" si="3"/>
        <v>91.100000000000364</v>
      </c>
      <c r="J96" s="1459">
        <v>1000</v>
      </c>
      <c r="K96" s="1743"/>
      <c r="L96" s="1767">
        <f t="shared" si="4"/>
        <v>91100.000000000364</v>
      </c>
      <c r="M96" s="1767">
        <f t="shared" ref="M96:M108" si="5">L96*$K$109/$L$109</f>
        <v>92808.261446191202</v>
      </c>
      <c r="N96" s="1964" t="s">
        <v>95</v>
      </c>
      <c r="O96" s="1735"/>
      <c r="P96" s="1497"/>
      <c r="Q96" s="1497"/>
      <c r="R96" s="1497"/>
      <c r="S96" s="1497"/>
      <c r="T96" s="1497"/>
      <c r="U96" s="1497"/>
      <c r="V96" s="1497"/>
    </row>
    <row r="97" spans="1:22" s="1446" customFormat="1" ht="21" customHeight="1" x14ac:dyDescent="0.35">
      <c r="A97" s="1558">
        <v>5</v>
      </c>
      <c r="B97" s="1559" t="s">
        <v>1703</v>
      </c>
      <c r="C97" s="1459">
        <v>11</v>
      </c>
      <c r="D97" s="1463" t="s">
        <v>1699</v>
      </c>
      <c r="E97" s="1792" t="s">
        <v>1704</v>
      </c>
      <c r="F97" s="1476">
        <v>1</v>
      </c>
      <c r="G97" s="1461">
        <v>97827.5</v>
      </c>
      <c r="H97" s="1461">
        <v>98923.5</v>
      </c>
      <c r="I97" s="1462">
        <f t="shared" si="3"/>
        <v>1096</v>
      </c>
      <c r="J97" s="1459">
        <v>1000</v>
      </c>
      <c r="K97" s="1743"/>
      <c r="L97" s="1767">
        <f t="shared" si="4"/>
        <v>1096000</v>
      </c>
      <c r="M97" s="1767">
        <f t="shared" si="5"/>
        <v>1116551.6415480259</v>
      </c>
      <c r="N97" s="1964" t="s">
        <v>95</v>
      </c>
      <c r="O97" s="1735"/>
      <c r="P97" s="1497"/>
      <c r="Q97" s="1497"/>
      <c r="R97" s="1497"/>
      <c r="S97" s="1497"/>
      <c r="T97" s="1497"/>
      <c r="U97" s="1497"/>
      <c r="V97" s="1497"/>
    </row>
    <row r="98" spans="1:22" s="1446" customFormat="1" ht="21" customHeight="1" x14ac:dyDescent="0.35">
      <c r="A98" s="1558">
        <v>6</v>
      </c>
      <c r="B98" s="1528" t="s">
        <v>1705</v>
      </c>
      <c r="C98" s="1459">
        <v>11</v>
      </c>
      <c r="D98" s="1463" t="s">
        <v>1699</v>
      </c>
      <c r="E98" s="1792" t="s">
        <v>1706</v>
      </c>
      <c r="F98" s="1476">
        <v>1</v>
      </c>
      <c r="G98" s="1461">
        <v>152806</v>
      </c>
      <c r="H98" s="1461">
        <v>154470.5</v>
      </c>
      <c r="I98" s="1462">
        <f t="shared" si="3"/>
        <v>1664.5</v>
      </c>
      <c r="J98" s="1459">
        <v>1000</v>
      </c>
      <c r="K98" s="1743"/>
      <c r="L98" s="1767">
        <f t="shared" si="4"/>
        <v>1664500</v>
      </c>
      <c r="M98" s="1767">
        <f t="shared" si="5"/>
        <v>1695711.868026176</v>
      </c>
      <c r="N98" s="1964" t="s">
        <v>95</v>
      </c>
      <c r="O98" s="1735"/>
      <c r="P98" s="1497"/>
      <c r="Q98" s="1497"/>
      <c r="R98" s="1497"/>
      <c r="S98" s="1497"/>
      <c r="T98" s="1497"/>
      <c r="U98" s="1497"/>
      <c r="V98" s="1497"/>
    </row>
    <row r="99" spans="1:22" s="1446" customFormat="1" ht="21" customHeight="1" x14ac:dyDescent="0.35">
      <c r="A99" s="1558">
        <v>7</v>
      </c>
      <c r="B99" s="1528" t="s">
        <v>1707</v>
      </c>
      <c r="C99" s="1459">
        <v>11</v>
      </c>
      <c r="D99" s="1463" t="s">
        <v>1699</v>
      </c>
      <c r="E99" s="1792" t="s">
        <v>1708</v>
      </c>
      <c r="F99" s="1476">
        <v>1</v>
      </c>
      <c r="G99" s="1461">
        <v>6308</v>
      </c>
      <c r="H99" s="1461">
        <v>6438.1</v>
      </c>
      <c r="I99" s="1462">
        <f t="shared" si="3"/>
        <v>130.10000000000036</v>
      </c>
      <c r="J99" s="1459">
        <v>1000</v>
      </c>
      <c r="K99" s="1743"/>
      <c r="L99" s="1767">
        <f t="shared" si="4"/>
        <v>130100.00000000036</v>
      </c>
      <c r="M99" s="1767">
        <f t="shared" si="5"/>
        <v>132539.56985894032</v>
      </c>
      <c r="N99" s="1964" t="s">
        <v>95</v>
      </c>
      <c r="O99" s="1735"/>
      <c r="P99" s="1497"/>
      <c r="Q99" s="1497"/>
      <c r="R99" s="1497"/>
      <c r="S99" s="1497"/>
      <c r="T99" s="1497"/>
      <c r="U99" s="1497"/>
      <c r="V99" s="1497"/>
    </row>
    <row r="100" spans="1:22" s="1446" customFormat="1" ht="21" customHeight="1" x14ac:dyDescent="0.35">
      <c r="A100" s="1558">
        <v>10</v>
      </c>
      <c r="B100" s="1559" t="s">
        <v>1713</v>
      </c>
      <c r="C100" s="1459">
        <v>11</v>
      </c>
      <c r="D100" s="1463" t="s">
        <v>1699</v>
      </c>
      <c r="E100" s="1792" t="s">
        <v>1714</v>
      </c>
      <c r="F100" s="1476">
        <v>1</v>
      </c>
      <c r="G100" s="1461">
        <v>65260.5</v>
      </c>
      <c r="H100" s="1461">
        <v>66247.100000000006</v>
      </c>
      <c r="I100" s="1462">
        <f t="shared" si="3"/>
        <v>986.60000000000582</v>
      </c>
      <c r="J100" s="1459">
        <v>1000</v>
      </c>
      <c r="K100" s="1743"/>
      <c r="L100" s="1767">
        <f t="shared" si="4"/>
        <v>986600.00000000582</v>
      </c>
      <c r="M100" s="1767">
        <f t="shared" si="5"/>
        <v>1005100.2276927818</v>
      </c>
      <c r="N100" s="1964" t="s">
        <v>95</v>
      </c>
      <c r="O100" s="1735"/>
      <c r="P100" s="1497"/>
      <c r="Q100" s="1497"/>
      <c r="R100" s="1497"/>
      <c r="S100" s="1497"/>
      <c r="T100" s="1497"/>
      <c r="U100" s="1497"/>
      <c r="V100" s="1497"/>
    </row>
    <row r="101" spans="1:22" s="1446" customFormat="1" ht="21" customHeight="1" x14ac:dyDescent="0.35">
      <c r="A101" s="1558">
        <v>11</v>
      </c>
      <c r="B101" s="1528" t="s">
        <v>1715</v>
      </c>
      <c r="C101" s="1459">
        <v>11</v>
      </c>
      <c r="D101" s="1463" t="s">
        <v>1699</v>
      </c>
      <c r="E101" s="1792" t="s">
        <v>1716</v>
      </c>
      <c r="F101" s="1476">
        <v>1</v>
      </c>
      <c r="G101" s="1461">
        <v>27085.200000000001</v>
      </c>
      <c r="H101" s="1461">
        <v>27187.8</v>
      </c>
      <c r="I101" s="1462">
        <f t="shared" si="3"/>
        <v>102.59999999999854</v>
      </c>
      <c r="J101" s="1459">
        <v>1000</v>
      </c>
      <c r="K101" s="1743"/>
      <c r="L101" s="1767">
        <f t="shared" si="4"/>
        <v>102599.99999999854</v>
      </c>
      <c r="M101" s="1767">
        <f t="shared" si="5"/>
        <v>104523.90367046151</v>
      </c>
      <c r="N101" s="1964" t="s">
        <v>95</v>
      </c>
      <c r="O101" s="1735"/>
      <c r="P101" s="1497"/>
      <c r="Q101" s="1497"/>
      <c r="R101" s="1497"/>
      <c r="S101" s="1497"/>
      <c r="T101" s="1497"/>
      <c r="U101" s="1497"/>
      <c r="V101" s="1497"/>
    </row>
    <row r="102" spans="1:22" s="1446" customFormat="1" ht="21" customHeight="1" x14ac:dyDescent="0.35">
      <c r="A102" s="1563">
        <v>12</v>
      </c>
      <c r="B102" s="1528" t="s">
        <v>1717</v>
      </c>
      <c r="C102" s="1459">
        <v>11</v>
      </c>
      <c r="D102" s="1463" t="s">
        <v>1699</v>
      </c>
      <c r="E102" s="1792"/>
      <c r="F102" s="1476">
        <v>1</v>
      </c>
      <c r="G102" s="1461">
        <v>25.575700000000001</v>
      </c>
      <c r="H102" s="1461">
        <v>25.575700000000001</v>
      </c>
      <c r="I102" s="1462">
        <f t="shared" si="3"/>
        <v>0</v>
      </c>
      <c r="J102" s="1459">
        <v>40000</v>
      </c>
      <c r="K102" s="1743"/>
      <c r="L102" s="1767">
        <f t="shared" si="4"/>
        <v>0</v>
      </c>
      <c r="M102" s="1767">
        <f t="shared" si="5"/>
        <v>0</v>
      </c>
      <c r="N102" s="1964" t="s">
        <v>95</v>
      </c>
      <c r="O102" s="1736"/>
      <c r="P102" s="1534"/>
      <c r="Q102" s="1534"/>
      <c r="R102" s="1534"/>
      <c r="S102" s="1534"/>
      <c r="T102" s="1534"/>
      <c r="U102" s="1534"/>
      <c r="V102" s="1534"/>
    </row>
    <row r="103" spans="1:22" s="1446" customFormat="1" ht="21" customHeight="1" x14ac:dyDescent="0.35">
      <c r="A103" s="1558">
        <v>13</v>
      </c>
      <c r="B103" s="1559" t="s">
        <v>1718</v>
      </c>
      <c r="C103" s="1459">
        <v>11</v>
      </c>
      <c r="D103" s="1463" t="s">
        <v>1699</v>
      </c>
      <c r="E103" s="1792" t="s">
        <v>1719</v>
      </c>
      <c r="F103" s="1476">
        <v>1</v>
      </c>
      <c r="G103" s="1461">
        <v>131035.8</v>
      </c>
      <c r="H103" s="1461">
        <v>132441</v>
      </c>
      <c r="I103" s="1462">
        <f t="shared" si="3"/>
        <v>1405.1999999999971</v>
      </c>
      <c r="J103" s="1459">
        <v>1000</v>
      </c>
      <c r="K103" s="1743"/>
      <c r="L103" s="1767">
        <f>F103*I103*J103</f>
        <v>1405199.9999999972</v>
      </c>
      <c r="M103" s="1767">
        <f t="shared" si="5"/>
        <v>1431549.60465628</v>
      </c>
      <c r="N103" s="1964" t="s">
        <v>95</v>
      </c>
      <c r="O103" s="1735"/>
      <c r="P103" s="1497"/>
      <c r="Q103" s="1497"/>
      <c r="R103" s="1497"/>
      <c r="S103" s="1497"/>
      <c r="T103" s="1497"/>
      <c r="U103" s="1497"/>
      <c r="V103" s="1497"/>
    </row>
    <row r="104" spans="1:22" s="1446" customFormat="1" ht="21" customHeight="1" x14ac:dyDescent="0.35">
      <c r="A104" s="1563">
        <v>14</v>
      </c>
      <c r="B104" s="1528" t="s">
        <v>1720</v>
      </c>
      <c r="C104" s="1459">
        <v>11</v>
      </c>
      <c r="D104" s="1463" t="s">
        <v>1699</v>
      </c>
      <c r="E104" s="1792" t="s">
        <v>1721</v>
      </c>
      <c r="F104" s="1476">
        <v>1</v>
      </c>
      <c r="G104" s="1461">
        <v>12.301600000000001</v>
      </c>
      <c r="H104" s="1461">
        <v>15.940899999999999</v>
      </c>
      <c r="I104" s="1462">
        <f t="shared" si="3"/>
        <v>3.6392999999999986</v>
      </c>
      <c r="J104" s="1459">
        <v>40000</v>
      </c>
      <c r="K104" s="1743"/>
      <c r="L104" s="1767">
        <f>I104*J104*F104</f>
        <v>145571.99999999994</v>
      </c>
      <c r="M104" s="1767">
        <f t="shared" si="5"/>
        <v>148301.69303232586</v>
      </c>
      <c r="N104" s="1966" t="s">
        <v>116</v>
      </c>
      <c r="O104" s="1736"/>
      <c r="P104" s="1534"/>
      <c r="Q104" s="1534"/>
      <c r="R104" s="1534"/>
      <c r="S104" s="1534"/>
      <c r="T104" s="1534"/>
      <c r="U104" s="1534"/>
      <c r="V104" s="1534"/>
    </row>
    <row r="105" spans="1:22" s="1446" customFormat="1" ht="21" customHeight="1" x14ac:dyDescent="0.35">
      <c r="A105" s="1558">
        <v>15</v>
      </c>
      <c r="B105" s="1559" t="s">
        <v>1722</v>
      </c>
      <c r="C105" s="1459">
        <v>11</v>
      </c>
      <c r="D105" s="1463" t="s">
        <v>1699</v>
      </c>
      <c r="E105" s="1792" t="s">
        <v>1723</v>
      </c>
      <c r="F105" s="1476">
        <v>1</v>
      </c>
      <c r="G105" s="1461">
        <v>1.83E-2</v>
      </c>
      <c r="H105" s="1461">
        <v>1.83E-2</v>
      </c>
      <c r="I105" s="1462">
        <f t="shared" si="3"/>
        <v>0</v>
      </c>
      <c r="J105" s="1459">
        <v>1000</v>
      </c>
      <c r="K105" s="1743"/>
      <c r="L105" s="1767">
        <f>I105*J105*F105</f>
        <v>0</v>
      </c>
      <c r="M105" s="1767">
        <f t="shared" si="5"/>
        <v>0</v>
      </c>
      <c r="N105" s="1964" t="s">
        <v>95</v>
      </c>
      <c r="O105" s="1735"/>
      <c r="P105" s="1497"/>
      <c r="Q105" s="1497"/>
      <c r="R105" s="1497"/>
      <c r="S105" s="1497"/>
      <c r="T105" s="1497"/>
      <c r="U105" s="1497"/>
      <c r="V105" s="1497"/>
    </row>
    <row r="106" spans="1:22" s="1446" customFormat="1" ht="21" customHeight="1" x14ac:dyDescent="0.35">
      <c r="A106" s="1569">
        <v>16</v>
      </c>
      <c r="B106" s="1475" t="s">
        <v>1724</v>
      </c>
      <c r="C106" s="1459">
        <v>11</v>
      </c>
      <c r="D106" s="1463" t="s">
        <v>1699</v>
      </c>
      <c r="E106" s="1792" t="s">
        <v>1725</v>
      </c>
      <c r="F106" s="1476">
        <v>1</v>
      </c>
      <c r="G106" s="1461">
        <v>9849.4</v>
      </c>
      <c r="H106" s="1461">
        <v>10318</v>
      </c>
      <c r="I106" s="1462">
        <f t="shared" si="3"/>
        <v>468.60000000000036</v>
      </c>
      <c r="J106" s="1459">
        <v>1000</v>
      </c>
      <c r="K106" s="1743"/>
      <c r="L106" s="1767">
        <f>I106*J106*F106</f>
        <v>468600.00000000035</v>
      </c>
      <c r="M106" s="1767">
        <f t="shared" si="5"/>
        <v>477386.95185164711</v>
      </c>
      <c r="N106" s="1964" t="s">
        <v>95</v>
      </c>
      <c r="O106" s="1733"/>
      <c r="P106" s="1447"/>
      <c r="Q106" s="1447"/>
      <c r="R106" s="1447"/>
      <c r="S106" s="1447"/>
      <c r="T106" s="1447"/>
      <c r="U106" s="1447"/>
      <c r="V106" s="1447"/>
    </row>
    <row r="107" spans="1:22" s="1446" customFormat="1" ht="21" customHeight="1" x14ac:dyDescent="0.35">
      <c r="A107" s="1558">
        <v>17</v>
      </c>
      <c r="B107" s="1559" t="s">
        <v>1726</v>
      </c>
      <c r="C107" s="1459">
        <v>11</v>
      </c>
      <c r="D107" s="1463" t="s">
        <v>1699</v>
      </c>
      <c r="E107" s="1792" t="s">
        <v>1727</v>
      </c>
      <c r="F107" s="1476">
        <v>1</v>
      </c>
      <c r="G107" s="1461">
        <v>129895.9</v>
      </c>
      <c r="H107" s="1461">
        <v>129895.9</v>
      </c>
      <c r="I107" s="1462">
        <f t="shared" si="3"/>
        <v>0</v>
      </c>
      <c r="J107" s="1459">
        <v>1000</v>
      </c>
      <c r="K107" s="1743"/>
      <c r="L107" s="1767">
        <f>I107*J107*F107</f>
        <v>0</v>
      </c>
      <c r="M107" s="1767">
        <f t="shared" si="5"/>
        <v>0</v>
      </c>
      <c r="N107" s="1964" t="s">
        <v>95</v>
      </c>
      <c r="O107" s="1735"/>
      <c r="P107" s="1497"/>
      <c r="Q107" s="1497"/>
      <c r="R107" s="1497"/>
      <c r="S107" s="1497"/>
      <c r="T107" s="1497"/>
      <c r="U107" s="1497"/>
      <c r="V107" s="1497"/>
    </row>
    <row r="108" spans="1:22" s="1446" customFormat="1" ht="21" customHeight="1" thickBot="1" x14ac:dyDescent="0.4">
      <c r="A108" s="1558">
        <v>18</v>
      </c>
      <c r="B108" s="1524" t="s">
        <v>1728</v>
      </c>
      <c r="C108" s="1459">
        <v>11</v>
      </c>
      <c r="D108" s="1463" t="s">
        <v>1699</v>
      </c>
      <c r="E108" s="1792" t="s">
        <v>1729</v>
      </c>
      <c r="F108" s="1476">
        <v>1</v>
      </c>
      <c r="G108" s="1461">
        <v>129102.1</v>
      </c>
      <c r="H108" s="1461">
        <v>130816.5</v>
      </c>
      <c r="I108" s="1462">
        <f t="shared" si="3"/>
        <v>1714.3999999999942</v>
      </c>
      <c r="J108" s="1459">
        <v>1000</v>
      </c>
      <c r="K108" s="1743"/>
      <c r="L108" s="1767">
        <f>I108*J108*F108</f>
        <v>1714399.9999999942</v>
      </c>
      <c r="M108" s="1767">
        <f t="shared" si="5"/>
        <v>1746547.5677645337</v>
      </c>
      <c r="N108" s="1964" t="s">
        <v>95</v>
      </c>
      <c r="O108" s="1735"/>
      <c r="P108" s="1497"/>
      <c r="Q108" s="1497"/>
      <c r="R108" s="1497"/>
      <c r="S108" s="1497"/>
      <c r="T108" s="1497"/>
      <c r="U108" s="1497"/>
      <c r="V108" s="1497"/>
    </row>
    <row r="109" spans="1:22" s="1446" customFormat="1" ht="21" customHeight="1" thickBot="1" x14ac:dyDescent="0.4">
      <c r="A109" s="1535"/>
      <c r="B109" s="1536"/>
      <c r="C109" s="1537"/>
      <c r="D109" s="1537"/>
      <c r="E109" s="1808"/>
      <c r="F109" s="1537"/>
      <c r="G109" s="1487"/>
      <c r="H109" s="1538"/>
      <c r="I109" s="1487"/>
      <c r="J109" s="1539" t="s">
        <v>30</v>
      </c>
      <c r="K109" s="1540">
        <f>M93</f>
        <v>9385117.7729480639</v>
      </c>
      <c r="L109" s="1540">
        <f>SUM(L95:L108)</f>
        <v>9212372.0000000075</v>
      </c>
      <c r="M109" s="1540">
        <f>SUM(M95:M108)</f>
        <v>9385117.7729480658</v>
      </c>
      <c r="N109" s="1752">
        <f>(M109-L109)/L109*100</f>
        <v>1.8751497762797484</v>
      </c>
      <c r="O109" s="1751"/>
      <c r="P109" s="1450"/>
      <c r="Q109" s="1450"/>
      <c r="R109" s="1450"/>
      <c r="S109" s="1450"/>
      <c r="T109" s="1450"/>
      <c r="U109" s="1450"/>
      <c r="V109" s="1450"/>
    </row>
    <row r="110" spans="1:22" ht="25" x14ac:dyDescent="0.35">
      <c r="N110" s="1967"/>
    </row>
    <row r="111" spans="1:22" ht="25" x14ac:dyDescent="0.35">
      <c r="F111" s="2092" t="s">
        <v>1099</v>
      </c>
      <c r="G111" s="2092"/>
      <c r="H111" s="2092"/>
      <c r="I111" s="677" t="s">
        <v>14</v>
      </c>
      <c r="J111" s="620"/>
      <c r="N111" s="1967"/>
    </row>
    <row r="112" spans="1:22" ht="25" x14ac:dyDescent="0.35">
      <c r="F112" s="2153" t="s">
        <v>232</v>
      </c>
      <c r="G112" s="2154"/>
      <c r="H112" s="2155"/>
      <c r="I112" s="643">
        <f>SUM(M98:M99,M102)</f>
        <v>1828251.4378851163</v>
      </c>
      <c r="J112" s="620"/>
      <c r="N112" s="1967"/>
    </row>
    <row r="113" spans="1:15" ht="25" x14ac:dyDescent="0.35">
      <c r="F113" s="2153" t="s">
        <v>268</v>
      </c>
      <c r="G113" s="2154"/>
      <c r="H113" s="2155"/>
      <c r="I113" s="643">
        <f>SUM(M100:M101,M103,M105,M106,M108)</f>
        <v>4765108.2556357039</v>
      </c>
      <c r="J113" s="620"/>
      <c r="N113" s="1967"/>
    </row>
    <row r="114" spans="1:15" ht="25" x14ac:dyDescent="0.35">
      <c r="F114" s="2153" t="s">
        <v>269</v>
      </c>
      <c r="G114" s="2154"/>
      <c r="H114" s="2155"/>
      <c r="I114" s="643">
        <f>SUM(M104,M107)</f>
        <v>148301.69303232586</v>
      </c>
      <c r="J114" s="620"/>
      <c r="N114" s="1967"/>
    </row>
    <row r="115" spans="1:15" ht="25" x14ac:dyDescent="0.35">
      <c r="F115" s="2156" t="s">
        <v>210</v>
      </c>
      <c r="G115" s="2156"/>
      <c r="H115" s="2156"/>
      <c r="I115" s="656">
        <f>SUM(I112:I114)</f>
        <v>6741661.3865531459</v>
      </c>
      <c r="J115" s="656">
        <f>I115-M109</f>
        <v>-2643456.3863949198</v>
      </c>
      <c r="N115" s="1967"/>
    </row>
    <row r="116" spans="1:15" ht="25" x14ac:dyDescent="0.35">
      <c r="N116" s="1967"/>
    </row>
    <row r="117" spans="1:15" ht="25" x14ac:dyDescent="0.35">
      <c r="N117" s="1967"/>
    </row>
    <row r="118" spans="1:15" ht="25" x14ac:dyDescent="0.35">
      <c r="N118" s="1967"/>
    </row>
    <row r="119" spans="1:15" ht="25" x14ac:dyDescent="0.35">
      <c r="A119" s="620"/>
      <c r="B119" s="635"/>
      <c r="C119" s="632"/>
      <c r="D119" s="720"/>
      <c r="E119" s="1788"/>
      <c r="F119" s="620"/>
      <c r="G119" s="620"/>
      <c r="H119" s="620"/>
      <c r="I119" s="620"/>
      <c r="J119" s="620"/>
      <c r="K119" s="702"/>
      <c r="L119" s="620"/>
      <c r="M119" s="620"/>
      <c r="N119" s="1967"/>
      <c r="O119" s="620"/>
    </row>
    <row r="120" spans="1:15" ht="25" x14ac:dyDescent="0.35">
      <c r="A120" s="28"/>
      <c r="B120" s="2152" t="s">
        <v>2448</v>
      </c>
      <c r="C120" s="2152"/>
      <c r="D120" s="2152"/>
      <c r="E120" s="2152"/>
      <c r="F120" s="2152"/>
      <c r="G120" s="2152"/>
      <c r="H120" s="2152"/>
      <c r="I120" s="2152"/>
      <c r="J120" s="2152"/>
      <c r="K120" s="2152"/>
      <c r="L120" s="2152"/>
      <c r="M120" s="2152"/>
      <c r="N120" s="635"/>
      <c r="O120" s="620"/>
    </row>
    <row r="121" spans="1:15" x14ac:dyDescent="0.35">
      <c r="A121" s="620"/>
      <c r="B121" s="635"/>
      <c r="C121" s="632"/>
      <c r="D121" s="720"/>
      <c r="E121" s="1788"/>
      <c r="F121" s="620"/>
      <c r="G121" s="620"/>
      <c r="H121" s="620"/>
      <c r="I121" s="620"/>
      <c r="J121" s="620"/>
      <c r="K121" s="702"/>
      <c r="L121" s="620"/>
      <c r="M121" s="620"/>
      <c r="N121" s="635"/>
      <c r="O121" s="620"/>
    </row>
    <row r="122" spans="1:15" x14ac:dyDescent="0.35">
      <c r="A122" s="620"/>
      <c r="B122" s="635"/>
      <c r="C122" s="632"/>
      <c r="D122" s="720"/>
      <c r="E122" s="1788"/>
      <c r="F122" s="620"/>
      <c r="G122" s="620"/>
      <c r="H122" s="620"/>
      <c r="I122" s="620"/>
      <c r="J122" s="620"/>
      <c r="K122" s="702"/>
      <c r="L122" s="620"/>
      <c r="M122" s="620"/>
      <c r="N122" s="635"/>
      <c r="O122" s="620"/>
    </row>
    <row r="123" spans="1:15" ht="25" x14ac:dyDescent="0.35">
      <c r="A123" s="2095" t="s">
        <v>2449</v>
      </c>
      <c r="B123" s="2095"/>
      <c r="C123" s="2095"/>
      <c r="D123" s="2095"/>
      <c r="E123" s="2095"/>
      <c r="F123" s="2095"/>
      <c r="G123" s="2095"/>
      <c r="H123" s="2095"/>
      <c r="I123" s="2095"/>
      <c r="J123" s="2095"/>
      <c r="K123" s="2095"/>
      <c r="L123" s="2095"/>
      <c r="M123" s="2095"/>
      <c r="N123" s="2095"/>
      <c r="O123" s="756" t="str">
        <f>$O$6</f>
        <v>Month December-2022</v>
      </c>
    </row>
    <row r="124" spans="1:15" ht="15.5" x14ac:dyDescent="0.35">
      <c r="A124" s="2096" t="s">
        <v>0</v>
      </c>
      <c r="B124" s="2098" t="s">
        <v>1</v>
      </c>
      <c r="C124" s="2100" t="s">
        <v>2</v>
      </c>
      <c r="D124" s="2101"/>
      <c r="E124" s="2102"/>
      <c r="F124" s="2103" t="s">
        <v>3</v>
      </c>
      <c r="G124" s="2100" t="s">
        <v>4</v>
      </c>
      <c r="H124" s="2102"/>
      <c r="I124" s="2085"/>
      <c r="J124" s="2103" t="s">
        <v>5</v>
      </c>
      <c r="K124" s="2100" t="s">
        <v>6</v>
      </c>
      <c r="L124" s="2085"/>
      <c r="M124" s="97" t="s">
        <v>32</v>
      </c>
      <c r="N124" s="98"/>
      <c r="O124" s="2084" t="s">
        <v>7</v>
      </c>
    </row>
    <row r="125" spans="1:15" ht="15.5" x14ac:dyDescent="0.35">
      <c r="A125" s="2097"/>
      <c r="B125" s="2099"/>
      <c r="C125" s="2086" t="s">
        <v>1108</v>
      </c>
      <c r="D125" s="2087"/>
      <c r="E125" s="1810" t="s">
        <v>9</v>
      </c>
      <c r="F125" s="2097"/>
      <c r="G125" s="2">
        <f>'NORTH-1'!$G$8</f>
        <v>44774</v>
      </c>
      <c r="H125" s="2">
        <f>'NORTH-1'!$H$8</f>
        <v>44805</v>
      </c>
      <c r="I125" s="1" t="s">
        <v>10</v>
      </c>
      <c r="J125" s="2097"/>
      <c r="K125" s="1" t="s">
        <v>11</v>
      </c>
      <c r="L125" s="1" t="s">
        <v>12</v>
      </c>
      <c r="M125" s="617" t="s">
        <v>33</v>
      </c>
      <c r="N125" s="76" t="s">
        <v>47</v>
      </c>
      <c r="O125" s="2085"/>
    </row>
    <row r="126" spans="1:15" ht="15.5" x14ac:dyDescent="0.35">
      <c r="A126" s="3">
        <v>1</v>
      </c>
      <c r="B126" s="88">
        <v>2</v>
      </c>
      <c r="C126" s="2088">
        <v>4</v>
      </c>
      <c r="D126" s="2089"/>
      <c r="E126" s="1811">
        <v>5</v>
      </c>
      <c r="F126" s="3">
        <v>7</v>
      </c>
      <c r="G126" s="3">
        <v>8</v>
      </c>
      <c r="H126" s="3">
        <v>9</v>
      </c>
      <c r="I126" s="3" t="s">
        <v>13</v>
      </c>
      <c r="J126" s="3">
        <v>11</v>
      </c>
      <c r="K126" s="3" t="s">
        <v>19</v>
      </c>
      <c r="L126" s="3" t="s">
        <v>20</v>
      </c>
      <c r="M126" s="3">
        <v>14</v>
      </c>
      <c r="N126" s="77">
        <v>15</v>
      </c>
      <c r="O126" s="3">
        <v>16</v>
      </c>
    </row>
    <row r="127" spans="1:15" ht="15.5" x14ac:dyDescent="0.35">
      <c r="A127" s="631"/>
      <c r="B127" s="624" t="s">
        <v>2452</v>
      </c>
      <c r="C127" s="625"/>
      <c r="D127" s="625"/>
      <c r="E127" s="1794"/>
      <c r="F127" s="625"/>
      <c r="G127" s="625"/>
      <c r="H127" s="625"/>
      <c r="I127" s="625"/>
      <c r="J127" s="625"/>
      <c r="K127" s="695"/>
      <c r="L127" s="625"/>
      <c r="M127" s="626"/>
      <c r="N127" s="1972"/>
      <c r="O127" s="616"/>
    </row>
    <row r="128" spans="1:15" ht="15.5" x14ac:dyDescent="0.35">
      <c r="A128" s="11">
        <v>1</v>
      </c>
      <c r="B128" s="100" t="s">
        <v>2450</v>
      </c>
      <c r="C128" s="1573">
        <v>33</v>
      </c>
      <c r="D128" s="1573" t="s">
        <v>527</v>
      </c>
      <c r="E128" s="1812" t="s">
        <v>1672</v>
      </c>
      <c r="F128" s="1574">
        <v>1</v>
      </c>
      <c r="G128" s="1514">
        <v>5788.71</v>
      </c>
      <c r="H128" s="1514">
        <v>5824.31</v>
      </c>
      <c r="I128" s="1517">
        <f>H128-G128</f>
        <v>35.600000000000364</v>
      </c>
      <c r="J128" s="1506">
        <v>240000</v>
      </c>
      <c r="K128" s="1575">
        <f>F128*I128*J128</f>
        <v>8544000.0000000875</v>
      </c>
      <c r="L128" s="1576"/>
      <c r="M128" s="22"/>
      <c r="N128" s="72"/>
      <c r="O128" s="9"/>
    </row>
    <row r="129" spans="1:22" ht="15.5" x14ac:dyDescent="0.35">
      <c r="A129" s="11"/>
      <c r="B129" s="100"/>
      <c r="C129" s="1470">
        <v>33</v>
      </c>
      <c r="D129" s="1470" t="s">
        <v>1653</v>
      </c>
      <c r="E129" s="1795" t="s">
        <v>1673</v>
      </c>
      <c r="F129" s="1471">
        <v>1</v>
      </c>
      <c r="G129" s="1500">
        <v>5434.2969999999996</v>
      </c>
      <c r="H129" s="1500">
        <v>5469.9070000000002</v>
      </c>
      <c r="I129" s="1501">
        <f>H129-G129</f>
        <v>35.610000000000582</v>
      </c>
      <c r="J129" s="1470">
        <v>240000</v>
      </c>
      <c r="K129" s="1577">
        <f>F129*I129*J129</f>
        <v>8546400.0000001397</v>
      </c>
      <c r="L129" s="1578"/>
      <c r="M129" s="22"/>
      <c r="N129" s="72"/>
      <c r="O129" s="9"/>
    </row>
    <row r="130" spans="1:22" ht="15.5" x14ac:dyDescent="0.35">
      <c r="A130" s="11">
        <v>2</v>
      </c>
      <c r="B130" s="100" t="s">
        <v>2451</v>
      </c>
      <c r="C130" s="1490">
        <v>33</v>
      </c>
      <c r="D130" s="1506" t="s">
        <v>527</v>
      </c>
      <c r="E130" s="1813" t="s">
        <v>1686</v>
      </c>
      <c r="F130" s="1508">
        <v>1</v>
      </c>
      <c r="G130" s="1522">
        <v>5307.35</v>
      </c>
      <c r="H130" s="1522">
        <v>5338.88</v>
      </c>
      <c r="I130" s="1525">
        <f>H130-G130</f>
        <v>31.529999999999745</v>
      </c>
      <c r="J130" s="1490">
        <v>240000</v>
      </c>
      <c r="K130" s="1580">
        <f>F130*I130*J130</f>
        <v>7567199.9999999385</v>
      </c>
      <c r="L130" s="1581"/>
      <c r="M130" s="22"/>
      <c r="N130" s="72"/>
      <c r="O130" s="9"/>
    </row>
    <row r="131" spans="1:22" ht="15.5" x14ac:dyDescent="0.35">
      <c r="A131" s="631"/>
      <c r="B131" s="100"/>
      <c r="C131" s="1463">
        <v>33</v>
      </c>
      <c r="D131" s="1463" t="s">
        <v>1653</v>
      </c>
      <c r="E131" s="1793" t="s">
        <v>1687</v>
      </c>
      <c r="F131" s="1582">
        <v>1</v>
      </c>
      <c r="G131" s="1501">
        <v>5015.6319999999996</v>
      </c>
      <c r="H131" s="1501">
        <v>5047.1509999999998</v>
      </c>
      <c r="I131" s="1501">
        <f>H131-G131</f>
        <v>31.519000000000233</v>
      </c>
      <c r="J131" s="1499">
        <v>240000</v>
      </c>
      <c r="K131" s="1467">
        <f>F131*I131*J131</f>
        <v>7564560.0000000559</v>
      </c>
      <c r="L131" s="1583"/>
      <c r="M131" s="22"/>
      <c r="N131" s="72"/>
      <c r="O131" s="616"/>
    </row>
    <row r="132" spans="1:22" ht="15.5" x14ac:dyDescent="0.35">
      <c r="A132" s="631"/>
      <c r="B132" s="102"/>
      <c r="C132" s="91"/>
      <c r="D132" s="726"/>
      <c r="E132" s="1814"/>
      <c r="F132" s="47"/>
      <c r="G132" s="48"/>
      <c r="H132" s="48"/>
      <c r="I132" s="48"/>
      <c r="J132" s="96" t="s">
        <v>30</v>
      </c>
      <c r="K132" s="43">
        <f>K131+K129</f>
        <v>16110960.000000196</v>
      </c>
      <c r="L132" s="43">
        <f>SUM(L128:L131)</f>
        <v>0</v>
      </c>
      <c r="M132" s="43">
        <f>SUM(M128:M131)</f>
        <v>0</v>
      </c>
      <c r="N132" s="646"/>
      <c r="O132" s="616"/>
    </row>
    <row r="133" spans="1:22" ht="15.5" x14ac:dyDescent="0.35">
      <c r="A133" s="616"/>
      <c r="B133" s="624" t="s">
        <v>2453</v>
      </c>
      <c r="C133" s="625"/>
      <c r="D133" s="625"/>
      <c r="E133" s="1794"/>
      <c r="F133" s="625"/>
      <c r="G133" s="625"/>
      <c r="H133" s="625"/>
      <c r="I133" s="625"/>
      <c r="J133" s="732"/>
      <c r="K133" s="733"/>
      <c r="L133" s="734"/>
      <c r="M133" s="734"/>
      <c r="N133" s="1972"/>
      <c r="O133" s="12"/>
    </row>
    <row r="134" spans="1:22" s="1446" customFormat="1" ht="15.75" customHeight="1" x14ac:dyDescent="0.35">
      <c r="A134" s="1504">
        <v>5</v>
      </c>
      <c r="B134" s="1524" t="s">
        <v>2441</v>
      </c>
      <c r="C134" s="1547">
        <v>33</v>
      </c>
      <c r="D134" s="1547" t="s">
        <v>324</v>
      </c>
      <c r="E134" s="1815" t="s">
        <v>1730</v>
      </c>
      <c r="F134" s="1588">
        <v>3</v>
      </c>
      <c r="G134" s="1531">
        <v>173892.6</v>
      </c>
      <c r="H134" s="1531">
        <v>188060.4</v>
      </c>
      <c r="I134" s="1532">
        <f>H134-G134</f>
        <v>14167.799999999988</v>
      </c>
      <c r="J134" s="1529">
        <v>240</v>
      </c>
      <c r="K134" s="1589">
        <f>F134*I134*J134</f>
        <v>10200815.999999993</v>
      </c>
      <c r="L134" s="1590"/>
      <c r="M134" s="1450"/>
      <c r="N134" s="1970"/>
      <c r="O134" s="1734"/>
      <c r="P134" s="1450"/>
      <c r="Q134" s="1450"/>
      <c r="R134" s="1450"/>
      <c r="S134" s="1450"/>
      <c r="T134" s="1450"/>
      <c r="U134" s="1450"/>
      <c r="V134" s="1450"/>
    </row>
    <row r="135" spans="1:22" s="1446" customFormat="1" ht="15.75" customHeight="1" x14ac:dyDescent="0.35">
      <c r="A135" s="1591">
        <v>6</v>
      </c>
      <c r="B135" s="1592" t="s">
        <v>1731</v>
      </c>
      <c r="C135" s="1593">
        <v>33</v>
      </c>
      <c r="D135" s="1594" t="s">
        <v>470</v>
      </c>
      <c r="E135" s="1816">
        <v>9155454</v>
      </c>
      <c r="F135" s="1595">
        <v>1</v>
      </c>
      <c r="G135" s="1596">
        <v>570</v>
      </c>
      <c r="H135" s="1596">
        <v>573</v>
      </c>
      <c r="I135" s="1597">
        <f>H135-G135</f>
        <v>3</v>
      </c>
      <c r="J135" s="1594">
        <v>360000</v>
      </c>
      <c r="K135" s="1598">
        <f>F135*I135*J135</f>
        <v>1080000</v>
      </c>
      <c r="L135" s="1599"/>
      <c r="M135" s="1450"/>
      <c r="N135" s="1970"/>
      <c r="O135" s="1734"/>
      <c r="P135" s="1450"/>
      <c r="Q135" s="1450"/>
      <c r="R135" s="1450"/>
      <c r="S135" s="1450"/>
      <c r="T135" s="1450"/>
      <c r="U135" s="1450"/>
      <c r="V135" s="1450"/>
    </row>
    <row r="136" spans="1:22" ht="15.5" x14ac:dyDescent="0.35">
      <c r="A136" s="616"/>
      <c r="B136" s="102"/>
      <c r="C136" s="91"/>
      <c r="D136" s="726"/>
      <c r="E136" s="1814"/>
      <c r="F136" s="47"/>
      <c r="G136" s="48"/>
      <c r="H136" s="48"/>
      <c r="I136" s="36"/>
      <c r="J136" s="96" t="s">
        <v>30</v>
      </c>
      <c r="K136" s="43">
        <f>SUM(K134:K135)</f>
        <v>11280815.999999993</v>
      </c>
      <c r="L136" s="43">
        <f>SUM(L134:L135)</f>
        <v>0</v>
      </c>
      <c r="M136" s="43">
        <f>SUM(M134:M135)</f>
        <v>0</v>
      </c>
      <c r="N136" s="1973"/>
      <c r="O136" s="12"/>
    </row>
    <row r="137" spans="1:22" ht="15.5" x14ac:dyDescent="0.35">
      <c r="A137" s="616"/>
      <c r="B137" s="647" t="s">
        <v>1114</v>
      </c>
      <c r="C137" s="648"/>
      <c r="D137" s="648"/>
      <c r="E137" s="1800"/>
      <c r="F137" s="648"/>
      <c r="G137" s="648"/>
      <c r="H137" s="648"/>
      <c r="I137" s="648"/>
      <c r="J137" s="648"/>
      <c r="K137" s="700"/>
      <c r="L137" s="648"/>
      <c r="M137" s="651"/>
      <c r="N137" s="1971"/>
      <c r="O137" s="8"/>
    </row>
    <row r="138" spans="1:22" s="1446" customFormat="1" ht="15.75" customHeight="1" x14ac:dyDescent="0.35">
      <c r="A138" s="1609">
        <v>10</v>
      </c>
      <c r="B138" s="1524" t="s">
        <v>1737</v>
      </c>
      <c r="C138" s="1609">
        <v>33</v>
      </c>
      <c r="D138" s="2138" t="s">
        <v>1083</v>
      </c>
      <c r="E138" s="1817" t="s">
        <v>1738</v>
      </c>
      <c r="F138" s="1606">
        <v>1</v>
      </c>
      <c r="G138" s="1505">
        <v>990.21</v>
      </c>
      <c r="H138" s="1505">
        <v>992.74</v>
      </c>
      <c r="I138" s="1532">
        <f>H138-G138</f>
        <v>2.5299999999999727</v>
      </c>
      <c r="J138" s="1609">
        <v>240000</v>
      </c>
      <c r="K138" s="1610"/>
      <c r="L138" s="1608">
        <f>J138*I138*F138</f>
        <v>607199.99999999348</v>
      </c>
      <c r="M138" s="1450"/>
      <c r="N138" s="1970"/>
      <c r="O138" s="1734"/>
      <c r="P138" s="1450"/>
      <c r="Q138" s="1450"/>
      <c r="R138" s="1450"/>
      <c r="S138" s="1450"/>
      <c r="T138" s="1450"/>
      <c r="U138" s="1450"/>
      <c r="V138" s="1450"/>
    </row>
    <row r="139" spans="1:22" ht="15.5" x14ac:dyDescent="0.35">
      <c r="A139" s="616"/>
      <c r="B139" s="100" t="s">
        <v>1078</v>
      </c>
      <c r="C139" s="52">
        <v>132</v>
      </c>
      <c r="D139" s="2139"/>
      <c r="E139" s="1818"/>
      <c r="F139" s="4"/>
      <c r="G139" s="5"/>
      <c r="H139" s="5"/>
      <c r="I139" s="5"/>
      <c r="J139" s="616"/>
      <c r="K139" s="696"/>
      <c r="L139" s="16">
        <f>J139*I139*F139</f>
        <v>0</v>
      </c>
      <c r="M139" s="16"/>
      <c r="N139" s="711"/>
      <c r="O139" s="616"/>
    </row>
    <row r="140" spans="1:22" ht="15.5" x14ac:dyDescent="0.35">
      <c r="A140" s="616"/>
      <c r="B140" s="95"/>
      <c r="C140" s="89"/>
      <c r="D140" s="89"/>
      <c r="E140" s="1784"/>
      <c r="F140" s="37"/>
      <c r="G140" s="37"/>
      <c r="H140" s="37"/>
      <c r="I140" s="37"/>
      <c r="J140" s="95" t="s">
        <v>279</v>
      </c>
      <c r="K140" s="699"/>
      <c r="L140" s="55">
        <f>SUM(L138:L139)</f>
        <v>607199.99999999348</v>
      </c>
      <c r="M140" s="633"/>
      <c r="N140" s="711"/>
      <c r="O140" s="616"/>
    </row>
    <row r="141" spans="1:22" ht="15.5" x14ac:dyDescent="0.35">
      <c r="A141" s="616"/>
      <c r="B141" s="102"/>
      <c r="C141" s="91"/>
      <c r="D141" s="726"/>
      <c r="E141" s="1814"/>
      <c r="F141" s="47"/>
      <c r="G141" s="48"/>
      <c r="H141" s="48"/>
      <c r="I141" s="36"/>
      <c r="J141" s="96"/>
      <c r="K141" s="706"/>
      <c r="L141" s="43"/>
      <c r="M141" s="43"/>
      <c r="N141" s="1973"/>
      <c r="O141" s="12"/>
    </row>
    <row r="142" spans="1:22" ht="15.5" x14ac:dyDescent="0.35">
      <c r="A142" s="636"/>
      <c r="B142" s="647" t="s">
        <v>1110</v>
      </c>
      <c r="C142" s="648"/>
      <c r="D142" s="648"/>
      <c r="E142" s="1800"/>
      <c r="F142" s="648"/>
      <c r="G142" s="648"/>
      <c r="H142" s="648"/>
      <c r="I142" s="648"/>
      <c r="J142" s="50"/>
      <c r="K142" s="710"/>
      <c r="L142" s="51"/>
      <c r="M142" s="51"/>
      <c r="N142" s="1971"/>
      <c r="O142" s="12"/>
    </row>
    <row r="143" spans="1:22" s="1446" customFormat="1" ht="15.75" customHeight="1" x14ac:dyDescent="0.35">
      <c r="A143" s="1600">
        <v>7</v>
      </c>
      <c r="B143" s="1601" t="s">
        <v>1732</v>
      </c>
      <c r="C143" s="1529">
        <v>33</v>
      </c>
      <c r="D143" s="1529" t="s">
        <v>324</v>
      </c>
      <c r="E143" s="1807" t="s">
        <v>1733</v>
      </c>
      <c r="F143" s="1530">
        <v>1</v>
      </c>
      <c r="G143" s="1531">
        <v>448008.7</v>
      </c>
      <c r="H143" s="1531">
        <v>476780.2</v>
      </c>
      <c r="I143" s="1532">
        <f>H143-G143</f>
        <v>28771.5</v>
      </c>
      <c r="J143" s="1529">
        <v>240</v>
      </c>
      <c r="K143" s="1533"/>
      <c r="L143" s="1562">
        <f>F143*I143*J143</f>
        <v>6905160</v>
      </c>
      <c r="M143" s="1450"/>
      <c r="N143" s="1970"/>
      <c r="O143" s="1734"/>
      <c r="P143" s="1450"/>
      <c r="Q143" s="1450"/>
      <c r="R143" s="1450"/>
      <c r="S143" s="1450"/>
      <c r="T143" s="1450"/>
      <c r="U143" s="1450"/>
      <c r="V143" s="1450"/>
    </row>
    <row r="144" spans="1:22" s="1446" customFormat="1" ht="15.75" customHeight="1" x14ac:dyDescent="0.35">
      <c r="A144" s="1602">
        <v>8</v>
      </c>
      <c r="B144" s="1603" t="s">
        <v>1734</v>
      </c>
      <c r="C144" s="1564">
        <v>33</v>
      </c>
      <c r="D144" s="1564" t="s">
        <v>324</v>
      </c>
      <c r="E144" s="1819" t="s">
        <v>1735</v>
      </c>
      <c r="F144" s="1565">
        <v>1</v>
      </c>
      <c r="G144" s="1604"/>
      <c r="H144" s="1604"/>
      <c r="I144" s="1532"/>
      <c r="J144" s="1564">
        <v>240</v>
      </c>
      <c r="K144" s="1566"/>
      <c r="L144" s="1568">
        <f>F144*I144*J144</f>
        <v>0</v>
      </c>
      <c r="M144" s="1534"/>
      <c r="N144" s="1974"/>
      <c r="O144" s="1736"/>
      <c r="P144" s="1534"/>
      <c r="Q144" s="1534"/>
      <c r="R144" s="1534"/>
      <c r="S144" s="1534"/>
      <c r="T144" s="1534"/>
      <c r="U144" s="1534"/>
      <c r="V144" s="1534"/>
    </row>
    <row r="145" spans="1:22" s="1446" customFormat="1" ht="15.75" customHeight="1" x14ac:dyDescent="0.35">
      <c r="A145" s="1504">
        <v>9</v>
      </c>
      <c r="B145" s="1605" t="s">
        <v>1736</v>
      </c>
      <c r="C145" s="1547">
        <v>33</v>
      </c>
      <c r="D145" s="1547"/>
      <c r="E145" s="1815"/>
      <c r="F145" s="1606">
        <v>1</v>
      </c>
      <c r="G145" s="1531"/>
      <c r="H145" s="1531"/>
      <c r="I145" s="1532"/>
      <c r="J145" s="1529">
        <v>180</v>
      </c>
      <c r="K145" s="1607"/>
      <c r="L145" s="1608">
        <f>K160</f>
        <v>0</v>
      </c>
      <c r="M145" s="1450"/>
      <c r="N145" s="1970"/>
      <c r="O145" s="1734"/>
      <c r="P145" s="1450"/>
      <c r="Q145" s="1450"/>
      <c r="R145" s="1450"/>
      <c r="S145" s="1450"/>
      <c r="T145" s="1450"/>
      <c r="U145" s="1450"/>
      <c r="V145" s="1450"/>
    </row>
    <row r="146" spans="1:22" ht="15" x14ac:dyDescent="0.35">
      <c r="A146" s="636"/>
      <c r="B146" s="96"/>
      <c r="C146" s="90"/>
      <c r="D146" s="90"/>
      <c r="E146" s="1785"/>
      <c r="F146" s="38"/>
      <c r="G146" s="38"/>
      <c r="H146" s="38"/>
      <c r="I146" s="38"/>
      <c r="J146" s="96" t="s">
        <v>30</v>
      </c>
      <c r="K146" s="708"/>
      <c r="L146" s="43">
        <f>SUM(L143:L145)</f>
        <v>6905160</v>
      </c>
      <c r="M146" s="43">
        <f>SUM(M143:M144)</f>
        <v>0</v>
      </c>
      <c r="N146" s="650"/>
      <c r="O146" s="12"/>
    </row>
    <row r="147" spans="1:22" ht="15.5" thickBot="1" x14ac:dyDescent="0.4">
      <c r="A147" s="702"/>
      <c r="B147" s="736"/>
      <c r="C147" s="92"/>
      <c r="D147" s="92"/>
      <c r="E147" s="1786"/>
      <c r="F147" s="737"/>
      <c r="G147" s="737"/>
      <c r="H147" s="737"/>
      <c r="I147" s="737"/>
      <c r="J147" s="736"/>
      <c r="K147" s="738"/>
      <c r="L147" s="739"/>
      <c r="M147" s="739"/>
      <c r="N147" s="646"/>
      <c r="O147" s="740"/>
    </row>
    <row r="148" spans="1:22" ht="15" x14ac:dyDescent="0.35">
      <c r="A148" s="702"/>
      <c r="B148" s="2142" t="s">
        <v>1090</v>
      </c>
      <c r="C148" s="2143"/>
      <c r="D148" s="683" t="s">
        <v>14</v>
      </c>
      <c r="F148" s="2144" t="s">
        <v>1091</v>
      </c>
      <c r="G148" s="2145"/>
      <c r="H148" s="2146"/>
      <c r="I148" s="683" t="s">
        <v>14</v>
      </c>
      <c r="J148" s="620"/>
      <c r="K148" s="2147" t="s">
        <v>1092</v>
      </c>
      <c r="L148" s="2148"/>
      <c r="M148" s="684" t="s">
        <v>14</v>
      </c>
      <c r="N148" s="646"/>
      <c r="O148" s="740"/>
    </row>
    <row r="149" spans="1:22" ht="15" x14ac:dyDescent="0.35">
      <c r="A149" s="702"/>
      <c r="B149" s="2122" t="str">
        <f>B127</f>
        <v>Siddhirgonj 33 KV SIDE</v>
      </c>
      <c r="C149" s="2123"/>
      <c r="D149" s="689">
        <f>K132</f>
        <v>16110960.000000196</v>
      </c>
      <c r="F149" s="2124" t="s">
        <v>1093</v>
      </c>
      <c r="G149" s="2125"/>
      <c r="H149" s="2126"/>
      <c r="I149" s="685">
        <f>L140</f>
        <v>607199.99999999348</v>
      </c>
      <c r="J149" s="620"/>
      <c r="K149" s="2160" t="str">
        <f>F150</f>
        <v xml:space="preserve"> 33 KV NET IMPORT</v>
      </c>
      <c r="L149" s="2161"/>
      <c r="M149" s="687">
        <f>I150</f>
        <v>15503760.000000201</v>
      </c>
      <c r="N149" s="646"/>
      <c r="O149" s="740"/>
    </row>
    <row r="150" spans="1:22" ht="15" x14ac:dyDescent="0.35">
      <c r="A150" s="702"/>
      <c r="B150" s="2122" t="s">
        <v>1116</v>
      </c>
      <c r="C150" s="2123"/>
      <c r="D150" s="741"/>
      <c r="F150" s="2124" t="s">
        <v>2455</v>
      </c>
      <c r="G150" s="2125"/>
      <c r="H150" s="2126"/>
      <c r="I150" s="685">
        <f>D153-I149</f>
        <v>15503760.000000201</v>
      </c>
      <c r="J150" s="620"/>
      <c r="K150" s="2162" t="s">
        <v>2456</v>
      </c>
      <c r="L150" s="2163"/>
      <c r="M150" s="685">
        <f>M187</f>
        <v>15503760.000000201</v>
      </c>
      <c r="N150" s="646"/>
      <c r="O150" s="740"/>
    </row>
    <row r="151" spans="1:22" ht="15" x14ac:dyDescent="0.35">
      <c r="A151" s="702"/>
      <c r="B151" s="2122" t="s">
        <v>1117</v>
      </c>
      <c r="C151" s="2123"/>
      <c r="D151" s="721"/>
      <c r="F151" s="2124" t="s">
        <v>1089</v>
      </c>
      <c r="G151" s="2125"/>
      <c r="H151" s="2126"/>
      <c r="I151" s="685">
        <f>I149+I150</f>
        <v>16110960.000000194</v>
      </c>
      <c r="J151" s="620"/>
      <c r="K151" s="2127" t="s">
        <v>284</v>
      </c>
      <c r="L151" s="2128"/>
      <c r="M151" s="685">
        <f>M149-M150</f>
        <v>0</v>
      </c>
      <c r="N151" s="646"/>
      <c r="O151" s="740"/>
    </row>
    <row r="152" spans="1:22" ht="16" thickBot="1" x14ac:dyDescent="0.4">
      <c r="A152" s="702"/>
      <c r="B152" s="2122" t="s">
        <v>1118</v>
      </c>
      <c r="C152" s="2123"/>
      <c r="D152" s="722"/>
      <c r="F152" s="2113" t="s">
        <v>1102</v>
      </c>
      <c r="G152" s="2114"/>
      <c r="H152" s="2115"/>
      <c r="I152" s="690">
        <f>(D153-I151)/I151</f>
        <v>1.1561354191376147E-16</v>
      </c>
      <c r="J152" s="620"/>
      <c r="K152" s="2134" t="s">
        <v>285</v>
      </c>
      <c r="L152" s="2135"/>
      <c r="M152" s="688">
        <f>M151/M149</f>
        <v>0</v>
      </c>
      <c r="N152" s="646"/>
      <c r="O152" s="740"/>
    </row>
    <row r="153" spans="1:22" ht="15.5" thickBot="1" x14ac:dyDescent="0.4">
      <c r="A153" s="702"/>
      <c r="B153" s="2158" t="s">
        <v>1082</v>
      </c>
      <c r="C153" s="2159"/>
      <c r="D153" s="686">
        <f>SUM(D149:D151)</f>
        <v>16110960.000000196</v>
      </c>
      <c r="F153" s="620"/>
      <c r="G153" s="620"/>
      <c r="H153" s="620"/>
      <c r="I153" s="620"/>
      <c r="J153" s="620"/>
      <c r="K153" s="702"/>
      <c r="L153" s="620"/>
      <c r="M153" s="620"/>
      <c r="N153" s="646"/>
      <c r="O153" s="740"/>
    </row>
    <row r="154" spans="1:22" ht="15" x14ac:dyDescent="0.35">
      <c r="A154" s="702"/>
      <c r="B154" s="736"/>
      <c r="C154" s="92"/>
      <c r="D154" s="92"/>
      <c r="E154" s="1786"/>
      <c r="F154" s="737"/>
      <c r="G154" s="737"/>
      <c r="H154" s="737"/>
      <c r="I154" s="737"/>
      <c r="J154" s="736"/>
      <c r="K154" s="738"/>
      <c r="L154" s="739"/>
      <c r="M154" s="739"/>
      <c r="N154" s="646"/>
      <c r="O154" s="740"/>
    </row>
    <row r="155" spans="1:22" ht="15" x14ac:dyDescent="0.35">
      <c r="A155" s="702"/>
      <c r="B155" s="736"/>
      <c r="C155" s="92"/>
      <c r="D155" s="92"/>
      <c r="E155" s="1786"/>
      <c r="F155" s="737"/>
      <c r="G155" s="737"/>
      <c r="H155" s="737"/>
      <c r="I155" s="737"/>
      <c r="J155" s="736"/>
      <c r="K155" s="738"/>
      <c r="L155" s="739"/>
      <c r="M155" s="739"/>
      <c r="N155" s="646"/>
      <c r="O155" s="740"/>
    </row>
    <row r="156" spans="1:22" ht="15" x14ac:dyDescent="0.35">
      <c r="A156" s="702"/>
      <c r="B156" s="736"/>
      <c r="C156" s="92"/>
      <c r="D156" s="92"/>
      <c r="E156" s="1786"/>
      <c r="F156" s="737"/>
      <c r="G156" s="737"/>
      <c r="H156" s="737"/>
      <c r="I156" s="737"/>
      <c r="J156" s="736"/>
      <c r="K156" s="738"/>
      <c r="L156" s="739"/>
      <c r="M156" s="739"/>
      <c r="N156" s="646"/>
      <c r="O156" s="740"/>
    </row>
    <row r="157" spans="1:22" ht="15" x14ac:dyDescent="0.35">
      <c r="A157" s="702"/>
      <c r="B157" s="736"/>
      <c r="C157" s="92"/>
      <c r="D157" s="92"/>
      <c r="E157" s="1786"/>
      <c r="F157" s="737"/>
      <c r="G157" s="737"/>
      <c r="H157" s="737"/>
      <c r="I157" s="737"/>
      <c r="J157" s="736"/>
      <c r="K157" s="738"/>
      <c r="L157" s="739"/>
      <c r="M157" s="739"/>
      <c r="N157" s="646"/>
      <c r="O157" s="740"/>
    </row>
    <row r="158" spans="1:22" ht="15" x14ac:dyDescent="0.35">
      <c r="A158" s="702"/>
      <c r="B158" s="736"/>
      <c r="C158" s="92"/>
      <c r="D158" s="92"/>
      <c r="E158" s="1786"/>
      <c r="F158" s="737"/>
      <c r="G158" s="737"/>
      <c r="H158" s="737"/>
      <c r="I158" s="737"/>
      <c r="J158" s="736"/>
      <c r="K158" s="738"/>
      <c r="L158" s="739"/>
      <c r="M158" s="739"/>
      <c r="N158" s="646"/>
      <c r="O158" s="740"/>
    </row>
    <row r="159" spans="1:22" x14ac:dyDescent="0.35">
      <c r="A159" s="620"/>
      <c r="B159" s="632"/>
      <c r="C159" s="620"/>
      <c r="D159" s="728"/>
      <c r="E159" s="1820"/>
      <c r="F159" s="620"/>
      <c r="G159" s="620"/>
      <c r="H159" s="620"/>
      <c r="I159" s="620"/>
      <c r="J159" s="620"/>
      <c r="K159" s="702"/>
      <c r="L159" s="620"/>
      <c r="M159" s="620"/>
      <c r="N159" s="702"/>
      <c r="O159" s="620"/>
    </row>
    <row r="160" spans="1:22" x14ac:dyDescent="0.35">
      <c r="A160" s="620"/>
      <c r="B160" s="632"/>
      <c r="C160" s="620"/>
      <c r="D160" s="728"/>
      <c r="E160" s="1820"/>
      <c r="F160" s="620"/>
      <c r="G160" s="620"/>
      <c r="H160" s="620"/>
      <c r="I160" s="620"/>
      <c r="J160" s="620"/>
      <c r="K160" s="702"/>
      <c r="L160" s="620"/>
      <c r="M160" s="620"/>
      <c r="N160" s="702"/>
      <c r="O160" s="620"/>
    </row>
    <row r="161" spans="1:22" ht="25" x14ac:dyDescent="0.35">
      <c r="A161" s="2095" t="s">
        <v>1189</v>
      </c>
      <c r="B161" s="2095"/>
      <c r="C161" s="2095"/>
      <c r="D161" s="2095"/>
      <c r="E161" s="2095"/>
      <c r="F161" s="2095"/>
      <c r="G161" s="2095"/>
      <c r="H161" s="2095"/>
      <c r="I161" s="2095"/>
      <c r="J161" s="2095"/>
      <c r="K161" s="2095"/>
      <c r="L161" s="2095"/>
      <c r="M161" s="2095"/>
      <c r="N161" s="2095"/>
      <c r="O161" s="756" t="str">
        <f>$O$6</f>
        <v>Month December-2022</v>
      </c>
    </row>
    <row r="162" spans="1:22" ht="15.5" x14ac:dyDescent="0.35">
      <c r="A162" s="2096" t="s">
        <v>0</v>
      </c>
      <c r="B162" s="2098" t="s">
        <v>1</v>
      </c>
      <c r="C162" s="2100" t="s">
        <v>2</v>
      </c>
      <c r="D162" s="2101"/>
      <c r="E162" s="2102"/>
      <c r="F162" s="2103" t="s">
        <v>3</v>
      </c>
      <c r="G162" s="2100" t="s">
        <v>4</v>
      </c>
      <c r="H162" s="2102"/>
      <c r="I162" s="2085"/>
      <c r="J162" s="2103" t="s">
        <v>5</v>
      </c>
      <c r="K162" s="2100" t="s">
        <v>6</v>
      </c>
      <c r="L162" s="2085"/>
      <c r="M162" s="97" t="s">
        <v>32</v>
      </c>
      <c r="N162" s="98"/>
      <c r="O162" s="2084" t="s">
        <v>7</v>
      </c>
    </row>
    <row r="163" spans="1:22" ht="15.5" x14ac:dyDescent="0.35">
      <c r="A163" s="2097"/>
      <c r="B163" s="2099"/>
      <c r="C163" s="2086" t="s">
        <v>1108</v>
      </c>
      <c r="D163" s="2087"/>
      <c r="E163" s="1810" t="s">
        <v>9</v>
      </c>
      <c r="F163" s="2097"/>
      <c r="G163" s="2">
        <f>'NORTH-1'!$G$8</f>
        <v>44774</v>
      </c>
      <c r="H163" s="2">
        <f>'NORTH-1'!$H$8</f>
        <v>44805</v>
      </c>
      <c r="I163" s="1" t="s">
        <v>10</v>
      </c>
      <c r="J163" s="2097"/>
      <c r="K163" s="1" t="s">
        <v>11</v>
      </c>
      <c r="L163" s="1" t="s">
        <v>12</v>
      </c>
      <c r="M163" s="617" t="s">
        <v>33</v>
      </c>
      <c r="N163" s="76" t="s">
        <v>47</v>
      </c>
      <c r="O163" s="2085"/>
    </row>
    <row r="164" spans="1:22" ht="15.5" x14ac:dyDescent="0.35">
      <c r="A164" s="3">
        <v>1</v>
      </c>
      <c r="B164" s="88">
        <v>2</v>
      </c>
      <c r="C164" s="2088">
        <v>4</v>
      </c>
      <c r="D164" s="2089"/>
      <c r="E164" s="1811">
        <v>5</v>
      </c>
      <c r="F164" s="3">
        <v>7</v>
      </c>
      <c r="G164" s="3">
        <v>8</v>
      </c>
      <c r="H164" s="3">
        <v>9</v>
      </c>
      <c r="I164" s="3" t="s">
        <v>13</v>
      </c>
      <c r="J164" s="3">
        <v>11</v>
      </c>
      <c r="K164" s="3" t="s">
        <v>19</v>
      </c>
      <c r="L164" s="3" t="s">
        <v>20</v>
      </c>
      <c r="M164" s="3">
        <v>14</v>
      </c>
      <c r="N164" s="77">
        <v>15</v>
      </c>
      <c r="O164" s="3">
        <v>16</v>
      </c>
    </row>
    <row r="165" spans="1:22" ht="15.5" x14ac:dyDescent="0.35">
      <c r="A165" s="631"/>
      <c r="B165" s="624" t="s">
        <v>4665</v>
      </c>
      <c r="C165" s="625"/>
      <c r="D165" s="625"/>
      <c r="E165" s="1794"/>
      <c r="F165" s="625"/>
      <c r="G165" s="625"/>
      <c r="H165" s="625"/>
      <c r="I165" s="625"/>
      <c r="J165" s="625"/>
      <c r="K165" s="695"/>
      <c r="L165" s="625"/>
      <c r="M165" s="626"/>
      <c r="N165" s="1972"/>
      <c r="O165" s="616"/>
    </row>
    <row r="166" spans="1:22" ht="15.5" x14ac:dyDescent="0.35">
      <c r="A166" s="631">
        <v>18</v>
      </c>
      <c r="B166" s="100" t="s">
        <v>1753</v>
      </c>
      <c r="C166" s="52">
        <v>11</v>
      </c>
      <c r="D166" s="2105"/>
      <c r="E166" s="1801" t="s">
        <v>1754</v>
      </c>
      <c r="F166" s="4">
        <v>1</v>
      </c>
      <c r="G166" s="21">
        <v>903408.6</v>
      </c>
      <c r="H166" s="21">
        <v>941650.2</v>
      </c>
      <c r="I166" s="21">
        <f>H166-G166</f>
        <v>38241.599999999977</v>
      </c>
      <c r="J166" s="616">
        <v>180</v>
      </c>
      <c r="K166" s="696">
        <f>F166*I166*J166</f>
        <v>6883487.9999999963</v>
      </c>
      <c r="L166" s="22"/>
      <c r="M166" s="22">
        <f>K166*$M$149/$K$168</f>
        <v>6921465.5766443303</v>
      </c>
      <c r="N166" s="72"/>
      <c r="O166" s="616"/>
    </row>
    <row r="167" spans="1:22" ht="15.5" x14ac:dyDescent="0.35">
      <c r="A167" s="631">
        <v>19</v>
      </c>
      <c r="B167" s="100" t="s">
        <v>1755</v>
      </c>
      <c r="C167" s="52">
        <v>11</v>
      </c>
      <c r="D167" s="2151"/>
      <c r="E167" s="1801" t="s">
        <v>1756</v>
      </c>
      <c r="F167" s="4">
        <v>1</v>
      </c>
      <c r="G167" s="21">
        <v>248325.6</v>
      </c>
      <c r="H167" s="21">
        <v>295743.40000000002</v>
      </c>
      <c r="I167" s="21">
        <f>H167-G167</f>
        <v>47417.800000000017</v>
      </c>
      <c r="J167" s="616">
        <v>180</v>
      </c>
      <c r="K167" s="696">
        <f>F167*I167*J167</f>
        <v>8535204.0000000037</v>
      </c>
      <c r="L167" s="22"/>
      <c r="M167" s="22">
        <f>K167*$M$149/$K$168</f>
        <v>8582294.4233558718</v>
      </c>
      <c r="N167" s="72"/>
      <c r="O167" s="616"/>
    </row>
    <row r="168" spans="1:22" ht="15.5" x14ac:dyDescent="0.35">
      <c r="A168" s="631"/>
      <c r="B168" s="102"/>
      <c r="C168" s="91"/>
      <c r="D168" s="726"/>
      <c r="E168" s="1814"/>
      <c r="F168" s="47"/>
      <c r="G168" s="48"/>
      <c r="H168" s="48"/>
      <c r="I168" s="48"/>
      <c r="J168" s="39" t="s">
        <v>30</v>
      </c>
      <c r="K168" s="708">
        <f>SUM(K166:K167)</f>
        <v>15418692</v>
      </c>
      <c r="L168" s="49"/>
      <c r="M168" s="43">
        <f>SUM(M166:M167)</f>
        <v>15503760.000000201</v>
      </c>
      <c r="N168" s="1973"/>
      <c r="O168" s="616"/>
    </row>
    <row r="169" spans="1:22" ht="16" thickBot="1" x14ac:dyDescent="0.4">
      <c r="A169" s="631"/>
      <c r="B169" s="647" t="s">
        <v>4665</v>
      </c>
      <c r="C169" s="648"/>
      <c r="D169" s="648"/>
      <c r="E169" s="1800"/>
      <c r="F169" s="648"/>
      <c r="G169" s="648"/>
      <c r="H169" s="648"/>
      <c r="I169" s="648"/>
      <c r="J169" s="50"/>
      <c r="K169" s="710"/>
      <c r="L169" s="51"/>
      <c r="M169" s="51"/>
      <c r="N169" s="1971"/>
      <c r="O169" s="616"/>
    </row>
    <row r="170" spans="1:22" s="1446" customFormat="1" ht="21.75" customHeight="1" x14ac:dyDescent="0.35">
      <c r="A170" s="1611">
        <v>11</v>
      </c>
      <c r="B170" s="1612" t="s">
        <v>1739</v>
      </c>
      <c r="C170" s="1613">
        <v>11</v>
      </c>
      <c r="D170" s="2199"/>
      <c r="E170" s="1821" t="s">
        <v>1740</v>
      </c>
      <c r="F170" s="1606">
        <v>1</v>
      </c>
      <c r="G170" s="1614">
        <v>31923339</v>
      </c>
      <c r="H170" s="1614">
        <v>33208560</v>
      </c>
      <c r="I170" s="1614">
        <v>1285221</v>
      </c>
      <c r="J170" s="1613">
        <v>1</v>
      </c>
      <c r="K170" s="1615"/>
      <c r="L170" s="1616">
        <v>1285221</v>
      </c>
      <c r="M170" s="1965">
        <f>L170*$K$187/$L$187</f>
        <v>1300765.9983862799</v>
      </c>
      <c r="N170" s="1975" t="s">
        <v>116</v>
      </c>
      <c r="O170" s="1734"/>
      <c r="P170" s="1450"/>
      <c r="Q170" s="1450"/>
      <c r="R170" s="1450"/>
      <c r="S170" s="1450"/>
      <c r="T170" s="1450"/>
      <c r="U170" s="1450"/>
      <c r="V170" s="1450"/>
    </row>
    <row r="171" spans="1:22" s="1446" customFormat="1" ht="21.75" customHeight="1" x14ac:dyDescent="0.35">
      <c r="A171" s="1488">
        <v>12</v>
      </c>
      <c r="B171" s="1617" t="s">
        <v>1741</v>
      </c>
      <c r="C171" s="1573">
        <v>11</v>
      </c>
      <c r="D171" s="2200"/>
      <c r="E171" s="1812" t="s">
        <v>1742</v>
      </c>
      <c r="F171" s="1606">
        <v>1</v>
      </c>
      <c r="G171" s="1618">
        <v>5245599</v>
      </c>
      <c r="H171" s="1618">
        <v>5252856</v>
      </c>
      <c r="I171" s="1619">
        <v>7257</v>
      </c>
      <c r="J171" s="1529">
        <v>1</v>
      </c>
      <c r="K171" s="1575"/>
      <c r="L171" s="1608">
        <v>7257</v>
      </c>
      <c r="M171" s="1965">
        <f t="shared" ref="M171:M186" si="6">L171*$K$187/$L$187</f>
        <v>7344.7748288342891</v>
      </c>
      <c r="N171" s="1964" t="s">
        <v>95</v>
      </c>
      <c r="O171" s="1735"/>
      <c r="P171" s="1497"/>
      <c r="Q171" s="1497"/>
      <c r="R171" s="1497"/>
      <c r="S171" s="1497"/>
      <c r="T171" s="1497"/>
      <c r="U171" s="1497"/>
      <c r="V171" s="1497"/>
    </row>
    <row r="172" spans="1:22" s="1446" customFormat="1" ht="21.75" customHeight="1" x14ac:dyDescent="0.35">
      <c r="A172" s="1504">
        <v>13</v>
      </c>
      <c r="B172" s="1524" t="s">
        <v>1743</v>
      </c>
      <c r="C172" s="1547">
        <v>11</v>
      </c>
      <c r="D172" s="2200"/>
      <c r="E172" s="1815" t="s">
        <v>1744</v>
      </c>
      <c r="F172" s="1606">
        <v>1</v>
      </c>
      <c r="G172" s="1618">
        <v>965466</v>
      </c>
      <c r="H172" s="1618">
        <v>1645660</v>
      </c>
      <c r="I172" s="1619">
        <v>680194</v>
      </c>
      <c r="J172" s="1529">
        <v>1</v>
      </c>
      <c r="K172" s="1608"/>
      <c r="L172" s="1608">
        <v>680194</v>
      </c>
      <c r="M172" s="1965">
        <f t="shared" si="6"/>
        <v>688421.07894778973</v>
      </c>
      <c r="N172" s="1964" t="s">
        <v>95</v>
      </c>
      <c r="O172" s="1735"/>
      <c r="P172" s="1497"/>
      <c r="Q172" s="1497"/>
      <c r="R172" s="1497"/>
      <c r="S172" s="1497"/>
      <c r="T172" s="1497"/>
      <c r="U172" s="1497"/>
      <c r="V172" s="1497"/>
    </row>
    <row r="173" spans="1:22" s="1446" customFormat="1" ht="21.75" customHeight="1" x14ac:dyDescent="0.35">
      <c r="A173" s="1504">
        <v>14</v>
      </c>
      <c r="B173" s="1605" t="s">
        <v>1745</v>
      </c>
      <c r="C173" s="1529">
        <v>11</v>
      </c>
      <c r="D173" s="2200"/>
      <c r="E173" s="1807" t="s">
        <v>1746</v>
      </c>
      <c r="F173" s="1606">
        <v>1</v>
      </c>
      <c r="G173" s="1531">
        <v>643070.6</v>
      </c>
      <c r="H173" s="1531">
        <v>669570.6</v>
      </c>
      <c r="I173" s="1619">
        <v>26500</v>
      </c>
      <c r="J173" s="1620">
        <v>60</v>
      </c>
      <c r="K173" s="1621"/>
      <c r="L173" s="1622">
        <v>1590000</v>
      </c>
      <c r="M173" s="1965">
        <f t="shared" si="6"/>
        <v>1609231.3597693976</v>
      </c>
      <c r="N173" s="1964" t="s">
        <v>95</v>
      </c>
      <c r="O173" s="1735"/>
      <c r="P173" s="1497"/>
      <c r="Q173" s="1497"/>
      <c r="R173" s="1497"/>
      <c r="S173" s="1497"/>
      <c r="T173" s="1497"/>
      <c r="U173" s="1497"/>
      <c r="V173" s="1497"/>
    </row>
    <row r="174" spans="1:22" s="1446" customFormat="1" ht="21.75" customHeight="1" x14ac:dyDescent="0.35">
      <c r="A174" s="1504">
        <v>15</v>
      </c>
      <c r="B174" s="1605" t="s">
        <v>1747</v>
      </c>
      <c r="C174" s="1553">
        <v>11</v>
      </c>
      <c r="D174" s="2200"/>
      <c r="E174" s="1807" t="s">
        <v>1748</v>
      </c>
      <c r="F174" s="1606">
        <v>1</v>
      </c>
      <c r="G174" s="1531">
        <v>69793663</v>
      </c>
      <c r="H174" s="1531">
        <v>70734570</v>
      </c>
      <c r="I174" s="1619">
        <v>940907</v>
      </c>
      <c r="J174" s="1561">
        <v>1</v>
      </c>
      <c r="K174" s="1556"/>
      <c r="L174" s="1608">
        <v>940907</v>
      </c>
      <c r="M174" s="1965">
        <f t="shared" si="6"/>
        <v>952287.45347581431</v>
      </c>
      <c r="N174" s="1964" t="s">
        <v>95</v>
      </c>
      <c r="O174" s="1735"/>
      <c r="P174" s="1497"/>
      <c r="Q174" s="1497"/>
      <c r="R174" s="1497"/>
      <c r="S174" s="1497"/>
      <c r="T174" s="1497"/>
      <c r="U174" s="1497"/>
      <c r="V174" s="1497"/>
    </row>
    <row r="175" spans="1:22" s="1446" customFormat="1" ht="21.75" customHeight="1" x14ac:dyDescent="0.35">
      <c r="A175" s="1504">
        <v>16</v>
      </c>
      <c r="B175" s="1524" t="s">
        <v>1749</v>
      </c>
      <c r="C175" s="1529">
        <v>11</v>
      </c>
      <c r="D175" s="2200"/>
      <c r="E175" s="1807" t="s">
        <v>1750</v>
      </c>
      <c r="F175" s="1606">
        <v>1</v>
      </c>
      <c r="G175" s="1531">
        <v>538764.69999999995</v>
      </c>
      <c r="H175" s="1531">
        <v>539080.1</v>
      </c>
      <c r="I175" s="1619">
        <v>315.40000000002328</v>
      </c>
      <c r="J175" s="1529">
        <v>60</v>
      </c>
      <c r="K175" s="1623"/>
      <c r="L175" s="1608">
        <v>18924.000000001397</v>
      </c>
      <c r="M175" s="1965">
        <f t="shared" si="6"/>
        <v>19152.889466841716</v>
      </c>
      <c r="N175" s="1964" t="s">
        <v>95</v>
      </c>
      <c r="O175" s="1735"/>
      <c r="P175" s="1497"/>
      <c r="Q175" s="1497"/>
      <c r="R175" s="1497"/>
      <c r="S175" s="1497"/>
      <c r="T175" s="1497"/>
      <c r="U175" s="1497"/>
      <c r="V175" s="1497"/>
    </row>
    <row r="176" spans="1:22" s="1446" customFormat="1" ht="21.75" customHeight="1" x14ac:dyDescent="0.35">
      <c r="A176" s="1624">
        <v>17</v>
      </c>
      <c r="B176" s="1505" t="s">
        <v>1751</v>
      </c>
      <c r="C176" s="1625">
        <v>11</v>
      </c>
      <c r="D176" s="2200"/>
      <c r="E176" s="1822" t="s">
        <v>1752</v>
      </c>
      <c r="F176" s="1606">
        <v>1</v>
      </c>
      <c r="G176" s="1626">
        <v>695.95050000000003</v>
      </c>
      <c r="H176" s="1626">
        <v>735.5684</v>
      </c>
      <c r="I176" s="1618">
        <v>39.617899999999963</v>
      </c>
      <c r="J176" s="1561">
        <v>60000</v>
      </c>
      <c r="K176" s="1627"/>
      <c r="L176" s="1628">
        <v>2377073.9999999977</v>
      </c>
      <c r="M176" s="1965">
        <f t="shared" si="6"/>
        <v>2405825.1731399233</v>
      </c>
      <c r="N176" s="1975" t="s">
        <v>116</v>
      </c>
      <c r="O176" s="1734"/>
      <c r="P176" s="1450"/>
      <c r="Q176" s="1450"/>
      <c r="R176" s="1450"/>
      <c r="S176" s="1450"/>
      <c r="T176" s="1450"/>
      <c r="U176" s="1450"/>
      <c r="V176" s="1450"/>
    </row>
    <row r="177" spans="1:22" s="1446" customFormat="1" ht="21.75" customHeight="1" x14ac:dyDescent="0.35">
      <c r="A177" s="1504">
        <v>20</v>
      </c>
      <c r="B177" s="1524" t="s">
        <v>1757</v>
      </c>
      <c r="C177" s="1553">
        <v>11</v>
      </c>
      <c r="D177" s="2200"/>
      <c r="E177" s="1823" t="s">
        <v>1758</v>
      </c>
      <c r="F177" s="1606">
        <v>1</v>
      </c>
      <c r="G177" s="1612">
        <v>446352.3</v>
      </c>
      <c r="H177" s="1612">
        <v>463540.4</v>
      </c>
      <c r="I177" s="1629">
        <v>17188.100000000035</v>
      </c>
      <c r="J177" s="1529">
        <v>60</v>
      </c>
      <c r="K177" s="1562"/>
      <c r="L177" s="1608">
        <v>1031286.0000000021</v>
      </c>
      <c r="M177" s="1965">
        <f t="shared" si="6"/>
        <v>1043759.6050887713</v>
      </c>
      <c r="N177" s="1964" t="s">
        <v>95</v>
      </c>
      <c r="O177" s="1735"/>
      <c r="P177" s="1497"/>
      <c r="Q177" s="1497"/>
      <c r="R177" s="1497"/>
      <c r="S177" s="1497"/>
      <c r="T177" s="1497"/>
      <c r="U177" s="1497"/>
      <c r="V177" s="1497"/>
    </row>
    <row r="178" spans="1:22" s="1446" customFormat="1" ht="21.75" customHeight="1" x14ac:dyDescent="0.35">
      <c r="A178" s="1504">
        <v>21</v>
      </c>
      <c r="B178" s="1524" t="s">
        <v>1759</v>
      </c>
      <c r="C178" s="1529">
        <v>11</v>
      </c>
      <c r="D178" s="2200"/>
      <c r="E178" s="1807" t="s">
        <v>1760</v>
      </c>
      <c r="F178" s="1606">
        <v>1</v>
      </c>
      <c r="G178" s="1531">
        <v>561258.80000000005</v>
      </c>
      <c r="H178" s="1531">
        <v>585299.9</v>
      </c>
      <c r="I178" s="1567">
        <v>24041.099999999977</v>
      </c>
      <c r="J178" s="1529">
        <v>60</v>
      </c>
      <c r="K178" s="1533"/>
      <c r="L178" s="1562">
        <v>1442465.9999999986</v>
      </c>
      <c r="M178" s="1965">
        <f t="shared" si="6"/>
        <v>1459912.907296303</v>
      </c>
      <c r="N178" s="1964" t="s">
        <v>95</v>
      </c>
      <c r="O178" s="1735"/>
      <c r="P178" s="1497"/>
      <c r="Q178" s="1497"/>
      <c r="R178" s="1497"/>
      <c r="S178" s="1497"/>
      <c r="T178" s="1497"/>
      <c r="U178" s="1497"/>
      <c r="V178" s="1497"/>
    </row>
    <row r="179" spans="1:22" s="1446" customFormat="1" ht="21.75" customHeight="1" x14ac:dyDescent="0.35">
      <c r="A179" s="1600">
        <v>22</v>
      </c>
      <c r="B179" s="1601" t="s">
        <v>1761</v>
      </c>
      <c r="C179" s="1529">
        <v>11</v>
      </c>
      <c r="D179" s="2200"/>
      <c r="E179" s="1807" t="s">
        <v>1762</v>
      </c>
      <c r="F179" s="1606">
        <v>1</v>
      </c>
      <c r="G179" s="1630">
        <v>704.97109999999998</v>
      </c>
      <c r="H179" s="1630">
        <v>732.23749999999995</v>
      </c>
      <c r="I179" s="1567">
        <v>27.266399999999976</v>
      </c>
      <c r="J179" s="1561">
        <v>60000</v>
      </c>
      <c r="K179" s="1533"/>
      <c r="L179" s="1562">
        <v>1635983.9999999986</v>
      </c>
      <c r="M179" s="1965">
        <f t="shared" si="6"/>
        <v>1655771.545208161</v>
      </c>
      <c r="N179" s="1964" t="s">
        <v>95</v>
      </c>
      <c r="O179" s="1735"/>
      <c r="P179" s="1497"/>
      <c r="Q179" s="1497"/>
      <c r="R179" s="1497"/>
      <c r="S179" s="1497"/>
      <c r="T179" s="1497"/>
      <c r="U179" s="1497"/>
      <c r="V179" s="1497"/>
    </row>
    <row r="180" spans="1:22" s="1446" customFormat="1" ht="21.75" customHeight="1" x14ac:dyDescent="0.35">
      <c r="A180" s="1504">
        <v>23</v>
      </c>
      <c r="B180" s="1631" t="s">
        <v>1763</v>
      </c>
      <c r="C180" s="1478">
        <v>11</v>
      </c>
      <c r="D180" s="2200"/>
      <c r="E180" s="1798" t="s">
        <v>1764</v>
      </c>
      <c r="F180" s="1606">
        <v>1</v>
      </c>
      <c r="G180" s="1528">
        <v>12721900</v>
      </c>
      <c r="H180" s="1528">
        <v>14271802</v>
      </c>
      <c r="I180" s="1567">
        <v>1549902</v>
      </c>
      <c r="J180" s="1561">
        <v>1</v>
      </c>
      <c r="K180" s="1526"/>
      <c r="L180" s="1562">
        <v>1549902</v>
      </c>
      <c r="M180" s="1965">
        <f t="shared" si="6"/>
        <v>1568648.3666473641</v>
      </c>
      <c r="N180" s="1964" t="s">
        <v>115</v>
      </c>
      <c r="O180" s="1735"/>
      <c r="P180" s="1497"/>
      <c r="Q180" s="1497"/>
      <c r="R180" s="1497"/>
      <c r="S180" s="1497"/>
      <c r="T180" s="1497"/>
      <c r="U180" s="1497"/>
      <c r="V180" s="1497"/>
    </row>
    <row r="181" spans="1:22" s="1446" customFormat="1" ht="21.75" customHeight="1" x14ac:dyDescent="0.35">
      <c r="A181" s="1474">
        <v>24</v>
      </c>
      <c r="B181" s="1570" t="s">
        <v>1765</v>
      </c>
      <c r="C181" s="1459">
        <v>11</v>
      </c>
      <c r="D181" s="2200"/>
      <c r="E181" s="1792" t="s">
        <v>1766</v>
      </c>
      <c r="F181" s="1606">
        <v>1</v>
      </c>
      <c r="G181" s="1632">
        <v>8067028</v>
      </c>
      <c r="H181" s="1632">
        <v>8067082</v>
      </c>
      <c r="I181" s="1567">
        <v>54</v>
      </c>
      <c r="J181" s="1459">
        <v>1</v>
      </c>
      <c r="K181" s="1572"/>
      <c r="L181" s="1571">
        <v>54</v>
      </c>
      <c r="M181" s="1965">
        <f t="shared" si="6"/>
        <v>54.65314052047011</v>
      </c>
      <c r="N181" s="1964" t="s">
        <v>95</v>
      </c>
      <c r="O181" s="1734"/>
      <c r="P181" s="1450"/>
      <c r="Q181" s="1450"/>
      <c r="R181" s="1450"/>
      <c r="S181" s="1450"/>
      <c r="T181" s="1450"/>
      <c r="U181" s="1450"/>
      <c r="V181" s="1450"/>
    </row>
    <row r="182" spans="1:22" s="1446" customFormat="1" ht="21.75" customHeight="1" x14ac:dyDescent="0.35">
      <c r="A182" s="1477">
        <v>25</v>
      </c>
      <c r="B182" s="1458" t="s">
        <v>1767</v>
      </c>
      <c r="C182" s="1459">
        <v>11</v>
      </c>
      <c r="D182" s="2200"/>
      <c r="E182" s="1792" t="s">
        <v>1768</v>
      </c>
      <c r="F182" s="1606">
        <v>1</v>
      </c>
      <c r="G182" s="1632">
        <v>76883280</v>
      </c>
      <c r="H182" s="1632">
        <v>77355130</v>
      </c>
      <c r="I182" s="1567">
        <v>471850</v>
      </c>
      <c r="J182" s="1459">
        <v>1</v>
      </c>
      <c r="K182" s="1571"/>
      <c r="L182" s="1571">
        <v>471850</v>
      </c>
      <c r="M182" s="1965">
        <f t="shared" si="6"/>
        <v>477557.11767747818</v>
      </c>
      <c r="N182" s="1975" t="s">
        <v>115</v>
      </c>
      <c r="O182" s="1734"/>
      <c r="P182" s="1450"/>
      <c r="Q182" s="1450"/>
      <c r="R182" s="1450"/>
      <c r="S182" s="1450"/>
      <c r="T182" s="1450"/>
      <c r="U182" s="1450"/>
      <c r="V182" s="1450"/>
    </row>
    <row r="183" spans="1:22" s="1446" customFormat="1" ht="21.75" customHeight="1" x14ac:dyDescent="0.35">
      <c r="A183" s="1504">
        <v>26</v>
      </c>
      <c r="B183" s="1633" t="s">
        <v>1769</v>
      </c>
      <c r="C183" s="1547">
        <v>11</v>
      </c>
      <c r="D183" s="2200"/>
      <c r="E183" s="1815" t="s">
        <v>1770</v>
      </c>
      <c r="F183" s="1606">
        <v>1</v>
      </c>
      <c r="G183" s="1531">
        <v>41882669</v>
      </c>
      <c r="H183" s="1531">
        <v>42680280</v>
      </c>
      <c r="I183" s="1567">
        <v>797611</v>
      </c>
      <c r="J183" s="1529">
        <v>1</v>
      </c>
      <c r="K183" s="1608"/>
      <c r="L183" s="1608">
        <v>797611</v>
      </c>
      <c r="M183" s="1965">
        <f t="shared" si="6"/>
        <v>807258.26043838297</v>
      </c>
      <c r="N183" s="1964" t="s">
        <v>95</v>
      </c>
      <c r="O183" s="1735"/>
      <c r="P183" s="1497"/>
      <c r="Q183" s="1497"/>
      <c r="R183" s="1497"/>
      <c r="S183" s="1497"/>
      <c r="T183" s="1497"/>
      <c r="U183" s="1497"/>
      <c r="V183" s="1497"/>
    </row>
    <row r="184" spans="1:22" s="1446" customFormat="1" ht="21.75" customHeight="1" x14ac:dyDescent="0.35">
      <c r="A184" s="1504">
        <v>27</v>
      </c>
      <c r="B184" s="1633" t="s">
        <v>1771</v>
      </c>
      <c r="C184" s="1547">
        <v>11</v>
      </c>
      <c r="D184" s="2200"/>
      <c r="E184" s="1815"/>
      <c r="F184" s="1606">
        <v>1</v>
      </c>
      <c r="G184" s="1505">
        <v>14366912</v>
      </c>
      <c r="H184" s="1505">
        <v>14507910</v>
      </c>
      <c r="I184" s="1567">
        <v>140998</v>
      </c>
      <c r="J184" s="1529">
        <v>1</v>
      </c>
      <c r="K184" s="1608"/>
      <c r="L184" s="1608">
        <v>140998</v>
      </c>
      <c r="M184" s="1965">
        <f t="shared" si="6"/>
        <v>142703.39827972674</v>
      </c>
      <c r="N184" s="1964" t="s">
        <v>95</v>
      </c>
      <c r="O184" s="1735"/>
      <c r="P184" s="1497"/>
      <c r="Q184" s="1497"/>
      <c r="R184" s="1497"/>
      <c r="S184" s="1497"/>
      <c r="T184" s="1497"/>
      <c r="U184" s="1497"/>
      <c r="V184" s="1497"/>
    </row>
    <row r="185" spans="1:22" s="1446" customFormat="1" ht="21.75" customHeight="1" x14ac:dyDescent="0.35">
      <c r="A185" s="1504">
        <v>28</v>
      </c>
      <c r="B185" s="1633" t="s">
        <v>1772</v>
      </c>
      <c r="C185" s="1547">
        <v>11</v>
      </c>
      <c r="D185" s="2200"/>
      <c r="E185" s="1815"/>
      <c r="F185" s="1606">
        <v>1</v>
      </c>
      <c r="G185" s="1524">
        <v>42373952</v>
      </c>
      <c r="H185" s="1524">
        <v>43722704</v>
      </c>
      <c r="I185" s="1567">
        <v>1348752</v>
      </c>
      <c r="J185" s="1547">
        <v>1</v>
      </c>
      <c r="K185" s="1608"/>
      <c r="L185" s="1608">
        <v>1348752</v>
      </c>
      <c r="M185" s="1965">
        <f t="shared" si="6"/>
        <v>1365065.4182086128</v>
      </c>
      <c r="N185" s="1964" t="s">
        <v>116</v>
      </c>
      <c r="O185" s="1735"/>
      <c r="P185" s="1497"/>
      <c r="Q185" s="1497"/>
      <c r="R185" s="1497"/>
      <c r="S185" s="1497"/>
      <c r="T185" s="1497"/>
      <c r="U185" s="1497"/>
      <c r="V185" s="1497"/>
    </row>
    <row r="186" spans="1:22" s="1446" customFormat="1" ht="21.75" customHeight="1" x14ac:dyDescent="0.35">
      <c r="A186" s="1504">
        <v>29</v>
      </c>
      <c r="B186" s="1634" t="s">
        <v>1697</v>
      </c>
      <c r="C186" s="1635">
        <v>0.41499999999999998</v>
      </c>
      <c r="D186" s="2201"/>
      <c r="E186" s="1824" t="s">
        <v>1773</v>
      </c>
      <c r="F186" s="1637">
        <v>1</v>
      </c>
      <c r="G186" s="1634">
        <v>375996</v>
      </c>
      <c r="H186" s="1634">
        <v>375996</v>
      </c>
      <c r="I186" s="1638">
        <v>0</v>
      </c>
      <c r="J186" s="1636">
        <v>1</v>
      </c>
      <c r="K186" s="1639">
        <v>0</v>
      </c>
      <c r="L186" s="1639">
        <v>0</v>
      </c>
      <c r="M186" s="1965">
        <f t="shared" si="6"/>
        <v>0</v>
      </c>
      <c r="N186" s="1964" t="s">
        <v>95</v>
      </c>
      <c r="O186" s="1737"/>
      <c r="P186" s="1640"/>
      <c r="Q186" s="1640"/>
      <c r="R186" s="1640"/>
      <c r="S186" s="1640"/>
      <c r="T186" s="1640"/>
      <c r="U186" s="1640"/>
      <c r="V186" s="1640"/>
    </row>
    <row r="187" spans="1:22" ht="28" x14ac:dyDescent="0.35">
      <c r="A187" s="636"/>
      <c r="B187" s="96"/>
      <c r="C187" s="90"/>
      <c r="D187" s="90"/>
      <c r="E187" s="1785"/>
      <c r="F187" s="38"/>
      <c r="G187" s="38"/>
      <c r="H187" s="38"/>
      <c r="I187" s="38"/>
      <c r="J187" s="53" t="s">
        <v>44</v>
      </c>
      <c r="K187" s="43">
        <f>M168</f>
        <v>15503760.000000201</v>
      </c>
      <c r="L187" s="43">
        <f>SUM(L170:L186)</f>
        <v>15318479.999999998</v>
      </c>
      <c r="M187" s="43">
        <f>SUM(M170:M186)</f>
        <v>15503760.000000201</v>
      </c>
      <c r="N187" s="84">
        <f>(M187-L187)/L187*100</f>
        <v>1.209519482352055</v>
      </c>
      <c r="O187" s="29"/>
    </row>
    <row r="189" spans="1:22" ht="15" x14ac:dyDescent="0.35">
      <c r="A189" s="620"/>
      <c r="B189" s="635"/>
      <c r="C189" s="632"/>
      <c r="D189" s="720"/>
      <c r="F189" s="2092" t="s">
        <v>1099</v>
      </c>
      <c r="G189" s="2092"/>
      <c r="H189" s="2092"/>
      <c r="I189" s="677" t="s">
        <v>14</v>
      </c>
      <c r="J189" s="620"/>
      <c r="K189" s="702"/>
      <c r="L189" s="620"/>
      <c r="M189" s="620"/>
      <c r="N189" s="635"/>
      <c r="O189" s="620"/>
    </row>
    <row r="190" spans="1:22" ht="15.5" x14ac:dyDescent="0.35">
      <c r="A190" s="620"/>
      <c r="B190" s="635"/>
      <c r="C190" s="632"/>
      <c r="D190" s="720"/>
      <c r="F190" s="2153" t="s">
        <v>232</v>
      </c>
      <c r="G190" s="2154"/>
      <c r="H190" s="2155"/>
      <c r="I190" s="643">
        <f>SUM(M170:M171,M180)</f>
        <v>2876759.1398624782</v>
      </c>
      <c r="J190" s="620"/>
      <c r="K190" s="702"/>
      <c r="L190" s="620"/>
      <c r="M190" s="620"/>
      <c r="N190" s="635"/>
      <c r="O190" s="620" t="s">
        <v>237</v>
      </c>
    </row>
    <row r="191" spans="1:22" ht="15.5" x14ac:dyDescent="0.35">
      <c r="A191" s="620"/>
      <c r="B191" s="635"/>
      <c r="C191" s="632"/>
      <c r="D191" s="720"/>
      <c r="F191" s="2153" t="s">
        <v>268</v>
      </c>
      <c r="G191" s="2154"/>
      <c r="H191" s="2155"/>
      <c r="I191" s="643">
        <f>SUM(M178:M179,M181,M183,M184,M186)</f>
        <v>4065700.7643630942</v>
      </c>
      <c r="J191" s="620"/>
      <c r="K191" s="702"/>
      <c r="L191" s="620"/>
      <c r="M191" s="620"/>
      <c r="N191" s="635"/>
      <c r="O191" s="620"/>
    </row>
    <row r="192" spans="1:22" ht="15.5" x14ac:dyDescent="0.35">
      <c r="A192" s="620"/>
      <c r="B192" s="635"/>
      <c r="C192" s="632"/>
      <c r="D192" s="720"/>
      <c r="F192" s="2153" t="s">
        <v>269</v>
      </c>
      <c r="G192" s="2154"/>
      <c r="H192" s="2155"/>
      <c r="I192" s="643">
        <f>SUM(M182,M185)</f>
        <v>1842622.5358860909</v>
      </c>
      <c r="J192" s="620"/>
      <c r="K192" s="702"/>
      <c r="L192" s="620"/>
      <c r="M192" s="620"/>
      <c r="N192" s="635"/>
      <c r="O192" s="620"/>
    </row>
    <row r="193" spans="1:15" ht="15" x14ac:dyDescent="0.35">
      <c r="A193" s="620"/>
      <c r="B193" s="635"/>
      <c r="C193" s="632"/>
      <c r="D193" s="720"/>
      <c r="E193" s="1788"/>
      <c r="F193" s="2156" t="s">
        <v>210</v>
      </c>
      <c r="G193" s="2156"/>
      <c r="H193" s="2156"/>
      <c r="I193" s="656">
        <f>SUM(I190:I192)</f>
        <v>8785082.4401116632</v>
      </c>
      <c r="J193" s="656">
        <f>I193-M187</f>
        <v>-6718677.559888538</v>
      </c>
      <c r="K193" s="702"/>
      <c r="L193" s="620"/>
      <c r="M193" s="620"/>
      <c r="N193" s="635"/>
      <c r="O193" s="620"/>
    </row>
    <row r="194" spans="1:15" x14ac:dyDescent="0.35">
      <c r="A194" s="620"/>
      <c r="B194" s="635"/>
      <c r="C194" s="632"/>
      <c r="D194" s="720"/>
      <c r="E194" s="1788"/>
      <c r="F194" s="620"/>
      <c r="G194" s="620"/>
      <c r="H194" s="620"/>
      <c r="I194" s="620"/>
      <c r="J194" s="620"/>
      <c r="K194" s="702"/>
      <c r="L194" s="620"/>
      <c r="M194" s="620"/>
      <c r="N194" s="635"/>
      <c r="O194" s="620"/>
    </row>
    <row r="195" spans="1:15" x14ac:dyDescent="0.35">
      <c r="A195" s="620"/>
      <c r="B195" s="635"/>
      <c r="C195" s="632"/>
      <c r="D195" s="720"/>
      <c r="E195" s="1788"/>
      <c r="F195" s="620"/>
      <c r="G195" s="620"/>
      <c r="H195" s="620"/>
      <c r="I195" s="620"/>
      <c r="J195" s="620"/>
      <c r="K195" s="702"/>
      <c r="L195" s="620"/>
      <c r="M195" s="620"/>
      <c r="N195" s="635"/>
      <c r="O195" s="620"/>
    </row>
    <row r="196" spans="1:15" x14ac:dyDescent="0.35">
      <c r="A196" s="620"/>
      <c r="B196" s="635"/>
      <c r="C196" s="632"/>
      <c r="D196" s="720"/>
      <c r="E196" s="1788"/>
      <c r="F196" s="620"/>
      <c r="G196" s="620"/>
      <c r="H196" s="620"/>
      <c r="I196" s="620"/>
      <c r="J196" s="620"/>
      <c r="K196" s="702"/>
      <c r="L196" s="620"/>
      <c r="M196" s="620"/>
      <c r="N196" s="635"/>
      <c r="O196" s="620"/>
    </row>
    <row r="197" spans="1:15" x14ac:dyDescent="0.35">
      <c r="A197" s="620"/>
      <c r="B197" s="635"/>
      <c r="C197" s="632"/>
      <c r="D197" s="720"/>
      <c r="E197" s="1788"/>
      <c r="F197" s="620"/>
      <c r="G197" s="620"/>
      <c r="H197" s="620"/>
      <c r="I197" s="620"/>
      <c r="J197" s="620"/>
      <c r="K197" s="702"/>
      <c r="L197" s="620"/>
      <c r="M197" s="620"/>
      <c r="N197" s="635"/>
      <c r="O197" s="620"/>
    </row>
    <row r="198" spans="1:15" x14ac:dyDescent="0.35">
      <c r="A198" s="620"/>
      <c r="B198" s="635"/>
      <c r="C198" s="632"/>
      <c r="D198" s="720"/>
      <c r="E198" s="1788"/>
      <c r="F198" s="620"/>
      <c r="G198" s="620"/>
      <c r="H198" s="620"/>
      <c r="I198" s="620"/>
      <c r="J198" s="620"/>
      <c r="K198" s="702"/>
      <c r="L198" s="620"/>
      <c r="M198" s="620"/>
      <c r="N198" s="635"/>
      <c r="O198" s="620"/>
    </row>
    <row r="199" spans="1:15" x14ac:dyDescent="0.35">
      <c r="A199" s="620"/>
      <c r="B199" s="632"/>
      <c r="C199" s="632"/>
      <c r="D199" s="720"/>
      <c r="E199" s="1788"/>
      <c r="F199" s="620"/>
      <c r="G199" s="620"/>
      <c r="H199" s="620"/>
      <c r="I199" s="620"/>
      <c r="J199" s="620"/>
      <c r="K199" s="702"/>
      <c r="L199" s="620"/>
      <c r="M199" s="620"/>
      <c r="N199" s="635"/>
      <c r="O199" s="620"/>
    </row>
    <row r="200" spans="1:15" x14ac:dyDescent="0.35">
      <c r="A200" s="620"/>
      <c r="B200" s="632"/>
      <c r="C200" s="632"/>
      <c r="D200" s="720"/>
      <c r="E200" s="1788"/>
      <c r="F200" s="620"/>
      <c r="G200" s="620"/>
      <c r="H200" s="620"/>
      <c r="I200" s="620"/>
      <c r="J200" s="620"/>
      <c r="K200" s="702"/>
      <c r="L200" s="620"/>
      <c r="M200" s="620"/>
      <c r="N200" s="635"/>
      <c r="O200" s="620"/>
    </row>
    <row r="201" spans="1:15" x14ac:dyDescent="0.35">
      <c r="A201" s="620"/>
      <c r="B201" s="635"/>
      <c r="C201" s="632"/>
      <c r="D201" s="720"/>
      <c r="E201" s="1788"/>
      <c r="F201" s="620"/>
      <c r="G201" s="620"/>
      <c r="H201" s="620"/>
      <c r="I201" s="620"/>
      <c r="J201" s="620"/>
      <c r="K201" s="702"/>
      <c r="L201" s="620"/>
      <c r="M201" s="620"/>
      <c r="N201" s="635"/>
      <c r="O201" s="620"/>
    </row>
    <row r="202" spans="1:15" x14ac:dyDescent="0.35">
      <c r="A202" s="620"/>
      <c r="B202" s="635"/>
      <c r="C202" s="632"/>
      <c r="D202" s="720"/>
      <c r="E202" s="1788"/>
      <c r="F202" s="620"/>
      <c r="G202" s="620"/>
      <c r="H202" s="620"/>
      <c r="I202" s="620"/>
      <c r="J202" s="620"/>
      <c r="K202" s="702"/>
      <c r="L202" s="620"/>
      <c r="M202" s="620"/>
      <c r="N202" s="635"/>
      <c r="O202" s="620"/>
    </row>
    <row r="203" spans="1:15" x14ac:dyDescent="0.35">
      <c r="A203" s="620"/>
      <c r="B203" s="635"/>
      <c r="C203" s="632"/>
      <c r="D203" s="720"/>
      <c r="E203" s="1788"/>
      <c r="F203" s="620"/>
      <c r="G203" s="620"/>
      <c r="H203" s="620"/>
      <c r="I203" s="620"/>
      <c r="J203" s="620"/>
      <c r="K203" s="702"/>
      <c r="L203" s="620"/>
      <c r="M203" s="620"/>
      <c r="N203" s="635"/>
      <c r="O203" s="620"/>
    </row>
    <row r="204" spans="1:15" ht="25" x14ac:dyDescent="0.35">
      <c r="A204" s="28"/>
      <c r="B204" s="2152"/>
      <c r="C204" s="2152"/>
      <c r="D204" s="2152"/>
      <c r="E204" s="2152"/>
      <c r="F204" s="2152"/>
      <c r="G204" s="2152"/>
      <c r="H204" s="2152"/>
      <c r="I204" s="2152"/>
      <c r="J204" s="2152"/>
      <c r="K204" s="2152"/>
      <c r="L204" s="2152"/>
      <c r="M204" s="2152"/>
      <c r="N204" s="635"/>
      <c r="O204" s="620"/>
    </row>
    <row r="205" spans="1:15" x14ac:dyDescent="0.35">
      <c r="A205" s="620"/>
      <c r="B205" s="635"/>
      <c r="C205" s="632"/>
      <c r="D205" s="720"/>
      <c r="E205" s="1788"/>
      <c r="F205" s="620"/>
      <c r="G205" s="620"/>
      <c r="H205" s="620"/>
      <c r="I205" s="620"/>
      <c r="J205" s="620"/>
      <c r="K205" s="702"/>
      <c r="L205" s="620"/>
      <c r="M205" s="620"/>
      <c r="N205" s="635"/>
      <c r="O205" s="620"/>
    </row>
    <row r="206" spans="1:15" x14ac:dyDescent="0.35">
      <c r="A206" s="620"/>
      <c r="B206" s="635"/>
      <c r="C206" s="632"/>
      <c r="D206" s="720"/>
      <c r="E206" s="1788"/>
      <c r="F206" s="620"/>
      <c r="G206" s="620"/>
      <c r="H206" s="620"/>
      <c r="I206" s="620"/>
      <c r="J206" s="620"/>
      <c r="K206" s="702"/>
      <c r="L206" s="620"/>
      <c r="M206" s="620"/>
      <c r="N206" s="635"/>
      <c r="O206" s="620"/>
    </row>
    <row r="207" spans="1:15" ht="25" x14ac:dyDescent="0.35">
      <c r="A207" s="2095" t="s">
        <v>2457</v>
      </c>
      <c r="B207" s="2095"/>
      <c r="C207" s="2095"/>
      <c r="D207" s="2095"/>
      <c r="E207" s="2095"/>
      <c r="F207" s="2095"/>
      <c r="G207" s="2095"/>
      <c r="H207" s="2095"/>
      <c r="I207" s="2095"/>
      <c r="J207" s="2095"/>
      <c r="K207" s="2095"/>
      <c r="L207" s="2095"/>
      <c r="M207" s="2095"/>
      <c r="N207" s="2095"/>
      <c r="O207" s="756" t="str">
        <f>$O$6</f>
        <v>Month December-2022</v>
      </c>
    </row>
    <row r="208" spans="1:15" ht="15.5" x14ac:dyDescent="0.35">
      <c r="A208" s="2096" t="s">
        <v>0</v>
      </c>
      <c r="B208" s="2098" t="s">
        <v>1</v>
      </c>
      <c r="C208" s="2100" t="s">
        <v>2</v>
      </c>
      <c r="D208" s="2101"/>
      <c r="E208" s="2102"/>
      <c r="F208" s="2103" t="s">
        <v>3</v>
      </c>
      <c r="G208" s="2100" t="s">
        <v>4</v>
      </c>
      <c r="H208" s="2102"/>
      <c r="I208" s="2085"/>
      <c r="J208" s="2103" t="s">
        <v>5</v>
      </c>
      <c r="K208" s="2100" t="s">
        <v>6</v>
      </c>
      <c r="L208" s="2085"/>
      <c r="M208" s="97" t="s">
        <v>32</v>
      </c>
      <c r="N208" s="98"/>
      <c r="O208" s="2084" t="s">
        <v>7</v>
      </c>
    </row>
    <row r="209" spans="1:22" ht="15.5" x14ac:dyDescent="0.35">
      <c r="A209" s="2097"/>
      <c r="B209" s="2099"/>
      <c r="C209" s="2086" t="s">
        <v>1108</v>
      </c>
      <c r="D209" s="2087"/>
      <c r="E209" s="1810" t="s">
        <v>9</v>
      </c>
      <c r="F209" s="2097"/>
      <c r="G209" s="2">
        <f>'NORTH-1'!$G$8</f>
        <v>44774</v>
      </c>
      <c r="H209" s="2">
        <f>'NORTH-1'!$H$8</f>
        <v>44805</v>
      </c>
      <c r="I209" s="1" t="s">
        <v>10</v>
      </c>
      <c r="J209" s="2097"/>
      <c r="K209" s="1" t="s">
        <v>11</v>
      </c>
      <c r="L209" s="1" t="s">
        <v>12</v>
      </c>
      <c r="M209" s="617" t="s">
        <v>33</v>
      </c>
      <c r="N209" s="76" t="s">
        <v>47</v>
      </c>
      <c r="O209" s="2085"/>
    </row>
    <row r="210" spans="1:22" ht="15.5" x14ac:dyDescent="0.35">
      <c r="A210" s="3">
        <v>1</v>
      </c>
      <c r="B210" s="88">
        <v>2</v>
      </c>
      <c r="C210" s="2088">
        <v>4</v>
      </c>
      <c r="D210" s="2089"/>
      <c r="E210" s="1811">
        <v>5</v>
      </c>
      <c r="F210" s="3">
        <v>7</v>
      </c>
      <c r="G210" s="3">
        <v>8</v>
      </c>
      <c r="H210" s="3">
        <v>9</v>
      </c>
      <c r="I210" s="3" t="s">
        <v>13</v>
      </c>
      <c r="J210" s="3">
        <v>11</v>
      </c>
      <c r="K210" s="3" t="s">
        <v>19</v>
      </c>
      <c r="L210" s="3" t="s">
        <v>20</v>
      </c>
      <c r="M210" s="3">
        <v>14</v>
      </c>
      <c r="N210" s="77">
        <v>15</v>
      </c>
      <c r="O210" s="3">
        <v>16</v>
      </c>
    </row>
    <row r="211" spans="1:22" ht="15.5" x14ac:dyDescent="0.35">
      <c r="A211" s="631"/>
      <c r="B211" s="624" t="s">
        <v>2452</v>
      </c>
      <c r="C211" s="625"/>
      <c r="D211" s="625"/>
      <c r="E211" s="1794"/>
      <c r="F211" s="625"/>
      <c r="G211" s="625"/>
      <c r="H211" s="625"/>
      <c r="I211" s="625"/>
      <c r="J211" s="625"/>
      <c r="K211" s="695"/>
      <c r="L211" s="625"/>
      <c r="M211" s="626"/>
      <c r="N211" s="1972"/>
      <c r="O211" s="616"/>
    </row>
    <row r="212" spans="1:22" s="1446" customFormat="1" ht="12.75" customHeight="1" x14ac:dyDescent="0.35">
      <c r="A212" s="2202">
        <v>1</v>
      </c>
      <c r="B212" s="1641" t="s">
        <v>1774</v>
      </c>
      <c r="C212" s="1490">
        <v>33</v>
      </c>
      <c r="D212" s="1490" t="s">
        <v>527</v>
      </c>
      <c r="E212" s="1813" t="s">
        <v>1775</v>
      </c>
      <c r="F212" s="1492">
        <v>1</v>
      </c>
      <c r="G212" s="1493">
        <v>3940.902</v>
      </c>
      <c r="H212" s="1493">
        <v>3973.43</v>
      </c>
      <c r="I212" s="1494">
        <f>H212-G212</f>
        <v>32.527999999999793</v>
      </c>
      <c r="J212" s="1490">
        <v>240000</v>
      </c>
      <c r="K212" s="1642">
        <f>F212*I212*J212</f>
        <v>7806719.9999999506</v>
      </c>
      <c r="L212" s="1643"/>
      <c r="M212" s="1497"/>
      <c r="N212" s="1448"/>
      <c r="O212" s="1735"/>
      <c r="P212" s="1497"/>
      <c r="Q212" s="1497"/>
      <c r="R212" s="1497"/>
      <c r="S212" s="1497"/>
      <c r="T212" s="1497"/>
      <c r="U212" s="1497"/>
      <c r="V212" s="1497"/>
    </row>
    <row r="213" spans="1:22" s="1446" customFormat="1" ht="12.75" customHeight="1" x14ac:dyDescent="0.35">
      <c r="A213" s="2184"/>
      <c r="B213" s="1455"/>
      <c r="C213" s="1463">
        <v>33</v>
      </c>
      <c r="D213" s="1463" t="s">
        <v>1652</v>
      </c>
      <c r="E213" s="1793" t="s">
        <v>1665</v>
      </c>
      <c r="F213" s="1464">
        <v>1</v>
      </c>
      <c r="G213" s="1500">
        <v>3941.7280000000001</v>
      </c>
      <c r="H213" s="1500">
        <v>3974.2530000000002</v>
      </c>
      <c r="I213" s="1466">
        <f>H213-G213</f>
        <v>32.525000000000091</v>
      </c>
      <c r="J213" s="1463">
        <v>240000</v>
      </c>
      <c r="K213" s="1644">
        <f>F213*I213*J213</f>
        <v>7806000.0000000214</v>
      </c>
      <c r="L213" s="1645"/>
      <c r="M213" s="1447"/>
      <c r="N213" s="1976"/>
      <c r="O213" s="1733"/>
      <c r="P213" s="1447"/>
      <c r="Q213" s="1447"/>
      <c r="R213" s="1447"/>
      <c r="S213" s="1447"/>
      <c r="T213" s="1447"/>
      <c r="U213" s="1447"/>
      <c r="V213" s="1447"/>
    </row>
    <row r="214" spans="1:22" s="1446" customFormat="1" ht="12.75" customHeight="1" x14ac:dyDescent="0.35">
      <c r="A214" s="2203">
        <v>2</v>
      </c>
      <c r="B214" s="1579" t="s">
        <v>1776</v>
      </c>
      <c r="C214" s="1506">
        <v>33</v>
      </c>
      <c r="D214" s="1506" t="s">
        <v>527</v>
      </c>
      <c r="E214" s="1802" t="s">
        <v>1694</v>
      </c>
      <c r="F214" s="1508">
        <v>1</v>
      </c>
      <c r="G214" s="1522">
        <v>3740.4</v>
      </c>
      <c r="H214" s="1522">
        <v>3758.94</v>
      </c>
      <c r="I214" s="1517">
        <f>H214-G214</f>
        <v>18.539999999999964</v>
      </c>
      <c r="J214" s="1506">
        <v>240000</v>
      </c>
      <c r="K214" s="1646">
        <f>F214*I214*J214</f>
        <v>4449599.9999999916</v>
      </c>
      <c r="L214" s="1647"/>
      <c r="M214" s="1497"/>
      <c r="N214" s="1448"/>
      <c r="O214" s="1735"/>
      <c r="P214" s="1497"/>
      <c r="Q214" s="1497"/>
      <c r="R214" s="1497"/>
      <c r="S214" s="1497"/>
      <c r="T214" s="1497"/>
      <c r="U214" s="1497"/>
      <c r="V214" s="1497"/>
    </row>
    <row r="215" spans="1:22" s="1446" customFormat="1" ht="12.75" customHeight="1" x14ac:dyDescent="0.35">
      <c r="A215" s="2184"/>
      <c r="B215" s="1455"/>
      <c r="C215" s="1550">
        <v>33</v>
      </c>
      <c r="D215" s="1550" t="s">
        <v>1652</v>
      </c>
      <c r="E215" s="1825" t="s">
        <v>1668</v>
      </c>
      <c r="F215" s="1551">
        <v>1</v>
      </c>
      <c r="G215" s="1501">
        <v>3462.3490000000002</v>
      </c>
      <c r="H215" s="1501">
        <v>3480.8719999999998</v>
      </c>
      <c r="I215" s="1552">
        <f>H215-G215</f>
        <v>18.522999999999683</v>
      </c>
      <c r="J215" s="1550">
        <v>240000</v>
      </c>
      <c r="K215" s="1648">
        <f>F215*I215*J215</f>
        <v>4445519.9999999236</v>
      </c>
      <c r="L215" s="1649"/>
      <c r="M215" s="1447"/>
      <c r="N215" s="1976"/>
      <c r="O215" s="1733"/>
      <c r="P215" s="1447"/>
      <c r="Q215" s="1447"/>
      <c r="R215" s="1447"/>
      <c r="S215" s="1447"/>
      <c r="T215" s="1447"/>
      <c r="U215" s="1447"/>
      <c r="V215" s="1447"/>
    </row>
    <row r="216" spans="1:22" ht="15.5" x14ac:dyDescent="0.35">
      <c r="A216" s="631"/>
      <c r="B216" s="102"/>
      <c r="C216" s="91"/>
      <c r="D216" s="726"/>
      <c r="E216" s="1814"/>
      <c r="F216" s="47"/>
      <c r="G216" s="48"/>
      <c r="H216" s="48"/>
      <c r="I216" s="48"/>
      <c r="J216" s="96" t="s">
        <v>30</v>
      </c>
      <c r="K216" s="43">
        <f>K215+K213</f>
        <v>12251519.999999944</v>
      </c>
      <c r="L216" s="43">
        <f>SUM(L212:L215)</f>
        <v>0</v>
      </c>
      <c r="M216" s="43">
        <f>SUM(M212:M215)</f>
        <v>0</v>
      </c>
      <c r="N216" s="646"/>
      <c r="O216" s="616"/>
    </row>
    <row r="217" spans="1:22" ht="15.5" x14ac:dyDescent="0.35">
      <c r="A217" s="616"/>
      <c r="B217" s="624" t="s">
        <v>2458</v>
      </c>
      <c r="C217" s="625"/>
      <c r="D217" s="625"/>
      <c r="E217" s="1794"/>
      <c r="F217" s="625"/>
      <c r="G217" s="625"/>
      <c r="H217" s="625"/>
      <c r="I217" s="625"/>
      <c r="J217" s="732"/>
      <c r="K217" s="733"/>
      <c r="L217" s="734"/>
      <c r="M217" s="734"/>
      <c r="N217" s="1972"/>
      <c r="O217" s="12"/>
    </row>
    <row r="218" spans="1:22" s="1446" customFormat="1" ht="12.75" customHeight="1" x14ac:dyDescent="0.35">
      <c r="A218" s="1585">
        <v>3</v>
      </c>
      <c r="B218" s="1554" t="s">
        <v>1777</v>
      </c>
      <c r="C218" s="1553">
        <v>33</v>
      </c>
      <c r="D218" s="1554"/>
      <c r="E218" s="1823">
        <v>30799103</v>
      </c>
      <c r="F218" s="1555">
        <v>1</v>
      </c>
      <c r="G218" s="1586">
        <v>4117.16</v>
      </c>
      <c r="H218" s="1586">
        <v>4135.82</v>
      </c>
      <c r="I218" s="1650">
        <v>18.659999999999854</v>
      </c>
      <c r="J218" s="1553">
        <v>240000</v>
      </c>
      <c r="K218" s="1587">
        <v>4478399.9999999646</v>
      </c>
      <c r="L218" s="1556"/>
      <c r="M218" s="1450"/>
      <c r="N218" s="1970"/>
      <c r="O218" s="1734"/>
      <c r="P218" s="1450"/>
      <c r="Q218" s="1450"/>
      <c r="R218" s="1450"/>
      <c r="S218" s="1450"/>
      <c r="T218" s="1450"/>
      <c r="U218" s="1450"/>
      <c r="V218" s="1450"/>
    </row>
    <row r="219" spans="1:22" s="1446" customFormat="1" ht="12.75" customHeight="1" x14ac:dyDescent="0.35">
      <c r="A219" s="1504">
        <v>7</v>
      </c>
      <c r="B219" s="1605" t="s">
        <v>1781</v>
      </c>
      <c r="C219" s="1547">
        <v>33</v>
      </c>
      <c r="D219" s="1547"/>
      <c r="E219" s="1815">
        <v>30799100</v>
      </c>
      <c r="F219" s="1548">
        <v>1</v>
      </c>
      <c r="G219" s="1505">
        <v>3966.34</v>
      </c>
      <c r="H219" s="1505">
        <v>3998.61</v>
      </c>
      <c r="I219" s="1584">
        <v>32.269999999999982</v>
      </c>
      <c r="J219" s="1547">
        <v>240000</v>
      </c>
      <c r="K219" s="1549">
        <v>7744799.9999999953</v>
      </c>
      <c r="L219" s="1608"/>
      <c r="M219" s="1450"/>
      <c r="N219" s="1970"/>
      <c r="O219" s="1734"/>
      <c r="P219" s="1450"/>
      <c r="Q219" s="1450"/>
      <c r="R219" s="1450"/>
      <c r="S219" s="1450"/>
      <c r="T219" s="1450"/>
      <c r="U219" s="1450"/>
      <c r="V219" s="1450"/>
    </row>
    <row r="220" spans="1:22" ht="15.5" x14ac:dyDescent="0.35">
      <c r="A220" s="616"/>
      <c r="B220" s="102"/>
      <c r="C220" s="91"/>
      <c r="D220" s="726"/>
      <c r="E220" s="1814"/>
      <c r="F220" s="47"/>
      <c r="G220" s="48"/>
      <c r="H220" s="48"/>
      <c r="I220" s="36"/>
      <c r="J220" s="96" t="s">
        <v>30</v>
      </c>
      <c r="K220" s="43">
        <f>SUM(K218:K219)</f>
        <v>12223199.999999959</v>
      </c>
      <c r="L220" s="43">
        <f>SUM(L218:L219)</f>
        <v>0</v>
      </c>
      <c r="M220" s="43">
        <f>SUM(M218:M219)</f>
        <v>0</v>
      </c>
      <c r="N220" s="1973"/>
      <c r="O220" s="12"/>
    </row>
    <row r="221" spans="1:22" ht="15.5" x14ac:dyDescent="0.35">
      <c r="A221" s="616"/>
      <c r="B221" s="647" t="s">
        <v>2459</v>
      </c>
      <c r="C221" s="648"/>
      <c r="D221" s="648"/>
      <c r="E221" s="1800"/>
      <c r="F221" s="648"/>
      <c r="G221" s="648"/>
      <c r="H221" s="648"/>
      <c r="I221" s="648"/>
      <c r="J221" s="648"/>
      <c r="K221" s="700"/>
      <c r="L221" s="648"/>
      <c r="M221" s="651"/>
      <c r="N221" s="1971"/>
      <c r="O221" s="8"/>
    </row>
    <row r="222" spans="1:22" ht="15.5" x14ac:dyDescent="0.35">
      <c r="A222" s="616"/>
      <c r="B222" s="100" t="s">
        <v>1079</v>
      </c>
      <c r="C222" s="52">
        <v>132</v>
      </c>
      <c r="D222" s="2138" t="s">
        <v>1083</v>
      </c>
      <c r="E222" s="1818"/>
      <c r="F222" s="4"/>
      <c r="G222" s="5"/>
      <c r="H222" s="5"/>
      <c r="I222" s="5"/>
      <c r="J222" s="616"/>
      <c r="K222" s="696"/>
      <c r="L222" s="16">
        <f>J222*I222*F222</f>
        <v>0</v>
      </c>
      <c r="M222" s="7"/>
      <c r="N222" s="1428"/>
      <c r="O222" s="616"/>
    </row>
    <row r="223" spans="1:22" ht="15.5" x14ac:dyDescent="0.35">
      <c r="A223" s="616"/>
      <c r="B223" s="100" t="s">
        <v>1078</v>
      </c>
      <c r="C223" s="52">
        <v>132</v>
      </c>
      <c r="D223" s="2139"/>
      <c r="E223" s="1818"/>
      <c r="F223" s="4"/>
      <c r="G223" s="5"/>
      <c r="H223" s="5"/>
      <c r="I223" s="5"/>
      <c r="J223" s="616"/>
      <c r="K223" s="696"/>
      <c r="L223" s="16">
        <f>J223*I223*F223</f>
        <v>0</v>
      </c>
      <c r="M223" s="16"/>
      <c r="N223" s="711"/>
      <c r="O223" s="616"/>
    </row>
    <row r="224" spans="1:22" ht="15.5" x14ac:dyDescent="0.35">
      <c r="A224" s="616"/>
      <c r="B224" s="95"/>
      <c r="C224" s="89"/>
      <c r="D224" s="89"/>
      <c r="E224" s="1784"/>
      <c r="F224" s="37"/>
      <c r="G224" s="37"/>
      <c r="H224" s="37"/>
      <c r="I224" s="37"/>
      <c r="J224" s="95" t="s">
        <v>279</v>
      </c>
      <c r="K224" s="699"/>
      <c r="L224" s="55">
        <f>SUM(L222:L223)</f>
        <v>0</v>
      </c>
      <c r="M224" s="633"/>
      <c r="N224" s="1921"/>
      <c r="O224" s="616"/>
    </row>
    <row r="225" spans="1:22" ht="15.5" x14ac:dyDescent="0.35">
      <c r="A225" s="616"/>
      <c r="B225" s="102"/>
      <c r="C225" s="91"/>
      <c r="D225" s="726"/>
      <c r="E225" s="1814"/>
      <c r="F225" s="47"/>
      <c r="G225" s="48"/>
      <c r="H225" s="48"/>
      <c r="I225" s="36"/>
      <c r="J225" s="96"/>
      <c r="K225" s="706"/>
      <c r="L225" s="43"/>
      <c r="M225" s="43"/>
      <c r="N225" s="1973"/>
      <c r="O225" s="12"/>
    </row>
    <row r="226" spans="1:22" ht="15.5" x14ac:dyDescent="0.35">
      <c r="A226" s="636"/>
      <c r="B226" s="647" t="s">
        <v>2460</v>
      </c>
      <c r="C226" s="648"/>
      <c r="D226" s="648"/>
      <c r="E226" s="1800"/>
      <c r="F226" s="648"/>
      <c r="G226" s="648"/>
      <c r="H226" s="648"/>
      <c r="I226" s="648"/>
      <c r="J226" s="50"/>
      <c r="K226" s="710"/>
      <c r="L226" s="51"/>
      <c r="M226" s="51"/>
      <c r="N226" s="1971"/>
      <c r="O226" s="12"/>
    </row>
    <row r="227" spans="1:22" s="1446" customFormat="1" ht="12.75" customHeight="1" x14ac:dyDescent="0.35">
      <c r="A227" s="1600">
        <v>4</v>
      </c>
      <c r="B227" s="1651" t="s">
        <v>1778</v>
      </c>
      <c r="C227" s="1529">
        <v>33</v>
      </c>
      <c r="D227" s="1528"/>
      <c r="E227" s="1807">
        <v>30799099</v>
      </c>
      <c r="F227" s="1530">
        <v>1</v>
      </c>
      <c r="G227" s="1531">
        <v>4359.32</v>
      </c>
      <c r="H227" s="1531">
        <v>4384</v>
      </c>
      <c r="I227" s="1532">
        <f>H227-G227</f>
        <v>24.680000000000291</v>
      </c>
      <c r="J227" s="1529">
        <v>180000</v>
      </c>
      <c r="K227" s="1533"/>
      <c r="L227" s="1562">
        <f>I227*J227</f>
        <v>4442400.0000000522</v>
      </c>
      <c r="M227" s="1450"/>
      <c r="N227" s="1970"/>
      <c r="O227" s="1734"/>
      <c r="P227" s="1450"/>
      <c r="Q227" s="1450"/>
      <c r="R227" s="1450"/>
      <c r="S227" s="1450"/>
      <c r="T227" s="1450"/>
      <c r="U227" s="1450"/>
      <c r="V227" s="1450"/>
    </row>
    <row r="228" spans="1:22" s="1446" customFormat="1" ht="12.75" customHeight="1" x14ac:dyDescent="0.35">
      <c r="A228" s="1600">
        <v>5</v>
      </c>
      <c r="B228" s="1651" t="s">
        <v>1779</v>
      </c>
      <c r="C228" s="1529">
        <v>33</v>
      </c>
      <c r="D228" s="1528"/>
      <c r="E228" s="1807">
        <v>30799139</v>
      </c>
      <c r="F228" s="1530">
        <v>1</v>
      </c>
      <c r="G228" s="1531">
        <v>3841</v>
      </c>
      <c r="H228" s="1531">
        <v>3858.22</v>
      </c>
      <c r="I228" s="1532">
        <f>H228-G228</f>
        <v>17.2199999999998</v>
      </c>
      <c r="J228" s="1529">
        <v>180000</v>
      </c>
      <c r="K228" s="1533"/>
      <c r="L228" s="1562">
        <f>I228*J228</f>
        <v>3099599.9999999641</v>
      </c>
      <c r="M228" s="1450"/>
      <c r="N228" s="1970"/>
      <c r="O228" s="1734"/>
      <c r="P228" s="1450"/>
      <c r="Q228" s="1450"/>
      <c r="R228" s="1450"/>
      <c r="S228" s="1450"/>
      <c r="T228" s="1450"/>
      <c r="U228" s="1450"/>
      <c r="V228" s="1450"/>
    </row>
    <row r="229" spans="1:22" s="1446" customFormat="1" ht="12.75" customHeight="1" x14ac:dyDescent="0.35">
      <c r="A229" s="1600">
        <v>6</v>
      </c>
      <c r="B229" s="1651" t="s">
        <v>1780</v>
      </c>
      <c r="C229" s="1529">
        <v>33</v>
      </c>
      <c r="D229" s="1528"/>
      <c r="E229" s="1807">
        <v>30799102</v>
      </c>
      <c r="F229" s="1530">
        <v>1</v>
      </c>
      <c r="G229" s="1531">
        <v>1827.2</v>
      </c>
      <c r="H229" s="1531">
        <v>1827.2</v>
      </c>
      <c r="I229" s="1532">
        <f>H229-G229</f>
        <v>0</v>
      </c>
      <c r="J229" s="1529">
        <v>240000</v>
      </c>
      <c r="K229" s="1533"/>
      <c r="L229" s="1562">
        <f>I229*J229</f>
        <v>0</v>
      </c>
      <c r="M229" s="1450"/>
      <c r="N229" s="1970"/>
      <c r="O229" s="1734"/>
      <c r="P229" s="1450"/>
      <c r="Q229" s="1450"/>
      <c r="R229" s="1450"/>
      <c r="S229" s="1450"/>
      <c r="T229" s="1450"/>
      <c r="U229" s="1450"/>
      <c r="V229" s="1450"/>
    </row>
    <row r="230" spans="1:22" ht="15" x14ac:dyDescent="0.35">
      <c r="A230" s="636"/>
      <c r="B230" s="96"/>
      <c r="C230" s="90"/>
      <c r="D230" s="90"/>
      <c r="E230" s="1785"/>
      <c r="F230" s="38"/>
      <c r="G230" s="38"/>
      <c r="H230" s="38"/>
      <c r="I230" s="38"/>
      <c r="J230" s="96" t="s">
        <v>30</v>
      </c>
      <c r="K230" s="708"/>
      <c r="L230" s="43">
        <f>SUM(L227:L229)</f>
        <v>7542000.0000000168</v>
      </c>
      <c r="M230" s="43">
        <f>SUM(M227:M229)</f>
        <v>0</v>
      </c>
      <c r="N230" s="650"/>
      <c r="O230" s="12"/>
    </row>
    <row r="231" spans="1:22" ht="15.5" thickBot="1" x14ac:dyDescent="0.4">
      <c r="A231" s="702"/>
      <c r="B231" s="736"/>
      <c r="C231" s="92"/>
      <c r="D231" s="92"/>
      <c r="E231" s="1786"/>
      <c r="F231" s="737"/>
      <c r="G231" s="737"/>
      <c r="H231" s="737"/>
      <c r="I231" s="737"/>
      <c r="J231" s="736"/>
      <c r="K231" s="738"/>
      <c r="L231" s="739"/>
      <c r="M231" s="739"/>
      <c r="N231" s="646"/>
      <c r="O231" s="740"/>
    </row>
    <row r="232" spans="1:22" ht="15" x14ac:dyDescent="0.35">
      <c r="A232" s="702"/>
      <c r="B232" s="2142" t="s">
        <v>1090</v>
      </c>
      <c r="C232" s="2143"/>
      <c r="D232" s="683" t="s">
        <v>14</v>
      </c>
      <c r="F232" s="2144" t="s">
        <v>1091</v>
      </c>
      <c r="G232" s="2145"/>
      <c r="H232" s="2146"/>
      <c r="I232" s="683" t="s">
        <v>14</v>
      </c>
      <c r="J232" s="620"/>
      <c r="K232" s="2147" t="s">
        <v>1092</v>
      </c>
      <c r="L232" s="2148"/>
      <c r="M232" s="684" t="s">
        <v>14</v>
      </c>
      <c r="N232" s="646"/>
      <c r="O232" s="740"/>
    </row>
    <row r="233" spans="1:22" ht="15" x14ac:dyDescent="0.35">
      <c r="A233" s="702"/>
      <c r="B233" s="2122" t="str">
        <f>B211</f>
        <v>Siddhirgonj 33 KV SIDE</v>
      </c>
      <c r="C233" s="2123"/>
      <c r="D233" s="689">
        <f>K216</f>
        <v>12251519.999999944</v>
      </c>
      <c r="F233" s="2124" t="s">
        <v>1093</v>
      </c>
      <c r="G233" s="2125"/>
      <c r="H233" s="2126"/>
      <c r="I233" s="685">
        <f>L224</f>
        <v>0</v>
      </c>
      <c r="J233" s="620"/>
      <c r="K233" s="2160" t="str">
        <f>F234</f>
        <v xml:space="preserve"> 33 KV NET IMPORT</v>
      </c>
      <c r="L233" s="2161"/>
      <c r="M233" s="687">
        <f>I234</f>
        <v>12251519.999999944</v>
      </c>
      <c r="N233" s="646"/>
      <c r="O233" s="740"/>
    </row>
    <row r="234" spans="1:22" ht="15" x14ac:dyDescent="0.35">
      <c r="A234" s="702"/>
      <c r="B234" s="2122" t="s">
        <v>1116</v>
      </c>
      <c r="C234" s="2123"/>
      <c r="D234" s="741"/>
      <c r="F234" s="2124" t="s">
        <v>2455</v>
      </c>
      <c r="G234" s="2125"/>
      <c r="H234" s="2126"/>
      <c r="I234" s="685">
        <f>D237-I233</f>
        <v>12251519.999999944</v>
      </c>
      <c r="J234" s="620"/>
      <c r="K234" s="2162" t="s">
        <v>2456</v>
      </c>
      <c r="L234" s="2163"/>
      <c r="M234" s="685">
        <f>M265</f>
        <v>12251519.999999942</v>
      </c>
      <c r="N234" s="646"/>
      <c r="O234" s="740"/>
    </row>
    <row r="235" spans="1:22" ht="15" x14ac:dyDescent="0.35">
      <c r="A235" s="702"/>
      <c r="B235" s="2122" t="s">
        <v>1117</v>
      </c>
      <c r="C235" s="2123"/>
      <c r="D235" s="721"/>
      <c r="F235" s="2124" t="s">
        <v>1089</v>
      </c>
      <c r="G235" s="2125"/>
      <c r="H235" s="2126"/>
      <c r="I235" s="685">
        <f>I233+I234</f>
        <v>12251519.999999944</v>
      </c>
      <c r="J235" s="620"/>
      <c r="K235" s="2127" t="s">
        <v>284</v>
      </c>
      <c r="L235" s="2128"/>
      <c r="M235" s="685">
        <f>M233-M234</f>
        <v>0</v>
      </c>
      <c r="N235" s="646"/>
      <c r="O235" s="740"/>
    </row>
    <row r="236" spans="1:22" ht="16" thickBot="1" x14ac:dyDescent="0.4">
      <c r="A236" s="702"/>
      <c r="B236" s="2122" t="s">
        <v>1118</v>
      </c>
      <c r="C236" s="2123"/>
      <c r="D236" s="722"/>
      <c r="F236" s="2113" t="s">
        <v>1102</v>
      </c>
      <c r="G236" s="2114"/>
      <c r="H236" s="2115"/>
      <c r="I236" s="690">
        <f>(D237-I235)/I235</f>
        <v>0</v>
      </c>
      <c r="J236" s="620"/>
      <c r="K236" s="2134" t="s">
        <v>285</v>
      </c>
      <c r="L236" s="2135"/>
      <c r="M236" s="688">
        <f>M235/M233</f>
        <v>0</v>
      </c>
      <c r="N236" s="646"/>
      <c r="O236" s="740"/>
    </row>
    <row r="237" spans="1:22" ht="15.5" thickBot="1" x14ac:dyDescent="0.4">
      <c r="A237" s="702"/>
      <c r="B237" s="2158" t="s">
        <v>1082</v>
      </c>
      <c r="C237" s="2159"/>
      <c r="D237" s="686">
        <f>SUM(D233:D235)</f>
        <v>12251519.999999944</v>
      </c>
      <c r="F237" s="620"/>
      <c r="G237" s="620"/>
      <c r="H237" s="620"/>
      <c r="I237" s="620"/>
      <c r="J237" s="620"/>
      <c r="K237" s="702"/>
      <c r="L237" s="620"/>
      <c r="M237" s="620"/>
      <c r="N237" s="646"/>
      <c r="O237" s="740"/>
    </row>
    <row r="238" spans="1:22" ht="15" x14ac:dyDescent="0.35">
      <c r="A238" s="702"/>
      <c r="B238" s="736"/>
      <c r="C238" s="92"/>
      <c r="D238" s="92"/>
      <c r="E238" s="1786"/>
      <c r="F238" s="737"/>
      <c r="G238" s="737"/>
      <c r="H238" s="737"/>
      <c r="I238" s="737"/>
      <c r="J238" s="736"/>
      <c r="K238" s="738"/>
      <c r="L238" s="739"/>
      <c r="M238" s="739"/>
      <c r="N238" s="646"/>
      <c r="O238" s="740"/>
    </row>
    <row r="239" spans="1:22" x14ac:dyDescent="0.35">
      <c r="A239" s="620"/>
      <c r="B239" s="632"/>
      <c r="C239" s="620"/>
      <c r="D239" s="728"/>
      <c r="E239" s="1820"/>
      <c r="F239" s="620"/>
      <c r="G239" s="620"/>
      <c r="H239" s="620"/>
      <c r="I239" s="620"/>
      <c r="J239" s="620"/>
      <c r="K239" s="702"/>
      <c r="L239" s="620"/>
      <c r="M239" s="620"/>
      <c r="N239" s="702"/>
      <c r="O239" s="620"/>
    </row>
    <row r="240" spans="1:22" x14ac:dyDescent="0.35">
      <c r="A240" s="620"/>
      <c r="B240" s="632"/>
      <c r="C240" s="620"/>
      <c r="D240" s="728"/>
      <c r="E240" s="1820"/>
      <c r="F240" s="620"/>
      <c r="G240" s="620"/>
      <c r="H240" s="620"/>
      <c r="I240" s="620"/>
      <c r="J240" s="620"/>
      <c r="K240" s="702"/>
      <c r="L240" s="620"/>
      <c r="M240" s="620"/>
      <c r="N240" s="702"/>
      <c r="O240" s="620"/>
    </row>
    <row r="241" spans="1:22" ht="25" x14ac:dyDescent="0.35">
      <c r="A241" s="2095" t="s">
        <v>1190</v>
      </c>
      <c r="B241" s="2095"/>
      <c r="C241" s="2095"/>
      <c r="D241" s="2095"/>
      <c r="E241" s="2095"/>
      <c r="F241" s="2095"/>
      <c r="G241" s="2095"/>
      <c r="H241" s="2095"/>
      <c r="I241" s="2095"/>
      <c r="J241" s="2095"/>
      <c r="K241" s="2095"/>
      <c r="L241" s="2095"/>
      <c r="M241" s="2095"/>
      <c r="N241" s="2095"/>
      <c r="O241" s="756" t="str">
        <f>$O$6</f>
        <v>Month December-2022</v>
      </c>
    </row>
    <row r="242" spans="1:22" ht="15.5" x14ac:dyDescent="0.35">
      <c r="A242" s="2096" t="s">
        <v>0</v>
      </c>
      <c r="B242" s="2098" t="s">
        <v>1</v>
      </c>
      <c r="C242" s="2100" t="s">
        <v>2</v>
      </c>
      <c r="D242" s="2101"/>
      <c r="E242" s="2102"/>
      <c r="F242" s="2103" t="s">
        <v>3</v>
      </c>
      <c r="G242" s="2100" t="s">
        <v>4</v>
      </c>
      <c r="H242" s="2102"/>
      <c r="I242" s="2085"/>
      <c r="J242" s="2103" t="s">
        <v>5</v>
      </c>
      <c r="K242" s="2100" t="s">
        <v>6</v>
      </c>
      <c r="L242" s="2085"/>
      <c r="M242" s="97" t="s">
        <v>32</v>
      </c>
      <c r="N242" s="98"/>
      <c r="O242" s="2084" t="s">
        <v>7</v>
      </c>
    </row>
    <row r="243" spans="1:22" ht="15.5" x14ac:dyDescent="0.35">
      <c r="A243" s="2097"/>
      <c r="B243" s="2099"/>
      <c r="C243" s="2086" t="s">
        <v>1108</v>
      </c>
      <c r="D243" s="2087"/>
      <c r="E243" s="1810" t="s">
        <v>9</v>
      </c>
      <c r="F243" s="2097"/>
      <c r="G243" s="2">
        <f>'NORTH-1'!$G$8</f>
        <v>44774</v>
      </c>
      <c r="H243" s="2">
        <f>'NORTH-1'!$H$8</f>
        <v>44805</v>
      </c>
      <c r="I243" s="1" t="s">
        <v>10</v>
      </c>
      <c r="J243" s="2097"/>
      <c r="K243" s="1" t="s">
        <v>11</v>
      </c>
      <c r="L243" s="1" t="s">
        <v>12</v>
      </c>
      <c r="M243" s="617" t="s">
        <v>33</v>
      </c>
      <c r="N243" s="76" t="s">
        <v>47</v>
      </c>
      <c r="O243" s="2085"/>
    </row>
    <row r="244" spans="1:22" ht="15.5" x14ac:dyDescent="0.35">
      <c r="A244" s="3">
        <v>1</v>
      </c>
      <c r="B244" s="88">
        <v>2</v>
      </c>
      <c r="C244" s="2088">
        <v>4</v>
      </c>
      <c r="D244" s="2089"/>
      <c r="E244" s="1811">
        <v>5</v>
      </c>
      <c r="F244" s="3">
        <v>7</v>
      </c>
      <c r="G244" s="3">
        <v>8</v>
      </c>
      <c r="H244" s="3">
        <v>9</v>
      </c>
      <c r="I244" s="3" t="s">
        <v>13</v>
      </c>
      <c r="J244" s="3">
        <v>11</v>
      </c>
      <c r="K244" s="3" t="s">
        <v>19</v>
      </c>
      <c r="L244" s="3" t="s">
        <v>20</v>
      </c>
      <c r="M244" s="3">
        <v>14</v>
      </c>
      <c r="N244" s="77">
        <v>15</v>
      </c>
      <c r="O244" s="3">
        <v>16</v>
      </c>
    </row>
    <row r="245" spans="1:22" ht="15.5" x14ac:dyDescent="0.35">
      <c r="A245" s="631"/>
      <c r="B245" s="624" t="s">
        <v>1121</v>
      </c>
      <c r="C245" s="625"/>
      <c r="D245" s="625"/>
      <c r="E245" s="1794"/>
      <c r="F245" s="625"/>
      <c r="G245" s="625"/>
      <c r="H245" s="625"/>
      <c r="I245" s="625"/>
      <c r="J245" s="625"/>
      <c r="K245" s="695"/>
      <c r="L245" s="625"/>
      <c r="M245" s="626"/>
      <c r="N245" s="1972"/>
      <c r="O245" s="616"/>
    </row>
    <row r="246" spans="1:22" s="1446" customFormat="1" ht="12.75" customHeight="1" x14ac:dyDescent="0.35">
      <c r="A246" s="1653">
        <v>10</v>
      </c>
      <c r="B246" s="1654" t="s">
        <v>1784</v>
      </c>
      <c r="C246" s="1655">
        <v>11</v>
      </c>
      <c r="D246" s="1655"/>
      <c r="E246" s="1826">
        <v>2007754972</v>
      </c>
      <c r="F246" s="1656">
        <v>1</v>
      </c>
      <c r="G246" s="1657">
        <v>8979.9500000000007</v>
      </c>
      <c r="H246" s="1657">
        <v>9007.6200000000008</v>
      </c>
      <c r="I246" s="1658">
        <v>27.670000000000073</v>
      </c>
      <c r="J246" s="1655">
        <v>160000</v>
      </c>
      <c r="K246" s="1659">
        <v>4427200.0000000112</v>
      </c>
      <c r="L246" s="1659"/>
      <c r="M246" s="1979">
        <f>K246*$M$233/$K$249</f>
        <v>4440602.4313803716</v>
      </c>
      <c r="N246" s="1975"/>
      <c r="O246" s="1734"/>
      <c r="P246" s="1450"/>
      <c r="Q246" s="1450"/>
      <c r="R246" s="1450"/>
      <c r="S246" s="1450"/>
      <c r="T246" s="1450"/>
      <c r="U246" s="1450"/>
      <c r="V246" s="1450"/>
    </row>
    <row r="247" spans="1:22" s="1446" customFormat="1" ht="12.75" customHeight="1" x14ac:dyDescent="0.35">
      <c r="A247" s="1653">
        <v>15</v>
      </c>
      <c r="B247" s="1654" t="s">
        <v>1790</v>
      </c>
      <c r="C247" s="1655">
        <v>11</v>
      </c>
      <c r="D247" s="1655"/>
      <c r="E247" s="1826">
        <v>30799500</v>
      </c>
      <c r="F247" s="1656">
        <v>1</v>
      </c>
      <c r="G247" s="1657">
        <v>8470.35</v>
      </c>
      <c r="H247" s="1657">
        <v>8508.9</v>
      </c>
      <c r="I247" s="1658">
        <v>38.549999999999272</v>
      </c>
      <c r="J247" s="1655">
        <v>80000</v>
      </c>
      <c r="K247" s="1659">
        <v>3083999.9999999418</v>
      </c>
      <c r="L247" s="1659"/>
      <c r="M247" s="1979">
        <f>K247*$M$233/$K$249</f>
        <v>3093336.1714801169</v>
      </c>
      <c r="N247" s="1975"/>
      <c r="O247" s="1734"/>
      <c r="P247" s="1450"/>
      <c r="Q247" s="1450"/>
      <c r="R247" s="1450"/>
      <c r="S247" s="1450"/>
      <c r="T247" s="1450"/>
      <c r="U247" s="1450"/>
      <c r="V247" s="1450"/>
    </row>
    <row r="248" spans="1:22" s="1446" customFormat="1" ht="12.75" customHeight="1" x14ac:dyDescent="0.35">
      <c r="A248" s="1653">
        <v>20</v>
      </c>
      <c r="B248" s="1681" t="s">
        <v>1797</v>
      </c>
      <c r="C248" s="1682"/>
      <c r="D248" s="1546"/>
      <c r="E248" s="1826" t="s">
        <v>1798</v>
      </c>
      <c r="F248" s="1656">
        <v>1</v>
      </c>
      <c r="G248" s="1683">
        <v>4509377</v>
      </c>
      <c r="H248" s="1683">
        <v>9212720</v>
      </c>
      <c r="I248" s="1684">
        <v>4703343</v>
      </c>
      <c r="J248" s="1655">
        <v>1</v>
      </c>
      <c r="K248" s="1659">
        <v>4703343</v>
      </c>
      <c r="L248" s="1659"/>
      <c r="M248" s="1979">
        <f>K248*$M$233/$K$249</f>
        <v>4717581.3971394552</v>
      </c>
      <c r="N248" s="1975"/>
      <c r="O248" s="1734"/>
      <c r="P248" s="1450"/>
      <c r="Q248" s="1450"/>
      <c r="R248" s="1450"/>
      <c r="S248" s="1450"/>
      <c r="T248" s="1450"/>
      <c r="U248" s="1450"/>
      <c r="V248" s="1450"/>
    </row>
    <row r="249" spans="1:22" ht="15.5" x14ac:dyDescent="0.35">
      <c r="A249" s="631"/>
      <c r="B249" s="102"/>
      <c r="C249" s="91"/>
      <c r="D249" s="726"/>
      <c r="E249" s="1814"/>
      <c r="F249" s="47"/>
      <c r="G249" s="48"/>
      <c r="H249" s="48"/>
      <c r="I249" s="48"/>
      <c r="J249" s="39" t="s">
        <v>30</v>
      </c>
      <c r="K249" s="708">
        <f>SUM(K246:K248)</f>
        <v>12214542.999999953</v>
      </c>
      <c r="L249" s="49"/>
      <c r="M249" s="1750">
        <f>SUM(M246:M248)</f>
        <v>12251519.999999944</v>
      </c>
      <c r="N249" s="72"/>
      <c r="O249" s="616"/>
    </row>
    <row r="250" spans="1:22" ht="15.5" x14ac:dyDescent="0.35">
      <c r="A250" s="631"/>
      <c r="B250" s="647" t="s">
        <v>1121</v>
      </c>
      <c r="C250" s="648"/>
      <c r="D250" s="648"/>
      <c r="E250" s="1800"/>
      <c r="F250" s="648"/>
      <c r="G250" s="648"/>
      <c r="H250" s="648"/>
      <c r="I250" s="648"/>
      <c r="J250" s="50"/>
      <c r="K250" s="710"/>
      <c r="L250" s="51"/>
      <c r="M250" s="1980"/>
      <c r="N250" s="1748"/>
      <c r="O250" s="616"/>
    </row>
    <row r="251" spans="1:22" s="1446" customFormat="1" ht="18.75" customHeight="1" x14ac:dyDescent="0.35">
      <c r="A251" s="1585">
        <v>8</v>
      </c>
      <c r="B251" s="1652" t="s">
        <v>1782</v>
      </c>
      <c r="C251" s="1553">
        <v>11</v>
      </c>
      <c r="D251" s="1553"/>
      <c r="E251" s="1823">
        <v>2007755114</v>
      </c>
      <c r="F251" s="1555">
        <v>1</v>
      </c>
      <c r="G251" s="1612">
        <v>5492.35</v>
      </c>
      <c r="H251" s="1612">
        <v>5514.35</v>
      </c>
      <c r="I251" s="1560">
        <f t="shared" ref="I251:I264" si="7">H251-G251</f>
        <v>22</v>
      </c>
      <c r="J251" s="1553">
        <v>60000</v>
      </c>
      <c r="K251" s="1556"/>
      <c r="L251" s="1556">
        <f t="shared" ref="L251:L262" si="8">F251*I251*J251</f>
        <v>1320000</v>
      </c>
      <c r="M251" s="1981">
        <f>L251*$K$265/$L$265</f>
        <v>1330247.5090997682</v>
      </c>
      <c r="N251" s="1975" t="s">
        <v>115</v>
      </c>
      <c r="O251" s="1734"/>
      <c r="P251" s="1450"/>
      <c r="Q251" s="1450"/>
      <c r="R251" s="1450"/>
      <c r="S251" s="1450"/>
      <c r="T251" s="1450"/>
      <c r="U251" s="1450"/>
      <c r="V251" s="1450"/>
    </row>
    <row r="252" spans="1:22" s="1446" customFormat="1" ht="18.75" customHeight="1" x14ac:dyDescent="0.35">
      <c r="A252" s="1600">
        <v>9</v>
      </c>
      <c r="B252" s="1559" t="s">
        <v>1783</v>
      </c>
      <c r="C252" s="1529">
        <v>11</v>
      </c>
      <c r="D252" s="1529"/>
      <c r="E252" s="1807">
        <v>30799484</v>
      </c>
      <c r="F252" s="1530">
        <v>1</v>
      </c>
      <c r="G252" s="1531">
        <v>19.643000000000001</v>
      </c>
      <c r="H252" s="1531">
        <v>19.858699999999999</v>
      </c>
      <c r="I252" s="1532">
        <f t="shared" si="7"/>
        <v>0.21569999999999823</v>
      </c>
      <c r="J252" s="1529">
        <v>60000</v>
      </c>
      <c r="K252" s="1533"/>
      <c r="L252" s="1556">
        <f t="shared" si="8"/>
        <v>12941.999999999894</v>
      </c>
      <c r="M252" s="1981">
        <f t="shared" ref="M252:M264" si="9">L252*$K$265/$L$265</f>
        <v>13042.472168764441</v>
      </c>
      <c r="N252" s="1975" t="s">
        <v>115</v>
      </c>
      <c r="O252" s="1734"/>
      <c r="P252" s="1450"/>
      <c r="Q252" s="1450"/>
      <c r="R252" s="1450"/>
      <c r="S252" s="1450"/>
      <c r="T252" s="1450"/>
      <c r="U252" s="1450"/>
      <c r="V252" s="1450"/>
    </row>
    <row r="253" spans="1:22" s="1446" customFormat="1" ht="18.75" customHeight="1" x14ac:dyDescent="0.35">
      <c r="A253" s="1600">
        <v>11</v>
      </c>
      <c r="B253" s="1559" t="s">
        <v>1785</v>
      </c>
      <c r="C253" s="1529">
        <v>11</v>
      </c>
      <c r="D253" s="1529"/>
      <c r="E253" s="1815" t="s">
        <v>1786</v>
      </c>
      <c r="F253" s="1548">
        <v>1</v>
      </c>
      <c r="G253" s="1505">
        <v>1755.4724000000001</v>
      </c>
      <c r="H253" s="1505">
        <v>1781.3025</v>
      </c>
      <c r="I253" s="1584">
        <f t="shared" si="7"/>
        <v>25.830099999999902</v>
      </c>
      <c r="J253" s="1547">
        <v>60000</v>
      </c>
      <c r="K253" s="1549"/>
      <c r="L253" s="1549">
        <f t="shared" si="8"/>
        <v>1549805.9999999942</v>
      </c>
      <c r="M253" s="1981">
        <f t="shared" si="9"/>
        <v>1561837.5538544455</v>
      </c>
      <c r="N253" s="1975" t="s">
        <v>115</v>
      </c>
      <c r="O253" s="1734"/>
      <c r="P253" s="1450"/>
      <c r="Q253" s="1450"/>
      <c r="R253" s="1450"/>
      <c r="S253" s="1450"/>
      <c r="T253" s="1450"/>
      <c r="U253" s="1450"/>
      <c r="V253" s="1450"/>
    </row>
    <row r="254" spans="1:22" s="1446" customFormat="1" ht="18.75" customHeight="1" thickBot="1" x14ac:dyDescent="0.4">
      <c r="A254" s="1660">
        <v>12</v>
      </c>
      <c r="B254" s="1524" t="s">
        <v>1787</v>
      </c>
      <c r="C254" s="1661"/>
      <c r="D254" s="1662"/>
      <c r="E254" s="1827">
        <v>575926</v>
      </c>
      <c r="F254" s="1663">
        <v>1</v>
      </c>
      <c r="G254" s="1664">
        <v>34509.199999999997</v>
      </c>
      <c r="H254" s="1664">
        <v>36044.6</v>
      </c>
      <c r="I254" s="1664">
        <f t="shared" si="7"/>
        <v>1535.4000000000015</v>
      </c>
      <c r="J254" s="1665">
        <v>1000</v>
      </c>
      <c r="K254" s="1666"/>
      <c r="L254" s="1667">
        <f t="shared" si="8"/>
        <v>1535400.0000000014</v>
      </c>
      <c r="M254" s="1981">
        <f t="shared" si="9"/>
        <v>1547319.7162665045</v>
      </c>
      <c r="N254" s="1975" t="s">
        <v>116</v>
      </c>
      <c r="O254" s="1734"/>
      <c r="P254" s="1450"/>
      <c r="Q254" s="1450"/>
      <c r="R254" s="1450"/>
      <c r="S254" s="1450"/>
      <c r="T254" s="1450"/>
      <c r="U254" s="1450"/>
      <c r="V254" s="1450"/>
    </row>
    <row r="255" spans="1:22" s="1446" customFormat="1" ht="18.75" customHeight="1" thickTop="1" x14ac:dyDescent="0.35">
      <c r="A255" s="1668">
        <v>13</v>
      </c>
      <c r="B255" s="1669" t="s">
        <v>1788</v>
      </c>
      <c r="C255" s="1670">
        <v>11</v>
      </c>
      <c r="D255" s="1670"/>
      <c r="E255" s="1823">
        <v>30799450</v>
      </c>
      <c r="F255" s="1555">
        <v>1</v>
      </c>
      <c r="G255" s="1612">
        <v>1775.23</v>
      </c>
      <c r="H255" s="1612">
        <v>1778.6</v>
      </c>
      <c r="I255" s="1560">
        <f t="shared" si="7"/>
        <v>3.3699999999998909</v>
      </c>
      <c r="J255" s="1553">
        <v>60000</v>
      </c>
      <c r="K255" s="1556"/>
      <c r="L255" s="1556">
        <f t="shared" si="8"/>
        <v>202199.99999999345</v>
      </c>
      <c r="M255" s="1981">
        <f t="shared" si="9"/>
        <v>203769.73207573066</v>
      </c>
      <c r="N255" s="1975" t="s">
        <v>115</v>
      </c>
      <c r="O255" s="1734"/>
      <c r="P255" s="1450"/>
      <c r="Q255" s="1450"/>
      <c r="R255" s="1450"/>
      <c r="S255" s="1450"/>
      <c r="T255" s="1450"/>
      <c r="U255" s="1450"/>
      <c r="V255" s="1450"/>
    </row>
    <row r="256" spans="1:22" s="1446" customFormat="1" ht="18.75" customHeight="1" x14ac:dyDescent="0.35">
      <c r="A256" s="1600">
        <v>14</v>
      </c>
      <c r="B256" s="1528" t="s">
        <v>1789</v>
      </c>
      <c r="C256" s="1529">
        <v>11</v>
      </c>
      <c r="D256" s="1529"/>
      <c r="E256" s="1807">
        <v>30799145</v>
      </c>
      <c r="F256" s="1530">
        <v>1</v>
      </c>
      <c r="G256" s="1531">
        <v>5159.45</v>
      </c>
      <c r="H256" s="1531">
        <v>5191.12</v>
      </c>
      <c r="I256" s="1532">
        <f t="shared" si="7"/>
        <v>31.670000000000073</v>
      </c>
      <c r="J256" s="1529">
        <v>60000</v>
      </c>
      <c r="K256" s="1533"/>
      <c r="L256" s="1533">
        <f t="shared" si="8"/>
        <v>1900200.0000000044</v>
      </c>
      <c r="M256" s="1981">
        <f t="shared" si="9"/>
        <v>1914951.7551449894</v>
      </c>
      <c r="N256" s="1975" t="s">
        <v>115</v>
      </c>
      <c r="O256" s="1734"/>
      <c r="P256" s="1450"/>
      <c r="Q256" s="1450"/>
      <c r="R256" s="1450"/>
      <c r="S256" s="1450"/>
      <c r="T256" s="1450"/>
      <c r="U256" s="1450"/>
      <c r="V256" s="1450"/>
    </row>
    <row r="257" spans="1:22" s="1446" customFormat="1" ht="18.75" customHeight="1" x14ac:dyDescent="0.35">
      <c r="A257" s="1474">
        <v>16</v>
      </c>
      <c r="B257" s="1475" t="s">
        <v>1791</v>
      </c>
      <c r="C257" s="1459">
        <v>11</v>
      </c>
      <c r="D257" s="1459"/>
      <c r="E257" s="1792">
        <v>30799480</v>
      </c>
      <c r="F257" s="1476">
        <v>1</v>
      </c>
      <c r="G257" s="1462">
        <v>3188.2</v>
      </c>
      <c r="H257" s="1462">
        <v>3200.59</v>
      </c>
      <c r="I257" s="1462">
        <f t="shared" si="7"/>
        <v>12.390000000000327</v>
      </c>
      <c r="J257" s="1459">
        <v>60000</v>
      </c>
      <c r="K257" s="1572"/>
      <c r="L257" s="1533">
        <f t="shared" si="8"/>
        <v>743400.00000001967</v>
      </c>
      <c r="M257" s="1981">
        <f t="shared" si="9"/>
        <v>749171.2108066621</v>
      </c>
      <c r="N257" s="1975" t="s">
        <v>115</v>
      </c>
      <c r="O257" s="1734"/>
      <c r="P257" s="1450"/>
      <c r="Q257" s="1450"/>
      <c r="R257" s="1450"/>
      <c r="S257" s="1450"/>
      <c r="T257" s="1450"/>
      <c r="U257" s="1450"/>
      <c r="V257" s="1450"/>
    </row>
    <row r="258" spans="1:22" s="1446" customFormat="1" ht="18.75" customHeight="1" thickBot="1" x14ac:dyDescent="0.4">
      <c r="A258" s="1671">
        <v>17</v>
      </c>
      <c r="B258" s="1672" t="s">
        <v>1792</v>
      </c>
      <c r="C258" s="1673">
        <v>11</v>
      </c>
      <c r="D258" s="1673"/>
      <c r="E258" s="1828">
        <v>30799119</v>
      </c>
      <c r="F258" s="1674">
        <v>1</v>
      </c>
      <c r="G258" s="1675">
        <v>1586.97</v>
      </c>
      <c r="H258" s="1675">
        <v>1590.1</v>
      </c>
      <c r="I258" s="1675">
        <f t="shared" si="7"/>
        <v>3.1299999999998818</v>
      </c>
      <c r="J258" s="1673">
        <v>60000</v>
      </c>
      <c r="K258" s="1676"/>
      <c r="L258" s="1667">
        <f t="shared" si="8"/>
        <v>187799.9999999929</v>
      </c>
      <c r="M258" s="1981">
        <f t="shared" si="9"/>
        <v>189257.94106736896</v>
      </c>
      <c r="N258" s="1975" t="s">
        <v>115</v>
      </c>
      <c r="O258" s="1734"/>
      <c r="P258" s="1450"/>
      <c r="Q258" s="1450"/>
      <c r="R258" s="1450"/>
      <c r="S258" s="1450"/>
      <c r="T258" s="1450"/>
      <c r="U258" s="1450"/>
      <c r="V258" s="1450"/>
    </row>
    <row r="259" spans="1:22" s="1446" customFormat="1" ht="18.75" customHeight="1" thickTop="1" x14ac:dyDescent="0.35">
      <c r="A259" s="1677">
        <v>18</v>
      </c>
      <c r="B259" s="1678" t="s">
        <v>1793</v>
      </c>
      <c r="C259" s="1463">
        <v>11</v>
      </c>
      <c r="D259" s="1463"/>
      <c r="E259" s="1793" t="s">
        <v>1794</v>
      </c>
      <c r="F259" s="1464">
        <v>1</v>
      </c>
      <c r="G259" s="1612"/>
      <c r="H259" s="1612"/>
      <c r="I259" s="1560">
        <f t="shared" si="7"/>
        <v>0</v>
      </c>
      <c r="J259" s="1463">
        <v>1</v>
      </c>
      <c r="K259" s="1679"/>
      <c r="L259" s="1679">
        <f t="shared" si="8"/>
        <v>0</v>
      </c>
      <c r="M259" s="1981">
        <f t="shared" si="9"/>
        <v>0</v>
      </c>
      <c r="N259" s="1975" t="s">
        <v>115</v>
      </c>
      <c r="O259" s="1734"/>
      <c r="P259" s="1450"/>
      <c r="Q259" s="1450"/>
      <c r="R259" s="1450"/>
      <c r="S259" s="1450"/>
      <c r="T259" s="1450"/>
      <c r="U259" s="1450"/>
      <c r="V259" s="1450"/>
    </row>
    <row r="260" spans="1:22" s="1446" customFormat="1" ht="18.75" customHeight="1" x14ac:dyDescent="0.35">
      <c r="A260" s="1474">
        <v>19</v>
      </c>
      <c r="B260" s="1475" t="s">
        <v>1795</v>
      </c>
      <c r="C260" s="1459">
        <v>11</v>
      </c>
      <c r="D260" s="1459"/>
      <c r="E260" s="1792" t="s">
        <v>1796</v>
      </c>
      <c r="F260" s="1476">
        <v>1</v>
      </c>
      <c r="G260" s="1680">
        <v>62373234</v>
      </c>
      <c r="H260" s="1680">
        <v>63778763</v>
      </c>
      <c r="I260" s="1680">
        <f t="shared" si="7"/>
        <v>1405529</v>
      </c>
      <c r="J260" s="1459">
        <v>1</v>
      </c>
      <c r="K260" s="1572"/>
      <c r="L260" s="1572">
        <f t="shared" si="8"/>
        <v>1405529</v>
      </c>
      <c r="M260" s="1981">
        <f t="shared" si="9"/>
        <v>1416440.4933465822</v>
      </c>
      <c r="N260" s="1975" t="s">
        <v>115</v>
      </c>
      <c r="O260" s="1734"/>
      <c r="P260" s="1450"/>
      <c r="Q260" s="1450"/>
      <c r="R260" s="1450"/>
      <c r="S260" s="1450"/>
      <c r="T260" s="1450"/>
      <c r="U260" s="1450"/>
      <c r="V260" s="1450"/>
    </row>
    <row r="261" spans="1:22" s="1446" customFormat="1" ht="18.75" customHeight="1" x14ac:dyDescent="0.35">
      <c r="A261" s="1600">
        <v>21</v>
      </c>
      <c r="B261" s="1559" t="s">
        <v>1799</v>
      </c>
      <c r="C261" s="1529">
        <v>11</v>
      </c>
      <c r="D261" s="1529"/>
      <c r="E261" s="1807" t="s">
        <v>1800</v>
      </c>
      <c r="F261" s="1530">
        <v>1</v>
      </c>
      <c r="G261" s="1531">
        <v>46187652</v>
      </c>
      <c r="H261" s="1531">
        <v>47645110</v>
      </c>
      <c r="I261" s="1619">
        <f t="shared" si="7"/>
        <v>1457458</v>
      </c>
      <c r="J261" s="1529">
        <v>1</v>
      </c>
      <c r="K261" s="1533"/>
      <c r="L261" s="1533">
        <f t="shared" si="8"/>
        <v>1457458</v>
      </c>
      <c r="M261" s="1981">
        <f t="shared" si="9"/>
        <v>1468772.6319072198</v>
      </c>
      <c r="N261" s="1975" t="s">
        <v>115</v>
      </c>
      <c r="O261" s="1734"/>
      <c r="P261" s="1450"/>
      <c r="Q261" s="1450"/>
      <c r="R261" s="1450"/>
      <c r="S261" s="1450"/>
      <c r="T261" s="1450"/>
      <c r="U261" s="1450"/>
      <c r="V261" s="1450"/>
    </row>
    <row r="262" spans="1:22" s="1446" customFormat="1" ht="18.75" customHeight="1" x14ac:dyDescent="0.35">
      <c r="A262" s="1600">
        <v>22</v>
      </c>
      <c r="B262" s="1559" t="s">
        <v>1801</v>
      </c>
      <c r="C262" s="1529">
        <v>11</v>
      </c>
      <c r="D262" s="1529"/>
      <c r="E262" s="1807" t="s">
        <v>1802</v>
      </c>
      <c r="F262" s="1530">
        <v>1</v>
      </c>
      <c r="G262" s="1531">
        <v>6579130</v>
      </c>
      <c r="H262" s="1531">
        <v>8418128</v>
      </c>
      <c r="I262" s="1619">
        <f t="shared" si="7"/>
        <v>1838998</v>
      </c>
      <c r="J262" s="1529">
        <v>1</v>
      </c>
      <c r="K262" s="1533"/>
      <c r="L262" s="1533">
        <f t="shared" si="8"/>
        <v>1838998</v>
      </c>
      <c r="M262" s="1981">
        <f t="shared" si="9"/>
        <v>1853274.6278329212</v>
      </c>
      <c r="N262" s="1975" t="s">
        <v>115</v>
      </c>
      <c r="O262" s="1734"/>
      <c r="P262" s="1450"/>
      <c r="Q262" s="1450"/>
      <c r="R262" s="1450"/>
      <c r="S262" s="1450"/>
      <c r="T262" s="1450"/>
      <c r="U262" s="1450"/>
      <c r="V262" s="1450"/>
    </row>
    <row r="263" spans="1:22" s="1446" customFormat="1" ht="18.75" customHeight="1" x14ac:dyDescent="0.35">
      <c r="A263" s="1685">
        <v>23</v>
      </c>
      <c r="B263" s="1686" t="s">
        <v>1803</v>
      </c>
      <c r="C263" s="1687">
        <v>0.41499999999999998</v>
      </c>
      <c r="D263" s="1688"/>
      <c r="E263" s="1829" t="s">
        <v>1804</v>
      </c>
      <c r="F263" s="1689">
        <v>1</v>
      </c>
      <c r="G263" s="1690">
        <v>564750.6</v>
      </c>
      <c r="H263" s="1690">
        <v>566454.55000000005</v>
      </c>
      <c r="I263" s="1690">
        <f t="shared" si="7"/>
        <v>1703.9500000000698</v>
      </c>
      <c r="J263" s="1688">
        <v>2</v>
      </c>
      <c r="K263" s="1691"/>
      <c r="L263" s="1533">
        <f>F263*I263*J263</f>
        <v>3407.9000000001397</v>
      </c>
      <c r="M263" s="1981">
        <f t="shared" si="9"/>
        <v>3434.3564289858227</v>
      </c>
      <c r="N263" s="1975" t="s">
        <v>115</v>
      </c>
      <c r="O263" s="1734"/>
      <c r="P263" s="1450"/>
      <c r="Q263" s="1450"/>
      <c r="R263" s="1450"/>
      <c r="S263" s="1450"/>
      <c r="T263" s="1450"/>
      <c r="U263" s="1450"/>
      <c r="V263" s="1450"/>
    </row>
    <row r="264" spans="1:22" s="1446" customFormat="1" ht="18.75" customHeight="1" x14ac:dyDescent="0.35">
      <c r="A264" s="1692">
        <v>24</v>
      </c>
      <c r="B264" s="1693" t="s">
        <v>1805</v>
      </c>
      <c r="C264" s="1694">
        <v>0.41499999999999998</v>
      </c>
      <c r="D264" s="1695"/>
      <c r="E264" s="1830" t="s">
        <v>1806</v>
      </c>
      <c r="F264" s="1696">
        <v>1</v>
      </c>
      <c r="G264" s="1697"/>
      <c r="H264" s="1697"/>
      <c r="I264" s="1698">
        <f t="shared" si="7"/>
        <v>0</v>
      </c>
      <c r="J264" s="1695">
        <v>2</v>
      </c>
      <c r="K264" s="1699"/>
      <c r="L264" s="1533">
        <f>F264*I264*J264</f>
        <v>0</v>
      </c>
      <c r="M264" s="1981">
        <f t="shared" si="9"/>
        <v>0</v>
      </c>
      <c r="N264" s="1975" t="s">
        <v>115</v>
      </c>
      <c r="O264" s="1734"/>
      <c r="P264" s="1450"/>
      <c r="Q264" s="1450"/>
      <c r="R264" s="1450"/>
      <c r="S264" s="1450"/>
      <c r="T264" s="1450"/>
      <c r="U264" s="1450"/>
      <c r="V264" s="1450"/>
    </row>
    <row r="265" spans="1:22" ht="28" x14ac:dyDescent="0.35">
      <c r="A265" s="636"/>
      <c r="B265" s="96"/>
      <c r="C265" s="90"/>
      <c r="D265" s="90"/>
      <c r="E265" s="1785"/>
      <c r="F265" s="38"/>
      <c r="G265" s="38"/>
      <c r="H265" s="38"/>
      <c r="I265" s="38"/>
      <c r="J265" s="53" t="s">
        <v>44</v>
      </c>
      <c r="K265" s="43">
        <f>M249</f>
        <v>12251519.999999944</v>
      </c>
      <c r="L265" s="43">
        <f>SUM(L251:L264)</f>
        <v>12157140.900000008</v>
      </c>
      <c r="M265" s="43">
        <f>SUM(M251:M264)</f>
        <v>12251519.999999942</v>
      </c>
      <c r="N265" s="84">
        <f>(M265-L265)/L265*100</f>
        <v>0.77632644695213138</v>
      </c>
      <c r="O265" s="29"/>
    </row>
    <row r="267" spans="1:22" ht="15" x14ac:dyDescent="0.35">
      <c r="A267" s="620"/>
      <c r="B267" s="635"/>
      <c r="C267" s="632"/>
      <c r="D267" s="720"/>
      <c r="F267" s="2092" t="s">
        <v>1099</v>
      </c>
      <c r="G267" s="2092"/>
      <c r="H267" s="2092"/>
      <c r="I267" s="677" t="s">
        <v>14</v>
      </c>
      <c r="J267" s="620"/>
      <c r="K267" s="702"/>
      <c r="L267" s="620"/>
      <c r="M267" s="620"/>
      <c r="N267" s="635"/>
      <c r="O267" s="620"/>
    </row>
    <row r="268" spans="1:22" ht="15.5" x14ac:dyDescent="0.35">
      <c r="A268" s="620"/>
      <c r="B268" s="635"/>
      <c r="C268" s="632"/>
      <c r="D268" s="720"/>
      <c r="F268" s="2153" t="s">
        <v>232</v>
      </c>
      <c r="G268" s="2154"/>
      <c r="H268" s="2155"/>
      <c r="I268" s="643">
        <f>SUM(M251:M252,M255)</f>
        <v>1547059.7133442631</v>
      </c>
      <c r="J268" s="620"/>
      <c r="K268" s="702"/>
      <c r="L268" s="620"/>
      <c r="M268" s="620"/>
      <c r="N268" s="635"/>
      <c r="O268" s="620" t="s">
        <v>237</v>
      </c>
    </row>
    <row r="269" spans="1:22" ht="15.5" x14ac:dyDescent="0.35">
      <c r="A269" s="620"/>
      <c r="B269" s="635"/>
      <c r="C269" s="632"/>
      <c r="D269" s="720"/>
      <c r="F269" s="2153" t="s">
        <v>268</v>
      </c>
      <c r="G269" s="2154"/>
      <c r="H269" s="2155"/>
      <c r="I269" s="643">
        <f>SUM(M253:M254,M256,M261,M262,M264)</f>
        <v>8346156.2850060808</v>
      </c>
      <c r="J269" s="620"/>
      <c r="K269" s="702"/>
      <c r="L269" s="620"/>
      <c r="M269" s="620"/>
      <c r="N269" s="635"/>
      <c r="O269" s="620"/>
    </row>
    <row r="270" spans="1:22" ht="15.5" x14ac:dyDescent="0.35">
      <c r="A270" s="620"/>
      <c r="B270" s="635"/>
      <c r="C270" s="632"/>
      <c r="D270" s="720"/>
      <c r="F270" s="2153" t="s">
        <v>269</v>
      </c>
      <c r="G270" s="2154"/>
      <c r="H270" s="2155"/>
      <c r="I270" s="643">
        <f>SUM(M257,M263)</f>
        <v>752605.56723564793</v>
      </c>
      <c r="J270" s="620"/>
      <c r="K270" s="702"/>
      <c r="L270" s="620"/>
      <c r="M270" s="620"/>
      <c r="N270" s="635"/>
      <c r="O270" s="620"/>
    </row>
    <row r="271" spans="1:22" ht="15" x14ac:dyDescent="0.35">
      <c r="A271" s="620"/>
      <c r="B271" s="635"/>
      <c r="C271" s="632"/>
      <c r="D271" s="720"/>
      <c r="E271" s="1788"/>
      <c r="F271" s="2156" t="s">
        <v>210</v>
      </c>
      <c r="G271" s="2156"/>
      <c r="H271" s="2156"/>
      <c r="I271" s="656">
        <f>SUM(I268:I270)</f>
        <v>10645821.565585993</v>
      </c>
      <c r="J271" s="656">
        <f>I271-M265</f>
        <v>-1605698.434413949</v>
      </c>
      <c r="K271" s="702"/>
      <c r="L271" s="620" t="s">
        <v>237</v>
      </c>
      <c r="M271" s="620"/>
      <c r="N271" s="635"/>
      <c r="O271" s="620"/>
    </row>
    <row r="272" spans="1:22" x14ac:dyDescent="0.35">
      <c r="A272" s="620"/>
      <c r="B272" s="635"/>
      <c r="C272" s="632"/>
      <c r="D272" s="720"/>
      <c r="E272" s="1788"/>
      <c r="F272" s="620"/>
      <c r="G272" s="620"/>
      <c r="H272" s="620"/>
      <c r="I272" s="620"/>
      <c r="J272" s="620"/>
      <c r="K272" s="702"/>
      <c r="L272" s="620"/>
      <c r="M272" s="620"/>
      <c r="N272" s="635"/>
      <c r="O272" s="620"/>
    </row>
    <row r="273" spans="1:15" x14ac:dyDescent="0.35">
      <c r="A273" s="620"/>
      <c r="B273" s="635"/>
      <c r="C273" s="632"/>
      <c r="D273" s="720"/>
      <c r="E273" s="1788"/>
      <c r="F273" s="620"/>
      <c r="G273" s="620"/>
      <c r="H273" s="620"/>
      <c r="I273" s="620"/>
      <c r="J273" s="620"/>
      <c r="K273" s="702"/>
      <c r="L273" s="620"/>
      <c r="M273" s="620"/>
      <c r="N273" s="635"/>
      <c r="O273" s="620"/>
    </row>
    <row r="274" spans="1:15" x14ac:dyDescent="0.35">
      <c r="A274" s="620"/>
      <c r="B274" s="635"/>
      <c r="C274" s="632"/>
      <c r="D274" s="720"/>
      <c r="E274" s="1788"/>
      <c r="F274" s="620"/>
      <c r="G274" s="620"/>
      <c r="H274" s="620"/>
      <c r="I274" s="620"/>
      <c r="J274" s="620"/>
      <c r="K274" s="702"/>
      <c r="L274" s="620"/>
      <c r="M274" s="620"/>
      <c r="N274" s="635"/>
      <c r="O274" s="620"/>
    </row>
    <row r="275" spans="1:15" x14ac:dyDescent="0.35">
      <c r="A275" s="620"/>
      <c r="B275" s="635"/>
      <c r="C275" s="632"/>
      <c r="D275" s="720"/>
      <c r="E275" s="1788"/>
      <c r="F275" s="620"/>
      <c r="G275" s="620"/>
      <c r="H275" s="620"/>
      <c r="I275" s="620"/>
      <c r="J275" s="620"/>
      <c r="K275" s="702"/>
      <c r="L275" s="620"/>
      <c r="M275" s="620"/>
      <c r="N275" s="635"/>
      <c r="O275" s="620"/>
    </row>
    <row r="276" spans="1:15" x14ac:dyDescent="0.35">
      <c r="A276" s="620"/>
      <c r="B276" s="635"/>
      <c r="C276" s="632"/>
      <c r="D276" s="720"/>
      <c r="E276" s="1788"/>
      <c r="F276" s="620"/>
      <c r="G276" s="620"/>
      <c r="H276" s="620"/>
      <c r="I276" s="620"/>
      <c r="J276" s="620"/>
      <c r="K276" s="702"/>
      <c r="L276" s="620"/>
      <c r="M276" s="620"/>
      <c r="N276" s="635"/>
      <c r="O276" s="620"/>
    </row>
    <row r="277" spans="1:15" x14ac:dyDescent="0.35">
      <c r="A277" s="620"/>
      <c r="B277" s="632"/>
      <c r="C277" s="632"/>
      <c r="D277" s="720"/>
      <c r="E277" s="1788"/>
      <c r="F277" s="620"/>
      <c r="G277" s="620"/>
      <c r="H277" s="620"/>
      <c r="I277" s="620"/>
      <c r="J277" s="620"/>
      <c r="K277" s="702"/>
      <c r="L277" s="620"/>
      <c r="M277" s="620"/>
      <c r="N277" s="635"/>
      <c r="O277" s="620"/>
    </row>
    <row r="278" spans="1:15" x14ac:dyDescent="0.35">
      <c r="A278" s="620"/>
      <c r="B278" s="632"/>
      <c r="C278" s="632"/>
      <c r="D278" s="720"/>
      <c r="E278" s="1788"/>
      <c r="F278" s="620"/>
      <c r="G278" s="620"/>
      <c r="H278" s="620"/>
      <c r="I278" s="620"/>
      <c r="J278" s="620"/>
      <c r="K278" s="702"/>
      <c r="L278" s="620"/>
      <c r="M278" s="620"/>
      <c r="N278" s="635"/>
      <c r="O278" s="620"/>
    </row>
    <row r="279" spans="1:15" x14ac:dyDescent="0.35">
      <c r="A279" s="620"/>
      <c r="B279" s="635"/>
      <c r="C279" s="632"/>
      <c r="D279" s="720"/>
      <c r="E279" s="1788"/>
      <c r="F279" s="620"/>
      <c r="G279" s="620"/>
      <c r="H279" s="620"/>
      <c r="I279" s="620"/>
      <c r="J279" s="620"/>
      <c r="K279" s="702"/>
      <c r="L279" s="620"/>
      <c r="M279" s="620"/>
      <c r="N279" s="635"/>
      <c r="O279" s="620"/>
    </row>
    <row r="280" spans="1:15" x14ac:dyDescent="0.35">
      <c r="A280" s="620"/>
      <c r="B280" s="635"/>
      <c r="C280" s="632"/>
      <c r="D280" s="720"/>
      <c r="E280" s="1788"/>
      <c r="F280" s="620"/>
      <c r="G280" s="620"/>
      <c r="H280" s="620"/>
      <c r="I280" s="620"/>
      <c r="J280" s="620"/>
      <c r="K280" s="702"/>
      <c r="L280" s="620"/>
      <c r="M280" s="620"/>
      <c r="N280" s="635"/>
      <c r="O280" s="620"/>
    </row>
    <row r="281" spans="1:15" x14ac:dyDescent="0.35">
      <c r="A281" s="620"/>
      <c r="B281" s="635"/>
      <c r="C281" s="632"/>
      <c r="D281" s="720"/>
      <c r="E281" s="1788"/>
      <c r="F281" s="620"/>
      <c r="G281" s="620"/>
      <c r="H281" s="620"/>
      <c r="I281" s="620"/>
      <c r="J281" s="620"/>
      <c r="K281" s="702"/>
      <c r="L281" s="620"/>
      <c r="M281" s="620"/>
      <c r="N281" s="635"/>
      <c r="O281" s="620"/>
    </row>
    <row r="282" spans="1:15" ht="25" x14ac:dyDescent="0.35">
      <c r="A282" s="28"/>
      <c r="B282" s="2152"/>
      <c r="C282" s="2152"/>
      <c r="D282" s="2152"/>
      <c r="E282" s="2152"/>
      <c r="F282" s="2152"/>
      <c r="G282" s="2152"/>
      <c r="H282" s="2152"/>
      <c r="I282" s="2152"/>
      <c r="J282" s="2152"/>
      <c r="K282" s="2152"/>
      <c r="L282" s="2152"/>
      <c r="M282" s="2152"/>
      <c r="N282" s="635"/>
      <c r="O282" s="620"/>
    </row>
    <row r="283" spans="1:15" x14ac:dyDescent="0.35">
      <c r="A283" s="620"/>
      <c r="B283" s="635"/>
      <c r="C283" s="632"/>
      <c r="D283" s="720"/>
      <c r="E283" s="1788"/>
      <c r="F283" s="620"/>
      <c r="G283" s="620"/>
      <c r="H283" s="620"/>
      <c r="I283" s="620"/>
      <c r="J283" s="620"/>
      <c r="K283" s="702"/>
      <c r="L283" s="620"/>
      <c r="M283" s="620"/>
      <c r="N283" s="635"/>
      <c r="O283" s="620"/>
    </row>
    <row r="284" spans="1:15" x14ac:dyDescent="0.35">
      <c r="A284" s="620"/>
      <c r="B284" s="635"/>
      <c r="C284" s="632"/>
      <c r="D284" s="720"/>
      <c r="E284" s="1788"/>
      <c r="F284" s="620"/>
      <c r="G284" s="620"/>
      <c r="H284" s="620"/>
      <c r="I284" s="620"/>
      <c r="J284" s="620"/>
      <c r="K284" s="702"/>
      <c r="L284" s="620"/>
      <c r="M284" s="620"/>
      <c r="N284" s="635"/>
      <c r="O284" s="620"/>
    </row>
    <row r="285" spans="1:15" ht="25" x14ac:dyDescent="0.35">
      <c r="A285" s="2095" t="s">
        <v>2462</v>
      </c>
      <c r="B285" s="2095"/>
      <c r="C285" s="2095"/>
      <c r="D285" s="2095"/>
      <c r="E285" s="2095"/>
      <c r="F285" s="2095"/>
      <c r="G285" s="2095"/>
      <c r="H285" s="2095"/>
      <c r="I285" s="2095"/>
      <c r="J285" s="2095"/>
      <c r="K285" s="2095"/>
      <c r="L285" s="2095"/>
      <c r="M285" s="2095"/>
      <c r="N285" s="2095"/>
      <c r="O285" s="756" t="str">
        <f>$O$6</f>
        <v>Month December-2022</v>
      </c>
    </row>
    <row r="286" spans="1:15" ht="15.5" x14ac:dyDescent="0.35">
      <c r="A286" s="2096" t="s">
        <v>0</v>
      </c>
      <c r="B286" s="2098" t="s">
        <v>1</v>
      </c>
      <c r="C286" s="2100" t="s">
        <v>2</v>
      </c>
      <c r="D286" s="2101"/>
      <c r="E286" s="2102"/>
      <c r="F286" s="2103" t="s">
        <v>3</v>
      </c>
      <c r="G286" s="2100" t="s">
        <v>4</v>
      </c>
      <c r="H286" s="2102"/>
      <c r="I286" s="2085"/>
      <c r="J286" s="2103" t="s">
        <v>5</v>
      </c>
      <c r="K286" s="2100" t="s">
        <v>6</v>
      </c>
      <c r="L286" s="2085"/>
      <c r="M286" s="97" t="s">
        <v>32</v>
      </c>
      <c r="N286" s="98"/>
      <c r="O286" s="2084" t="s">
        <v>7</v>
      </c>
    </row>
    <row r="287" spans="1:15" ht="15.5" x14ac:dyDescent="0.35">
      <c r="A287" s="2097"/>
      <c r="B287" s="2099"/>
      <c r="C287" s="2086" t="s">
        <v>1108</v>
      </c>
      <c r="D287" s="2087"/>
      <c r="E287" s="1810" t="s">
        <v>9</v>
      </c>
      <c r="F287" s="2097"/>
      <c r="G287" s="2">
        <f>'NORTH-1'!$G$8</f>
        <v>44774</v>
      </c>
      <c r="H287" s="2">
        <f>'NORTH-1'!$H$8</f>
        <v>44805</v>
      </c>
      <c r="I287" s="1" t="s">
        <v>10</v>
      </c>
      <c r="J287" s="2097"/>
      <c r="K287" s="1" t="s">
        <v>11</v>
      </c>
      <c r="L287" s="1" t="s">
        <v>12</v>
      </c>
      <c r="M287" s="617" t="s">
        <v>33</v>
      </c>
      <c r="N287" s="76" t="s">
        <v>47</v>
      </c>
      <c r="O287" s="2085"/>
    </row>
    <row r="288" spans="1:15" ht="15.5" x14ac:dyDescent="0.35">
      <c r="A288" s="3">
        <v>1</v>
      </c>
      <c r="B288" s="88">
        <v>2</v>
      </c>
      <c r="C288" s="2088">
        <v>4</v>
      </c>
      <c r="D288" s="2089"/>
      <c r="E288" s="1811">
        <v>5</v>
      </c>
      <c r="F288" s="3">
        <v>7</v>
      </c>
      <c r="G288" s="3">
        <v>8</v>
      </c>
      <c r="H288" s="3">
        <v>9</v>
      </c>
      <c r="I288" s="3" t="s">
        <v>13</v>
      </c>
      <c r="J288" s="3">
        <v>11</v>
      </c>
      <c r="K288" s="3" t="s">
        <v>19</v>
      </c>
      <c r="L288" s="3" t="s">
        <v>20</v>
      </c>
      <c r="M288" s="3">
        <v>14</v>
      </c>
      <c r="N288" s="77">
        <v>15</v>
      </c>
      <c r="O288" s="3">
        <v>16</v>
      </c>
    </row>
    <row r="289" spans="1:22" ht="15.5" x14ac:dyDescent="0.35">
      <c r="A289" s="631"/>
      <c r="B289" s="624" t="s">
        <v>2461</v>
      </c>
      <c r="C289" s="625"/>
      <c r="D289" s="625"/>
      <c r="E289" s="1794"/>
      <c r="F289" s="625"/>
      <c r="G289" s="625"/>
      <c r="H289" s="625"/>
      <c r="I289" s="625"/>
      <c r="J289" s="625"/>
      <c r="K289" s="695"/>
      <c r="L289" s="625"/>
      <c r="M289" s="626"/>
      <c r="N289" s="1972"/>
      <c r="O289" s="616"/>
    </row>
    <row r="290" spans="1:22" ht="15.5" x14ac:dyDescent="0.35">
      <c r="A290" s="11">
        <v>1</v>
      </c>
      <c r="B290" s="100" t="s">
        <v>1807</v>
      </c>
      <c r="C290" s="52">
        <v>33</v>
      </c>
      <c r="D290" s="1506" t="s">
        <v>527</v>
      </c>
      <c r="E290" s="1801" t="s">
        <v>1808</v>
      </c>
      <c r="F290" s="4">
        <v>1</v>
      </c>
      <c r="G290" s="21">
        <v>177.69300000000001</v>
      </c>
      <c r="H290" s="21">
        <v>201.5898</v>
      </c>
      <c r="I290" s="21">
        <f>H290-G290</f>
        <v>23.896799999999985</v>
      </c>
      <c r="J290" s="616">
        <v>240000</v>
      </c>
      <c r="K290" s="696">
        <f>F290*I290*J290</f>
        <v>5735231.9999999963</v>
      </c>
      <c r="L290" s="22"/>
      <c r="M290" s="22"/>
      <c r="N290" s="72"/>
      <c r="O290" s="9"/>
    </row>
    <row r="291" spans="1:22" ht="15.5" x14ac:dyDescent="0.35">
      <c r="A291" s="11">
        <v>2</v>
      </c>
      <c r="B291" s="100" t="s">
        <v>1809</v>
      </c>
      <c r="C291" s="52">
        <v>33</v>
      </c>
      <c r="D291" s="1506" t="s">
        <v>527</v>
      </c>
      <c r="E291" s="1801" t="s">
        <v>1810</v>
      </c>
      <c r="F291" s="4">
        <v>1</v>
      </c>
      <c r="G291" s="21">
        <v>53150.714999999997</v>
      </c>
      <c r="H291" s="21">
        <v>59532.082000000002</v>
      </c>
      <c r="I291" s="21">
        <f>SUM(H291-G291)</f>
        <v>6381.3670000000056</v>
      </c>
      <c r="J291" s="616">
        <v>1000</v>
      </c>
      <c r="K291" s="696">
        <f>F291*I291*J291</f>
        <v>6381367.0000000056</v>
      </c>
      <c r="L291" s="22"/>
      <c r="M291" s="22"/>
      <c r="N291" s="72"/>
      <c r="O291" s="9"/>
    </row>
    <row r="292" spans="1:22" ht="15.5" x14ac:dyDescent="0.35">
      <c r="A292" s="11"/>
      <c r="B292" s="100"/>
      <c r="C292" s="52">
        <v>33</v>
      </c>
      <c r="D292" s="1470" t="s">
        <v>1652</v>
      </c>
      <c r="E292" s="1801" t="s">
        <v>1811</v>
      </c>
      <c r="F292" s="4">
        <v>1</v>
      </c>
      <c r="G292" s="21">
        <v>4817.0609999999997</v>
      </c>
      <c r="H292" s="21">
        <v>4852.4750000000004</v>
      </c>
      <c r="I292" s="21">
        <f>SUM(H292-G292)</f>
        <v>35.414000000000669</v>
      </c>
      <c r="J292" s="616">
        <v>180000</v>
      </c>
      <c r="K292" s="696">
        <f>F292*I292*J292</f>
        <v>6374520.0000001201</v>
      </c>
      <c r="L292" s="22"/>
      <c r="M292" s="22"/>
      <c r="N292" s="72"/>
      <c r="O292" s="9"/>
    </row>
    <row r="293" spans="1:22" ht="15.5" x14ac:dyDescent="0.35">
      <c r="A293" s="11">
        <v>3</v>
      </c>
      <c r="B293" s="100" t="s">
        <v>1812</v>
      </c>
      <c r="C293" s="52">
        <v>33</v>
      </c>
      <c r="D293" s="1506" t="s">
        <v>527</v>
      </c>
      <c r="E293" s="1801" t="s">
        <v>1813</v>
      </c>
      <c r="F293" s="4">
        <v>1</v>
      </c>
      <c r="G293" s="21">
        <v>4926.3999999999996</v>
      </c>
      <c r="H293" s="21">
        <v>4926.3999999999996</v>
      </c>
      <c r="I293" s="21">
        <f>H293-G293</f>
        <v>0</v>
      </c>
      <c r="J293" s="616">
        <v>240000</v>
      </c>
      <c r="K293" s="696">
        <f>I293*J293*F293</f>
        <v>0</v>
      </c>
      <c r="L293" s="22"/>
      <c r="M293" s="22"/>
      <c r="N293" s="72"/>
      <c r="O293" s="9"/>
    </row>
    <row r="294" spans="1:22" ht="15.5" x14ac:dyDescent="0.35">
      <c r="A294" s="11"/>
      <c r="B294" s="100"/>
      <c r="C294" s="52">
        <v>33</v>
      </c>
      <c r="D294" s="1470" t="s">
        <v>1652</v>
      </c>
      <c r="E294" s="1801" t="s">
        <v>1670</v>
      </c>
      <c r="F294" s="4">
        <v>1</v>
      </c>
      <c r="G294" s="21">
        <v>4638.4399999999996</v>
      </c>
      <c r="H294" s="21">
        <v>4638.4399999999996</v>
      </c>
      <c r="I294" s="21">
        <f>H294-G294</f>
        <v>0</v>
      </c>
      <c r="J294" s="616">
        <v>240000</v>
      </c>
      <c r="K294" s="696">
        <f>I294*J294*F294</f>
        <v>0</v>
      </c>
      <c r="L294" s="22"/>
      <c r="M294" s="22"/>
      <c r="N294" s="72"/>
      <c r="O294" s="9"/>
    </row>
    <row r="295" spans="1:22" ht="15.5" x14ac:dyDescent="0.35">
      <c r="A295" s="11">
        <v>4</v>
      </c>
      <c r="B295" s="100" t="s">
        <v>1814</v>
      </c>
      <c r="C295" s="52">
        <v>33</v>
      </c>
      <c r="D295" s="1506" t="s">
        <v>527</v>
      </c>
      <c r="E295" s="1801" t="s">
        <v>1689</v>
      </c>
      <c r="F295" s="4">
        <v>1</v>
      </c>
      <c r="G295" s="21">
        <v>2680.54</v>
      </c>
      <c r="H295" s="21">
        <v>2680.54</v>
      </c>
      <c r="I295" s="21">
        <f>H295-G295</f>
        <v>0</v>
      </c>
      <c r="J295" s="616">
        <v>240000</v>
      </c>
      <c r="K295" s="696">
        <f>F295*I295*J295</f>
        <v>0</v>
      </c>
      <c r="L295" s="22"/>
      <c r="M295" s="22"/>
      <c r="N295" s="72"/>
      <c r="O295" s="9"/>
    </row>
    <row r="296" spans="1:22" ht="16" thickBot="1" x14ac:dyDescent="0.4">
      <c r="A296" s="11"/>
      <c r="B296" s="100"/>
      <c r="C296" s="52">
        <v>33</v>
      </c>
      <c r="D296" s="1700" t="s">
        <v>1653</v>
      </c>
      <c r="E296" s="1801" t="s">
        <v>1690</v>
      </c>
      <c r="F296" s="4">
        <v>1</v>
      </c>
      <c r="G296" s="21">
        <v>2387.953</v>
      </c>
      <c r="H296" s="21">
        <v>2387.953</v>
      </c>
      <c r="I296" s="21">
        <f>H296-G296</f>
        <v>0</v>
      </c>
      <c r="J296" s="616">
        <v>240000</v>
      </c>
      <c r="K296" s="696">
        <f>F296*I296*J296</f>
        <v>0</v>
      </c>
      <c r="L296" s="22"/>
      <c r="M296" s="22"/>
      <c r="N296" s="72"/>
      <c r="O296" s="9"/>
    </row>
    <row r="297" spans="1:22" ht="15.5" x14ac:dyDescent="0.35">
      <c r="A297" s="631"/>
      <c r="B297" s="102"/>
      <c r="C297" s="91"/>
      <c r="D297" s="726"/>
      <c r="E297" s="1814"/>
      <c r="F297" s="47"/>
      <c r="G297" s="48"/>
      <c r="H297" s="48"/>
      <c r="I297" s="48"/>
      <c r="J297" s="96" t="s">
        <v>30</v>
      </c>
      <c r="K297" s="43">
        <f>K296+K294+K291+K290</f>
        <v>12116599.000000002</v>
      </c>
      <c r="L297" s="43">
        <f>SUM(L290:L296)</f>
        <v>0</v>
      </c>
      <c r="M297" s="43">
        <f>SUM(M290:M296)</f>
        <v>0</v>
      </c>
      <c r="N297" s="646"/>
      <c r="O297" s="616"/>
    </row>
    <row r="298" spans="1:22" ht="16" thickBot="1" x14ac:dyDescent="0.4">
      <c r="A298" s="616"/>
      <c r="B298" s="624" t="s">
        <v>2463</v>
      </c>
      <c r="C298" s="625"/>
      <c r="D298" s="625"/>
      <c r="E298" s="1794"/>
      <c r="F298" s="625"/>
      <c r="G298" s="625"/>
      <c r="H298" s="625"/>
      <c r="I298" s="625"/>
      <c r="J298" s="732"/>
      <c r="K298" s="733"/>
      <c r="L298" s="734"/>
      <c r="M298" s="734"/>
      <c r="N298" s="1972"/>
      <c r="O298" s="12"/>
    </row>
    <row r="299" spans="1:22" s="1446" customFormat="1" ht="15.75" customHeight="1" x14ac:dyDescent="0.35">
      <c r="A299" s="1701">
        <v>5</v>
      </c>
      <c r="B299" s="1702" t="s">
        <v>1815</v>
      </c>
      <c r="C299" s="1703">
        <v>33</v>
      </c>
      <c r="D299" s="1704"/>
      <c r="E299" s="1831">
        <v>84663042</v>
      </c>
      <c r="F299" s="1705">
        <v>1</v>
      </c>
      <c r="G299" s="1706">
        <v>184.86</v>
      </c>
      <c r="H299" s="1706">
        <v>208.81</v>
      </c>
      <c r="I299" s="1707">
        <f>H299-G299</f>
        <v>23.949999999999989</v>
      </c>
      <c r="J299" s="1703">
        <v>240000</v>
      </c>
      <c r="K299" s="1708">
        <f>J299*I299*F299</f>
        <v>5747999.9999999972</v>
      </c>
      <c r="L299" s="1709"/>
      <c r="M299" s="1450"/>
      <c r="N299" s="1970"/>
      <c r="O299" s="1734"/>
      <c r="P299" s="1450"/>
      <c r="Q299" s="1450"/>
      <c r="R299" s="1450"/>
      <c r="S299" s="1450"/>
      <c r="T299" s="1450"/>
      <c r="U299" s="1450"/>
      <c r="V299" s="1450"/>
    </row>
    <row r="300" spans="1:22" s="1446" customFormat="1" ht="15.75" customHeight="1" x14ac:dyDescent="0.35">
      <c r="A300" s="1677">
        <v>6</v>
      </c>
      <c r="B300" s="1710" t="s">
        <v>1816</v>
      </c>
      <c r="C300" s="1463">
        <v>33</v>
      </c>
      <c r="D300" s="1711"/>
      <c r="E300" s="1793" t="s">
        <v>1817</v>
      </c>
      <c r="F300" s="1464">
        <v>1</v>
      </c>
      <c r="G300" s="1712"/>
      <c r="H300" s="1712"/>
      <c r="I300" s="1713">
        <f>H300-G300</f>
        <v>0</v>
      </c>
      <c r="J300" s="1463">
        <v>240000</v>
      </c>
      <c r="K300" s="1473">
        <f>K292</f>
        <v>6374520.0000001201</v>
      </c>
      <c r="L300" s="1714"/>
      <c r="M300" s="1450"/>
      <c r="N300" s="1970"/>
      <c r="O300" s="1734"/>
      <c r="P300" s="1450"/>
      <c r="Q300" s="1450"/>
      <c r="R300" s="1450"/>
      <c r="S300" s="1450"/>
      <c r="T300" s="1450"/>
      <c r="U300" s="1450"/>
      <c r="V300" s="1450"/>
    </row>
    <row r="301" spans="1:22" s="1446" customFormat="1" ht="15.75" customHeight="1" x14ac:dyDescent="0.35">
      <c r="A301" s="1600">
        <v>7</v>
      </c>
      <c r="B301" s="1715" t="s">
        <v>1818</v>
      </c>
      <c r="C301" s="1529">
        <v>33</v>
      </c>
      <c r="D301" s="1716"/>
      <c r="E301" s="1807" t="s">
        <v>1819</v>
      </c>
      <c r="F301" s="1530">
        <v>1</v>
      </c>
      <c r="G301" s="1531">
        <v>6504.89</v>
      </c>
      <c r="H301" s="1531">
        <v>6504.89</v>
      </c>
      <c r="I301" s="1717">
        <f>H301-G301</f>
        <v>0</v>
      </c>
      <c r="J301" s="1529">
        <v>180000</v>
      </c>
      <c r="K301" s="1562">
        <f>F301*I301*J301</f>
        <v>0</v>
      </c>
      <c r="L301" s="1718"/>
      <c r="M301" s="1450"/>
      <c r="N301" s="1970"/>
      <c r="O301" s="1734"/>
      <c r="P301" s="1450"/>
      <c r="Q301" s="1450"/>
      <c r="R301" s="1450"/>
      <c r="S301" s="1450"/>
      <c r="T301" s="1450"/>
      <c r="U301" s="1450"/>
      <c r="V301" s="1450"/>
    </row>
    <row r="302" spans="1:22" s="1446" customFormat="1" ht="15.75" customHeight="1" x14ac:dyDescent="0.35">
      <c r="A302" s="1600">
        <v>8</v>
      </c>
      <c r="B302" s="1715" t="s">
        <v>1820</v>
      </c>
      <c r="C302" s="1529">
        <v>33</v>
      </c>
      <c r="D302" s="1716"/>
      <c r="E302" s="1823" t="s">
        <v>1821</v>
      </c>
      <c r="F302" s="1555">
        <v>1</v>
      </c>
      <c r="G302" s="1719">
        <v>6299.26</v>
      </c>
      <c r="H302" s="1719">
        <v>6299.26</v>
      </c>
      <c r="I302" s="1717">
        <f>H302-G302</f>
        <v>0</v>
      </c>
      <c r="J302" s="1553">
        <v>180000</v>
      </c>
      <c r="K302" s="1562">
        <f>F302*I302*J302</f>
        <v>0</v>
      </c>
      <c r="L302" s="1587"/>
      <c r="M302" s="1450"/>
      <c r="N302" s="1970"/>
      <c r="O302" s="1734"/>
      <c r="P302" s="1450"/>
      <c r="Q302" s="1450"/>
      <c r="R302" s="1450"/>
      <c r="S302" s="1450"/>
      <c r="T302" s="1450"/>
      <c r="U302" s="1450"/>
      <c r="V302" s="1450"/>
    </row>
    <row r="303" spans="1:22" ht="15.5" x14ac:dyDescent="0.35">
      <c r="A303" s="616"/>
      <c r="B303" s="102"/>
      <c r="C303" s="91"/>
      <c r="D303" s="726"/>
      <c r="E303" s="1814"/>
      <c r="F303" s="47"/>
      <c r="G303" s="48"/>
      <c r="H303" s="48"/>
      <c r="I303" s="36"/>
      <c r="J303" s="96" t="s">
        <v>30</v>
      </c>
      <c r="K303" s="43">
        <f>SUM(K299:K302)</f>
        <v>12122520.000000117</v>
      </c>
      <c r="L303" s="43">
        <f>SUM(L299:L302)</f>
        <v>0</v>
      </c>
      <c r="M303" s="43">
        <f>SUM(M299:M302)</f>
        <v>0</v>
      </c>
      <c r="N303" s="1973"/>
      <c r="O303" s="12"/>
    </row>
    <row r="304" spans="1:22" ht="15.5" x14ac:dyDescent="0.35">
      <c r="A304" s="616"/>
      <c r="B304" s="647" t="s">
        <v>2464</v>
      </c>
      <c r="C304" s="648"/>
      <c r="D304" s="648"/>
      <c r="E304" s="1800"/>
      <c r="F304" s="648"/>
      <c r="G304" s="648"/>
      <c r="H304" s="648"/>
      <c r="I304" s="648"/>
      <c r="J304" s="648"/>
      <c r="K304" s="700"/>
      <c r="L304" s="648"/>
      <c r="M304" s="651"/>
      <c r="N304" s="1971"/>
      <c r="O304" s="8"/>
    </row>
    <row r="305" spans="1:22" s="1446" customFormat="1" ht="15.75" customHeight="1" x14ac:dyDescent="0.35">
      <c r="A305" s="1478">
        <v>11</v>
      </c>
      <c r="B305" s="1631" t="s">
        <v>1826</v>
      </c>
      <c r="C305" s="1478">
        <v>33</v>
      </c>
      <c r="D305" s="1478"/>
      <c r="E305" s="1798" t="s">
        <v>1827</v>
      </c>
      <c r="F305" s="1479">
        <v>1</v>
      </c>
      <c r="G305" s="1505">
        <v>816.27</v>
      </c>
      <c r="H305" s="1505">
        <v>824.33</v>
      </c>
      <c r="I305" s="1725">
        <f>H305-G305</f>
        <v>8.0600000000000591</v>
      </c>
      <c r="J305" s="1478">
        <v>90000</v>
      </c>
      <c r="K305" s="1608"/>
      <c r="L305" s="1726">
        <f>I305*J305</f>
        <v>725400.00000000536</v>
      </c>
      <c r="M305" s="1450"/>
      <c r="N305" s="1970"/>
      <c r="O305" s="1734"/>
      <c r="P305" s="1450"/>
      <c r="Q305" s="1450"/>
      <c r="R305" s="1450"/>
      <c r="S305" s="1450"/>
      <c r="T305" s="1450"/>
      <c r="U305" s="1450"/>
      <c r="V305" s="1450"/>
    </row>
    <row r="306" spans="1:22" ht="15.5" x14ac:dyDescent="0.35">
      <c r="A306" s="616"/>
      <c r="B306" s="100" t="s">
        <v>1078</v>
      </c>
      <c r="C306" s="52">
        <v>132</v>
      </c>
      <c r="D306" s="1773"/>
      <c r="E306" s="1818"/>
      <c r="F306" s="4"/>
      <c r="G306" s="5"/>
      <c r="H306" s="5"/>
      <c r="I306" s="5"/>
      <c r="J306" s="616"/>
      <c r="K306" s="696"/>
      <c r="L306" s="16">
        <f>J306*I306*F306</f>
        <v>0</v>
      </c>
      <c r="M306" s="16"/>
      <c r="N306" s="711"/>
      <c r="O306" s="616"/>
    </row>
    <row r="307" spans="1:22" ht="15.5" x14ac:dyDescent="0.35">
      <c r="A307" s="616"/>
      <c r="B307" s="95"/>
      <c r="C307" s="89"/>
      <c r="D307" s="89"/>
      <c r="E307" s="1784"/>
      <c r="F307" s="37"/>
      <c r="G307" s="37"/>
      <c r="H307" s="37"/>
      <c r="I307" s="37"/>
      <c r="J307" s="95" t="s">
        <v>279</v>
      </c>
      <c r="K307" s="699"/>
      <c r="L307" s="55">
        <f>SUM(L305:L306)</f>
        <v>725400.00000000536</v>
      </c>
      <c r="M307" s="633"/>
      <c r="N307" s="1921"/>
      <c r="O307" s="616"/>
    </row>
    <row r="308" spans="1:22" ht="15.5" x14ac:dyDescent="0.35">
      <c r="A308" s="616"/>
      <c r="B308" s="102"/>
      <c r="C308" s="91"/>
      <c r="D308" s="726"/>
      <c r="E308" s="1814"/>
      <c r="F308" s="47"/>
      <c r="G308" s="48"/>
      <c r="H308" s="48"/>
      <c r="I308" s="36"/>
      <c r="J308" s="96"/>
      <c r="K308" s="706"/>
      <c r="L308" s="43"/>
      <c r="M308" s="43"/>
      <c r="N308" s="1973"/>
      <c r="O308" s="12"/>
    </row>
    <row r="309" spans="1:22" ht="15.5" x14ac:dyDescent="0.35">
      <c r="A309" s="636"/>
      <c r="B309" s="647" t="s">
        <v>2465</v>
      </c>
      <c r="C309" s="648"/>
      <c r="D309" s="648"/>
      <c r="E309" s="1800"/>
      <c r="F309" s="648"/>
      <c r="G309" s="648"/>
      <c r="H309" s="648"/>
      <c r="I309" s="648"/>
      <c r="J309" s="50"/>
      <c r="K309" s="710"/>
      <c r="L309" s="51"/>
      <c r="M309" s="51"/>
      <c r="N309" s="1971"/>
      <c r="O309" s="12"/>
    </row>
    <row r="310" spans="1:22" s="1446" customFormat="1" ht="15.75" customHeight="1" x14ac:dyDescent="0.35">
      <c r="A310" s="1474">
        <v>9</v>
      </c>
      <c r="B310" s="1720" t="s">
        <v>1822</v>
      </c>
      <c r="C310" s="1721">
        <v>33</v>
      </c>
      <c r="D310" s="1721"/>
      <c r="E310" s="1832" t="s">
        <v>1823</v>
      </c>
      <c r="F310" s="1476">
        <v>1</v>
      </c>
      <c r="G310" s="1531">
        <v>64309.69</v>
      </c>
      <c r="H310" s="1531">
        <v>81634.820000000007</v>
      </c>
      <c r="I310" s="1722">
        <f>H310-G310</f>
        <v>17325.130000000005</v>
      </c>
      <c r="J310" s="1459">
        <v>240</v>
      </c>
      <c r="K310" s="1562"/>
      <c r="L310" s="1467">
        <f>I310*J310</f>
        <v>4158031.2000000011</v>
      </c>
      <c r="M310" s="1450"/>
      <c r="N310" s="1970"/>
      <c r="O310" s="1734"/>
      <c r="P310" s="1450"/>
      <c r="Q310" s="1450"/>
      <c r="R310" s="1450"/>
      <c r="S310" s="1450"/>
      <c r="T310" s="1450"/>
      <c r="U310" s="1450"/>
      <c r="V310" s="1450"/>
    </row>
    <row r="311" spans="1:22" s="1446" customFormat="1" ht="15.75" customHeight="1" x14ac:dyDescent="0.35">
      <c r="A311" s="616"/>
      <c r="B311" s="1458" t="s">
        <v>1824</v>
      </c>
      <c r="C311" s="1458">
        <v>33</v>
      </c>
      <c r="D311" s="1458"/>
      <c r="E311" s="1833" t="s">
        <v>1825</v>
      </c>
      <c r="F311" s="1723">
        <v>1</v>
      </c>
      <c r="G311" s="1531">
        <v>5368.72</v>
      </c>
      <c r="H311" s="1531">
        <v>10721.8</v>
      </c>
      <c r="I311" s="1724">
        <f>H311-G311</f>
        <v>5353.079999999999</v>
      </c>
      <c r="J311" s="1459">
        <v>240</v>
      </c>
      <c r="K311" s="1562"/>
      <c r="L311" s="1571">
        <f>I311*J311</f>
        <v>1284739.1999999997</v>
      </c>
      <c r="M311" s="1450"/>
      <c r="N311" s="1970"/>
      <c r="O311" s="1734"/>
      <c r="P311" s="1450"/>
      <c r="Q311" s="1450"/>
      <c r="R311" s="1450"/>
      <c r="S311" s="1450"/>
      <c r="T311" s="1450"/>
      <c r="U311" s="1450"/>
      <c r="V311" s="1450"/>
    </row>
    <row r="312" spans="1:22" ht="15" x14ac:dyDescent="0.35">
      <c r="A312" s="636"/>
      <c r="B312" s="96"/>
      <c r="C312" s="90"/>
      <c r="D312" s="90"/>
      <c r="E312" s="1785"/>
      <c r="F312" s="38"/>
      <c r="G312" s="38"/>
      <c r="H312" s="38"/>
      <c r="I312" s="38"/>
      <c r="J312" s="96" t="s">
        <v>30</v>
      </c>
      <c r="K312" s="708"/>
      <c r="L312" s="43">
        <f>SUM(L310:L311)</f>
        <v>5442770.4000000004</v>
      </c>
      <c r="M312" s="43">
        <f>SUM(M310:M311)</f>
        <v>0</v>
      </c>
      <c r="N312" s="650"/>
      <c r="O312" s="12"/>
    </row>
    <row r="313" spans="1:22" ht="15.5" thickBot="1" x14ac:dyDescent="0.4">
      <c r="A313" s="702"/>
      <c r="B313" s="736"/>
      <c r="C313" s="92"/>
      <c r="D313" s="92"/>
      <c r="E313" s="1786"/>
      <c r="F313" s="737"/>
      <c r="G313" s="737"/>
      <c r="H313" s="737"/>
      <c r="I313" s="737"/>
      <c r="J313" s="736"/>
      <c r="K313" s="738"/>
      <c r="L313" s="739"/>
      <c r="M313" s="739"/>
      <c r="N313" s="646"/>
      <c r="O313" s="740"/>
    </row>
    <row r="314" spans="1:22" ht="15" x14ac:dyDescent="0.35">
      <c r="A314" s="702"/>
      <c r="B314" s="2142" t="s">
        <v>1090</v>
      </c>
      <c r="C314" s="2143"/>
      <c r="D314" s="683" t="s">
        <v>14</v>
      </c>
      <c r="F314" s="2144" t="s">
        <v>1091</v>
      </c>
      <c r="G314" s="2145"/>
      <c r="H314" s="2146"/>
      <c r="I314" s="683" t="s">
        <v>14</v>
      </c>
      <c r="J314" s="620"/>
      <c r="K314" s="2147" t="s">
        <v>1092</v>
      </c>
      <c r="L314" s="2148"/>
      <c r="M314" s="684" t="s">
        <v>14</v>
      </c>
      <c r="N314" s="646"/>
      <c r="O314" s="740"/>
    </row>
    <row r="315" spans="1:22" ht="15" x14ac:dyDescent="0.35">
      <c r="A315" s="702"/>
      <c r="B315" s="2122" t="str">
        <f>B289</f>
        <v>SENDING END 33 KV SIDE</v>
      </c>
      <c r="C315" s="2123"/>
      <c r="D315" s="689">
        <f>K297</f>
        <v>12116599.000000002</v>
      </c>
      <c r="F315" s="2124" t="s">
        <v>1093</v>
      </c>
      <c r="G315" s="2125"/>
      <c r="H315" s="2126"/>
      <c r="I315" s="685">
        <f>L307</f>
        <v>725400.00000000536</v>
      </c>
      <c r="J315" s="620"/>
      <c r="K315" s="2160" t="str">
        <f>F316</f>
        <v>33 KV NET IMPORT</v>
      </c>
      <c r="L315" s="2161"/>
      <c r="M315" s="687">
        <f>I316</f>
        <v>11391198.999999996</v>
      </c>
      <c r="N315" s="646"/>
      <c r="O315" s="740"/>
    </row>
    <row r="316" spans="1:22" ht="15" x14ac:dyDescent="0.35">
      <c r="A316" s="702"/>
      <c r="B316" s="2122" t="s">
        <v>1116</v>
      </c>
      <c r="C316" s="2123"/>
      <c r="D316" s="741"/>
      <c r="F316" s="2124" t="s">
        <v>2442</v>
      </c>
      <c r="G316" s="2125"/>
      <c r="H316" s="2126"/>
      <c r="I316" s="685">
        <f>D319-I315</f>
        <v>11391198.999999996</v>
      </c>
      <c r="J316" s="620"/>
      <c r="K316" s="2162" t="s">
        <v>2456</v>
      </c>
      <c r="L316" s="2163"/>
      <c r="M316" s="685">
        <f>M357</f>
        <v>11391198.999999996</v>
      </c>
      <c r="N316" s="646"/>
      <c r="O316" s="740"/>
    </row>
    <row r="317" spans="1:22" ht="15" x14ac:dyDescent="0.35">
      <c r="A317" s="702"/>
      <c r="B317" s="2122" t="s">
        <v>1117</v>
      </c>
      <c r="C317" s="2123"/>
      <c r="D317" s="721"/>
      <c r="F317" s="2124" t="s">
        <v>1089</v>
      </c>
      <c r="G317" s="2125"/>
      <c r="H317" s="2126"/>
      <c r="I317" s="685">
        <f>I315+I316</f>
        <v>12116599.000000002</v>
      </c>
      <c r="J317" s="620"/>
      <c r="K317" s="2127" t="s">
        <v>284</v>
      </c>
      <c r="L317" s="2128"/>
      <c r="M317" s="685">
        <f>M315-M316</f>
        <v>0</v>
      </c>
      <c r="N317" s="646"/>
      <c r="O317" s="740"/>
    </row>
    <row r="318" spans="1:22" ht="16" thickBot="1" x14ac:dyDescent="0.4">
      <c r="A318" s="702"/>
      <c r="B318" s="2122" t="s">
        <v>1118</v>
      </c>
      <c r="C318" s="2123"/>
      <c r="D318" s="722"/>
      <c r="F318" s="2113" t="s">
        <v>1546</v>
      </c>
      <c r="G318" s="2114"/>
      <c r="H318" s="2115"/>
      <c r="I318" s="690">
        <f>(D319-I317)/I317</f>
        <v>0</v>
      </c>
      <c r="J318" s="620"/>
      <c r="K318" s="2134" t="s">
        <v>285</v>
      </c>
      <c r="L318" s="2135"/>
      <c r="M318" s="688">
        <f>M317/M315</f>
        <v>0</v>
      </c>
      <c r="N318" s="646"/>
      <c r="O318" s="740"/>
    </row>
    <row r="319" spans="1:22" ht="15.5" thickBot="1" x14ac:dyDescent="0.4">
      <c r="A319" s="702"/>
      <c r="B319" s="2158" t="s">
        <v>1082</v>
      </c>
      <c r="C319" s="2159"/>
      <c r="D319" s="686">
        <f>SUM(D315:D317)</f>
        <v>12116599.000000002</v>
      </c>
      <c r="F319" s="620"/>
      <c r="G319" s="620"/>
      <c r="H319" s="620"/>
      <c r="I319" s="620"/>
      <c r="J319" s="620"/>
      <c r="K319" s="702"/>
      <c r="L319" s="620"/>
      <c r="M319" s="620"/>
      <c r="N319" s="646"/>
      <c r="O319" s="740"/>
    </row>
    <row r="320" spans="1:22" ht="15" x14ac:dyDescent="0.35">
      <c r="A320" s="702"/>
      <c r="B320" s="736"/>
      <c r="C320" s="92"/>
      <c r="D320" s="92"/>
      <c r="E320" s="1786"/>
      <c r="F320" s="737"/>
      <c r="G320" s="737"/>
      <c r="H320" s="737"/>
      <c r="I320" s="737"/>
      <c r="J320" s="736"/>
      <c r="K320" s="738"/>
      <c r="L320" s="739"/>
      <c r="M320" s="739"/>
      <c r="N320" s="646"/>
      <c r="O320" s="740"/>
    </row>
    <row r="321" spans="1:15" x14ac:dyDescent="0.35">
      <c r="A321" s="620"/>
      <c r="B321" s="632"/>
      <c r="C321" s="620"/>
      <c r="D321" s="728"/>
      <c r="E321" s="1820"/>
      <c r="F321" s="620"/>
      <c r="G321" s="620"/>
      <c r="H321" s="620"/>
      <c r="I321" s="620"/>
      <c r="J321" s="620"/>
      <c r="K321" s="702"/>
      <c r="L321" s="620"/>
      <c r="M321" s="620"/>
      <c r="N321" s="702"/>
      <c r="O321" s="620"/>
    </row>
    <row r="322" spans="1:15" x14ac:dyDescent="0.35">
      <c r="A322" s="620"/>
      <c r="B322" s="632"/>
      <c r="C322" s="620"/>
      <c r="D322" s="728"/>
      <c r="E322" s="1820"/>
      <c r="F322" s="620"/>
      <c r="G322" s="620"/>
      <c r="H322" s="620"/>
      <c r="I322" s="620"/>
      <c r="J322" s="620"/>
      <c r="K322" s="702"/>
      <c r="L322" s="620"/>
      <c r="M322" s="620"/>
      <c r="N322" s="702"/>
      <c r="O322" s="620"/>
    </row>
    <row r="323" spans="1:15" ht="25" x14ac:dyDescent="0.35">
      <c r="A323" s="2095" t="s">
        <v>1191</v>
      </c>
      <c r="B323" s="2095"/>
      <c r="C323" s="2095"/>
      <c r="D323" s="2095"/>
      <c r="E323" s="2095"/>
      <c r="F323" s="2095"/>
      <c r="G323" s="2095"/>
      <c r="H323" s="2095"/>
      <c r="I323" s="2095"/>
      <c r="J323" s="2095"/>
      <c r="K323" s="2095"/>
      <c r="L323" s="2095"/>
      <c r="M323" s="2095"/>
      <c r="N323" s="2095"/>
      <c r="O323" s="756" t="str">
        <f>$O$6</f>
        <v>Month December-2022</v>
      </c>
    </row>
    <row r="324" spans="1:15" ht="15.5" x14ac:dyDescent="0.35">
      <c r="A324" s="2096" t="s">
        <v>0</v>
      </c>
      <c r="B324" s="2098" t="s">
        <v>1</v>
      </c>
      <c r="C324" s="2100" t="s">
        <v>2</v>
      </c>
      <c r="D324" s="2101"/>
      <c r="E324" s="2102"/>
      <c r="F324" s="2103" t="s">
        <v>3</v>
      </c>
      <c r="G324" s="2100" t="s">
        <v>4</v>
      </c>
      <c r="H324" s="2102"/>
      <c r="I324" s="2085"/>
      <c r="J324" s="2103" t="s">
        <v>5</v>
      </c>
      <c r="K324" s="2100" t="s">
        <v>6</v>
      </c>
      <c r="L324" s="2085"/>
      <c r="M324" s="97" t="s">
        <v>32</v>
      </c>
      <c r="N324" s="98"/>
      <c r="O324" s="2084" t="s">
        <v>7</v>
      </c>
    </row>
    <row r="325" spans="1:15" ht="15.5" x14ac:dyDescent="0.35">
      <c r="A325" s="2097"/>
      <c r="B325" s="2099"/>
      <c r="C325" s="2086" t="s">
        <v>1108</v>
      </c>
      <c r="D325" s="2087"/>
      <c r="E325" s="1810" t="s">
        <v>9</v>
      </c>
      <c r="F325" s="2097"/>
      <c r="G325" s="2">
        <f>'NORTH-1'!$G$8</f>
        <v>44774</v>
      </c>
      <c r="H325" s="2">
        <f>'NORTH-1'!$H$8</f>
        <v>44805</v>
      </c>
      <c r="I325" s="1" t="s">
        <v>10</v>
      </c>
      <c r="J325" s="2097"/>
      <c r="K325" s="1" t="s">
        <v>11</v>
      </c>
      <c r="L325" s="1" t="s">
        <v>12</v>
      </c>
      <c r="M325" s="617" t="s">
        <v>33</v>
      </c>
      <c r="N325" s="76" t="s">
        <v>47</v>
      </c>
      <c r="O325" s="2085"/>
    </row>
    <row r="326" spans="1:15" ht="15.5" x14ac:dyDescent="0.35">
      <c r="A326" s="3">
        <v>1</v>
      </c>
      <c r="B326" s="88">
        <v>2</v>
      </c>
      <c r="C326" s="2088">
        <v>4</v>
      </c>
      <c r="D326" s="2089"/>
      <c r="E326" s="1811">
        <v>5</v>
      </c>
      <c r="F326" s="3">
        <v>7</v>
      </c>
      <c r="G326" s="3">
        <v>8</v>
      </c>
      <c r="H326" s="3">
        <v>9</v>
      </c>
      <c r="I326" s="3" t="s">
        <v>13</v>
      </c>
      <c r="J326" s="3">
        <v>11</v>
      </c>
      <c r="K326" s="3" t="s">
        <v>19</v>
      </c>
      <c r="L326" s="3" t="s">
        <v>20</v>
      </c>
      <c r="M326" s="3">
        <v>14</v>
      </c>
      <c r="N326" s="77">
        <v>15</v>
      </c>
      <c r="O326" s="3">
        <v>16</v>
      </c>
    </row>
    <row r="327" spans="1:15" ht="15.5" x14ac:dyDescent="0.35">
      <c r="A327" s="631"/>
      <c r="B327" s="624" t="s">
        <v>1121</v>
      </c>
      <c r="C327" s="625"/>
      <c r="D327" s="625"/>
      <c r="E327" s="1794"/>
      <c r="F327" s="625"/>
      <c r="G327" s="625"/>
      <c r="H327" s="625"/>
      <c r="I327" s="625"/>
      <c r="J327" s="625"/>
      <c r="K327" s="695"/>
      <c r="L327" s="625"/>
      <c r="M327" s="626"/>
      <c r="N327" s="1972"/>
      <c r="O327" s="616"/>
    </row>
    <row r="328" spans="1:15" ht="15.5" x14ac:dyDescent="0.35">
      <c r="A328" s="631">
        <v>17</v>
      </c>
      <c r="B328" s="100" t="s">
        <v>1838</v>
      </c>
      <c r="C328" s="52">
        <v>11</v>
      </c>
      <c r="D328" s="1770"/>
      <c r="E328" s="1801" t="s">
        <v>1839</v>
      </c>
      <c r="F328" s="4">
        <v>1</v>
      </c>
      <c r="G328" s="21">
        <v>72296.899999999994</v>
      </c>
      <c r="H328" s="21">
        <v>96780.9</v>
      </c>
      <c r="I328" s="21">
        <f>H328-G328</f>
        <v>24484</v>
      </c>
      <c r="J328" s="616">
        <v>180</v>
      </c>
      <c r="K328" s="696">
        <f>F328*I328*J328</f>
        <v>4407120</v>
      </c>
      <c r="L328" s="22"/>
      <c r="M328" s="22">
        <f>K328*$M$315/$K$332</f>
        <v>4290968.8805386396</v>
      </c>
      <c r="N328" s="72"/>
      <c r="O328" s="616"/>
    </row>
    <row r="329" spans="1:15" ht="15.5" x14ac:dyDescent="0.35">
      <c r="A329" s="631">
        <v>18</v>
      </c>
      <c r="B329" s="100" t="s">
        <v>1840</v>
      </c>
      <c r="C329" s="52">
        <v>11</v>
      </c>
      <c r="D329" s="1771"/>
      <c r="E329" s="1801" t="s">
        <v>1841</v>
      </c>
      <c r="F329" s="4">
        <v>1</v>
      </c>
      <c r="G329" s="21">
        <v>4923.22</v>
      </c>
      <c r="H329" s="21">
        <v>12147.8</v>
      </c>
      <c r="I329" s="21">
        <f>H329-G329</f>
        <v>7224.579999999999</v>
      </c>
      <c r="J329" s="616">
        <v>180</v>
      </c>
      <c r="K329" s="696">
        <f>I329*J329</f>
        <v>1300424.3999999999</v>
      </c>
      <c r="L329" s="22"/>
      <c r="M329" s="22">
        <f>K329*$M$315/$K$332</f>
        <v>1266151.2806306912</v>
      </c>
      <c r="N329" s="72"/>
      <c r="O329" s="616"/>
    </row>
    <row r="330" spans="1:15" ht="15.5" x14ac:dyDescent="0.35">
      <c r="A330" s="631">
        <v>24</v>
      </c>
      <c r="B330" s="100" t="s">
        <v>1849</v>
      </c>
      <c r="C330" s="52">
        <v>11</v>
      </c>
      <c r="D330" s="1771"/>
      <c r="E330" s="1801" t="s">
        <v>1850</v>
      </c>
      <c r="F330" s="4">
        <v>1</v>
      </c>
      <c r="G330" s="21">
        <v>9646.52</v>
      </c>
      <c r="H330" s="21">
        <v>9687.7199999999993</v>
      </c>
      <c r="I330" s="21">
        <f>H330-G330</f>
        <v>41.199999999998909</v>
      </c>
      <c r="J330" s="616">
        <v>80000</v>
      </c>
      <c r="K330" s="696">
        <f>I330*J330*F330</f>
        <v>3295999.9999999125</v>
      </c>
      <c r="L330" s="22"/>
      <c r="M330" s="22">
        <f>K330*$M$315/$K$332</f>
        <v>3209132.8192232074</v>
      </c>
      <c r="N330" s="72"/>
      <c r="O330" s="616"/>
    </row>
    <row r="331" spans="1:15" ht="15.5" x14ac:dyDescent="0.35">
      <c r="A331" s="631">
        <v>30</v>
      </c>
      <c r="B331" s="100" t="s">
        <v>1860</v>
      </c>
      <c r="C331" s="52">
        <v>11</v>
      </c>
      <c r="D331" s="1772"/>
      <c r="E331" s="1801" t="s">
        <v>1861</v>
      </c>
      <c r="F331" s="4">
        <v>1</v>
      </c>
      <c r="G331" s="21">
        <v>8999.64</v>
      </c>
      <c r="H331" s="21">
        <v>9033.34</v>
      </c>
      <c r="I331" s="21">
        <f>H331-G331</f>
        <v>33.700000000000728</v>
      </c>
      <c r="J331" s="616">
        <v>80000</v>
      </c>
      <c r="K331" s="696">
        <f>I331*J331*F331</f>
        <v>2696000.0000000582</v>
      </c>
      <c r="L331" s="22"/>
      <c r="M331" s="22">
        <f>K331*$M$315/$K$332</f>
        <v>2624946.0196074583</v>
      </c>
      <c r="N331" s="72"/>
      <c r="O331" s="616"/>
    </row>
    <row r="332" spans="1:15" ht="15.5" x14ac:dyDescent="0.35">
      <c r="A332" s="631"/>
      <c r="B332" s="102"/>
      <c r="C332" s="91"/>
      <c r="D332" s="726"/>
      <c r="E332" s="1814"/>
      <c r="F332" s="47"/>
      <c r="G332" s="48"/>
      <c r="H332" s="48"/>
      <c r="I332" s="48"/>
      <c r="J332" s="39" t="s">
        <v>30</v>
      </c>
      <c r="K332" s="708">
        <f>SUM(K328:K331)</f>
        <v>11699544.399999971</v>
      </c>
      <c r="L332" s="49"/>
      <c r="M332" s="43">
        <f>SUM(M328:M331)</f>
        <v>11391198.999999996</v>
      </c>
      <c r="N332" s="1973"/>
      <c r="O332" s="616"/>
    </row>
    <row r="333" spans="1:15" ht="15.5" x14ac:dyDescent="0.35">
      <c r="A333" s="631"/>
      <c r="B333" s="647" t="s">
        <v>1121</v>
      </c>
      <c r="C333" s="648"/>
      <c r="D333" s="648"/>
      <c r="E333" s="1800"/>
      <c r="F333" s="648"/>
      <c r="G333" s="648"/>
      <c r="H333" s="648"/>
      <c r="I333" s="648"/>
      <c r="J333" s="50"/>
      <c r="K333" s="710"/>
      <c r="L333" s="51"/>
      <c r="M333" s="51"/>
      <c r="N333" s="1971"/>
      <c r="O333" s="616"/>
    </row>
    <row r="334" spans="1:15" ht="15.5" x14ac:dyDescent="0.35">
      <c r="A334" s="631">
        <v>12</v>
      </c>
      <c r="B334" s="100" t="s">
        <v>1828</v>
      </c>
      <c r="C334" s="73">
        <v>11</v>
      </c>
      <c r="D334" s="2167"/>
      <c r="E334" s="1801" t="s">
        <v>1829</v>
      </c>
      <c r="F334" s="32">
        <v>1</v>
      </c>
      <c r="G334" s="6">
        <v>18261.439999999999</v>
      </c>
      <c r="H334" s="6">
        <v>34649.9</v>
      </c>
      <c r="I334" s="20">
        <f t="shared" ref="I334:I356" si="10">H334-G334</f>
        <v>16388.460000000003</v>
      </c>
      <c r="J334" s="616">
        <v>60</v>
      </c>
      <c r="K334" s="703"/>
      <c r="L334" s="22">
        <f>F334*I334*J334</f>
        <v>983307.60000000021</v>
      </c>
      <c r="M334" s="22">
        <f>L334*$K$357/$L$357</f>
        <v>994131.21559107979</v>
      </c>
      <c r="N334" s="72" t="s">
        <v>103</v>
      </c>
      <c r="O334" s="15"/>
    </row>
    <row r="335" spans="1:15" ht="15.5" x14ac:dyDescent="0.35">
      <c r="A335" s="631">
        <v>13</v>
      </c>
      <c r="B335" s="100" t="s">
        <v>1830</v>
      </c>
      <c r="C335" s="73">
        <v>11</v>
      </c>
      <c r="D335" s="2168"/>
      <c r="E335" s="1801" t="s">
        <v>1831</v>
      </c>
      <c r="F335" s="32">
        <v>1</v>
      </c>
      <c r="G335" s="6">
        <v>30528.54</v>
      </c>
      <c r="H335" s="6">
        <v>46182.98</v>
      </c>
      <c r="I335" s="20">
        <f t="shared" si="10"/>
        <v>15654.440000000002</v>
      </c>
      <c r="J335" s="616">
        <v>60</v>
      </c>
      <c r="K335" s="703"/>
      <c r="L335" s="22">
        <f t="shared" ref="L335:L356" si="11">F335*I335*J335</f>
        <v>939266.40000000014</v>
      </c>
      <c r="M335" s="22">
        <f t="shared" ref="M335:M356" si="12">L335*$K$357/$L$357</f>
        <v>949605.23847863823</v>
      </c>
      <c r="N335" s="72" t="s">
        <v>103</v>
      </c>
      <c r="O335" s="15"/>
    </row>
    <row r="336" spans="1:15" ht="15.5" x14ac:dyDescent="0.35">
      <c r="A336" s="631">
        <v>14</v>
      </c>
      <c r="B336" s="100" t="s">
        <v>1832</v>
      </c>
      <c r="C336" s="73">
        <v>11</v>
      </c>
      <c r="D336" s="2168"/>
      <c r="E336" s="1801" t="s">
        <v>1833</v>
      </c>
      <c r="F336" s="32">
        <v>1</v>
      </c>
      <c r="G336" s="6">
        <v>66284.14</v>
      </c>
      <c r="H336" s="6">
        <v>79349.38</v>
      </c>
      <c r="I336" s="20">
        <f t="shared" si="10"/>
        <v>13065.240000000005</v>
      </c>
      <c r="J336" s="616">
        <v>60</v>
      </c>
      <c r="K336" s="703"/>
      <c r="L336" s="22">
        <f t="shared" si="11"/>
        <v>783914.40000000037</v>
      </c>
      <c r="M336" s="22">
        <f t="shared" si="12"/>
        <v>792543.2239020142</v>
      </c>
      <c r="N336" s="72" t="s">
        <v>103</v>
      </c>
      <c r="O336" s="15"/>
    </row>
    <row r="337" spans="1:15" ht="15.5" x14ac:dyDescent="0.35">
      <c r="A337" s="631">
        <v>15</v>
      </c>
      <c r="B337" s="100" t="s">
        <v>1834</v>
      </c>
      <c r="C337" s="73">
        <v>11</v>
      </c>
      <c r="D337" s="2168"/>
      <c r="E337" s="1801" t="s">
        <v>1835</v>
      </c>
      <c r="F337" s="32">
        <v>1</v>
      </c>
      <c r="G337" s="6">
        <v>64637.440000000002</v>
      </c>
      <c r="H337" s="6">
        <v>92733.82</v>
      </c>
      <c r="I337" s="20">
        <f t="shared" si="10"/>
        <v>28096.380000000005</v>
      </c>
      <c r="J337" s="616">
        <v>60</v>
      </c>
      <c r="K337" s="703"/>
      <c r="L337" s="22">
        <f t="shared" si="11"/>
        <v>1685782.8000000003</v>
      </c>
      <c r="M337" s="22">
        <f t="shared" si="12"/>
        <v>1704338.80932735</v>
      </c>
      <c r="N337" s="72" t="s">
        <v>103</v>
      </c>
      <c r="O337" s="15"/>
    </row>
    <row r="338" spans="1:15" ht="15.5" x14ac:dyDescent="0.35">
      <c r="A338" s="631">
        <v>16</v>
      </c>
      <c r="B338" s="100" t="s">
        <v>1836</v>
      </c>
      <c r="C338" s="73">
        <v>11</v>
      </c>
      <c r="D338" s="2168"/>
      <c r="E338" s="1801" t="s">
        <v>1837</v>
      </c>
      <c r="F338" s="32">
        <v>1</v>
      </c>
      <c r="G338" s="6"/>
      <c r="H338" s="6"/>
      <c r="I338" s="20">
        <f t="shared" si="10"/>
        <v>0</v>
      </c>
      <c r="J338" s="616">
        <v>60</v>
      </c>
      <c r="K338" s="703"/>
      <c r="L338" s="22">
        <f t="shared" si="11"/>
        <v>0</v>
      </c>
      <c r="M338" s="22">
        <f t="shared" si="12"/>
        <v>0</v>
      </c>
      <c r="N338" s="72"/>
      <c r="O338" s="15"/>
    </row>
    <row r="339" spans="1:15" ht="15.5" x14ac:dyDescent="0.35">
      <c r="A339" s="631">
        <v>19</v>
      </c>
      <c r="B339" s="100" t="s">
        <v>1842</v>
      </c>
      <c r="C339" s="73">
        <v>11</v>
      </c>
      <c r="D339" s="2168"/>
      <c r="E339" s="1801">
        <v>6604412</v>
      </c>
      <c r="F339" s="32">
        <v>1</v>
      </c>
      <c r="G339" s="6">
        <v>13505.75</v>
      </c>
      <c r="H339" s="6">
        <v>13509.87</v>
      </c>
      <c r="I339" s="20">
        <f t="shared" si="10"/>
        <v>4.1200000000008004</v>
      </c>
      <c r="J339" s="616">
        <v>8000</v>
      </c>
      <c r="K339" s="703"/>
      <c r="L339" s="22">
        <f t="shared" si="11"/>
        <v>32960.000000006403</v>
      </c>
      <c r="M339" s="22">
        <f t="shared" si="12"/>
        <v>33322.802412885198</v>
      </c>
      <c r="N339" s="72" t="s">
        <v>103</v>
      </c>
      <c r="O339" s="15"/>
    </row>
    <row r="340" spans="1:15" ht="15.5" x14ac:dyDescent="0.35">
      <c r="A340" s="631">
        <v>20</v>
      </c>
      <c r="B340" s="100" t="s">
        <v>1843</v>
      </c>
      <c r="C340" s="73">
        <v>11</v>
      </c>
      <c r="D340" s="2168"/>
      <c r="E340" s="1801" t="s">
        <v>1844</v>
      </c>
      <c r="F340" s="32">
        <v>1</v>
      </c>
      <c r="G340" s="6">
        <v>6059.21</v>
      </c>
      <c r="H340" s="6">
        <v>7112.9</v>
      </c>
      <c r="I340" s="20">
        <f t="shared" si="10"/>
        <v>1053.6899999999996</v>
      </c>
      <c r="J340" s="616">
        <v>444.44</v>
      </c>
      <c r="K340" s="703"/>
      <c r="L340" s="22">
        <f t="shared" si="11"/>
        <v>468301.9835999998</v>
      </c>
      <c r="M340" s="22">
        <f t="shared" si="12"/>
        <v>473456.74966814212</v>
      </c>
      <c r="N340" s="72" t="s">
        <v>103</v>
      </c>
      <c r="O340" s="15"/>
    </row>
    <row r="341" spans="1:15" ht="15.5" x14ac:dyDescent="0.35">
      <c r="A341" s="631">
        <v>21</v>
      </c>
      <c r="B341" s="100" t="s">
        <v>1845</v>
      </c>
      <c r="C341" s="73">
        <v>11</v>
      </c>
      <c r="D341" s="2168"/>
      <c r="E341" s="1801" t="s">
        <v>1846</v>
      </c>
      <c r="F341" s="32">
        <v>1</v>
      </c>
      <c r="G341" s="6">
        <v>30831.599999999999</v>
      </c>
      <c r="H341" s="6">
        <v>30930.54</v>
      </c>
      <c r="I341" s="20">
        <f t="shared" si="10"/>
        <v>98.940000000002328</v>
      </c>
      <c r="J341" s="616">
        <v>8000</v>
      </c>
      <c r="K341" s="703"/>
      <c r="L341" s="22">
        <f t="shared" si="11"/>
        <v>791520.00000001863</v>
      </c>
      <c r="M341" s="22">
        <f t="shared" si="12"/>
        <v>800232.54143939284</v>
      </c>
      <c r="N341" s="72" t="s">
        <v>103</v>
      </c>
      <c r="O341" s="15"/>
    </row>
    <row r="342" spans="1:15" ht="15.5" x14ac:dyDescent="0.35">
      <c r="A342" s="631">
        <v>22</v>
      </c>
      <c r="B342" s="100" t="s">
        <v>1836</v>
      </c>
      <c r="C342" s="73">
        <v>11</v>
      </c>
      <c r="D342" s="2168"/>
      <c r="E342" s="1801">
        <v>8576983</v>
      </c>
      <c r="F342" s="32">
        <v>1</v>
      </c>
      <c r="G342" s="6"/>
      <c r="H342" s="6"/>
      <c r="I342" s="20">
        <f t="shared" si="10"/>
        <v>0</v>
      </c>
      <c r="J342" s="616">
        <v>1000</v>
      </c>
      <c r="K342" s="703"/>
      <c r="L342" s="22">
        <f t="shared" si="11"/>
        <v>0</v>
      </c>
      <c r="M342" s="22">
        <f t="shared" si="12"/>
        <v>0</v>
      </c>
      <c r="N342" s="72"/>
      <c r="O342" s="15"/>
    </row>
    <row r="343" spans="1:15" ht="15.5" x14ac:dyDescent="0.35">
      <c r="A343" s="631">
        <v>23</v>
      </c>
      <c r="B343" s="100" t="s">
        <v>1847</v>
      </c>
      <c r="C343" s="73">
        <v>11</v>
      </c>
      <c r="D343" s="2168"/>
      <c r="E343" s="1801" t="s">
        <v>1848</v>
      </c>
      <c r="F343" s="32">
        <v>1</v>
      </c>
      <c r="G343" s="6">
        <v>4422.93</v>
      </c>
      <c r="H343" s="6">
        <v>4422.93</v>
      </c>
      <c r="I343" s="20">
        <f t="shared" si="10"/>
        <v>0</v>
      </c>
      <c r="J343" s="616">
        <v>80000</v>
      </c>
      <c r="K343" s="703"/>
      <c r="L343" s="22">
        <f t="shared" si="11"/>
        <v>0</v>
      </c>
      <c r="M343" s="22">
        <f t="shared" si="12"/>
        <v>0</v>
      </c>
      <c r="N343" s="72"/>
      <c r="O343" s="15"/>
    </row>
    <row r="344" spans="1:15" ht="15.5" x14ac:dyDescent="0.35">
      <c r="A344" s="631">
        <v>25</v>
      </c>
      <c r="B344" s="100" t="s">
        <v>1851</v>
      </c>
      <c r="C344" s="73">
        <v>11</v>
      </c>
      <c r="D344" s="2168"/>
      <c r="E344" s="1801">
        <v>6604415</v>
      </c>
      <c r="F344" s="32">
        <v>1</v>
      </c>
      <c r="G344" s="6">
        <v>30945.599999999999</v>
      </c>
      <c r="H344" s="6">
        <v>31090.74</v>
      </c>
      <c r="I344" s="20">
        <f t="shared" si="10"/>
        <v>145.14000000000306</v>
      </c>
      <c r="J344" s="616">
        <v>8000</v>
      </c>
      <c r="K344" s="703"/>
      <c r="L344" s="22">
        <f t="shared" si="11"/>
        <v>1161120.0000000244</v>
      </c>
      <c r="M344" s="22">
        <f t="shared" si="12"/>
        <v>1173900.8597585727</v>
      </c>
      <c r="N344" s="72" t="s">
        <v>94</v>
      </c>
      <c r="O344" s="15"/>
    </row>
    <row r="345" spans="1:15" ht="15.5" x14ac:dyDescent="0.35">
      <c r="A345" s="631">
        <v>26</v>
      </c>
      <c r="B345" s="100" t="s">
        <v>1852</v>
      </c>
      <c r="C345" s="73">
        <v>11</v>
      </c>
      <c r="D345" s="2168"/>
      <c r="E345" s="1801" t="s">
        <v>1853</v>
      </c>
      <c r="F345" s="32">
        <v>1</v>
      </c>
      <c r="G345" s="6">
        <v>267.16000000000003</v>
      </c>
      <c r="H345" s="6">
        <v>267.16000000000003</v>
      </c>
      <c r="I345" s="20">
        <f t="shared" si="10"/>
        <v>0</v>
      </c>
      <c r="J345" s="616">
        <v>8000</v>
      </c>
      <c r="K345" s="703"/>
      <c r="L345" s="22">
        <f t="shared" si="11"/>
        <v>0</v>
      </c>
      <c r="M345" s="22">
        <f t="shared" si="12"/>
        <v>0</v>
      </c>
      <c r="N345" s="72"/>
      <c r="O345" s="15"/>
    </row>
    <row r="346" spans="1:15" ht="15.5" x14ac:dyDescent="0.35">
      <c r="A346" s="631">
        <v>27</v>
      </c>
      <c r="B346" s="100" t="s">
        <v>1854</v>
      </c>
      <c r="C346" s="73">
        <v>11</v>
      </c>
      <c r="D346" s="2168"/>
      <c r="E346" s="1801" t="s">
        <v>1855</v>
      </c>
      <c r="F346" s="32">
        <v>1</v>
      </c>
      <c r="G346" s="6">
        <v>26712.79</v>
      </c>
      <c r="H346" s="6">
        <v>26823.27</v>
      </c>
      <c r="I346" s="20">
        <f t="shared" si="10"/>
        <v>110.47999999999956</v>
      </c>
      <c r="J346" s="616">
        <v>8000</v>
      </c>
      <c r="K346" s="703"/>
      <c r="L346" s="22">
        <f t="shared" si="11"/>
        <v>883839.99999999651</v>
      </c>
      <c r="M346" s="22">
        <f t="shared" si="12"/>
        <v>893568.74043078313</v>
      </c>
      <c r="N346" s="72" t="s">
        <v>103</v>
      </c>
      <c r="O346" s="15"/>
    </row>
    <row r="347" spans="1:15" ht="15.5" x14ac:dyDescent="0.35">
      <c r="A347" s="631">
        <v>28</v>
      </c>
      <c r="B347" s="100" t="s">
        <v>1856</v>
      </c>
      <c r="C347" s="73">
        <v>11</v>
      </c>
      <c r="D347" s="2168"/>
      <c r="E347" s="1801" t="s">
        <v>1857</v>
      </c>
      <c r="F347" s="32">
        <v>1</v>
      </c>
      <c r="G347" s="6">
        <v>37358.129999999997</v>
      </c>
      <c r="H347" s="6">
        <v>37525.519999999997</v>
      </c>
      <c r="I347" s="20">
        <f t="shared" si="10"/>
        <v>167.38999999999942</v>
      </c>
      <c r="J347" s="616">
        <v>8000</v>
      </c>
      <c r="K347" s="703"/>
      <c r="L347" s="22">
        <f t="shared" si="11"/>
        <v>1339119.9999999953</v>
      </c>
      <c r="M347" s="22">
        <f t="shared" si="12"/>
        <v>1353860.1689057646</v>
      </c>
      <c r="N347" s="72" t="s">
        <v>103</v>
      </c>
      <c r="O347" s="15"/>
    </row>
    <row r="348" spans="1:15" ht="15.5" x14ac:dyDescent="0.35">
      <c r="A348" s="631">
        <v>29</v>
      </c>
      <c r="B348" s="100" t="s">
        <v>1858</v>
      </c>
      <c r="C348" s="73">
        <v>11</v>
      </c>
      <c r="D348" s="2168"/>
      <c r="E348" s="1801" t="s">
        <v>1859</v>
      </c>
      <c r="F348" s="32">
        <v>1</v>
      </c>
      <c r="G348" s="6">
        <v>37551.19</v>
      </c>
      <c r="H348" s="6">
        <v>37698.730000000003</v>
      </c>
      <c r="I348" s="20">
        <f t="shared" si="10"/>
        <v>147.54000000000087</v>
      </c>
      <c r="J348" s="616">
        <v>8000</v>
      </c>
      <c r="K348" s="703"/>
      <c r="L348" s="22">
        <f t="shared" si="11"/>
        <v>1180320.000000007</v>
      </c>
      <c r="M348" s="22">
        <f t="shared" si="12"/>
        <v>1193312.2009699407</v>
      </c>
      <c r="N348" s="72" t="s">
        <v>94</v>
      </c>
      <c r="O348" s="15"/>
    </row>
    <row r="349" spans="1:15" ht="15.5" x14ac:dyDescent="0.35">
      <c r="A349" s="631">
        <v>31</v>
      </c>
      <c r="B349" s="100" t="s">
        <v>1862</v>
      </c>
      <c r="C349" s="73">
        <v>11</v>
      </c>
      <c r="D349" s="2168"/>
      <c r="E349" s="1801" t="s">
        <v>1863</v>
      </c>
      <c r="F349" s="32">
        <v>1</v>
      </c>
      <c r="G349" s="6">
        <v>6520.24</v>
      </c>
      <c r="H349" s="6">
        <v>6520.24</v>
      </c>
      <c r="I349" s="20">
        <f t="shared" si="10"/>
        <v>0</v>
      </c>
      <c r="J349" s="616">
        <v>40000</v>
      </c>
      <c r="K349" s="703"/>
      <c r="L349" s="22">
        <f t="shared" si="11"/>
        <v>0</v>
      </c>
      <c r="M349" s="22">
        <f t="shared" si="12"/>
        <v>0</v>
      </c>
      <c r="N349" s="72" t="s">
        <v>103</v>
      </c>
      <c r="O349" s="15"/>
    </row>
    <row r="350" spans="1:15" ht="15.5" x14ac:dyDescent="0.35">
      <c r="A350" s="631">
        <v>32</v>
      </c>
      <c r="B350" s="100" t="s">
        <v>1836</v>
      </c>
      <c r="C350" s="73">
        <v>11</v>
      </c>
      <c r="D350" s="2168"/>
      <c r="E350" s="1801">
        <v>9120051</v>
      </c>
      <c r="F350" s="32">
        <v>1</v>
      </c>
      <c r="G350" s="6"/>
      <c r="H350" s="6"/>
      <c r="I350" s="20">
        <f t="shared" si="10"/>
        <v>0</v>
      </c>
      <c r="J350" s="616">
        <v>1000</v>
      </c>
      <c r="K350" s="703"/>
      <c r="L350" s="22">
        <f t="shared" si="11"/>
        <v>0</v>
      </c>
      <c r="M350" s="22">
        <f t="shared" si="12"/>
        <v>0</v>
      </c>
      <c r="N350" s="72"/>
      <c r="O350" s="15"/>
    </row>
    <row r="351" spans="1:15" ht="15.5" x14ac:dyDescent="0.35">
      <c r="A351" s="631">
        <v>33</v>
      </c>
      <c r="B351" s="100" t="s">
        <v>1864</v>
      </c>
      <c r="C351" s="73">
        <v>11</v>
      </c>
      <c r="D351" s="2168"/>
      <c r="E351" s="1801">
        <v>6604289</v>
      </c>
      <c r="F351" s="32">
        <v>1</v>
      </c>
      <c r="G351" s="6">
        <v>4092.31</v>
      </c>
      <c r="H351" s="6">
        <v>4117.75</v>
      </c>
      <c r="I351" s="20">
        <f t="shared" si="10"/>
        <v>25.440000000000055</v>
      </c>
      <c r="J351" s="616">
        <v>40000</v>
      </c>
      <c r="K351" s="703"/>
      <c r="L351" s="22">
        <f t="shared" si="11"/>
        <v>1017600.0000000022</v>
      </c>
      <c r="M351" s="22">
        <f t="shared" si="12"/>
        <v>1028801.0842034424</v>
      </c>
      <c r="N351" s="72" t="s">
        <v>103</v>
      </c>
      <c r="O351" s="15"/>
    </row>
    <row r="352" spans="1:15" ht="15.5" x14ac:dyDescent="0.35">
      <c r="A352" s="631">
        <v>34</v>
      </c>
      <c r="B352" s="100" t="s">
        <v>1836</v>
      </c>
      <c r="C352" s="73">
        <v>11</v>
      </c>
      <c r="D352" s="2168"/>
      <c r="E352" s="1801" t="s">
        <v>1865</v>
      </c>
      <c r="F352" s="32">
        <v>1</v>
      </c>
      <c r="G352" s="6"/>
      <c r="H352" s="6"/>
      <c r="I352" s="20">
        <f t="shared" si="10"/>
        <v>0</v>
      </c>
      <c r="J352" s="616">
        <v>60</v>
      </c>
      <c r="K352" s="703"/>
      <c r="L352" s="22">
        <f t="shared" si="11"/>
        <v>0</v>
      </c>
      <c r="M352" s="22">
        <f t="shared" si="12"/>
        <v>0</v>
      </c>
      <c r="N352" s="72"/>
      <c r="O352" s="15"/>
    </row>
    <row r="353" spans="1:15" ht="15.5" x14ac:dyDescent="0.35">
      <c r="A353" s="631">
        <v>35</v>
      </c>
      <c r="B353" s="100" t="s">
        <v>1836</v>
      </c>
      <c r="C353" s="73">
        <v>11</v>
      </c>
      <c r="D353" s="2168"/>
      <c r="E353" s="1801" t="s">
        <v>1866</v>
      </c>
      <c r="F353" s="32">
        <v>1</v>
      </c>
      <c r="G353" s="6"/>
      <c r="H353" s="6"/>
      <c r="I353" s="20">
        <f t="shared" si="10"/>
        <v>0</v>
      </c>
      <c r="J353" s="616">
        <v>60</v>
      </c>
      <c r="K353" s="703"/>
      <c r="L353" s="22">
        <f t="shared" si="11"/>
        <v>0</v>
      </c>
      <c r="M353" s="22">
        <f t="shared" si="12"/>
        <v>0</v>
      </c>
      <c r="N353" s="72"/>
      <c r="O353" s="15"/>
    </row>
    <row r="354" spans="1:15" ht="15.5" x14ac:dyDescent="0.35">
      <c r="A354" s="631">
        <v>36</v>
      </c>
      <c r="B354" s="100" t="s">
        <v>1836</v>
      </c>
      <c r="C354" s="73">
        <v>11</v>
      </c>
      <c r="D354" s="2168"/>
      <c r="E354" s="1801" t="s">
        <v>1867</v>
      </c>
      <c r="F354" s="32">
        <v>1</v>
      </c>
      <c r="G354" s="6"/>
      <c r="H354" s="6"/>
      <c r="I354" s="20">
        <f t="shared" si="10"/>
        <v>0</v>
      </c>
      <c r="J354" s="616">
        <v>60</v>
      </c>
      <c r="K354" s="703"/>
      <c r="L354" s="22">
        <f t="shared" si="11"/>
        <v>0</v>
      </c>
      <c r="M354" s="22">
        <f t="shared" si="12"/>
        <v>0</v>
      </c>
      <c r="N354" s="72"/>
      <c r="O354" s="15"/>
    </row>
    <row r="355" spans="1:15" ht="15.5" x14ac:dyDescent="0.35">
      <c r="A355" s="631">
        <v>37</v>
      </c>
      <c r="B355" s="100" t="s">
        <v>1868</v>
      </c>
      <c r="C355" s="73">
        <v>0.41499999999999998</v>
      </c>
      <c r="D355" s="2168"/>
      <c r="E355" s="1801">
        <v>412109</v>
      </c>
      <c r="F355" s="32">
        <v>1</v>
      </c>
      <c r="G355" s="6">
        <v>9097.2999999999993</v>
      </c>
      <c r="H355" s="6">
        <v>9104</v>
      </c>
      <c r="I355" s="20">
        <f t="shared" si="10"/>
        <v>6.7000000000007276</v>
      </c>
      <c r="J355" s="616">
        <v>10</v>
      </c>
      <c r="K355" s="703"/>
      <c r="L355" s="22">
        <f t="shared" si="11"/>
        <v>67.000000000007276</v>
      </c>
      <c r="M355" s="22">
        <f t="shared" si="12"/>
        <v>67.737492768905241</v>
      </c>
      <c r="N355" s="72" t="s">
        <v>103</v>
      </c>
      <c r="O355" s="15"/>
    </row>
    <row r="356" spans="1:15" ht="15.5" x14ac:dyDescent="0.35">
      <c r="A356" s="631">
        <v>38</v>
      </c>
      <c r="B356" s="100" t="s">
        <v>1869</v>
      </c>
      <c r="C356" s="73">
        <v>0.41499999999999998</v>
      </c>
      <c r="D356" s="2169"/>
      <c r="E356" s="1801">
        <v>243285</v>
      </c>
      <c r="F356" s="32">
        <v>1</v>
      </c>
      <c r="G356" s="6">
        <v>6237.2</v>
      </c>
      <c r="H356" s="6">
        <v>6242.9</v>
      </c>
      <c r="I356" s="20">
        <f t="shared" si="10"/>
        <v>5.6999999999998181</v>
      </c>
      <c r="J356" s="616">
        <v>10</v>
      </c>
      <c r="K356" s="703"/>
      <c r="L356" s="22">
        <f t="shared" si="11"/>
        <v>56.999999999998181</v>
      </c>
      <c r="M356" s="22">
        <f t="shared" si="12"/>
        <v>57.627419221299348</v>
      </c>
      <c r="N356" s="72" t="s">
        <v>103</v>
      </c>
      <c r="O356" s="15"/>
    </row>
    <row r="357" spans="1:15" ht="28" x14ac:dyDescent="0.35">
      <c r="A357" s="636"/>
      <c r="B357" s="96"/>
      <c r="C357" s="90"/>
      <c r="D357" s="90"/>
      <c r="E357" s="1785"/>
      <c r="F357" s="38"/>
      <c r="G357" s="38"/>
      <c r="H357" s="38"/>
      <c r="I357" s="38"/>
      <c r="J357" s="53" t="s">
        <v>44</v>
      </c>
      <c r="K357" s="43">
        <f>M332</f>
        <v>11391198.999999996</v>
      </c>
      <c r="L357" s="43">
        <f>SUM(L334:L356)</f>
        <v>11267177.183600051</v>
      </c>
      <c r="M357" s="43">
        <f>SUM(M334:M356)</f>
        <v>11391198.999999996</v>
      </c>
      <c r="N357" s="84">
        <f>(M357-L357)/L357*100</f>
        <v>1.1007354759669974</v>
      </c>
      <c r="O357" s="29"/>
    </row>
    <row r="359" spans="1:15" ht="15" x14ac:dyDescent="0.35">
      <c r="A359" s="620"/>
      <c r="B359" s="635"/>
      <c r="C359" s="632"/>
      <c r="D359" s="720"/>
      <c r="F359" s="2092" t="s">
        <v>1099</v>
      </c>
      <c r="G359" s="2092"/>
      <c r="H359" s="2092"/>
      <c r="I359" s="677" t="s">
        <v>14</v>
      </c>
      <c r="J359" s="620"/>
      <c r="K359" s="702"/>
      <c r="L359" s="620"/>
      <c r="M359" s="620"/>
      <c r="N359" s="635"/>
      <c r="O359" s="620"/>
    </row>
    <row r="360" spans="1:15" ht="15.5" x14ac:dyDescent="0.35">
      <c r="A360" s="620"/>
      <c r="B360" s="635"/>
      <c r="C360" s="632"/>
      <c r="D360" s="720"/>
      <c r="F360" s="2153" t="s">
        <v>232</v>
      </c>
      <c r="G360" s="2154"/>
      <c r="H360" s="2155"/>
      <c r="I360" s="643">
        <f>SUM(M334:M335,M350)</f>
        <v>1943736.454069718</v>
      </c>
      <c r="J360" s="620"/>
      <c r="K360" s="702"/>
      <c r="L360" s="620"/>
      <c r="M360" s="620" t="s">
        <v>237</v>
      </c>
      <c r="N360" s="635"/>
      <c r="O360" s="620" t="s">
        <v>237</v>
      </c>
    </row>
    <row r="361" spans="1:15" ht="15.5" x14ac:dyDescent="0.35">
      <c r="A361" s="620"/>
      <c r="B361" s="635"/>
      <c r="C361" s="632"/>
      <c r="D361" s="720"/>
      <c r="F361" s="2153" t="s">
        <v>268</v>
      </c>
      <c r="G361" s="2154"/>
      <c r="H361" s="2155"/>
      <c r="I361" s="643">
        <f>SUM(M348:M349,M351,M353,M354,M356)</f>
        <v>2222170.9125926043</v>
      </c>
      <c r="J361" s="620"/>
      <c r="K361" s="702"/>
      <c r="L361" s="620"/>
      <c r="M361" s="620"/>
      <c r="N361" s="635"/>
      <c r="O361" s="620"/>
    </row>
    <row r="362" spans="1:15" ht="15.5" x14ac:dyDescent="0.35">
      <c r="A362" s="620"/>
      <c r="B362" s="635"/>
      <c r="C362" s="632"/>
      <c r="D362" s="720"/>
      <c r="F362" s="2153" t="s">
        <v>269</v>
      </c>
      <c r="G362" s="2154"/>
      <c r="H362" s="2155"/>
      <c r="I362" s="643">
        <f>SUM(M352,M355)</f>
        <v>67.737492768905241</v>
      </c>
      <c r="J362" s="620"/>
      <c r="K362" s="702"/>
      <c r="L362" s="620"/>
      <c r="M362" s="620"/>
      <c r="N362" s="635"/>
      <c r="O362" s="620"/>
    </row>
    <row r="363" spans="1:15" ht="15" x14ac:dyDescent="0.35">
      <c r="A363" s="620"/>
      <c r="B363" s="635"/>
      <c r="C363" s="632"/>
      <c r="D363" s="720"/>
      <c r="E363" s="1788"/>
      <c r="F363" s="2156" t="s">
        <v>210</v>
      </c>
      <c r="G363" s="2156"/>
      <c r="H363" s="2156"/>
      <c r="I363" s="656">
        <f>SUM(I360:I362)</f>
        <v>4165975.1041550916</v>
      </c>
      <c r="J363" s="656">
        <f>I363-M357</f>
        <v>-7225223.8958449047</v>
      </c>
      <c r="K363" s="702"/>
      <c r="L363" s="620"/>
      <c r="M363" s="620"/>
      <c r="N363" s="635"/>
      <c r="O363" s="620"/>
    </row>
    <row r="375" spans="1:15" x14ac:dyDescent="0.35">
      <c r="A375" s="620"/>
      <c r="B375" s="635"/>
      <c r="C375" s="632"/>
      <c r="D375" s="720"/>
      <c r="E375" s="1788"/>
      <c r="F375" s="620"/>
      <c r="G375" s="620"/>
      <c r="H375" s="620"/>
      <c r="I375" s="620"/>
      <c r="J375" s="620"/>
      <c r="K375" s="702"/>
      <c r="L375" s="620"/>
      <c r="M375" s="620"/>
      <c r="N375" s="635"/>
      <c r="O375" s="620"/>
    </row>
    <row r="376" spans="1:15" x14ac:dyDescent="0.35">
      <c r="A376" s="620"/>
      <c r="B376" s="635"/>
      <c r="C376" s="632"/>
      <c r="D376" s="720"/>
      <c r="E376" s="1788"/>
      <c r="F376" s="620"/>
      <c r="G376" s="620"/>
      <c r="H376" s="620"/>
      <c r="I376" s="620"/>
      <c r="J376" s="620"/>
      <c r="K376" s="702"/>
      <c r="L376" s="620"/>
      <c r="M376" s="620"/>
      <c r="N376" s="635"/>
      <c r="O376" s="620"/>
    </row>
    <row r="377" spans="1:15" ht="25" x14ac:dyDescent="0.35">
      <c r="A377" s="46"/>
      <c r="B377" s="2152"/>
      <c r="C377" s="2152"/>
      <c r="D377" s="2152"/>
      <c r="E377" s="2152"/>
      <c r="F377" s="2152"/>
      <c r="G377" s="2152"/>
      <c r="H377" s="2152"/>
      <c r="I377" s="2152"/>
      <c r="J377" s="2152"/>
      <c r="K377" s="2152"/>
      <c r="L377" s="2152"/>
      <c r="M377" s="2152"/>
      <c r="N377" s="1967"/>
      <c r="O377" s="28"/>
    </row>
    <row r="378" spans="1:15" x14ac:dyDescent="0.35">
      <c r="A378" s="620"/>
      <c r="B378" s="635"/>
      <c r="C378" s="632"/>
      <c r="D378" s="720"/>
      <c r="E378" s="1788"/>
      <c r="F378" s="620"/>
      <c r="G378" s="620"/>
      <c r="H378" s="620"/>
      <c r="I378" s="620"/>
      <c r="J378" s="620"/>
      <c r="K378" s="702"/>
      <c r="L378" s="620"/>
      <c r="M378" s="620"/>
      <c r="N378" s="635"/>
      <c r="O378" s="620"/>
    </row>
    <row r="379" spans="1:15" x14ac:dyDescent="0.35">
      <c r="A379" s="620"/>
      <c r="B379" s="635"/>
      <c r="C379" s="632"/>
      <c r="D379" s="720"/>
      <c r="E379" s="1788"/>
      <c r="F379" s="620"/>
      <c r="G379" s="620"/>
      <c r="H379" s="620"/>
      <c r="I379" s="620"/>
      <c r="J379" s="620"/>
      <c r="K379" s="702"/>
      <c r="L379" s="620"/>
      <c r="M379" s="620"/>
      <c r="N379" s="635"/>
      <c r="O379" s="620"/>
    </row>
    <row r="380" spans="1:15" ht="25" x14ac:dyDescent="0.35">
      <c r="A380" s="2095" t="s">
        <v>2467</v>
      </c>
      <c r="B380" s="2095"/>
      <c r="C380" s="2095"/>
      <c r="D380" s="2095"/>
      <c r="E380" s="2095"/>
      <c r="F380" s="2095"/>
      <c r="G380" s="2095"/>
      <c r="H380" s="2095"/>
      <c r="I380" s="2095"/>
      <c r="J380" s="2095"/>
      <c r="K380" s="2095"/>
      <c r="L380" s="2095"/>
      <c r="M380" s="2095"/>
      <c r="N380" s="2095"/>
      <c r="O380" s="756" t="e">
        <f>#REF!</f>
        <v>#REF!</v>
      </c>
    </row>
    <row r="381" spans="1:15" ht="15.5" x14ac:dyDescent="0.35">
      <c r="A381" s="2096" t="s">
        <v>0</v>
      </c>
      <c r="B381" s="2098" t="s">
        <v>1</v>
      </c>
      <c r="C381" s="2100" t="s">
        <v>2</v>
      </c>
      <c r="D381" s="2101"/>
      <c r="E381" s="2102"/>
      <c r="F381" s="2103" t="s">
        <v>3</v>
      </c>
      <c r="G381" s="2100" t="s">
        <v>4</v>
      </c>
      <c r="H381" s="2102"/>
      <c r="I381" s="2085"/>
      <c r="J381" s="2103" t="s">
        <v>5</v>
      </c>
      <c r="K381" s="2100" t="s">
        <v>6</v>
      </c>
      <c r="L381" s="2102"/>
      <c r="M381" s="97" t="s">
        <v>1088</v>
      </c>
      <c r="N381" s="98"/>
      <c r="O381" s="2084" t="s">
        <v>7</v>
      </c>
    </row>
    <row r="382" spans="1:15" ht="15.5" x14ac:dyDescent="0.35">
      <c r="A382" s="2097"/>
      <c r="B382" s="2099"/>
      <c r="C382" s="2086" t="s">
        <v>1108</v>
      </c>
      <c r="D382" s="2087"/>
      <c r="E382" s="1810" t="s">
        <v>9</v>
      </c>
      <c r="F382" s="2097"/>
      <c r="G382" s="2">
        <f>'NORTH-1'!$G$8</f>
        <v>44774</v>
      </c>
      <c r="H382" s="2">
        <f>'NORTH-1'!$H$8</f>
        <v>44805</v>
      </c>
      <c r="I382" s="1" t="s">
        <v>10</v>
      </c>
      <c r="J382" s="2097"/>
      <c r="K382" s="1" t="s">
        <v>11</v>
      </c>
      <c r="L382" s="1" t="s">
        <v>12</v>
      </c>
      <c r="M382" s="617" t="s">
        <v>33</v>
      </c>
      <c r="N382" s="76" t="s">
        <v>47</v>
      </c>
      <c r="O382" s="2085"/>
    </row>
    <row r="383" spans="1:15" ht="15.5" x14ac:dyDescent="0.35">
      <c r="A383" s="3">
        <v>1</v>
      </c>
      <c r="B383" s="88">
        <v>2</v>
      </c>
      <c r="C383" s="2088">
        <v>4</v>
      </c>
      <c r="D383" s="2089"/>
      <c r="E383" s="1811">
        <v>5</v>
      </c>
      <c r="F383" s="3">
        <v>7</v>
      </c>
      <c r="G383" s="3">
        <v>8</v>
      </c>
      <c r="H383" s="3">
        <v>9</v>
      </c>
      <c r="I383" s="3" t="s">
        <v>13</v>
      </c>
      <c r="J383" s="3">
        <v>11</v>
      </c>
      <c r="K383" s="3" t="s">
        <v>19</v>
      </c>
      <c r="L383" s="3" t="s">
        <v>20</v>
      </c>
      <c r="M383" s="3">
        <v>14</v>
      </c>
      <c r="N383" s="77">
        <v>15</v>
      </c>
      <c r="O383" s="3">
        <v>16</v>
      </c>
    </row>
    <row r="384" spans="1:15" ht="15.5" x14ac:dyDescent="0.35">
      <c r="A384" s="11"/>
      <c r="B384" s="624" t="s">
        <v>2466</v>
      </c>
      <c r="C384" s="625"/>
      <c r="D384" s="625"/>
      <c r="E384" s="1834"/>
      <c r="F384" s="625"/>
      <c r="G384" s="625"/>
      <c r="H384" s="625"/>
      <c r="I384" s="625"/>
      <c r="J384" s="625"/>
      <c r="K384" s="695"/>
      <c r="L384" s="625"/>
      <c r="M384" s="626"/>
      <c r="N384" s="1972"/>
      <c r="O384" s="8"/>
    </row>
    <row r="385" spans="1:15" ht="15.5" x14ac:dyDescent="0.35">
      <c r="A385" s="631">
        <v>1</v>
      </c>
      <c r="B385" s="100" t="s">
        <v>1870</v>
      </c>
      <c r="C385" s="52">
        <v>132</v>
      </c>
      <c r="D385" s="1770" t="s">
        <v>1871</v>
      </c>
      <c r="E385" s="2165">
        <v>8993555</v>
      </c>
      <c r="F385" s="4">
        <v>1</v>
      </c>
      <c r="G385" s="5">
        <v>771.69899999999996</v>
      </c>
      <c r="H385" s="5">
        <v>771.69899999999996</v>
      </c>
      <c r="I385" s="5">
        <f>H385-G385</f>
        <v>0</v>
      </c>
      <c r="J385" s="616">
        <v>1440000</v>
      </c>
      <c r="K385" s="696">
        <f>F385*I385*J385</f>
        <v>0</v>
      </c>
      <c r="L385" s="7"/>
      <c r="M385" s="7"/>
      <c r="N385" s="1428"/>
      <c r="O385" s="616"/>
    </row>
    <row r="386" spans="1:15" ht="15.5" x14ac:dyDescent="0.35">
      <c r="A386" s="631"/>
      <c r="B386" s="100"/>
      <c r="C386" s="52">
        <v>132</v>
      </c>
      <c r="D386" s="1771" t="s">
        <v>1872</v>
      </c>
      <c r="E386" s="2166">
        <v>8993555</v>
      </c>
      <c r="F386" s="4">
        <v>1</v>
      </c>
      <c r="G386" s="5">
        <v>2586.7979999999998</v>
      </c>
      <c r="H386" s="5">
        <v>2605.183</v>
      </c>
      <c r="I386" s="5">
        <f>H386-G386</f>
        <v>18.385000000000218</v>
      </c>
      <c r="J386" s="616">
        <v>1440000</v>
      </c>
      <c r="K386" s="696">
        <f>F386*I386*J386</f>
        <v>26474400.000000313</v>
      </c>
      <c r="L386" s="16"/>
      <c r="M386" s="16"/>
      <c r="N386" s="711"/>
      <c r="O386" s="616"/>
    </row>
    <row r="387" spans="1:15" ht="15.5" x14ac:dyDescent="0.35">
      <c r="A387" s="631">
        <v>2</v>
      </c>
      <c r="B387" s="100" t="s">
        <v>1873</v>
      </c>
      <c r="C387" s="52">
        <v>132</v>
      </c>
      <c r="D387" s="1771" t="s">
        <v>1871</v>
      </c>
      <c r="E387" s="2165"/>
      <c r="F387" s="4">
        <v>1</v>
      </c>
      <c r="G387" s="5"/>
      <c r="H387" s="5"/>
      <c r="I387" s="5">
        <f>H387-G387</f>
        <v>0</v>
      </c>
      <c r="J387" s="616"/>
      <c r="K387" s="696">
        <f>F387*I387*J387</f>
        <v>0</v>
      </c>
      <c r="L387" s="7"/>
      <c r="M387" s="7"/>
      <c r="N387" s="1428"/>
      <c r="O387" s="616"/>
    </row>
    <row r="388" spans="1:15" ht="15.5" x14ac:dyDescent="0.35">
      <c r="A388" s="631"/>
      <c r="B388" s="100"/>
      <c r="C388" s="52">
        <v>132</v>
      </c>
      <c r="D388" s="1772" t="s">
        <v>1872</v>
      </c>
      <c r="E388" s="2166"/>
      <c r="F388" s="4">
        <v>1</v>
      </c>
      <c r="G388" s="5"/>
      <c r="H388" s="5"/>
      <c r="I388" s="5">
        <f>H388-G388</f>
        <v>0</v>
      </c>
      <c r="J388" s="616"/>
      <c r="K388" s="696">
        <f>F388*I388*J388</f>
        <v>0</v>
      </c>
      <c r="L388" s="17"/>
      <c r="M388" s="17"/>
      <c r="N388" s="1977"/>
      <c r="O388" s="616"/>
    </row>
    <row r="389" spans="1:15" ht="15.5" x14ac:dyDescent="0.35">
      <c r="A389" s="631"/>
      <c r="B389" s="95"/>
      <c r="C389" s="89"/>
      <c r="D389" s="89"/>
      <c r="E389" s="1784"/>
      <c r="F389" s="37"/>
      <c r="G389" s="37"/>
      <c r="H389" s="37"/>
      <c r="I389" s="2136" t="s">
        <v>236</v>
      </c>
      <c r="J389" s="2137"/>
      <c r="K389" s="698">
        <f>SUM(K385:K388)</f>
        <v>26474400.000000313</v>
      </c>
      <c r="L389" s="94">
        <f>SUM(L385:L388)</f>
        <v>0</v>
      </c>
      <c r="M389" s="18"/>
      <c r="N389" s="1978"/>
      <c r="O389" s="616"/>
    </row>
    <row r="390" spans="1:15" ht="15.5" x14ac:dyDescent="0.35">
      <c r="A390" s="631"/>
      <c r="B390" s="95"/>
      <c r="C390" s="89"/>
      <c r="D390" s="89"/>
      <c r="E390" s="1784"/>
      <c r="F390" s="37"/>
      <c r="G390" s="37"/>
      <c r="H390" s="37"/>
      <c r="I390" s="665"/>
      <c r="J390" s="665" t="s">
        <v>31</v>
      </c>
      <c r="K390" s="699">
        <f>K389-L389</f>
        <v>26474400.000000313</v>
      </c>
      <c r="L390" s="40"/>
      <c r="M390" s="41"/>
      <c r="N390" s="635"/>
      <c r="O390" s="616"/>
    </row>
    <row r="391" spans="1:15" ht="15.5" x14ac:dyDescent="0.35">
      <c r="A391" s="631"/>
      <c r="B391" s="624" t="s">
        <v>2468</v>
      </c>
      <c r="C391" s="625"/>
      <c r="D391" s="625"/>
      <c r="E391" s="1794"/>
      <c r="F391" s="625"/>
      <c r="G391" s="625"/>
      <c r="H391" s="625"/>
      <c r="I391" s="625"/>
      <c r="J391" s="625"/>
      <c r="K391" s="695"/>
      <c r="L391" s="625"/>
      <c r="M391" s="626"/>
      <c r="N391" s="1972"/>
      <c r="O391" s="616"/>
    </row>
    <row r="392" spans="1:15" ht="15.5" x14ac:dyDescent="0.35">
      <c r="A392" s="631">
        <v>2</v>
      </c>
      <c r="B392" s="100" t="s">
        <v>1874</v>
      </c>
      <c r="C392" s="52">
        <v>132</v>
      </c>
      <c r="D392" s="1770" t="s">
        <v>1871</v>
      </c>
      <c r="E392" s="1835"/>
      <c r="F392" s="4">
        <v>1</v>
      </c>
      <c r="G392" s="5"/>
      <c r="H392" s="5"/>
      <c r="I392" s="5">
        <f t="shared" ref="I392:I399" si="13">H392-G392</f>
        <v>0</v>
      </c>
      <c r="J392" s="616">
        <v>1</v>
      </c>
      <c r="K392" s="696">
        <f>SUM(I392*J392)</f>
        <v>0</v>
      </c>
      <c r="L392" s="16"/>
      <c r="M392" s="16"/>
      <c r="N392" s="711"/>
      <c r="O392" s="616"/>
    </row>
    <row r="393" spans="1:15" ht="15.5" x14ac:dyDescent="0.35">
      <c r="A393" s="631"/>
      <c r="B393" s="100"/>
      <c r="C393" s="52">
        <v>132</v>
      </c>
      <c r="D393" s="1771"/>
      <c r="E393" s="1836" t="s">
        <v>1875</v>
      </c>
      <c r="F393" s="4">
        <v>1</v>
      </c>
      <c r="G393" s="5">
        <v>85.57</v>
      </c>
      <c r="H393" s="5">
        <v>85.57</v>
      </c>
      <c r="I393" s="5">
        <f t="shared" si="13"/>
        <v>0</v>
      </c>
      <c r="J393" s="616">
        <v>960000</v>
      </c>
      <c r="K393" s="696">
        <f>I393*J393</f>
        <v>0</v>
      </c>
      <c r="L393" s="16"/>
      <c r="M393" s="16"/>
      <c r="N393" s="711"/>
      <c r="O393" s="616"/>
    </row>
    <row r="394" spans="1:15" ht="15.5" x14ac:dyDescent="0.35">
      <c r="A394" s="631"/>
      <c r="B394" s="100"/>
      <c r="C394" s="52">
        <v>132</v>
      </c>
      <c r="D394" s="1771" t="s">
        <v>1872</v>
      </c>
      <c r="E394" s="1836"/>
      <c r="F394" s="4">
        <v>1</v>
      </c>
      <c r="G394" s="5">
        <v>4493702</v>
      </c>
      <c r="H394" s="5">
        <v>7854567</v>
      </c>
      <c r="I394" s="5">
        <f t="shared" si="13"/>
        <v>3360865</v>
      </c>
      <c r="J394" s="616">
        <v>1</v>
      </c>
      <c r="K394" s="696">
        <f>F394*I394*J394</f>
        <v>3360865</v>
      </c>
      <c r="L394" s="16"/>
      <c r="M394" s="16"/>
      <c r="N394" s="711"/>
      <c r="O394" s="616"/>
    </row>
    <row r="395" spans="1:15" ht="15.5" x14ac:dyDescent="0.35">
      <c r="A395" s="631"/>
      <c r="B395" s="100"/>
      <c r="C395" s="52">
        <v>132</v>
      </c>
      <c r="D395" s="1771"/>
      <c r="E395" s="1836" t="s">
        <v>1875</v>
      </c>
      <c r="F395" s="4">
        <v>1</v>
      </c>
      <c r="G395" s="5">
        <v>977.77</v>
      </c>
      <c r="H395" s="5">
        <v>977.77</v>
      </c>
      <c r="I395" s="5">
        <f t="shared" si="13"/>
        <v>0</v>
      </c>
      <c r="J395" s="616">
        <v>960000</v>
      </c>
      <c r="K395" s="696"/>
      <c r="L395" s="16">
        <f>I395*J395</f>
        <v>0</v>
      </c>
      <c r="M395" s="16"/>
      <c r="N395" s="711"/>
      <c r="O395" s="616"/>
    </row>
    <row r="396" spans="1:15" ht="15.5" x14ac:dyDescent="0.35">
      <c r="A396" s="631">
        <v>3</v>
      </c>
      <c r="B396" s="100" t="s">
        <v>1876</v>
      </c>
      <c r="C396" s="52">
        <v>132</v>
      </c>
      <c r="D396" s="1771" t="s">
        <v>1871</v>
      </c>
      <c r="E396" s="1836" t="s">
        <v>1877</v>
      </c>
      <c r="F396" s="4">
        <v>1</v>
      </c>
      <c r="G396" s="5">
        <v>35292309</v>
      </c>
      <c r="H396" s="5">
        <v>35292309</v>
      </c>
      <c r="I396" s="5">
        <f t="shared" si="13"/>
        <v>0</v>
      </c>
      <c r="J396" s="616">
        <v>1</v>
      </c>
      <c r="K396" s="696"/>
      <c r="L396" s="16"/>
      <c r="M396" s="16"/>
      <c r="N396" s="711"/>
      <c r="O396" s="616"/>
    </row>
    <row r="397" spans="1:15" ht="15.5" x14ac:dyDescent="0.35">
      <c r="A397" s="631"/>
      <c r="B397" s="100"/>
      <c r="C397" s="52">
        <v>132</v>
      </c>
      <c r="D397" s="1771"/>
      <c r="E397" s="1837" t="s">
        <v>1878</v>
      </c>
      <c r="F397" s="4">
        <v>1</v>
      </c>
      <c r="G397" s="5">
        <v>5801.08</v>
      </c>
      <c r="H397" s="5">
        <v>5828.39</v>
      </c>
      <c r="I397" s="5">
        <f t="shared" si="13"/>
        <v>27.3100000000004</v>
      </c>
      <c r="J397" s="616">
        <v>960000</v>
      </c>
      <c r="K397" s="696">
        <f>F397*I397*J397</f>
        <v>26217600.000000384</v>
      </c>
      <c r="L397" s="16"/>
      <c r="M397" s="16"/>
      <c r="N397" s="711"/>
      <c r="O397" s="616"/>
    </row>
    <row r="398" spans="1:15" ht="15.5" x14ac:dyDescent="0.35">
      <c r="A398" s="631"/>
      <c r="B398" s="100"/>
      <c r="C398" s="52">
        <v>132</v>
      </c>
      <c r="D398" s="1771" t="s">
        <v>1872</v>
      </c>
      <c r="E398" s="1835" t="s">
        <v>1879</v>
      </c>
      <c r="F398" s="4">
        <v>1</v>
      </c>
      <c r="G398" s="5"/>
      <c r="H398" s="5"/>
      <c r="I398" s="5">
        <f t="shared" si="13"/>
        <v>0</v>
      </c>
      <c r="J398" s="616">
        <v>1</v>
      </c>
      <c r="K398" s="696"/>
      <c r="L398" s="16">
        <f>J398*I398*F398</f>
        <v>0</v>
      </c>
      <c r="M398" s="16"/>
      <c r="N398" s="711"/>
      <c r="O398" s="616"/>
    </row>
    <row r="399" spans="1:15" ht="15.5" x14ac:dyDescent="0.35">
      <c r="A399" s="631"/>
      <c r="B399" s="100"/>
      <c r="C399" s="52">
        <v>132</v>
      </c>
      <c r="D399" s="1772"/>
      <c r="E399" s="1837" t="s">
        <v>1878</v>
      </c>
      <c r="F399" s="4">
        <v>1</v>
      </c>
      <c r="G399" s="5"/>
      <c r="H399" s="5"/>
      <c r="I399" s="5">
        <f t="shared" si="13"/>
        <v>0</v>
      </c>
      <c r="J399" s="616">
        <v>960000</v>
      </c>
      <c r="K399" s="697"/>
      <c r="L399" s="17">
        <f>J399*I399*F399</f>
        <v>0</v>
      </c>
      <c r="M399" s="17"/>
      <c r="N399" s="1977"/>
      <c r="O399" s="616"/>
    </row>
    <row r="400" spans="1:15" ht="15.5" x14ac:dyDescent="0.35">
      <c r="A400" s="631"/>
      <c r="B400" s="95"/>
      <c r="C400" s="89"/>
      <c r="D400" s="89"/>
      <c r="E400" s="1784"/>
      <c r="F400" s="37"/>
      <c r="G400" s="37"/>
      <c r="H400" s="37"/>
      <c r="I400" s="2136" t="s">
        <v>303</v>
      </c>
      <c r="J400" s="2137"/>
      <c r="K400" s="698">
        <f>SUM(K392:K399)</f>
        <v>29578465.000000384</v>
      </c>
      <c r="L400" s="94">
        <f>SUM(L392:L399)</f>
        <v>0</v>
      </c>
      <c r="M400" s="18"/>
      <c r="N400" s="1978"/>
      <c r="O400" s="633"/>
    </row>
    <row r="401" spans="1:15" ht="15.5" x14ac:dyDescent="0.35">
      <c r="A401" s="631"/>
      <c r="B401" s="95"/>
      <c r="C401" s="89"/>
      <c r="D401" s="89"/>
      <c r="E401" s="1784"/>
      <c r="F401" s="37"/>
      <c r="G401" s="37"/>
      <c r="H401" s="37"/>
      <c r="I401" s="2136" t="s">
        <v>31</v>
      </c>
      <c r="J401" s="2137"/>
      <c r="K401" s="699">
        <f>K400-L400</f>
        <v>29578465.000000384</v>
      </c>
      <c r="L401" s="40"/>
      <c r="M401" s="42"/>
      <c r="N401" s="1921"/>
      <c r="O401" s="633"/>
    </row>
    <row r="402" spans="1:15" ht="15.5" x14ac:dyDescent="0.35">
      <c r="A402" s="11"/>
      <c r="B402" s="647" t="s">
        <v>1115</v>
      </c>
      <c r="C402" s="648"/>
      <c r="D402" s="648"/>
      <c r="E402" s="1800"/>
      <c r="F402" s="648"/>
      <c r="G402" s="648"/>
      <c r="H402" s="648"/>
      <c r="I402" s="648"/>
      <c r="J402" s="648"/>
      <c r="K402" s="700"/>
      <c r="L402" s="648"/>
      <c r="M402" s="651"/>
      <c r="N402" s="1971"/>
      <c r="O402" s="8"/>
    </row>
    <row r="403" spans="1:15" ht="15.5" x14ac:dyDescent="0.35">
      <c r="A403" s="631"/>
      <c r="B403" s="100" t="s">
        <v>1079</v>
      </c>
      <c r="C403" s="52">
        <v>132</v>
      </c>
      <c r="D403" s="2138" t="s">
        <v>1083</v>
      </c>
      <c r="E403" s="1818"/>
      <c r="F403" s="4"/>
      <c r="G403" s="5"/>
      <c r="H403" s="5"/>
      <c r="I403" s="5"/>
      <c r="J403" s="616"/>
      <c r="K403" s="696"/>
      <c r="L403" s="16">
        <f>J403*I403*F403</f>
        <v>0</v>
      </c>
      <c r="M403" s="7"/>
      <c r="N403" s="1428"/>
      <c r="O403" s="616"/>
    </row>
    <row r="404" spans="1:15" ht="15.5" x14ac:dyDescent="0.35">
      <c r="A404" s="631"/>
      <c r="B404" s="100" t="s">
        <v>1078</v>
      </c>
      <c r="C404" s="52">
        <v>132</v>
      </c>
      <c r="D404" s="2139"/>
      <c r="E404" s="1818"/>
      <c r="F404" s="4"/>
      <c r="G404" s="5"/>
      <c r="H404" s="5"/>
      <c r="I404" s="5"/>
      <c r="J404" s="616"/>
      <c r="K404" s="696"/>
      <c r="L404" s="16">
        <f>J404*I404*F404</f>
        <v>0</v>
      </c>
      <c r="M404" s="16"/>
      <c r="N404" s="711"/>
      <c r="O404" s="616"/>
    </row>
    <row r="405" spans="1:15" ht="15.5" x14ac:dyDescent="0.35">
      <c r="A405" s="631"/>
      <c r="B405" s="95"/>
      <c r="C405" s="89"/>
      <c r="D405" s="89"/>
      <c r="E405" s="1784"/>
      <c r="F405" s="37"/>
      <c r="G405" s="37"/>
      <c r="H405" s="37"/>
      <c r="I405" s="37"/>
      <c r="J405" s="95" t="s">
        <v>279</v>
      </c>
      <c r="K405" s="699"/>
      <c r="L405" s="55">
        <f>SUM(L403:L404)</f>
        <v>0</v>
      </c>
      <c r="M405" s="633"/>
      <c r="N405" s="1921"/>
      <c r="O405" s="616"/>
    </row>
    <row r="406" spans="1:15" ht="15.5" x14ac:dyDescent="0.35">
      <c r="A406" s="11"/>
      <c r="B406" s="647" t="s">
        <v>1101</v>
      </c>
      <c r="C406" s="648"/>
      <c r="D406" s="648"/>
      <c r="E406" s="1800"/>
      <c r="F406" s="648"/>
      <c r="G406" s="648"/>
      <c r="H406" s="648"/>
      <c r="I406" s="648"/>
      <c r="J406" s="648"/>
      <c r="K406" s="700"/>
      <c r="L406" s="648"/>
      <c r="M406" s="651"/>
      <c r="N406" s="1971"/>
      <c r="O406" s="8"/>
    </row>
    <row r="407" spans="1:15" ht="15.65" customHeight="1" x14ac:dyDescent="0.35">
      <c r="A407" s="631">
        <v>4</v>
      </c>
      <c r="B407" s="100" t="s">
        <v>1880</v>
      </c>
      <c r="C407" s="52">
        <v>132</v>
      </c>
      <c r="D407" s="1774" t="s">
        <v>527</v>
      </c>
      <c r="E407" s="1837" t="s">
        <v>1881</v>
      </c>
      <c r="F407" s="4">
        <v>1</v>
      </c>
      <c r="G407" s="5">
        <v>97303.994000000006</v>
      </c>
      <c r="H407" s="5">
        <v>112186.798</v>
      </c>
      <c r="I407" s="5">
        <f>H407-G407</f>
        <v>14882.803999999989</v>
      </c>
      <c r="J407" s="616">
        <v>1000</v>
      </c>
      <c r="K407" s="696"/>
      <c r="L407" s="16">
        <f>F407*I407*J407</f>
        <v>14882803.999999989</v>
      </c>
      <c r="M407" s="16"/>
      <c r="N407" s="1428"/>
      <c r="O407" s="616"/>
    </row>
    <row r="408" spans="1:15" ht="30" x14ac:dyDescent="0.35">
      <c r="A408" s="631"/>
      <c r="B408" s="100"/>
      <c r="C408" s="52">
        <v>132</v>
      </c>
      <c r="D408" s="1775" t="s">
        <v>1652</v>
      </c>
      <c r="E408" s="1837" t="s">
        <v>1882</v>
      </c>
      <c r="F408" s="4">
        <v>1</v>
      </c>
      <c r="G408" s="5">
        <v>4655.8990000000003</v>
      </c>
      <c r="H408" s="5">
        <v>4686.8940000000002</v>
      </c>
      <c r="I408" s="5">
        <f>H408-G408</f>
        <v>30.994999999999891</v>
      </c>
      <c r="J408" s="616">
        <v>480000</v>
      </c>
      <c r="K408" s="696"/>
      <c r="L408" s="16">
        <f>F408*I408*J408</f>
        <v>14877599.999999948</v>
      </c>
      <c r="M408" s="16"/>
      <c r="N408" s="1428"/>
      <c r="O408" s="616"/>
    </row>
    <row r="409" spans="1:15" ht="30" x14ac:dyDescent="0.35">
      <c r="A409" s="631">
        <v>5</v>
      </c>
      <c r="B409" s="100" t="s">
        <v>1883</v>
      </c>
      <c r="C409" s="52">
        <v>132</v>
      </c>
      <c r="D409" s="1775" t="s">
        <v>527</v>
      </c>
      <c r="E409" s="1837" t="s">
        <v>1884</v>
      </c>
      <c r="F409" s="4">
        <v>1</v>
      </c>
      <c r="G409" s="5">
        <v>57967.040000000001</v>
      </c>
      <c r="H409" s="5">
        <v>72875.198000000004</v>
      </c>
      <c r="I409" s="5">
        <f>H409-G409</f>
        <v>14908.158000000003</v>
      </c>
      <c r="J409" s="616">
        <v>1000</v>
      </c>
      <c r="K409" s="696"/>
      <c r="L409" s="16">
        <f>F409*I409*J409</f>
        <v>14908158.000000004</v>
      </c>
      <c r="M409" s="16"/>
      <c r="N409" s="1428"/>
      <c r="O409" s="616"/>
    </row>
    <row r="410" spans="1:15" ht="30" x14ac:dyDescent="0.35">
      <c r="A410" s="631"/>
      <c r="B410" s="100"/>
      <c r="C410" s="52">
        <v>132</v>
      </c>
      <c r="D410" s="1776" t="s">
        <v>1652</v>
      </c>
      <c r="E410" s="1837" t="s">
        <v>1885</v>
      </c>
      <c r="F410" s="4">
        <v>1</v>
      </c>
      <c r="G410" s="5">
        <v>4717.63</v>
      </c>
      <c r="H410" s="5">
        <v>4748.6689999999999</v>
      </c>
      <c r="I410" s="5">
        <f>H410-G410</f>
        <v>31.03899999999976</v>
      </c>
      <c r="J410" s="616">
        <v>480000</v>
      </c>
      <c r="K410" s="697"/>
      <c r="L410" s="17">
        <f>F410*I410*J410</f>
        <v>14898719.999999885</v>
      </c>
      <c r="M410" s="16"/>
      <c r="N410" s="1428"/>
      <c r="O410" s="616"/>
    </row>
    <row r="411" spans="1:15" ht="15.5" x14ac:dyDescent="0.35">
      <c r="A411" s="631"/>
      <c r="B411" s="95"/>
      <c r="C411" s="89"/>
      <c r="D411" s="89"/>
      <c r="E411" s="1787"/>
      <c r="F411" s="65"/>
      <c r="G411" s="65"/>
      <c r="H411" s="65"/>
      <c r="I411" s="65"/>
      <c r="J411" s="95" t="s">
        <v>30</v>
      </c>
      <c r="K411" s="701"/>
      <c r="L411" s="699">
        <f>L407+L409</f>
        <v>29790961.999999993</v>
      </c>
      <c r="M411" s="55"/>
      <c r="N411" s="1428"/>
      <c r="O411" s="616"/>
    </row>
    <row r="412" spans="1:15" ht="15" thickBot="1" x14ac:dyDescent="0.4">
      <c r="A412" s="620"/>
      <c r="B412" s="635"/>
      <c r="C412" s="632"/>
      <c r="D412" s="720"/>
      <c r="K412" s="702"/>
      <c r="L412" s="620"/>
      <c r="M412" s="620"/>
      <c r="N412" s="635"/>
      <c r="O412" s="620"/>
    </row>
    <row r="413" spans="1:15" s="620" customFormat="1" x14ac:dyDescent="0.35">
      <c r="B413" s="2142" t="s">
        <v>1090</v>
      </c>
      <c r="C413" s="2143"/>
      <c r="D413" s="683" t="s">
        <v>14</v>
      </c>
      <c r="E413"/>
      <c r="F413" s="2144" t="s">
        <v>1091</v>
      </c>
      <c r="G413" s="2145"/>
      <c r="H413" s="2146"/>
      <c r="I413" s="683" t="s">
        <v>14</v>
      </c>
      <c r="K413" s="2147" t="s">
        <v>1092</v>
      </c>
      <c r="L413" s="2148"/>
      <c r="M413" s="684" t="s">
        <v>14</v>
      </c>
      <c r="N413" s="635"/>
    </row>
    <row r="414" spans="1:15" s="620" customFormat="1" x14ac:dyDescent="0.35">
      <c r="B414" s="2122" t="str">
        <f>B384</f>
        <v>132 KV SENDING SIDE (TARIFF POINT)</v>
      </c>
      <c r="C414" s="2123"/>
      <c r="D414" s="689">
        <f>K390</f>
        <v>26474400.000000313</v>
      </c>
      <c r="E414"/>
      <c r="F414" s="2124" t="s">
        <v>1093</v>
      </c>
      <c r="G414" s="2125"/>
      <c r="H414" s="2126"/>
      <c r="I414" s="689">
        <f>L405</f>
        <v>0</v>
      </c>
      <c r="K414" s="2129" t="s">
        <v>4625</v>
      </c>
      <c r="L414" s="2130"/>
      <c r="M414" s="687">
        <f>I415</f>
        <v>29790961.999999993</v>
      </c>
      <c r="N414" s="635"/>
    </row>
    <row r="415" spans="1:15" s="620" customFormat="1" x14ac:dyDescent="0.35">
      <c r="B415" s="2122" t="s">
        <v>1116</v>
      </c>
      <c r="C415" s="2123"/>
      <c r="D415" s="689"/>
      <c r="E415"/>
      <c r="F415" s="2124" t="s">
        <v>4625</v>
      </c>
      <c r="G415" s="2125"/>
      <c r="H415" s="2126"/>
      <c r="I415" s="687">
        <f>L411</f>
        <v>29790961.999999993</v>
      </c>
      <c r="K415" s="2127" t="s">
        <v>2455</v>
      </c>
      <c r="L415" s="2128"/>
      <c r="M415" s="1908">
        <f>D419</f>
        <v>29287185</v>
      </c>
      <c r="N415" s="635"/>
    </row>
    <row r="416" spans="1:15" s="620" customFormat="1" x14ac:dyDescent="0.35">
      <c r="B416" s="2122" t="s">
        <v>1117</v>
      </c>
      <c r="C416" s="2123"/>
      <c r="D416" s="689"/>
      <c r="E416"/>
      <c r="F416" s="2124" t="s">
        <v>1089</v>
      </c>
      <c r="G416" s="2125"/>
      <c r="H416" s="2126"/>
      <c r="I416" s="689">
        <f>I414+I415</f>
        <v>29790961.999999993</v>
      </c>
      <c r="K416" s="2129" t="s">
        <v>4622</v>
      </c>
      <c r="L416" s="2130"/>
      <c r="M416" s="689">
        <f>M414-M415</f>
        <v>503776.99999999255</v>
      </c>
      <c r="N416" s="635"/>
    </row>
    <row r="417" spans="1:15" s="620" customFormat="1" ht="15" thickBot="1" x14ac:dyDescent="0.4">
      <c r="B417" s="2122" t="s">
        <v>1118</v>
      </c>
      <c r="C417" s="2123"/>
      <c r="D417" s="722"/>
      <c r="E417"/>
      <c r="F417" s="2131" t="s">
        <v>4626</v>
      </c>
      <c r="G417" s="2132"/>
      <c r="H417" s="2133"/>
      <c r="I417" s="689">
        <f>D418-I416</f>
        <v>-3316561.9999996796</v>
      </c>
      <c r="K417" s="2134" t="s">
        <v>285</v>
      </c>
      <c r="L417" s="2135"/>
      <c r="M417" s="1905">
        <f>M416/M414</f>
        <v>1.6910397186904964E-2</v>
      </c>
      <c r="N417" s="635"/>
    </row>
    <row r="418" spans="1:15" s="620" customFormat="1" ht="15" thickBot="1" x14ac:dyDescent="0.4">
      <c r="B418" s="2109" t="s">
        <v>4620</v>
      </c>
      <c r="C418" s="2110"/>
      <c r="D418" s="1435">
        <f>SUM(D414:D417)</f>
        <v>26474400.000000313</v>
      </c>
      <c r="E418"/>
      <c r="F418" s="2113" t="s">
        <v>2454</v>
      </c>
      <c r="G418" s="2114"/>
      <c r="H418" s="2115"/>
      <c r="I418" s="1904">
        <f>I417/I416</f>
        <v>-0.11132779129454365</v>
      </c>
      <c r="K418" s="702"/>
      <c r="N418" s="635"/>
    </row>
    <row r="419" spans="1:15" s="620" customFormat="1" x14ac:dyDescent="0.35">
      <c r="B419" s="2116" t="s">
        <v>4624</v>
      </c>
      <c r="C419" s="2117"/>
      <c r="D419" s="1908">
        <f>K434</f>
        <v>29287185</v>
      </c>
      <c r="E419"/>
      <c r="F419" s="791"/>
      <c r="G419"/>
      <c r="H419"/>
      <c r="I419"/>
      <c r="J419"/>
      <c r="K419" s="702"/>
      <c r="N419" s="635"/>
    </row>
    <row r="420" spans="1:15" s="620" customFormat="1" x14ac:dyDescent="0.35">
      <c r="B420" s="2118" t="s">
        <v>4627</v>
      </c>
      <c r="C420" s="2119"/>
      <c r="D420" s="1436">
        <f>D418-D419</f>
        <v>-2812784.9999996871</v>
      </c>
      <c r="E420"/>
      <c r="F420" s="791"/>
      <c r="G420"/>
      <c r="H420"/>
      <c r="I420"/>
      <c r="J420"/>
      <c r="K420" s="702"/>
      <c r="N420" s="635"/>
    </row>
    <row r="421" spans="1:15" s="620" customFormat="1" ht="15" thickBot="1" x14ac:dyDescent="0.4">
      <c r="B421" s="2120" t="str">
        <f>K417</f>
        <v>LOSS % IN =&gt;</v>
      </c>
      <c r="C421" s="2121"/>
      <c r="D421" s="1899">
        <f>D420/D414</f>
        <v>-0.1062454673193596</v>
      </c>
      <c r="E421"/>
      <c r="F421" s="791"/>
      <c r="G421" s="678"/>
      <c r="H421" s="678"/>
      <c r="I421" s="678"/>
      <c r="J421" s="679"/>
      <c r="K421" s="702"/>
      <c r="N421" s="635"/>
    </row>
    <row r="422" spans="1:15" x14ac:dyDescent="0.35">
      <c r="A422" s="620"/>
      <c r="B422" s="635"/>
      <c r="C422" s="632"/>
      <c r="D422" s="720"/>
      <c r="G422" s="678"/>
      <c r="H422" s="678"/>
      <c r="I422" s="678"/>
      <c r="J422" s="679"/>
      <c r="K422" s="702"/>
      <c r="L422" s="620"/>
      <c r="M422" s="620"/>
      <c r="N422" s="635"/>
      <c r="O422" s="620"/>
    </row>
    <row r="423" spans="1:15" x14ac:dyDescent="0.35">
      <c r="A423" s="620"/>
      <c r="B423" s="635"/>
      <c r="C423" s="632"/>
      <c r="D423" s="720"/>
      <c r="G423" s="678"/>
      <c r="H423" s="678"/>
      <c r="I423" s="678"/>
      <c r="J423" s="679"/>
      <c r="K423" s="702"/>
      <c r="L423" s="620"/>
      <c r="M423" s="620"/>
      <c r="N423" s="635"/>
      <c r="O423" s="620"/>
    </row>
    <row r="424" spans="1:15" x14ac:dyDescent="0.35">
      <c r="A424" s="620"/>
      <c r="B424" s="635"/>
      <c r="C424" s="632"/>
      <c r="D424" s="720"/>
      <c r="E424" s="1788"/>
      <c r="F424" s="620"/>
      <c r="G424" s="620"/>
      <c r="H424" s="620"/>
      <c r="I424" s="620"/>
      <c r="J424" s="620"/>
      <c r="K424" s="702"/>
      <c r="L424" s="620"/>
      <c r="M424" s="620"/>
      <c r="N424" s="635"/>
      <c r="O424" s="620"/>
    </row>
    <row r="425" spans="1:15" ht="25" x14ac:dyDescent="0.35">
      <c r="A425" s="2095" t="s">
        <v>2469</v>
      </c>
      <c r="B425" s="2095"/>
      <c r="C425" s="2095"/>
      <c r="D425" s="2095"/>
      <c r="E425" s="2095"/>
      <c r="F425" s="2095"/>
      <c r="G425" s="2095"/>
      <c r="H425" s="2095"/>
      <c r="I425" s="2095"/>
      <c r="J425" s="2095"/>
      <c r="K425" s="2095"/>
      <c r="L425" s="2095"/>
      <c r="M425" s="2095"/>
      <c r="N425" s="2095"/>
      <c r="O425" s="756" t="str">
        <f>$O$6</f>
        <v>Month December-2022</v>
      </c>
    </row>
    <row r="426" spans="1:15" ht="15.5" x14ac:dyDescent="0.35">
      <c r="A426" s="2096" t="s">
        <v>0</v>
      </c>
      <c r="B426" s="2098" t="s">
        <v>1</v>
      </c>
      <c r="C426" s="2100" t="s">
        <v>2</v>
      </c>
      <c r="D426" s="2101"/>
      <c r="E426" s="2102"/>
      <c r="F426" s="2103" t="s">
        <v>3</v>
      </c>
      <c r="G426" s="2100" t="s">
        <v>4</v>
      </c>
      <c r="H426" s="2102"/>
      <c r="I426" s="2085"/>
      <c r="J426" s="2103" t="s">
        <v>5</v>
      </c>
      <c r="K426" s="2100" t="s">
        <v>6</v>
      </c>
      <c r="L426" s="2085"/>
      <c r="M426" s="97" t="s">
        <v>32</v>
      </c>
      <c r="N426" s="98"/>
      <c r="O426" s="2084" t="s">
        <v>7</v>
      </c>
    </row>
    <row r="427" spans="1:15" ht="15.5" x14ac:dyDescent="0.35">
      <c r="A427" s="2111"/>
      <c r="B427" s="2112"/>
      <c r="C427" s="2086" t="s">
        <v>1108</v>
      </c>
      <c r="D427" s="2087"/>
      <c r="E427" s="1838" t="s">
        <v>9</v>
      </c>
      <c r="F427" s="2111"/>
      <c r="G427" s="2">
        <f>'NORTH-1'!$G$8</f>
        <v>44774</v>
      </c>
      <c r="H427" s="2">
        <f>'NORTH-1'!$H$8</f>
        <v>44805</v>
      </c>
      <c r="I427" s="676" t="s">
        <v>10</v>
      </c>
      <c r="J427" s="2111"/>
      <c r="K427" s="676" t="s">
        <v>11</v>
      </c>
      <c r="L427" s="676" t="s">
        <v>12</v>
      </c>
      <c r="M427" s="715" t="s">
        <v>33</v>
      </c>
      <c r="N427" s="716" t="s">
        <v>47</v>
      </c>
      <c r="O427" s="2104"/>
    </row>
    <row r="428" spans="1:15" ht="15.5" x14ac:dyDescent="0.35">
      <c r="A428" s="717">
        <v>1</v>
      </c>
      <c r="B428" s="673">
        <v>2</v>
      </c>
      <c r="C428" s="2088">
        <v>4</v>
      </c>
      <c r="D428" s="2089"/>
      <c r="E428" s="1839">
        <v>5</v>
      </c>
      <c r="F428" s="717">
        <v>7</v>
      </c>
      <c r="G428" s="717">
        <v>8</v>
      </c>
      <c r="H428" s="717">
        <v>9</v>
      </c>
      <c r="I428" s="717" t="s">
        <v>13</v>
      </c>
      <c r="J428" s="717">
        <v>11</v>
      </c>
      <c r="K428" s="717" t="s">
        <v>19</v>
      </c>
      <c r="L428" s="717" t="s">
        <v>20</v>
      </c>
      <c r="M428" s="717">
        <v>14</v>
      </c>
      <c r="N428" s="673">
        <v>15</v>
      </c>
      <c r="O428" s="717">
        <v>16</v>
      </c>
    </row>
    <row r="429" spans="1:15" ht="15.5" x14ac:dyDescent="0.35">
      <c r="A429" s="11"/>
      <c r="B429" s="624" t="s">
        <v>2470</v>
      </c>
      <c r="C429" s="625"/>
      <c r="D429" s="735" t="s">
        <v>698</v>
      </c>
      <c r="E429" s="1794"/>
      <c r="F429" s="625"/>
      <c r="G429" s="625"/>
      <c r="H429" s="625"/>
      <c r="I429" s="625"/>
      <c r="J429" s="625"/>
      <c r="K429" s="695"/>
      <c r="L429" s="625"/>
      <c r="M429" s="626"/>
      <c r="N429" s="1972"/>
      <c r="O429" s="8"/>
    </row>
    <row r="430" spans="1:15" ht="31" x14ac:dyDescent="0.35">
      <c r="A430" s="631">
        <v>9</v>
      </c>
      <c r="B430" s="100" t="s">
        <v>1894</v>
      </c>
      <c r="C430" s="661">
        <v>33</v>
      </c>
      <c r="D430" s="1778" t="s">
        <v>527</v>
      </c>
      <c r="E430" s="1840" t="s">
        <v>1895</v>
      </c>
      <c r="F430" s="4">
        <v>1</v>
      </c>
      <c r="G430" s="5">
        <v>88054.695000000007</v>
      </c>
      <c r="H430" s="5">
        <v>103017.67600000001</v>
      </c>
      <c r="I430" s="5">
        <f>H430-G430</f>
        <v>14962.981</v>
      </c>
      <c r="J430" s="616">
        <v>1000</v>
      </c>
      <c r="K430" s="696">
        <f>F430*I430*J430</f>
        <v>14962981</v>
      </c>
      <c r="L430" s="7"/>
      <c r="M430" s="7"/>
      <c r="N430" s="1428"/>
      <c r="O430" s="616"/>
    </row>
    <row r="431" spans="1:15" ht="31" x14ac:dyDescent="0.35">
      <c r="A431" s="631"/>
      <c r="B431" s="100"/>
      <c r="C431" s="661">
        <v>33</v>
      </c>
      <c r="D431" s="1778" t="s">
        <v>1652</v>
      </c>
      <c r="E431" s="1840" t="s">
        <v>1896</v>
      </c>
      <c r="F431" s="4">
        <v>1</v>
      </c>
      <c r="G431" s="5">
        <v>2952.64</v>
      </c>
      <c r="H431" s="5">
        <v>2952.64</v>
      </c>
      <c r="I431" s="5">
        <f>H431-G431</f>
        <v>0</v>
      </c>
      <c r="J431" s="616">
        <v>480000</v>
      </c>
      <c r="K431" s="696">
        <f>F431*I431*J431</f>
        <v>0</v>
      </c>
      <c r="L431" s="7"/>
      <c r="M431" s="7"/>
      <c r="N431" s="1428"/>
      <c r="O431" s="616"/>
    </row>
    <row r="432" spans="1:15" ht="31" x14ac:dyDescent="0.35">
      <c r="A432" s="631">
        <v>13</v>
      </c>
      <c r="B432" s="100" t="s">
        <v>1905</v>
      </c>
      <c r="C432" s="661">
        <v>33</v>
      </c>
      <c r="D432" s="1778" t="s">
        <v>527</v>
      </c>
      <c r="E432" s="1840" t="s">
        <v>1895</v>
      </c>
      <c r="F432" s="4">
        <v>1</v>
      </c>
      <c r="G432" s="5">
        <v>10392.562</v>
      </c>
      <c r="H432" s="5">
        <v>24716.766</v>
      </c>
      <c r="I432" s="5">
        <f>H432-G432</f>
        <v>14324.204</v>
      </c>
      <c r="J432" s="616">
        <v>1000</v>
      </c>
      <c r="K432" s="696">
        <f>J432*I432*F432</f>
        <v>14324204</v>
      </c>
      <c r="L432" s="7"/>
      <c r="M432" s="7"/>
      <c r="N432" s="1428"/>
      <c r="O432" s="616"/>
    </row>
    <row r="433" spans="1:15" ht="31" x14ac:dyDescent="0.35">
      <c r="A433" s="631"/>
      <c r="B433" s="100"/>
      <c r="C433" s="661">
        <v>33</v>
      </c>
      <c r="D433" s="1778" t="s">
        <v>1652</v>
      </c>
      <c r="E433" s="1840" t="s">
        <v>1896</v>
      </c>
      <c r="F433" s="4">
        <v>1</v>
      </c>
      <c r="G433" s="5">
        <v>3493.81</v>
      </c>
      <c r="H433" s="5">
        <v>3493.81</v>
      </c>
      <c r="I433" s="5">
        <f>H433-G433</f>
        <v>0</v>
      </c>
      <c r="J433" s="616">
        <v>480000</v>
      </c>
      <c r="K433" s="696">
        <f>J433*I433*F433</f>
        <v>0</v>
      </c>
      <c r="L433" s="7"/>
      <c r="M433" s="7"/>
      <c r="N433" s="1428"/>
      <c r="O433" s="616"/>
    </row>
    <row r="434" spans="1:15" ht="15.5" x14ac:dyDescent="0.35">
      <c r="A434" s="631"/>
      <c r="B434" s="95"/>
      <c r="C434" s="89"/>
      <c r="D434" s="89"/>
      <c r="E434" s="1784"/>
      <c r="F434" s="37"/>
      <c r="G434" s="37"/>
      <c r="H434" s="37"/>
      <c r="I434" s="37"/>
      <c r="J434" s="95" t="s">
        <v>30</v>
      </c>
      <c r="K434" s="1908">
        <f>SUM(K430:K433)</f>
        <v>29287185</v>
      </c>
      <c r="L434" s="40"/>
      <c r="M434" s="40">
        <f>SUM(M430:M433)</f>
        <v>0</v>
      </c>
      <c r="N434" s="1428"/>
      <c r="O434" s="616"/>
    </row>
    <row r="435" spans="1:15" ht="15.5" x14ac:dyDescent="0.35">
      <c r="A435" s="631"/>
      <c r="B435" s="647" t="s">
        <v>2471</v>
      </c>
      <c r="C435" s="648"/>
      <c r="D435" s="648"/>
      <c r="E435" s="1800"/>
      <c r="F435" s="648"/>
      <c r="G435" s="648"/>
      <c r="H435" s="648"/>
      <c r="I435" s="648"/>
      <c r="J435" s="648"/>
      <c r="K435" s="700"/>
      <c r="L435" s="648"/>
      <c r="M435" s="651"/>
      <c r="N435" s="1971"/>
      <c r="O435" s="616"/>
    </row>
    <row r="436" spans="1:15" ht="15.5" x14ac:dyDescent="0.35">
      <c r="A436" s="631"/>
      <c r="B436" s="662" t="s">
        <v>1106</v>
      </c>
      <c r="C436" s="52"/>
      <c r="D436" s="1748" t="s">
        <v>1083</v>
      </c>
      <c r="E436" s="1801"/>
      <c r="F436" s="4"/>
      <c r="G436" s="5"/>
      <c r="H436" s="5"/>
      <c r="I436" s="6"/>
      <c r="J436" s="616"/>
      <c r="K436" s="696"/>
      <c r="L436" s="7"/>
      <c r="M436" s="7"/>
      <c r="N436" s="1428"/>
      <c r="O436" s="616"/>
    </row>
    <row r="437" spans="1:15" ht="31" x14ac:dyDescent="0.35">
      <c r="A437" s="11">
        <v>7</v>
      </c>
      <c r="B437" s="100" t="s">
        <v>1888</v>
      </c>
      <c r="C437" s="661">
        <v>33</v>
      </c>
      <c r="D437" s="1778" t="s">
        <v>527</v>
      </c>
      <c r="E437" s="1840" t="s">
        <v>1889</v>
      </c>
      <c r="F437" s="4">
        <v>1</v>
      </c>
      <c r="G437" s="21">
        <v>26.289000000000001</v>
      </c>
      <c r="H437" s="21">
        <v>6694.692</v>
      </c>
      <c r="I437" s="21">
        <f>H437-G437</f>
        <v>6668.4030000000002</v>
      </c>
      <c r="J437" s="616">
        <v>1000</v>
      </c>
      <c r="K437" s="696"/>
      <c r="L437" s="22">
        <f>I437*J437*F437</f>
        <v>6668403</v>
      </c>
      <c r="M437" s="22">
        <f>L437*$K$453/$L$453</f>
        <v>6601304.5118093723</v>
      </c>
      <c r="N437" s="72"/>
      <c r="O437" s="9"/>
    </row>
    <row r="438" spans="1:15" ht="31" x14ac:dyDescent="0.35">
      <c r="A438" s="631"/>
      <c r="B438" s="100"/>
      <c r="C438" s="661">
        <v>33</v>
      </c>
      <c r="D438" s="1778" t="s">
        <v>1652</v>
      </c>
      <c r="E438" s="1840" t="s">
        <v>1890</v>
      </c>
      <c r="F438" s="4">
        <v>1</v>
      </c>
      <c r="G438" s="21"/>
      <c r="H438" s="21"/>
      <c r="I438" s="21">
        <f>H438-G438</f>
        <v>0</v>
      </c>
      <c r="J438" s="616">
        <v>180000</v>
      </c>
      <c r="K438" s="696"/>
      <c r="L438" s="22">
        <f>F438*I438*J438</f>
        <v>0</v>
      </c>
      <c r="M438" s="22">
        <f t="shared" ref="M438:M451" si="14">L438*$K$453/$L$453</f>
        <v>0</v>
      </c>
      <c r="N438" s="72"/>
      <c r="O438" s="616"/>
    </row>
    <row r="439" spans="1:15" ht="31" x14ac:dyDescent="0.35">
      <c r="A439" s="616">
        <v>11</v>
      </c>
      <c r="B439" s="100" t="s">
        <v>1899</v>
      </c>
      <c r="C439" s="661">
        <v>33</v>
      </c>
      <c r="D439" s="1778" t="s">
        <v>527</v>
      </c>
      <c r="E439" s="1840" t="s">
        <v>1900</v>
      </c>
      <c r="F439" s="4">
        <v>1</v>
      </c>
      <c r="G439" s="21">
        <v>94446.32</v>
      </c>
      <c r="H439" s="21">
        <v>101137.44500000001</v>
      </c>
      <c r="I439" s="21">
        <f>H439-G439</f>
        <v>6691.125</v>
      </c>
      <c r="J439" s="616">
        <v>1000</v>
      </c>
      <c r="K439" s="696"/>
      <c r="L439" s="22">
        <f>F439*I439*J439</f>
        <v>6691125</v>
      </c>
      <c r="M439" s="22">
        <f t="shared" si="14"/>
        <v>6623797.8795793364</v>
      </c>
      <c r="N439" s="72"/>
      <c r="O439" s="616"/>
    </row>
    <row r="440" spans="1:15" ht="31" x14ac:dyDescent="0.35">
      <c r="A440" s="616"/>
      <c r="B440" s="100"/>
      <c r="C440" s="661">
        <v>33</v>
      </c>
      <c r="D440" s="1778" t="s">
        <v>1652</v>
      </c>
      <c r="E440" s="1840" t="s">
        <v>1901</v>
      </c>
      <c r="F440" s="4">
        <v>1</v>
      </c>
      <c r="G440" s="21">
        <v>5873.71</v>
      </c>
      <c r="H440" s="21">
        <v>5910.4669999999996</v>
      </c>
      <c r="I440" s="21">
        <f>H440-G440</f>
        <v>36.756999999999607</v>
      </c>
      <c r="J440" s="616">
        <v>180000</v>
      </c>
      <c r="K440" s="696"/>
      <c r="L440" s="22">
        <f>F440*I440*J440</f>
        <v>6616259.9999999292</v>
      </c>
      <c r="M440" s="22">
        <f t="shared" si="14"/>
        <v>6549686.1826292463</v>
      </c>
      <c r="N440" s="72"/>
      <c r="O440" s="12"/>
    </row>
    <row r="441" spans="1:15" ht="15.5" x14ac:dyDescent="0.35">
      <c r="A441" s="616"/>
      <c r="B441" s="662" t="s">
        <v>1107</v>
      </c>
      <c r="C441" s="89"/>
      <c r="D441" s="1778"/>
      <c r="E441" s="1784"/>
      <c r="F441" s="37"/>
      <c r="G441" s="37"/>
      <c r="H441" s="37"/>
      <c r="I441" s="37"/>
      <c r="J441" s="95" t="s">
        <v>30</v>
      </c>
      <c r="K441" s="696"/>
      <c r="L441" s="43">
        <f>L439+L437</f>
        <v>13359528</v>
      </c>
      <c r="M441" s="43">
        <f>M439+M437</f>
        <v>13225102.391388709</v>
      </c>
      <c r="N441" s="99"/>
      <c r="O441" s="12"/>
    </row>
    <row r="442" spans="1:15" ht="31" x14ac:dyDescent="0.35">
      <c r="A442" s="636">
        <v>6</v>
      </c>
      <c r="B442" s="100" t="s">
        <v>1886</v>
      </c>
      <c r="C442" s="661">
        <v>33</v>
      </c>
      <c r="D442" s="1778" t="s">
        <v>527</v>
      </c>
      <c r="E442" s="1840" t="s">
        <v>1887</v>
      </c>
      <c r="F442" s="4">
        <v>1</v>
      </c>
      <c r="G442" s="6">
        <v>6969840</v>
      </c>
      <c r="H442" s="6">
        <v>12562800</v>
      </c>
      <c r="I442" s="20">
        <f t="shared" ref="I442:I451" si="15">H442-G442</f>
        <v>5592960</v>
      </c>
      <c r="J442" s="616">
        <v>1</v>
      </c>
      <c r="K442" s="703"/>
      <c r="L442" s="22">
        <f>I442*J442*F442</f>
        <v>5592960</v>
      </c>
      <c r="M442" s="22">
        <f t="shared" si="14"/>
        <v>5536682.7833244856</v>
      </c>
      <c r="N442" s="72"/>
      <c r="O442" s="15"/>
    </row>
    <row r="443" spans="1:15" ht="31" x14ac:dyDescent="0.35">
      <c r="A443" s="636">
        <v>8</v>
      </c>
      <c r="B443" s="100" t="s">
        <v>1891</v>
      </c>
      <c r="C443" s="661">
        <v>33</v>
      </c>
      <c r="D443" s="1778" t="s">
        <v>527</v>
      </c>
      <c r="E443" s="1841" t="s">
        <v>1892</v>
      </c>
      <c r="F443" s="4">
        <v>1.5</v>
      </c>
      <c r="G443" s="6">
        <v>39497.243000000002</v>
      </c>
      <c r="H443" s="6">
        <v>39497.245999999999</v>
      </c>
      <c r="I443" s="20">
        <f t="shared" si="15"/>
        <v>2.9999999969732016E-3</v>
      </c>
      <c r="J443" s="616">
        <v>1000</v>
      </c>
      <c r="K443" s="704"/>
      <c r="L443" s="22">
        <f t="shared" ref="L443:L451" si="16">F443*I443*J443</f>
        <v>4.4999999954598024</v>
      </c>
      <c r="M443" s="22">
        <f t="shared" si="14"/>
        <v>4.4547203090711447</v>
      </c>
      <c r="N443" s="72"/>
      <c r="O443" s="14"/>
    </row>
    <row r="444" spans="1:15" ht="31" x14ac:dyDescent="0.35">
      <c r="A444" s="636"/>
      <c r="B444" s="100"/>
      <c r="C444" s="661">
        <v>33</v>
      </c>
      <c r="D444" s="1778" t="s">
        <v>1652</v>
      </c>
      <c r="E444" s="1841" t="s">
        <v>1893</v>
      </c>
      <c r="F444" s="4">
        <v>1.5</v>
      </c>
      <c r="G444" s="6">
        <v>3439.5160000000001</v>
      </c>
      <c r="H444" s="6">
        <v>3439.5160000000001</v>
      </c>
      <c r="I444" s="20">
        <f t="shared" si="15"/>
        <v>0</v>
      </c>
      <c r="J444" s="616">
        <v>180000</v>
      </c>
      <c r="K444" s="704"/>
      <c r="L444" s="22">
        <f t="shared" si="16"/>
        <v>0</v>
      </c>
      <c r="M444" s="22">
        <f t="shared" si="14"/>
        <v>0</v>
      </c>
      <c r="N444" s="72"/>
      <c r="O444" s="14"/>
    </row>
    <row r="445" spans="1:15" ht="31" x14ac:dyDescent="0.35">
      <c r="A445" s="636">
        <v>10</v>
      </c>
      <c r="B445" s="100" t="s">
        <v>1897</v>
      </c>
      <c r="C445" s="661">
        <v>33</v>
      </c>
      <c r="D445" s="1778" t="s">
        <v>527</v>
      </c>
      <c r="E445" s="1840"/>
      <c r="F445" s="4">
        <v>1</v>
      </c>
      <c r="G445" s="6">
        <v>9900.9529999999995</v>
      </c>
      <c r="H445" s="6">
        <v>9900.9529999999995</v>
      </c>
      <c r="I445" s="20">
        <f t="shared" si="15"/>
        <v>0</v>
      </c>
      <c r="J445" s="616">
        <v>1000</v>
      </c>
      <c r="K445" s="704"/>
      <c r="L445" s="22">
        <f t="shared" si="16"/>
        <v>0</v>
      </c>
      <c r="M445" s="22">
        <f t="shared" si="14"/>
        <v>0</v>
      </c>
      <c r="N445" s="72"/>
      <c r="O445" s="14"/>
    </row>
    <row r="446" spans="1:15" ht="31" x14ac:dyDescent="0.35">
      <c r="A446" s="636"/>
      <c r="B446" s="100"/>
      <c r="C446" s="661">
        <v>33</v>
      </c>
      <c r="D446" s="1778" t="s">
        <v>1652</v>
      </c>
      <c r="E446" s="1840" t="s">
        <v>1898</v>
      </c>
      <c r="F446" s="4">
        <v>1</v>
      </c>
      <c r="G446" s="6"/>
      <c r="H446" s="6"/>
      <c r="I446" s="20">
        <f t="shared" si="15"/>
        <v>0</v>
      </c>
      <c r="J446" s="616">
        <v>180000</v>
      </c>
      <c r="K446" s="703"/>
      <c r="L446" s="22">
        <f t="shared" si="16"/>
        <v>0</v>
      </c>
      <c r="M446" s="22">
        <f t="shared" si="14"/>
        <v>0</v>
      </c>
      <c r="N446" s="72"/>
      <c r="O446" s="15"/>
    </row>
    <row r="447" spans="1:15" ht="31" x14ac:dyDescent="0.35">
      <c r="A447" s="636">
        <v>12</v>
      </c>
      <c r="B447" s="100" t="s">
        <v>1902</v>
      </c>
      <c r="C447" s="661">
        <v>33</v>
      </c>
      <c r="D447" s="1778" t="s">
        <v>527</v>
      </c>
      <c r="E447" s="1840" t="s">
        <v>1903</v>
      </c>
      <c r="F447" s="4">
        <v>1</v>
      </c>
      <c r="G447" s="6">
        <v>28377.61</v>
      </c>
      <c r="H447" s="6">
        <v>32467.83</v>
      </c>
      <c r="I447" s="20">
        <f t="shared" si="15"/>
        <v>4090.2200000000012</v>
      </c>
      <c r="J447" s="616">
        <v>1000</v>
      </c>
      <c r="K447" s="703"/>
      <c r="L447" s="22">
        <f t="shared" si="16"/>
        <v>4090220.0000000009</v>
      </c>
      <c r="M447" s="22">
        <f t="shared" si="14"/>
        <v>4049063.5824338957</v>
      </c>
      <c r="N447" s="72"/>
      <c r="O447" s="15"/>
    </row>
    <row r="448" spans="1:15" ht="31" x14ac:dyDescent="0.35">
      <c r="A448" s="636"/>
      <c r="B448" s="100"/>
      <c r="C448" s="661">
        <v>33</v>
      </c>
      <c r="D448" s="1778" t="s">
        <v>1652</v>
      </c>
      <c r="E448" s="1840" t="s">
        <v>1904</v>
      </c>
      <c r="F448" s="4">
        <v>1.5</v>
      </c>
      <c r="G448" s="6">
        <v>1212.885</v>
      </c>
      <c r="H448" s="6">
        <v>1228.0650000000001</v>
      </c>
      <c r="I448" s="20">
        <f t="shared" si="15"/>
        <v>15.180000000000064</v>
      </c>
      <c r="J448" s="616">
        <v>180000</v>
      </c>
      <c r="K448" s="703"/>
      <c r="L448" s="22">
        <f t="shared" si="16"/>
        <v>4098600.0000000172</v>
      </c>
      <c r="M448" s="22">
        <f t="shared" si="14"/>
        <v>4057359.2615956184</v>
      </c>
      <c r="N448" s="72"/>
      <c r="O448" s="15"/>
    </row>
    <row r="449" spans="1:15" ht="31" x14ac:dyDescent="0.35">
      <c r="A449" s="636">
        <v>14</v>
      </c>
      <c r="B449" s="100" t="s">
        <v>1906</v>
      </c>
      <c r="C449" s="661">
        <v>33</v>
      </c>
      <c r="D449" s="1778" t="s">
        <v>527</v>
      </c>
      <c r="E449" s="1840" t="s">
        <v>1907</v>
      </c>
      <c r="F449" s="4">
        <v>1.5</v>
      </c>
      <c r="G449" s="6">
        <v>42619.196000000004</v>
      </c>
      <c r="H449" s="6">
        <v>42619.196000000004</v>
      </c>
      <c r="I449" s="20">
        <f t="shared" si="15"/>
        <v>0</v>
      </c>
      <c r="J449" s="616">
        <v>1000</v>
      </c>
      <c r="K449" s="703"/>
      <c r="L449" s="22">
        <f t="shared" si="16"/>
        <v>0</v>
      </c>
      <c r="M449" s="22">
        <f t="shared" si="14"/>
        <v>0</v>
      </c>
      <c r="N449" s="72"/>
      <c r="O449" s="15"/>
    </row>
    <row r="450" spans="1:15" ht="31" x14ac:dyDescent="0.35">
      <c r="A450" s="636"/>
      <c r="B450" s="100"/>
      <c r="C450" s="661">
        <v>33</v>
      </c>
      <c r="D450" s="1778" t="s">
        <v>1652</v>
      </c>
      <c r="E450" s="1840" t="s">
        <v>1908</v>
      </c>
      <c r="F450" s="4">
        <v>1.5</v>
      </c>
      <c r="G450" s="6">
        <v>3846.3440000000001</v>
      </c>
      <c r="H450" s="6">
        <v>3846.3440000000001</v>
      </c>
      <c r="I450" s="20">
        <f t="shared" si="15"/>
        <v>0</v>
      </c>
      <c r="J450" s="616">
        <v>180000</v>
      </c>
      <c r="K450" s="704"/>
      <c r="L450" s="22">
        <f t="shared" si="16"/>
        <v>0</v>
      </c>
      <c r="M450" s="22">
        <f t="shared" si="14"/>
        <v>0</v>
      </c>
      <c r="N450" s="72"/>
      <c r="O450" s="10"/>
    </row>
    <row r="451" spans="1:15" ht="31" x14ac:dyDescent="0.35">
      <c r="A451" s="636">
        <v>15</v>
      </c>
      <c r="B451" s="100" t="s">
        <v>1909</v>
      </c>
      <c r="C451" s="661">
        <v>33</v>
      </c>
      <c r="D451" s="1778" t="s">
        <v>527</v>
      </c>
      <c r="E451" s="1840" t="s">
        <v>1910</v>
      </c>
      <c r="F451" s="4">
        <v>1</v>
      </c>
      <c r="G451" s="6">
        <v>5011120</v>
      </c>
      <c r="H451" s="6">
        <v>11553280</v>
      </c>
      <c r="I451" s="20">
        <f t="shared" si="15"/>
        <v>6542160</v>
      </c>
      <c r="J451" s="616">
        <v>1</v>
      </c>
      <c r="K451" s="703"/>
      <c r="L451" s="22">
        <f t="shared" si="16"/>
        <v>6542160</v>
      </c>
      <c r="M451" s="22">
        <f t="shared" si="14"/>
        <v>6476331.7881326014</v>
      </c>
      <c r="N451" s="72"/>
      <c r="O451" s="13"/>
    </row>
    <row r="452" spans="1:15" ht="15.5" x14ac:dyDescent="0.35">
      <c r="A452" s="636"/>
      <c r="B452" s="96"/>
      <c r="C452" s="90"/>
      <c r="D452" s="90"/>
      <c r="E452" s="1785"/>
      <c r="F452" s="38"/>
      <c r="G452" s="38"/>
      <c r="H452" s="38"/>
      <c r="I452" s="38"/>
      <c r="J452" s="95" t="s">
        <v>30</v>
      </c>
      <c r="K452" s="696"/>
      <c r="L452" s="43">
        <f>L442+L443+L445+L447+L449+L451</f>
        <v>16225344.499999996</v>
      </c>
      <c r="M452" s="43">
        <f>M442+M443+M445+M447+M449+M451</f>
        <v>16062082.608611293</v>
      </c>
      <c r="N452" s="99"/>
      <c r="O452" s="13"/>
    </row>
    <row r="453" spans="1:15" ht="20" x14ac:dyDescent="0.35">
      <c r="A453" s="636"/>
      <c r="B453" s="96"/>
      <c r="C453" s="90"/>
      <c r="D453" s="90"/>
      <c r="E453" s="1785"/>
      <c r="F453" s="38"/>
      <c r="G453" s="38"/>
      <c r="H453" s="38"/>
      <c r="I453" s="2107" t="s">
        <v>44</v>
      </c>
      <c r="J453" s="2108"/>
      <c r="K453" s="698">
        <f>K434</f>
        <v>29287185</v>
      </c>
      <c r="L453" s="44">
        <f>L441+L452</f>
        <v>29584872.499999996</v>
      </c>
      <c r="M453" s="44">
        <f>M452+M441</f>
        <v>29287185</v>
      </c>
      <c r="N453" s="84">
        <f>(M453-L453)/L453*100</f>
        <v>-1.0062152540964857</v>
      </c>
      <c r="O453" s="29"/>
    </row>
    <row r="454" spans="1:15" x14ac:dyDescent="0.35">
      <c r="A454" s="620"/>
      <c r="B454" s="635"/>
      <c r="C454" s="632"/>
      <c r="D454" s="720"/>
      <c r="K454" s="702"/>
      <c r="L454" s="620"/>
      <c r="M454" s="620"/>
      <c r="N454" s="635"/>
      <c r="O454" s="620"/>
    </row>
    <row r="455" spans="1:15" ht="15" x14ac:dyDescent="0.35">
      <c r="A455" s="620"/>
      <c r="D455" s="725"/>
      <c r="G455" s="2092" t="s">
        <v>1096</v>
      </c>
      <c r="H455" s="2092"/>
      <c r="I455" s="2092"/>
      <c r="J455" s="677" t="s">
        <v>14</v>
      </c>
      <c r="K455" s="69" t="s">
        <v>1098</v>
      </c>
      <c r="L455" s="620"/>
      <c r="M455" s="620"/>
      <c r="N455" s="635"/>
      <c r="O455" s="620"/>
    </row>
    <row r="456" spans="1:15" ht="17.5" x14ac:dyDescent="0.35">
      <c r="A456" s="620"/>
      <c r="D456" s="725"/>
      <c r="G456" s="2093" t="s">
        <v>1071</v>
      </c>
      <c r="H456" s="2093"/>
      <c r="I456" s="2093"/>
      <c r="J456" s="692">
        <f>M441</f>
        <v>13225102.391388709</v>
      </c>
      <c r="K456" s="70">
        <v>6.933634163553025</v>
      </c>
      <c r="L456" s="620"/>
      <c r="M456" s="620"/>
      <c r="N456" s="635"/>
      <c r="O456" s="620"/>
    </row>
    <row r="457" spans="1:15" ht="17.5" x14ac:dyDescent="0.35">
      <c r="A457" s="620"/>
      <c r="D457" s="725"/>
      <c r="G457" s="2093" t="s">
        <v>206</v>
      </c>
      <c r="H457" s="2093"/>
      <c r="I457" s="2093"/>
      <c r="J457" s="692">
        <f>M442+M443+M444</f>
        <v>5536687.2380447946</v>
      </c>
      <c r="K457" s="70">
        <v>-0.33769527905653496</v>
      </c>
      <c r="L457" s="620"/>
      <c r="M457" s="620" t="s">
        <v>237</v>
      </c>
      <c r="N457" s="635"/>
      <c r="O457" s="620"/>
    </row>
    <row r="458" spans="1:15" ht="17.5" x14ac:dyDescent="0.35">
      <c r="A458" s="620"/>
      <c r="D458" s="725"/>
      <c r="G458" s="2093" t="s">
        <v>207</v>
      </c>
      <c r="H458" s="2093"/>
      <c r="I458" s="2093"/>
      <c r="J458" s="692">
        <f>M445+M446</f>
        <v>0</v>
      </c>
      <c r="K458" s="70"/>
      <c r="L458" s="620"/>
      <c r="M458" s="620"/>
      <c r="N458" s="635"/>
      <c r="O458" s="620"/>
    </row>
    <row r="459" spans="1:15" ht="17.5" x14ac:dyDescent="0.35">
      <c r="A459" s="620"/>
      <c r="D459" s="725"/>
      <c r="G459" s="2093" t="s">
        <v>208</v>
      </c>
      <c r="H459" s="2093"/>
      <c r="I459" s="2093"/>
      <c r="J459" s="692">
        <f>M450</f>
        <v>0</v>
      </c>
      <c r="K459" s="70">
        <v>0.58957194954853154</v>
      </c>
      <c r="L459" s="620"/>
      <c r="M459" s="620"/>
      <c r="N459" s="635"/>
      <c r="O459" s="620"/>
    </row>
    <row r="460" spans="1:15" ht="17.5" x14ac:dyDescent="0.35">
      <c r="A460" s="620"/>
      <c r="B460" s="635"/>
      <c r="C460" s="632"/>
      <c r="D460" s="720"/>
      <c r="G460" s="2093" t="s">
        <v>209</v>
      </c>
      <c r="H460" s="2093"/>
      <c r="I460" s="2093"/>
      <c r="J460" s="692">
        <f>M451</f>
        <v>6476331.7881326014</v>
      </c>
      <c r="K460" s="70"/>
      <c r="L460" s="620"/>
      <c r="M460" s="620"/>
      <c r="N460" s="635"/>
      <c r="O460" s="620"/>
    </row>
    <row r="461" spans="1:15" ht="17.5" x14ac:dyDescent="0.35">
      <c r="A461" s="620"/>
      <c r="B461" s="635"/>
      <c r="C461" s="632"/>
      <c r="D461" s="720"/>
      <c r="G461" s="2093" t="s">
        <v>40</v>
      </c>
      <c r="H461" s="2093"/>
      <c r="I461" s="2093"/>
      <c r="J461" s="692" t="e">
        <f>#REF!+#REF!</f>
        <v>#REF!</v>
      </c>
      <c r="K461" s="70">
        <v>2.4391608198671739</v>
      </c>
      <c r="L461" s="620"/>
      <c r="M461" s="620"/>
      <c r="N461" s="635"/>
      <c r="O461" s="620"/>
    </row>
    <row r="462" spans="1:15" x14ac:dyDescent="0.35">
      <c r="A462" s="620"/>
      <c r="B462" s="635"/>
      <c r="C462" s="632"/>
      <c r="D462" s="720"/>
      <c r="G462" s="2094" t="s">
        <v>42</v>
      </c>
      <c r="H462" s="2094"/>
      <c r="I462" s="2094"/>
      <c r="J462" s="693" t="e">
        <f>#REF!</f>
        <v>#REF!</v>
      </c>
      <c r="K462" s="694" t="s">
        <v>1097</v>
      </c>
      <c r="L462" s="620"/>
      <c r="M462" s="620"/>
      <c r="N462" s="635"/>
      <c r="O462" s="620"/>
    </row>
    <row r="463" spans="1:15" ht="18" thickBot="1" x14ac:dyDescent="0.4">
      <c r="A463" s="620"/>
      <c r="B463" s="635"/>
      <c r="C463" s="632"/>
      <c r="D463" s="720"/>
      <c r="E463" s="1788"/>
      <c r="F463" s="620"/>
      <c r="G463" s="2093" t="s">
        <v>41</v>
      </c>
      <c r="H463" s="2093"/>
      <c r="I463" s="2093"/>
      <c r="J463" s="692" t="e">
        <f>#REF!</f>
        <v>#REF!</v>
      </c>
      <c r="K463" s="681">
        <v>1.4463055987403735</v>
      </c>
      <c r="L463" s="620"/>
      <c r="M463" s="620"/>
      <c r="N463" s="635"/>
      <c r="O463" s="620"/>
    </row>
    <row r="464" spans="1:15" ht="20.5" thickBot="1" x14ac:dyDescent="0.4">
      <c r="A464" s="620"/>
      <c r="B464" s="635"/>
      <c r="C464" s="632"/>
      <c r="D464" s="720"/>
      <c r="E464" s="1788"/>
      <c r="F464" s="620"/>
      <c r="G464" s="620"/>
      <c r="H464" s="620"/>
      <c r="I464" s="642" t="s">
        <v>210</v>
      </c>
      <c r="J464" s="680" t="e">
        <f>SUM(J456:J463)</f>
        <v>#REF!</v>
      </c>
      <c r="K464" s="682" t="e">
        <f>J464-M453</f>
        <v>#REF!</v>
      </c>
      <c r="L464" s="620"/>
      <c r="M464" s="620"/>
      <c r="N464" s="635"/>
      <c r="O464" s="620"/>
    </row>
    <row r="465" spans="1:15" x14ac:dyDescent="0.35">
      <c r="A465" s="620"/>
      <c r="B465" s="635"/>
      <c r="C465" s="632"/>
      <c r="D465" s="720"/>
      <c r="E465" s="1788"/>
      <c r="F465" s="620"/>
      <c r="G465" s="620"/>
      <c r="H465" s="620"/>
      <c r="I465" s="620"/>
      <c r="J465" s="620"/>
      <c r="K465" s="702"/>
      <c r="L465" s="620"/>
      <c r="M465" s="620"/>
      <c r="N465" s="635"/>
      <c r="O465" s="620"/>
    </row>
    <row r="466" spans="1:15" ht="25" x14ac:dyDescent="0.35">
      <c r="A466" s="2095" t="s">
        <v>2472</v>
      </c>
      <c r="B466" s="2095"/>
      <c r="C466" s="2095"/>
      <c r="D466" s="2095"/>
      <c r="E466" s="2095"/>
      <c r="F466" s="2095"/>
      <c r="G466" s="2095"/>
      <c r="H466" s="2095"/>
      <c r="I466" s="2095"/>
      <c r="J466" s="2095"/>
      <c r="K466" s="2095"/>
      <c r="L466" s="2095"/>
      <c r="M466" s="2095"/>
      <c r="N466" s="2095"/>
      <c r="O466" s="756" t="str">
        <f>$O$6</f>
        <v>Month December-2022</v>
      </c>
    </row>
    <row r="467" spans="1:15" ht="15.5" x14ac:dyDescent="0.35">
      <c r="A467" s="2096" t="s">
        <v>0</v>
      </c>
      <c r="B467" s="2098" t="s">
        <v>1</v>
      </c>
      <c r="C467" s="2100" t="s">
        <v>2</v>
      </c>
      <c r="D467" s="2101"/>
      <c r="E467" s="2102"/>
      <c r="F467" s="2103" t="s">
        <v>3</v>
      </c>
      <c r="G467" s="2100" t="s">
        <v>4</v>
      </c>
      <c r="H467" s="2102"/>
      <c r="I467" s="2085"/>
      <c r="J467" s="2103" t="s">
        <v>5</v>
      </c>
      <c r="K467" s="2100" t="s">
        <v>6</v>
      </c>
      <c r="L467" s="2085"/>
      <c r="M467" s="97" t="s">
        <v>32</v>
      </c>
      <c r="N467" s="98"/>
      <c r="O467" s="2084" t="s">
        <v>7</v>
      </c>
    </row>
    <row r="468" spans="1:15" ht="15.5" x14ac:dyDescent="0.35">
      <c r="A468" s="2097"/>
      <c r="B468" s="2099"/>
      <c r="C468" s="2086" t="s">
        <v>1108</v>
      </c>
      <c r="D468" s="2087"/>
      <c r="E468" s="1810" t="s">
        <v>9</v>
      </c>
      <c r="F468" s="2097"/>
      <c r="G468" s="2">
        <f>'NORTH-1'!$G$8</f>
        <v>44774</v>
      </c>
      <c r="H468" s="2">
        <f>'NORTH-1'!$H$8</f>
        <v>44805</v>
      </c>
      <c r="I468" s="1" t="s">
        <v>10</v>
      </c>
      <c r="J468" s="2097"/>
      <c r="K468" s="1" t="s">
        <v>11</v>
      </c>
      <c r="L468" s="1" t="s">
        <v>12</v>
      </c>
      <c r="M468" s="617" t="s">
        <v>33</v>
      </c>
      <c r="N468" s="76" t="s">
        <v>47</v>
      </c>
      <c r="O468" s="2085"/>
    </row>
    <row r="469" spans="1:15" ht="15.5" x14ac:dyDescent="0.35">
      <c r="A469" s="3">
        <v>1</v>
      </c>
      <c r="B469" s="88">
        <v>2</v>
      </c>
      <c r="C469" s="2088">
        <v>4</v>
      </c>
      <c r="D469" s="2089"/>
      <c r="E469" s="1811">
        <v>5</v>
      </c>
      <c r="F469" s="3">
        <v>7</v>
      </c>
      <c r="G469" s="3">
        <v>8</v>
      </c>
      <c r="H469" s="3">
        <v>9</v>
      </c>
      <c r="I469" s="3" t="s">
        <v>13</v>
      </c>
      <c r="J469" s="3">
        <v>11</v>
      </c>
      <c r="K469" s="3" t="s">
        <v>19</v>
      </c>
      <c r="L469" s="3" t="s">
        <v>20</v>
      </c>
      <c r="M469" s="3">
        <v>14</v>
      </c>
      <c r="N469" s="77">
        <v>15</v>
      </c>
      <c r="O469" s="3">
        <v>16</v>
      </c>
    </row>
    <row r="470" spans="1:15" ht="15" x14ac:dyDescent="0.35">
      <c r="A470" s="636"/>
      <c r="B470" s="624" t="s">
        <v>2473</v>
      </c>
      <c r="C470" s="625"/>
      <c r="D470" s="625"/>
      <c r="E470" s="1794"/>
      <c r="F470" s="625"/>
      <c r="G470" s="625"/>
      <c r="H470" s="625"/>
      <c r="I470" s="625"/>
      <c r="J470" s="625"/>
      <c r="K470" s="695"/>
      <c r="L470" s="625"/>
      <c r="M470" s="626"/>
      <c r="N470" s="1972"/>
      <c r="O470" s="12"/>
    </row>
    <row r="471" spans="1:15" ht="15.5" x14ac:dyDescent="0.35">
      <c r="A471" s="616">
        <v>10</v>
      </c>
      <c r="B471" s="100" t="s">
        <v>1928</v>
      </c>
      <c r="C471" s="73">
        <v>11</v>
      </c>
      <c r="D471" s="1779"/>
      <c r="E471" s="1801">
        <v>51426631</v>
      </c>
      <c r="F471" s="32">
        <v>1</v>
      </c>
      <c r="G471" s="5">
        <v>6801355</v>
      </c>
      <c r="H471" s="5">
        <v>6874846</v>
      </c>
      <c r="I471" s="21">
        <f>H471-G471</f>
        <v>73491</v>
      </c>
      <c r="J471" s="616">
        <v>90</v>
      </c>
      <c r="K471" s="707">
        <f>F471*I471*J471</f>
        <v>6614190</v>
      </c>
      <c r="L471" s="22"/>
      <c r="M471" s="22"/>
      <c r="N471" s="99"/>
      <c r="O471" s="12"/>
    </row>
    <row r="472" spans="1:15" ht="15.5" x14ac:dyDescent="0.35">
      <c r="A472" s="616">
        <v>11</v>
      </c>
      <c r="B472" s="100" t="s">
        <v>1929</v>
      </c>
      <c r="C472" s="73">
        <v>11</v>
      </c>
      <c r="D472" s="1780"/>
      <c r="E472" s="1801">
        <v>51426633</v>
      </c>
      <c r="F472" s="32">
        <v>1</v>
      </c>
      <c r="G472" s="5">
        <v>6545729</v>
      </c>
      <c r="H472" s="5">
        <v>6622182</v>
      </c>
      <c r="I472" s="21">
        <f>H472-G472</f>
        <v>76453</v>
      </c>
      <c r="J472" s="616">
        <v>90</v>
      </c>
      <c r="K472" s="707">
        <f>F472*I472*J472</f>
        <v>6880770</v>
      </c>
      <c r="L472" s="22"/>
      <c r="M472" s="22"/>
      <c r="N472" s="99"/>
      <c r="O472" s="12"/>
    </row>
    <row r="473" spans="1:15" ht="15" x14ac:dyDescent="0.35">
      <c r="A473" s="636"/>
      <c r="B473" s="96"/>
      <c r="C473" s="90"/>
      <c r="D473" s="90"/>
      <c r="E473" s="1785"/>
      <c r="F473" s="38"/>
      <c r="G473" s="38"/>
      <c r="H473" s="38"/>
      <c r="I473" s="38"/>
      <c r="J473" s="96" t="s">
        <v>30</v>
      </c>
      <c r="K473" s="708">
        <f>SUM(K471:K472)</f>
        <v>13494960</v>
      </c>
      <c r="L473" s="43"/>
      <c r="M473" s="43">
        <f>SUM(M471:M472)</f>
        <v>0</v>
      </c>
      <c r="N473" s="99"/>
      <c r="O473" s="12"/>
    </row>
    <row r="474" spans="1:15" ht="15.5" x14ac:dyDescent="0.35">
      <c r="A474" s="631"/>
      <c r="B474" s="647" t="s">
        <v>2474</v>
      </c>
      <c r="C474" s="648"/>
      <c r="D474" s="648"/>
      <c r="E474" s="1800"/>
      <c r="F474" s="648"/>
      <c r="G474" s="648"/>
      <c r="H474" s="648"/>
      <c r="I474" s="648"/>
      <c r="J474" s="648"/>
      <c r="K474" s="700"/>
      <c r="L474" s="648"/>
      <c r="M474" s="651"/>
      <c r="N474" s="1971"/>
      <c r="O474" s="616"/>
    </row>
    <row r="475" spans="1:15" ht="15.5" x14ac:dyDescent="0.35">
      <c r="A475" s="631">
        <v>3</v>
      </c>
      <c r="B475" s="100" t="s">
        <v>1913</v>
      </c>
      <c r="C475" s="73">
        <v>11</v>
      </c>
      <c r="D475" s="1768"/>
      <c r="E475" s="1801" t="s">
        <v>1914</v>
      </c>
      <c r="F475" s="32">
        <v>1</v>
      </c>
      <c r="G475" s="6">
        <v>21796.65</v>
      </c>
      <c r="H475" s="6">
        <v>21940.799999999999</v>
      </c>
      <c r="I475" s="20">
        <f t="shared" ref="I475:I496" si="17">H475-G475</f>
        <v>144.14999999999782</v>
      </c>
      <c r="J475" s="616">
        <v>8000</v>
      </c>
      <c r="K475" s="703"/>
      <c r="L475" s="22">
        <f t="shared" ref="L475:L496" si="18">F475*I475*J475</f>
        <v>1153199.9999999825</v>
      </c>
      <c r="M475" s="22"/>
      <c r="N475" s="72" t="s">
        <v>103</v>
      </c>
      <c r="O475" s="15"/>
    </row>
    <row r="476" spans="1:15" ht="15.5" x14ac:dyDescent="0.35">
      <c r="A476" s="631"/>
      <c r="B476" s="100"/>
      <c r="C476" s="73">
        <v>11</v>
      </c>
      <c r="D476" s="1769"/>
      <c r="E476" s="1801" t="s">
        <v>1915</v>
      </c>
      <c r="F476" s="32">
        <v>1</v>
      </c>
      <c r="G476" s="6">
        <v>73977.648000000001</v>
      </c>
      <c r="H476" s="6">
        <v>75128.472999999998</v>
      </c>
      <c r="I476" s="20">
        <f t="shared" si="17"/>
        <v>1150.8249999999971</v>
      </c>
      <c r="J476" s="616">
        <v>1000</v>
      </c>
      <c r="K476" s="703"/>
      <c r="L476" s="22">
        <f t="shared" si="18"/>
        <v>1150824.9999999972</v>
      </c>
      <c r="M476" s="22"/>
      <c r="N476" s="72" t="s">
        <v>103</v>
      </c>
      <c r="O476" s="15"/>
    </row>
    <row r="477" spans="1:15" ht="15.5" x14ac:dyDescent="0.35">
      <c r="A477" s="631">
        <v>4</v>
      </c>
      <c r="B477" s="100" t="s">
        <v>1916</v>
      </c>
      <c r="C477" s="73">
        <v>11</v>
      </c>
      <c r="D477" s="1769"/>
      <c r="E477" s="1801" t="s">
        <v>1917</v>
      </c>
      <c r="F477" s="32">
        <v>1</v>
      </c>
      <c r="G477" s="6">
        <v>69897.758000000002</v>
      </c>
      <c r="H477" s="6">
        <v>70732.34</v>
      </c>
      <c r="I477" s="20">
        <f t="shared" si="17"/>
        <v>834.58199999999488</v>
      </c>
      <c r="J477" s="616">
        <v>1000</v>
      </c>
      <c r="K477" s="703"/>
      <c r="L477" s="22">
        <f t="shared" si="18"/>
        <v>834581.99999999488</v>
      </c>
      <c r="M477" s="22"/>
      <c r="N477" s="72" t="s">
        <v>103</v>
      </c>
      <c r="O477" s="15"/>
    </row>
    <row r="478" spans="1:15" ht="15.5" x14ac:dyDescent="0.35">
      <c r="A478" s="631">
        <v>5</v>
      </c>
      <c r="B478" s="100" t="s">
        <v>1918</v>
      </c>
      <c r="C478" s="73">
        <v>11</v>
      </c>
      <c r="D478" s="1769"/>
      <c r="E478" s="1801" t="s">
        <v>1919</v>
      </c>
      <c r="F478" s="32">
        <v>1</v>
      </c>
      <c r="G478" s="6">
        <v>16137.22</v>
      </c>
      <c r="H478" s="6">
        <v>16334.92</v>
      </c>
      <c r="I478" s="20">
        <f t="shared" si="17"/>
        <v>197.70000000000073</v>
      </c>
      <c r="J478" s="616">
        <v>8000</v>
      </c>
      <c r="K478" s="703"/>
      <c r="L478" s="22">
        <f t="shared" si="18"/>
        <v>1581600.0000000058</v>
      </c>
      <c r="M478" s="22"/>
      <c r="N478" s="72" t="s">
        <v>103</v>
      </c>
      <c r="O478" s="15"/>
    </row>
    <row r="479" spans="1:15" ht="15.5" x14ac:dyDescent="0.35">
      <c r="A479" s="631"/>
      <c r="B479" s="100"/>
      <c r="C479" s="73">
        <v>11</v>
      </c>
      <c r="D479" s="1769"/>
      <c r="E479" s="1801" t="s">
        <v>1708</v>
      </c>
      <c r="F479" s="32">
        <v>1</v>
      </c>
      <c r="G479" s="6">
        <v>28023.599999999999</v>
      </c>
      <c r="H479" s="6">
        <v>29603.599999999999</v>
      </c>
      <c r="I479" s="20">
        <f t="shared" si="17"/>
        <v>1580</v>
      </c>
      <c r="J479" s="616">
        <v>1000</v>
      </c>
      <c r="K479" s="703"/>
      <c r="L479" s="22">
        <f t="shared" si="18"/>
        <v>1580000</v>
      </c>
      <c r="M479" s="22"/>
      <c r="N479" s="72" t="s">
        <v>103</v>
      </c>
      <c r="O479" s="15"/>
    </row>
    <row r="480" spans="1:15" ht="15.5" x14ac:dyDescent="0.35">
      <c r="A480" s="631">
        <v>6</v>
      </c>
      <c r="B480" s="781" t="s">
        <v>1920</v>
      </c>
      <c r="C480" s="73">
        <v>11</v>
      </c>
      <c r="D480" s="1769"/>
      <c r="E480" s="1801" t="s">
        <v>1921</v>
      </c>
      <c r="F480" s="32">
        <v>1</v>
      </c>
      <c r="G480" s="6">
        <v>3449.44</v>
      </c>
      <c r="H480" s="6">
        <v>3449.44</v>
      </c>
      <c r="I480" s="20">
        <f t="shared" si="17"/>
        <v>0</v>
      </c>
      <c r="J480" s="616">
        <v>60000</v>
      </c>
      <c r="K480" s="703"/>
      <c r="L480" s="22">
        <f t="shared" si="18"/>
        <v>0</v>
      </c>
      <c r="M480" s="22"/>
      <c r="N480" s="1937" t="s">
        <v>104</v>
      </c>
      <c r="O480" s="15"/>
    </row>
    <row r="481" spans="1:15" ht="15.5" x14ac:dyDescent="0.35">
      <c r="A481" s="631"/>
      <c r="B481" s="100"/>
      <c r="C481" s="73">
        <v>11</v>
      </c>
      <c r="D481" s="1769"/>
      <c r="E481" s="1801"/>
      <c r="F481" s="32">
        <v>1</v>
      </c>
      <c r="G481" s="6">
        <v>7525.0190000000002</v>
      </c>
      <c r="H481" s="6">
        <v>7525.067</v>
      </c>
      <c r="I481" s="20">
        <f t="shared" si="17"/>
        <v>4.7999999999774445E-2</v>
      </c>
      <c r="J481" s="616">
        <v>1000</v>
      </c>
      <c r="K481" s="703"/>
      <c r="L481" s="22">
        <f t="shared" si="18"/>
        <v>47.999999999774445</v>
      </c>
      <c r="M481" s="22"/>
      <c r="N481" s="72" t="s">
        <v>104</v>
      </c>
      <c r="O481" s="15"/>
    </row>
    <row r="482" spans="1:15" ht="15.5" x14ac:dyDescent="0.35">
      <c r="A482" s="631">
        <v>7</v>
      </c>
      <c r="B482" s="100" t="s">
        <v>1922</v>
      </c>
      <c r="C482" s="73">
        <v>11</v>
      </c>
      <c r="D482" s="1769"/>
      <c r="E482" s="1801" t="s">
        <v>1923</v>
      </c>
      <c r="F482" s="32">
        <v>1</v>
      </c>
      <c r="G482" s="6">
        <v>3465.95</v>
      </c>
      <c r="H482" s="6">
        <v>3502.17</v>
      </c>
      <c r="I482" s="20">
        <f t="shared" si="17"/>
        <v>36.220000000000255</v>
      </c>
      <c r="J482" s="616">
        <v>60000</v>
      </c>
      <c r="K482" s="703"/>
      <c r="L482" s="22">
        <f t="shared" si="18"/>
        <v>2173200.0000000154</v>
      </c>
      <c r="M482" s="22"/>
      <c r="N482" s="72" t="s">
        <v>116</v>
      </c>
      <c r="O482" s="15"/>
    </row>
    <row r="483" spans="1:15" ht="15.5" x14ac:dyDescent="0.35">
      <c r="A483" s="631">
        <v>8</v>
      </c>
      <c r="B483" s="100" t="s">
        <v>1924</v>
      </c>
      <c r="C483" s="73">
        <v>11</v>
      </c>
      <c r="D483" s="1769"/>
      <c r="E483" s="1801" t="s">
        <v>1925</v>
      </c>
      <c r="F483" s="32">
        <v>1</v>
      </c>
      <c r="G483" s="6">
        <v>3186.66</v>
      </c>
      <c r="H483" s="6">
        <v>3198.24</v>
      </c>
      <c r="I483" s="20">
        <f t="shared" si="17"/>
        <v>11.579999999999927</v>
      </c>
      <c r="J483" s="616">
        <v>60000</v>
      </c>
      <c r="K483" s="703"/>
      <c r="L483" s="22">
        <f t="shared" si="18"/>
        <v>694799.99999999558</v>
      </c>
      <c r="M483" s="22"/>
      <c r="N483" s="72" t="s">
        <v>116</v>
      </c>
      <c r="O483" s="15"/>
    </row>
    <row r="484" spans="1:15" ht="15.5" x14ac:dyDescent="0.35">
      <c r="A484" s="631"/>
      <c r="B484" s="100"/>
      <c r="C484" s="73">
        <v>11</v>
      </c>
      <c r="D484" s="1769"/>
      <c r="E484" s="1801"/>
      <c r="F484" s="32">
        <v>1</v>
      </c>
      <c r="G484" s="6">
        <v>63825.370999999999</v>
      </c>
      <c r="H484" s="6">
        <v>63825.370999999999</v>
      </c>
      <c r="I484" s="20">
        <f t="shared" si="17"/>
        <v>0</v>
      </c>
      <c r="J484" s="616">
        <v>1000</v>
      </c>
      <c r="K484" s="703"/>
      <c r="L484" s="22">
        <f t="shared" si="18"/>
        <v>0</v>
      </c>
      <c r="M484" s="22"/>
      <c r="N484" s="72" t="s">
        <v>116</v>
      </c>
      <c r="O484" s="15"/>
    </row>
    <row r="485" spans="1:15" ht="15.5" x14ac:dyDescent="0.35">
      <c r="A485" s="631">
        <v>9</v>
      </c>
      <c r="B485" s="100" t="s">
        <v>1926</v>
      </c>
      <c r="C485" s="73">
        <v>11</v>
      </c>
      <c r="D485" s="1769"/>
      <c r="E485" s="1801" t="s">
        <v>1927</v>
      </c>
      <c r="F485" s="32">
        <v>1</v>
      </c>
      <c r="G485" s="6">
        <v>63385.279999999999</v>
      </c>
      <c r="H485" s="6">
        <v>63562.739000000001</v>
      </c>
      <c r="I485" s="20">
        <f t="shared" si="17"/>
        <v>177.45900000000256</v>
      </c>
      <c r="J485" s="616">
        <v>1000</v>
      </c>
      <c r="K485" s="703"/>
      <c r="L485" s="22">
        <f t="shared" si="18"/>
        <v>177459.00000000256</v>
      </c>
      <c r="M485" s="22"/>
      <c r="N485" s="72" t="s">
        <v>116</v>
      </c>
      <c r="O485" s="15"/>
    </row>
    <row r="486" spans="1:15" ht="15.5" x14ac:dyDescent="0.35">
      <c r="A486" s="631">
        <v>12</v>
      </c>
      <c r="B486" s="781" t="s">
        <v>1930</v>
      </c>
      <c r="C486" s="73">
        <v>11</v>
      </c>
      <c r="D486" s="1769"/>
      <c r="E486" s="1801" t="s">
        <v>1931</v>
      </c>
      <c r="F486" s="32">
        <v>1</v>
      </c>
      <c r="G486" s="6">
        <v>2262.73</v>
      </c>
      <c r="H486" s="6">
        <v>2278.23</v>
      </c>
      <c r="I486" s="20">
        <f t="shared" si="17"/>
        <v>15.5</v>
      </c>
      <c r="J486" s="616">
        <v>60000</v>
      </c>
      <c r="K486" s="703"/>
      <c r="L486" s="22">
        <f t="shared" si="18"/>
        <v>930000</v>
      </c>
      <c r="M486" s="22"/>
      <c r="N486" s="1937" t="s">
        <v>104</v>
      </c>
      <c r="O486" s="15"/>
    </row>
    <row r="487" spans="1:15" ht="15.5" x14ac:dyDescent="0.35">
      <c r="A487" s="631">
        <v>13</v>
      </c>
      <c r="B487" s="781" t="s">
        <v>1932</v>
      </c>
      <c r="C487" s="73">
        <v>11</v>
      </c>
      <c r="D487" s="1769"/>
      <c r="E487" s="1801" t="s">
        <v>1933</v>
      </c>
      <c r="F487" s="32">
        <v>1</v>
      </c>
      <c r="G487" s="6">
        <v>68037.474000000002</v>
      </c>
      <c r="H487" s="6">
        <v>69306.42</v>
      </c>
      <c r="I487" s="20">
        <f t="shared" si="17"/>
        <v>1268.9459999999963</v>
      </c>
      <c r="J487" s="616">
        <v>1000</v>
      </c>
      <c r="K487" s="703"/>
      <c r="L487" s="22">
        <f t="shared" si="18"/>
        <v>1268945.9999999963</v>
      </c>
      <c r="M487" s="22"/>
      <c r="N487" s="1937" t="s">
        <v>104</v>
      </c>
      <c r="O487" s="15"/>
    </row>
    <row r="488" spans="1:15" ht="15.5" x14ac:dyDescent="0.35">
      <c r="A488" s="631">
        <v>14</v>
      </c>
      <c r="B488" s="100" t="s">
        <v>1934</v>
      </c>
      <c r="C488" s="73">
        <v>11</v>
      </c>
      <c r="D488" s="1769"/>
      <c r="E488" s="1801" t="s">
        <v>1935</v>
      </c>
      <c r="F488" s="32">
        <v>1</v>
      </c>
      <c r="G488" s="6">
        <v>4097.2700000000004</v>
      </c>
      <c r="H488" s="6">
        <v>4131.0600000000004</v>
      </c>
      <c r="I488" s="20">
        <f t="shared" si="17"/>
        <v>33.789999999999964</v>
      </c>
      <c r="J488" s="616">
        <v>60000</v>
      </c>
      <c r="K488" s="703"/>
      <c r="L488" s="22">
        <f t="shared" si="18"/>
        <v>2027399.9999999979</v>
      </c>
      <c r="M488" s="22"/>
      <c r="N488" s="72" t="s">
        <v>116</v>
      </c>
      <c r="O488" s="15"/>
    </row>
    <row r="489" spans="1:15" ht="15.5" x14ac:dyDescent="0.35">
      <c r="A489" s="631">
        <v>15</v>
      </c>
      <c r="B489" s="101" t="s">
        <v>1936</v>
      </c>
      <c r="C489" s="73">
        <v>11</v>
      </c>
      <c r="D489" s="1769"/>
      <c r="E489" s="1801" t="s">
        <v>1937</v>
      </c>
      <c r="F489" s="32">
        <v>1</v>
      </c>
      <c r="G489" s="6">
        <v>42215.368000000002</v>
      </c>
      <c r="H489" s="6">
        <v>42215.368000000002</v>
      </c>
      <c r="I489" s="20">
        <f t="shared" si="17"/>
        <v>0</v>
      </c>
      <c r="J489" s="616">
        <v>1000</v>
      </c>
      <c r="K489" s="703"/>
      <c r="L489" s="22">
        <f t="shared" si="18"/>
        <v>0</v>
      </c>
      <c r="M489" s="22"/>
      <c r="N489" s="72" t="s">
        <v>116</v>
      </c>
      <c r="O489" s="15"/>
    </row>
    <row r="490" spans="1:15" ht="15.5" x14ac:dyDescent="0.35">
      <c r="A490" s="631"/>
      <c r="B490" s="100"/>
      <c r="C490" s="73">
        <v>11</v>
      </c>
      <c r="D490" s="1769"/>
      <c r="E490" s="1801" t="s">
        <v>1938</v>
      </c>
      <c r="F490" s="32">
        <v>1</v>
      </c>
      <c r="G490" s="6">
        <v>4030.06</v>
      </c>
      <c r="H490" s="6">
        <v>4047.16</v>
      </c>
      <c r="I490" s="20">
        <f t="shared" si="17"/>
        <v>17.099999999999909</v>
      </c>
      <c r="J490" s="616">
        <v>60000</v>
      </c>
      <c r="K490" s="703"/>
      <c r="L490" s="22">
        <f t="shared" si="18"/>
        <v>1025999.9999999945</v>
      </c>
      <c r="M490" s="22"/>
      <c r="N490" s="72" t="s">
        <v>116</v>
      </c>
      <c r="O490" s="15"/>
    </row>
    <row r="491" spans="1:15" ht="15.5" x14ac:dyDescent="0.35">
      <c r="A491" s="631">
        <v>16</v>
      </c>
      <c r="B491" s="1917" t="s">
        <v>1939</v>
      </c>
      <c r="C491" s="73">
        <v>11</v>
      </c>
      <c r="D491" s="1769"/>
      <c r="E491" s="1801" t="s">
        <v>1940</v>
      </c>
      <c r="F491" s="32">
        <v>1</v>
      </c>
      <c r="G491" s="6">
        <v>85.832099999999997</v>
      </c>
      <c r="H491" s="6">
        <v>88.459400000000002</v>
      </c>
      <c r="I491" s="20">
        <f t="shared" si="17"/>
        <v>2.6273000000000053</v>
      </c>
      <c r="J491" s="616">
        <v>60000</v>
      </c>
      <c r="K491" s="703"/>
      <c r="L491" s="22">
        <f t="shared" si="18"/>
        <v>157638.00000000032</v>
      </c>
      <c r="M491" s="22"/>
      <c r="N491" s="1934" t="s">
        <v>100</v>
      </c>
      <c r="O491" s="15"/>
    </row>
    <row r="492" spans="1:15" ht="15.5" x14ac:dyDescent="0.35">
      <c r="A492" s="631">
        <v>17</v>
      </c>
      <c r="B492" s="100" t="s">
        <v>1941</v>
      </c>
      <c r="C492" s="73">
        <v>11</v>
      </c>
      <c r="D492" s="1769"/>
      <c r="E492" s="1801" t="s">
        <v>1942</v>
      </c>
      <c r="F492" s="32">
        <v>1</v>
      </c>
      <c r="G492" s="6">
        <v>67201.703999999998</v>
      </c>
      <c r="H492" s="6">
        <v>68058.660999999993</v>
      </c>
      <c r="I492" s="20">
        <f t="shared" si="17"/>
        <v>856.95699999999488</v>
      </c>
      <c r="J492" s="616">
        <v>1000</v>
      </c>
      <c r="K492" s="703"/>
      <c r="L492" s="22">
        <f t="shared" si="18"/>
        <v>856956.99999999488</v>
      </c>
      <c r="M492" s="22"/>
      <c r="N492" s="72" t="s">
        <v>116</v>
      </c>
      <c r="O492" s="15"/>
    </row>
    <row r="493" spans="1:15" ht="15.5" x14ac:dyDescent="0.35">
      <c r="A493" s="631">
        <v>18</v>
      </c>
      <c r="B493" s="781" t="s">
        <v>1943</v>
      </c>
      <c r="C493" s="73">
        <v>11</v>
      </c>
      <c r="D493" s="1769"/>
      <c r="E493" s="1801" t="s">
        <v>1944</v>
      </c>
      <c r="F493" s="32">
        <v>1</v>
      </c>
      <c r="G493" s="6">
        <v>74948.479000000007</v>
      </c>
      <c r="H493" s="6">
        <v>75493.644</v>
      </c>
      <c r="I493" s="20">
        <f t="shared" si="17"/>
        <v>545.1649999999936</v>
      </c>
      <c r="J493" s="616">
        <v>1000</v>
      </c>
      <c r="K493" s="703"/>
      <c r="L493" s="22">
        <f t="shared" si="18"/>
        <v>545164.9999999936</v>
      </c>
      <c r="M493" s="22"/>
      <c r="N493" s="1937" t="s">
        <v>104</v>
      </c>
      <c r="O493" s="15"/>
    </row>
    <row r="494" spans="1:15" ht="15.5" x14ac:dyDescent="0.35">
      <c r="A494" s="633">
        <v>19</v>
      </c>
      <c r="B494" s="781" t="s">
        <v>1945</v>
      </c>
      <c r="C494" s="73">
        <v>11</v>
      </c>
      <c r="D494" s="1769"/>
      <c r="E494" s="1801" t="s">
        <v>1946</v>
      </c>
      <c r="F494" s="32">
        <v>1</v>
      </c>
      <c r="G494" s="6">
        <v>93.2</v>
      </c>
      <c r="H494" s="6">
        <v>105.4</v>
      </c>
      <c r="I494" s="20">
        <f t="shared" si="17"/>
        <v>12.200000000000003</v>
      </c>
      <c r="J494" s="616">
        <v>1000</v>
      </c>
      <c r="K494" s="704"/>
      <c r="L494" s="22">
        <f t="shared" si="18"/>
        <v>12200.000000000004</v>
      </c>
      <c r="M494" s="22"/>
      <c r="N494" s="1937" t="s">
        <v>104</v>
      </c>
      <c r="O494" s="14"/>
    </row>
    <row r="495" spans="1:15" ht="15.5" x14ac:dyDescent="0.35">
      <c r="A495" s="633">
        <v>16</v>
      </c>
      <c r="B495" s="1917" t="s">
        <v>1911</v>
      </c>
      <c r="C495" s="73">
        <v>0.41499999999999998</v>
      </c>
      <c r="D495" s="1769"/>
      <c r="E495" s="1801">
        <v>2001123043119</v>
      </c>
      <c r="F495" s="32">
        <v>1</v>
      </c>
      <c r="G495" s="6">
        <v>6867.4</v>
      </c>
      <c r="H495" s="6">
        <v>6899.2</v>
      </c>
      <c r="I495" s="20">
        <f t="shared" si="17"/>
        <v>31.800000000000182</v>
      </c>
      <c r="J495" s="616">
        <v>160</v>
      </c>
      <c r="K495" s="704"/>
      <c r="L495" s="22">
        <f t="shared" si="18"/>
        <v>5088.0000000000291</v>
      </c>
      <c r="M495" s="22"/>
      <c r="N495" s="1934" t="s">
        <v>100</v>
      </c>
      <c r="O495" s="14"/>
    </row>
    <row r="496" spans="1:15" ht="15.5" x14ac:dyDescent="0.35">
      <c r="A496" s="633">
        <v>17</v>
      </c>
      <c r="B496" s="1917" t="s">
        <v>1912</v>
      </c>
      <c r="C496" s="73">
        <v>0.41499999999999998</v>
      </c>
      <c r="D496" s="1769"/>
      <c r="E496" s="1801">
        <v>2001123043157</v>
      </c>
      <c r="F496" s="32">
        <v>1</v>
      </c>
      <c r="G496" s="6">
        <v>4700.6000000000004</v>
      </c>
      <c r="H496" s="6">
        <v>4714.5</v>
      </c>
      <c r="I496" s="20">
        <f t="shared" si="17"/>
        <v>13.899999999999636</v>
      </c>
      <c r="J496" s="616">
        <v>160</v>
      </c>
      <c r="K496" s="704"/>
      <c r="L496" s="22">
        <f t="shared" si="18"/>
        <v>2223.9999999999418</v>
      </c>
      <c r="M496" s="22"/>
      <c r="N496" s="1934" t="s">
        <v>100</v>
      </c>
      <c r="O496" s="14"/>
    </row>
    <row r="497" spans="1:15" ht="20" x14ac:dyDescent="0.35">
      <c r="A497" s="636"/>
      <c r="B497" s="96"/>
      <c r="C497" s="90"/>
      <c r="D497" s="90"/>
      <c r="E497" s="1785"/>
      <c r="F497" s="38"/>
      <c r="G497" s="38"/>
      <c r="H497" s="38"/>
      <c r="I497" s="38"/>
      <c r="J497" s="96" t="s">
        <v>30</v>
      </c>
      <c r="K497" s="708">
        <f>M473</f>
        <v>0</v>
      </c>
      <c r="L497" s="43">
        <f>SUM(L475:L496)</f>
        <v>16177331.999999972</v>
      </c>
      <c r="M497" s="43">
        <f>SUM(M475:M496)</f>
        <v>0</v>
      </c>
      <c r="N497" s="84">
        <f>(M497-L497)/L497*100</f>
        <v>-100</v>
      </c>
      <c r="O497" s="13"/>
    </row>
    <row r="498" spans="1:15" x14ac:dyDescent="0.35">
      <c r="D498" s="725"/>
      <c r="K498" s="34"/>
    </row>
    <row r="499" spans="1:15" ht="15" x14ac:dyDescent="0.35">
      <c r="A499" s="620"/>
      <c r="B499" s="635"/>
      <c r="C499" s="632"/>
      <c r="D499" s="720"/>
      <c r="G499" s="2092" t="s">
        <v>1099</v>
      </c>
      <c r="H499" s="2092"/>
      <c r="I499" s="2092"/>
      <c r="J499" s="677" t="s">
        <v>14</v>
      </c>
      <c r="K499" s="702"/>
      <c r="L499" s="620"/>
      <c r="M499" s="620"/>
      <c r="N499" s="635"/>
      <c r="O499" s="620"/>
    </row>
    <row r="500" spans="1:15" ht="15.5" x14ac:dyDescent="0.35">
      <c r="A500" s="620"/>
      <c r="B500" s="635"/>
      <c r="C500" s="632"/>
      <c r="D500" s="720"/>
      <c r="G500" s="2082" t="s">
        <v>232</v>
      </c>
      <c r="H500" s="2082"/>
      <c r="I500" s="2082"/>
      <c r="J500" s="643" t="e">
        <f>M481+M485+M487+M488+M489+M494+M495+M496+#REF!</f>
        <v>#REF!</v>
      </c>
      <c r="K500" s="702"/>
      <c r="L500" s="620"/>
      <c r="M500" s="620"/>
      <c r="N500" s="635"/>
      <c r="O500" s="620" t="s">
        <v>237</v>
      </c>
    </row>
    <row r="501" spans="1:15" ht="15.5" x14ac:dyDescent="0.35">
      <c r="A501" s="620"/>
      <c r="B501" s="635"/>
      <c r="C501" s="632"/>
      <c r="D501" s="720"/>
      <c r="G501" s="2082" t="s">
        <v>233</v>
      </c>
      <c r="H501" s="2082"/>
      <c r="I501" s="2082"/>
      <c r="J501" s="643" t="e">
        <f>M476+M477+M478+M482+M483+M484+M492+#REF!+#REF!</f>
        <v>#REF!</v>
      </c>
      <c r="K501" s="702"/>
      <c r="L501" s="620"/>
      <c r="M501" s="620"/>
      <c r="N501" s="635"/>
      <c r="O501" s="620"/>
    </row>
    <row r="502" spans="1:15" ht="15.5" x14ac:dyDescent="0.35">
      <c r="A502" s="620"/>
      <c r="B502" s="635"/>
      <c r="C502" s="632"/>
      <c r="D502" s="720"/>
      <c r="G502" s="2082" t="s">
        <v>234</v>
      </c>
      <c r="H502" s="2082"/>
      <c r="I502" s="2082"/>
      <c r="J502" s="643" t="e">
        <f>#REF!</f>
        <v>#REF!</v>
      </c>
      <c r="K502" s="702"/>
      <c r="L502" s="620"/>
      <c r="M502" s="620"/>
      <c r="N502" s="635"/>
      <c r="O502" s="620"/>
    </row>
    <row r="503" spans="1:15" ht="16" thickBot="1" x14ac:dyDescent="0.4">
      <c r="A503" s="620"/>
      <c r="B503" s="635"/>
      <c r="C503" s="632"/>
      <c r="D503" s="720"/>
      <c r="G503" s="2082" t="s">
        <v>235</v>
      </c>
      <c r="H503" s="2082"/>
      <c r="I503" s="2082"/>
      <c r="J503" s="643" t="e">
        <f>M475+M479+M480+M486+M490+M491+#REF!+#REF!+#REF!</f>
        <v>#REF!</v>
      </c>
      <c r="K503" s="702"/>
      <c r="L503" s="620"/>
      <c r="M503" s="620"/>
      <c r="N503" s="635"/>
      <c r="O503" s="620"/>
    </row>
    <row r="504" spans="1:15" ht="20.5" thickBot="1" x14ac:dyDescent="0.4">
      <c r="A504" s="620"/>
      <c r="B504" s="635"/>
      <c r="C504" s="632"/>
      <c r="D504" s="720"/>
      <c r="G504" s="2083" t="s">
        <v>210</v>
      </c>
      <c r="H504" s="2083"/>
      <c r="I504" s="2083"/>
      <c r="J504" s="714" t="e">
        <f>SUM(J500:J503)</f>
        <v>#REF!</v>
      </c>
      <c r="K504" s="682" t="e">
        <f>J504-M497</f>
        <v>#REF!</v>
      </c>
      <c r="L504" s="620"/>
      <c r="M504" s="620"/>
      <c r="N504" s="635"/>
      <c r="O504" s="620"/>
    </row>
    <row r="505" spans="1:15" x14ac:dyDescent="0.35">
      <c r="A505" s="620"/>
      <c r="B505" s="635"/>
      <c r="C505" s="632"/>
      <c r="D505" s="720"/>
      <c r="E505" s="1788"/>
      <c r="F505" s="620"/>
      <c r="G505" s="620"/>
      <c r="H505" s="620"/>
      <c r="I505" s="620"/>
      <c r="J505" s="620"/>
      <c r="K505" s="702"/>
      <c r="L505" s="620"/>
      <c r="M505" s="620"/>
      <c r="N505" s="635"/>
      <c r="O505" s="620"/>
    </row>
    <row r="506" spans="1:15" x14ac:dyDescent="0.35">
      <c r="A506" s="620"/>
      <c r="B506" s="635"/>
      <c r="C506" s="632"/>
      <c r="D506" s="720"/>
      <c r="E506" s="1788"/>
      <c r="F506" s="620"/>
      <c r="G506" s="620"/>
      <c r="H506" s="620"/>
      <c r="I506" s="620"/>
      <c r="J506" s="620"/>
      <c r="K506" s="702"/>
      <c r="L506" s="620"/>
      <c r="M506" s="620"/>
      <c r="N506" s="635"/>
      <c r="O506" s="620"/>
    </row>
    <row r="507" spans="1:15" x14ac:dyDescent="0.35">
      <c r="A507" s="620"/>
      <c r="B507" s="635"/>
      <c r="C507" s="632"/>
      <c r="D507" s="720"/>
      <c r="E507" s="1788"/>
      <c r="F507" s="620"/>
      <c r="G507" s="620"/>
      <c r="H507" s="620"/>
      <c r="I507" s="620"/>
      <c r="J507" s="620"/>
      <c r="K507" s="702"/>
      <c r="L507" s="620"/>
      <c r="M507" s="620"/>
      <c r="N507" s="635"/>
      <c r="O507" s="620"/>
    </row>
    <row r="508" spans="1:15" x14ac:dyDescent="0.35">
      <c r="A508" s="620"/>
      <c r="B508" s="635"/>
      <c r="C508" s="632"/>
      <c r="D508" s="720"/>
      <c r="E508" s="1788"/>
      <c r="F508" s="620"/>
      <c r="G508" s="620"/>
      <c r="H508" s="620"/>
      <c r="I508" s="620"/>
      <c r="J508" s="620"/>
      <c r="K508" s="702"/>
      <c r="L508" s="620"/>
      <c r="M508" s="620"/>
      <c r="N508" s="635"/>
      <c r="O508" s="620"/>
    </row>
    <row r="509" spans="1:15" x14ac:dyDescent="0.35">
      <c r="A509" s="620"/>
      <c r="B509" s="635"/>
      <c r="C509" s="632"/>
      <c r="D509" s="720"/>
      <c r="E509" s="1788"/>
      <c r="F509" s="620"/>
      <c r="G509" s="620"/>
      <c r="H509" s="620"/>
      <c r="I509" s="620"/>
      <c r="J509" s="620"/>
      <c r="K509" s="702"/>
      <c r="L509" s="620"/>
      <c r="M509" s="620"/>
      <c r="N509" s="635"/>
      <c r="O509" s="620"/>
    </row>
    <row r="510" spans="1:15" x14ac:dyDescent="0.35">
      <c r="A510" s="620"/>
      <c r="B510" s="632"/>
      <c r="C510" s="632"/>
      <c r="D510" s="720"/>
      <c r="E510" s="1788"/>
      <c r="F510" s="620"/>
      <c r="G510" s="620"/>
      <c r="H510" s="620"/>
      <c r="I510" s="620"/>
      <c r="J510" s="620"/>
      <c r="K510" s="702"/>
      <c r="L510" s="620"/>
      <c r="M510" s="620"/>
      <c r="N510" s="635"/>
      <c r="O510" s="620"/>
    </row>
    <row r="511" spans="1:15" x14ac:dyDescent="0.35">
      <c r="A511" s="620"/>
      <c r="B511" s="632"/>
      <c r="C511" s="632"/>
      <c r="D511" s="720"/>
      <c r="E511" s="1788"/>
      <c r="F511" s="620"/>
      <c r="G511" s="620"/>
      <c r="H511" s="620"/>
      <c r="I511" s="620"/>
      <c r="J511" s="620"/>
      <c r="K511" s="702"/>
      <c r="L511" s="620"/>
      <c r="M511" s="620"/>
      <c r="N511" s="635"/>
      <c r="O511" s="620"/>
    </row>
    <row r="512" spans="1:15" x14ac:dyDescent="0.35">
      <c r="A512" s="620"/>
      <c r="B512" s="635"/>
      <c r="C512" s="632"/>
      <c r="D512" s="720"/>
      <c r="E512" s="1788"/>
      <c r="F512" s="620"/>
      <c r="G512" s="620"/>
      <c r="H512" s="620"/>
      <c r="I512" s="620"/>
      <c r="J512" s="620"/>
      <c r="K512" s="702"/>
      <c r="L512" s="620"/>
      <c r="M512" s="620"/>
      <c r="N512" s="635"/>
      <c r="O512" s="620"/>
    </row>
    <row r="513" spans="1:15" x14ac:dyDescent="0.35">
      <c r="A513" s="620"/>
      <c r="B513" s="635"/>
      <c r="C513" s="632"/>
      <c r="D513" s="720"/>
      <c r="E513" s="1788"/>
      <c r="F513" s="620"/>
      <c r="G513" s="620"/>
      <c r="H513" s="620"/>
      <c r="I513" s="620"/>
      <c r="J513" s="620"/>
      <c r="K513" s="702"/>
      <c r="L513" s="620"/>
      <c r="M513" s="620"/>
      <c r="N513" s="635"/>
      <c r="O513" s="620"/>
    </row>
    <row r="514" spans="1:15" x14ac:dyDescent="0.35">
      <c r="A514" s="620"/>
      <c r="B514" s="635"/>
      <c r="C514" s="632"/>
      <c r="D514" s="720"/>
      <c r="E514" s="1788"/>
      <c r="F514" s="620"/>
      <c r="G514" s="620"/>
      <c r="H514" s="620"/>
      <c r="I514" s="620"/>
      <c r="J514" s="620"/>
      <c r="K514" s="702"/>
      <c r="L514" s="620"/>
      <c r="M514" s="620"/>
      <c r="N514" s="635"/>
      <c r="O514" s="620"/>
    </row>
    <row r="515" spans="1:15" ht="25" x14ac:dyDescent="0.35">
      <c r="A515" s="28"/>
      <c r="B515" s="2152"/>
      <c r="C515" s="2152"/>
      <c r="D515" s="2152"/>
      <c r="E515" s="2152"/>
      <c r="F515" s="2152"/>
      <c r="G515" s="2152"/>
      <c r="H515" s="2152"/>
      <c r="I515" s="2152"/>
      <c r="J515" s="2152"/>
      <c r="K515" s="2152"/>
      <c r="L515" s="2152"/>
      <c r="M515" s="2152"/>
      <c r="N515" s="635"/>
      <c r="O515" s="620"/>
    </row>
    <row r="516" spans="1:15" x14ac:dyDescent="0.35">
      <c r="A516" s="620"/>
      <c r="B516" s="635"/>
      <c r="C516" s="632"/>
      <c r="D516" s="720"/>
      <c r="E516" s="1788"/>
      <c r="F516" s="620"/>
      <c r="G516" s="620"/>
      <c r="H516" s="620"/>
      <c r="I516" s="620"/>
      <c r="J516" s="620"/>
      <c r="K516" s="702"/>
      <c r="L516" s="620"/>
      <c r="M516" s="620"/>
      <c r="N516" s="635"/>
      <c r="O516" s="620"/>
    </row>
    <row r="517" spans="1:15" x14ac:dyDescent="0.35">
      <c r="A517" s="620"/>
      <c r="B517" s="635"/>
      <c r="C517" s="632"/>
      <c r="D517" s="720"/>
      <c r="E517" s="1788"/>
      <c r="F517" s="620"/>
      <c r="G517" s="620"/>
      <c r="H517" s="620"/>
      <c r="I517" s="620"/>
      <c r="J517" s="620"/>
      <c r="K517" s="702"/>
      <c r="L517" s="620"/>
      <c r="M517" s="620"/>
      <c r="N517" s="635"/>
      <c r="O517" s="620"/>
    </row>
    <row r="518" spans="1:15" ht="25" x14ac:dyDescent="0.35">
      <c r="A518" s="2095" t="s">
        <v>1192</v>
      </c>
      <c r="B518" s="2095"/>
      <c r="C518" s="2095"/>
      <c r="D518" s="2095"/>
      <c r="E518" s="2095"/>
      <c r="F518" s="2095"/>
      <c r="G518" s="2095"/>
      <c r="H518" s="2095"/>
      <c r="I518" s="2095"/>
      <c r="J518" s="2095"/>
      <c r="K518" s="2095"/>
      <c r="L518" s="2095"/>
      <c r="M518" s="2095"/>
      <c r="N518" s="2095"/>
      <c r="O518" s="756" t="str">
        <f>$O$6</f>
        <v>Month December-2022</v>
      </c>
    </row>
    <row r="519" spans="1:15" ht="15.5" x14ac:dyDescent="0.35">
      <c r="A519" s="2096" t="s">
        <v>0</v>
      </c>
      <c r="B519" s="2098" t="s">
        <v>1</v>
      </c>
      <c r="C519" s="2100" t="s">
        <v>2</v>
      </c>
      <c r="D519" s="2101"/>
      <c r="E519" s="2102"/>
      <c r="F519" s="2103" t="s">
        <v>3</v>
      </c>
      <c r="G519" s="2100" t="s">
        <v>4</v>
      </c>
      <c r="H519" s="2102"/>
      <c r="I519" s="2085"/>
      <c r="J519" s="2103" t="s">
        <v>5</v>
      </c>
      <c r="K519" s="2100" t="s">
        <v>6</v>
      </c>
      <c r="L519" s="2085"/>
      <c r="M519" s="97" t="s">
        <v>32</v>
      </c>
      <c r="N519" s="98"/>
      <c r="O519" s="2084" t="s">
        <v>7</v>
      </c>
    </row>
    <row r="520" spans="1:15" ht="15.5" x14ac:dyDescent="0.35">
      <c r="A520" s="2097"/>
      <c r="B520" s="2099"/>
      <c r="C520" s="2086" t="s">
        <v>1108</v>
      </c>
      <c r="D520" s="2087"/>
      <c r="E520" s="1810" t="s">
        <v>9</v>
      </c>
      <c r="F520" s="2097"/>
      <c r="G520" s="2">
        <f>'NORTH-1'!$G$8</f>
        <v>44774</v>
      </c>
      <c r="H520" s="2">
        <f>'NORTH-1'!$H$8</f>
        <v>44805</v>
      </c>
      <c r="I520" s="1" t="s">
        <v>10</v>
      </c>
      <c r="J520" s="2097"/>
      <c r="K520" s="1" t="s">
        <v>11</v>
      </c>
      <c r="L520" s="1" t="s">
        <v>12</v>
      </c>
      <c r="M520" s="617" t="s">
        <v>33</v>
      </c>
      <c r="N520" s="76" t="s">
        <v>47</v>
      </c>
      <c r="O520" s="2085"/>
    </row>
    <row r="521" spans="1:15" ht="15.5" x14ac:dyDescent="0.35">
      <c r="A521" s="3">
        <v>1</v>
      </c>
      <c r="B521" s="88">
        <v>2</v>
      </c>
      <c r="C521" s="2088">
        <v>4</v>
      </c>
      <c r="D521" s="2089"/>
      <c r="E521" s="1811">
        <v>5</v>
      </c>
      <c r="F521" s="3">
        <v>7</v>
      </c>
      <c r="G521" s="3">
        <v>8</v>
      </c>
      <c r="H521" s="3">
        <v>9</v>
      </c>
      <c r="I521" s="3" t="s">
        <v>13</v>
      </c>
      <c r="J521" s="3">
        <v>11</v>
      </c>
      <c r="K521" s="3" t="s">
        <v>19</v>
      </c>
      <c r="L521" s="3" t="s">
        <v>20</v>
      </c>
      <c r="M521" s="3">
        <v>14</v>
      </c>
      <c r="N521" s="77">
        <v>15</v>
      </c>
      <c r="O521" s="3">
        <v>16</v>
      </c>
    </row>
    <row r="522" spans="1:15" ht="15.5" x14ac:dyDescent="0.35">
      <c r="A522" s="631"/>
      <c r="B522" s="624" t="s">
        <v>2475</v>
      </c>
      <c r="C522" s="625"/>
      <c r="D522" s="625"/>
      <c r="E522" s="1794"/>
      <c r="F522" s="625"/>
      <c r="G522" s="625"/>
      <c r="H522" s="625"/>
      <c r="I522" s="625"/>
      <c r="J522" s="625"/>
      <c r="K522" s="695"/>
      <c r="L522" s="625"/>
      <c r="M522" s="626"/>
      <c r="N522" s="1972"/>
      <c r="O522" s="616"/>
    </row>
    <row r="523" spans="1:15" ht="15.5" x14ac:dyDescent="0.35">
      <c r="A523" s="11">
        <v>1</v>
      </c>
      <c r="B523" s="100" t="s">
        <v>1947</v>
      </c>
      <c r="C523" s="52">
        <v>33</v>
      </c>
      <c r="D523" s="2105" t="s">
        <v>527</v>
      </c>
      <c r="E523" s="1801" t="s">
        <v>1887</v>
      </c>
      <c r="F523" s="4">
        <v>1</v>
      </c>
      <c r="G523" s="21">
        <v>6969840</v>
      </c>
      <c r="H523" s="21">
        <v>12562800</v>
      </c>
      <c r="I523" s="21">
        <f>H523-G523</f>
        <v>5592960</v>
      </c>
      <c r="J523" s="616">
        <v>1</v>
      </c>
      <c r="K523" s="696">
        <f>F523*I523*J523</f>
        <v>5592960</v>
      </c>
      <c r="L523" s="22"/>
      <c r="M523" s="22"/>
      <c r="N523" s="72"/>
      <c r="O523" s="9"/>
    </row>
    <row r="524" spans="1:15" ht="15.5" x14ac:dyDescent="0.35">
      <c r="A524" s="631">
        <v>2</v>
      </c>
      <c r="B524" s="100" t="s">
        <v>1948</v>
      </c>
      <c r="C524" s="52">
        <v>33</v>
      </c>
      <c r="D524" s="2151" t="s">
        <v>527</v>
      </c>
      <c r="E524" s="1801" t="s">
        <v>1910</v>
      </c>
      <c r="F524" s="4">
        <v>1</v>
      </c>
      <c r="G524" s="21">
        <v>5011120</v>
      </c>
      <c r="H524" s="21">
        <v>11553280</v>
      </c>
      <c r="I524" s="21">
        <f>H524-G524</f>
        <v>6542160</v>
      </c>
      <c r="J524" s="616">
        <v>1</v>
      </c>
      <c r="K524" s="696">
        <f>F524*I524*J524</f>
        <v>6542160</v>
      </c>
      <c r="L524" s="22"/>
      <c r="M524" s="22"/>
      <c r="N524" s="72"/>
      <c r="O524" s="616"/>
    </row>
    <row r="525" spans="1:15" ht="15.5" x14ac:dyDescent="0.35">
      <c r="A525" s="631"/>
      <c r="B525" s="102"/>
      <c r="C525" s="91"/>
      <c r="D525" s="726"/>
      <c r="E525" s="1814"/>
      <c r="F525" s="47"/>
      <c r="G525" s="48"/>
      <c r="H525" s="48"/>
      <c r="I525" s="48"/>
      <c r="J525" s="96" t="s">
        <v>30</v>
      </c>
      <c r="K525" s="43">
        <f>SUM(K523:K524)</f>
        <v>12135120</v>
      </c>
      <c r="L525" s="43">
        <f>SUM(L523:L524)</f>
        <v>0</v>
      </c>
      <c r="M525" s="43">
        <f>SUM(M523:M524)</f>
        <v>0</v>
      </c>
      <c r="N525" s="646"/>
      <c r="O525" s="616"/>
    </row>
    <row r="526" spans="1:15" ht="15.5" x14ac:dyDescent="0.35">
      <c r="A526" s="616"/>
      <c r="B526" s="624" t="s">
        <v>1113</v>
      </c>
      <c r="C526" s="625"/>
      <c r="D526" s="625"/>
      <c r="E526" s="1794"/>
      <c r="F526" s="625"/>
      <c r="G526" s="625"/>
      <c r="H526" s="625"/>
      <c r="I526" s="625"/>
      <c r="J526" s="732"/>
      <c r="K526" s="733"/>
      <c r="L526" s="734"/>
      <c r="M526" s="734"/>
      <c r="N526" s="1972"/>
      <c r="O526" s="12"/>
    </row>
    <row r="527" spans="1:15" ht="15.65" customHeight="1" x14ac:dyDescent="0.35">
      <c r="A527" s="616">
        <v>3</v>
      </c>
      <c r="B527" s="100" t="s">
        <v>1949</v>
      </c>
      <c r="C527" s="52">
        <v>33</v>
      </c>
      <c r="D527" s="1770"/>
      <c r="E527" s="1801" t="s">
        <v>1950</v>
      </c>
      <c r="F527" s="4">
        <v>1</v>
      </c>
      <c r="G527" s="21">
        <v>3086384</v>
      </c>
      <c r="H527" s="21">
        <v>9574208</v>
      </c>
      <c r="I527" s="20">
        <f>H527-G527</f>
        <v>6487824</v>
      </c>
      <c r="J527" s="616">
        <v>1</v>
      </c>
      <c r="K527" s="696">
        <f>F527*I527*J527</f>
        <v>6487824</v>
      </c>
      <c r="L527" s="22"/>
      <c r="M527" s="22"/>
      <c r="N527" s="72"/>
      <c r="O527" s="12"/>
    </row>
    <row r="528" spans="1:15" ht="15.65" customHeight="1" x14ac:dyDescent="0.35">
      <c r="A528" s="616">
        <v>7</v>
      </c>
      <c r="B528" s="100" t="s">
        <v>1953</v>
      </c>
      <c r="C528" s="52">
        <v>33</v>
      </c>
      <c r="D528" s="1771"/>
      <c r="E528" s="1801" t="s">
        <v>1954</v>
      </c>
      <c r="F528" s="4">
        <v>1</v>
      </c>
      <c r="G528" s="21">
        <v>5551264</v>
      </c>
      <c r="H528" s="21">
        <v>11103808</v>
      </c>
      <c r="I528" s="20">
        <f>H528-G528</f>
        <v>5552544</v>
      </c>
      <c r="J528" s="616">
        <v>1</v>
      </c>
      <c r="K528" s="696">
        <f>F528*I528*J528</f>
        <v>5552544</v>
      </c>
      <c r="L528" s="22"/>
      <c r="M528" s="22"/>
      <c r="N528" s="72"/>
      <c r="O528" s="12"/>
    </row>
    <row r="529" spans="1:15" ht="15.5" x14ac:dyDescent="0.35">
      <c r="A529" s="616"/>
      <c r="B529" s="102"/>
      <c r="C529" s="91"/>
      <c r="D529" s="726"/>
      <c r="E529" s="1814"/>
      <c r="F529" s="47"/>
      <c r="G529" s="48"/>
      <c r="H529" s="48"/>
      <c r="I529" s="36"/>
      <c r="J529" s="96" t="s">
        <v>30</v>
      </c>
      <c r="K529" s="43">
        <f>SUM(K527:K528)</f>
        <v>12040368</v>
      </c>
      <c r="L529" s="43">
        <f>SUM(L527:L528)</f>
        <v>0</v>
      </c>
      <c r="M529" s="43">
        <f>SUM(M527:M528)</f>
        <v>0</v>
      </c>
      <c r="N529" s="1973"/>
      <c r="O529" s="12"/>
    </row>
    <row r="530" spans="1:15" ht="15.5" x14ac:dyDescent="0.35">
      <c r="A530" s="616"/>
      <c r="B530" s="647" t="s">
        <v>1114</v>
      </c>
      <c r="C530" s="648"/>
      <c r="D530" s="648"/>
      <c r="E530" s="1800"/>
      <c r="F530" s="648"/>
      <c r="G530" s="648"/>
      <c r="H530" s="648"/>
      <c r="I530" s="648"/>
      <c r="J530" s="648"/>
      <c r="K530" s="700"/>
      <c r="L530" s="648"/>
      <c r="M530" s="651"/>
      <c r="N530" s="1971"/>
      <c r="O530" s="8"/>
    </row>
    <row r="531" spans="1:15" ht="15.5" x14ac:dyDescent="0.35">
      <c r="A531" s="616"/>
      <c r="B531" s="100" t="s">
        <v>1079</v>
      </c>
      <c r="C531" s="52">
        <v>132</v>
      </c>
      <c r="D531" s="2138" t="s">
        <v>1083</v>
      </c>
      <c r="E531" s="1818"/>
      <c r="F531" s="4"/>
      <c r="G531" s="5"/>
      <c r="H531" s="5"/>
      <c r="I531" s="5"/>
      <c r="J531" s="616"/>
      <c r="K531" s="696"/>
      <c r="L531" s="16">
        <f>J531*I531*F531</f>
        <v>0</v>
      </c>
      <c r="M531" s="7"/>
      <c r="N531" s="1428"/>
      <c r="O531" s="616"/>
    </row>
    <row r="532" spans="1:15" ht="15.5" x14ac:dyDescent="0.35">
      <c r="A532" s="616"/>
      <c r="B532" s="100" t="s">
        <v>1078</v>
      </c>
      <c r="C532" s="52">
        <v>132</v>
      </c>
      <c r="D532" s="2139"/>
      <c r="E532" s="1818"/>
      <c r="F532" s="4"/>
      <c r="G532" s="5"/>
      <c r="H532" s="5"/>
      <c r="I532" s="5"/>
      <c r="J532" s="616"/>
      <c r="K532" s="696"/>
      <c r="L532" s="16">
        <f>J532*I532*F532</f>
        <v>0</v>
      </c>
      <c r="M532" s="16"/>
      <c r="N532" s="711"/>
      <c r="O532" s="616"/>
    </row>
    <row r="533" spans="1:15" ht="15.5" x14ac:dyDescent="0.35">
      <c r="A533" s="616"/>
      <c r="B533" s="95"/>
      <c r="C533" s="89"/>
      <c r="D533" s="89"/>
      <c r="E533" s="1784"/>
      <c r="F533" s="37"/>
      <c r="G533" s="37"/>
      <c r="H533" s="37"/>
      <c r="I533" s="37"/>
      <c r="J533" s="95" t="s">
        <v>279</v>
      </c>
      <c r="K533" s="699"/>
      <c r="L533" s="55">
        <f>SUM(L531:L532)</f>
        <v>0</v>
      </c>
      <c r="M533" s="633"/>
      <c r="N533" s="1921"/>
      <c r="O533" s="616"/>
    </row>
    <row r="534" spans="1:15" ht="15.5" x14ac:dyDescent="0.35">
      <c r="A534" s="616"/>
      <c r="B534" s="102"/>
      <c r="C534" s="91"/>
      <c r="D534" s="726"/>
      <c r="E534" s="1814"/>
      <c r="F534" s="47"/>
      <c r="G534" s="48"/>
      <c r="H534" s="48"/>
      <c r="I534" s="36"/>
      <c r="J534" s="96"/>
      <c r="K534" s="706"/>
      <c r="L534" s="43"/>
      <c r="M534" s="43"/>
      <c r="N534" s="1973"/>
      <c r="O534" s="12"/>
    </row>
    <row r="535" spans="1:15" ht="15.5" x14ac:dyDescent="0.35">
      <c r="A535" s="636"/>
      <c r="B535" s="647" t="s">
        <v>1110</v>
      </c>
      <c r="C535" s="648"/>
      <c r="D535" s="648"/>
      <c r="E535" s="1800"/>
      <c r="F535" s="648"/>
      <c r="G535" s="648"/>
      <c r="H535" s="648"/>
      <c r="I535" s="648"/>
      <c r="J535" s="50"/>
      <c r="K535" s="710"/>
      <c r="L535" s="51"/>
      <c r="M535" s="51"/>
      <c r="N535" s="1971"/>
      <c r="O535" s="12"/>
    </row>
    <row r="536" spans="1:15" ht="15.65" customHeight="1" x14ac:dyDescent="0.35">
      <c r="A536" s="616">
        <v>5</v>
      </c>
      <c r="B536" s="100" t="s">
        <v>1951</v>
      </c>
      <c r="C536" s="52">
        <v>33</v>
      </c>
      <c r="D536" s="1774"/>
      <c r="E536" s="1801" t="s">
        <v>1952</v>
      </c>
      <c r="F536" s="4">
        <v>1</v>
      </c>
      <c r="G536" s="21">
        <v>7348544</v>
      </c>
      <c r="H536" s="21">
        <v>13841536</v>
      </c>
      <c r="I536" s="21">
        <f>H536-G536</f>
        <v>6492992</v>
      </c>
      <c r="J536" s="31">
        <v>1</v>
      </c>
      <c r="K536" s="707"/>
      <c r="L536" s="22">
        <f>F536*I536*J536</f>
        <v>6492992</v>
      </c>
      <c r="M536" s="22"/>
      <c r="N536" s="99"/>
      <c r="O536" s="12"/>
    </row>
    <row r="537" spans="1:15" ht="15.65" customHeight="1" x14ac:dyDescent="0.35">
      <c r="A537" s="616">
        <v>8</v>
      </c>
      <c r="B537" s="100" t="s">
        <v>1955</v>
      </c>
      <c r="C537" s="52">
        <v>33</v>
      </c>
      <c r="D537" s="1776"/>
      <c r="E537" s="1801" t="s">
        <v>1956</v>
      </c>
      <c r="F537" s="4">
        <v>1</v>
      </c>
      <c r="G537" s="21">
        <v>1347280</v>
      </c>
      <c r="H537" s="21">
        <v>6896800</v>
      </c>
      <c r="I537" s="21">
        <f>H537-G537</f>
        <v>5549520</v>
      </c>
      <c r="J537" s="31">
        <v>1</v>
      </c>
      <c r="K537" s="707"/>
      <c r="L537" s="22">
        <f>F537*I537*J537</f>
        <v>5549520</v>
      </c>
      <c r="M537" s="22"/>
      <c r="N537" s="99"/>
      <c r="O537" s="12"/>
    </row>
    <row r="538" spans="1:15" ht="15" x14ac:dyDescent="0.35">
      <c r="A538" s="636"/>
      <c r="B538" s="96"/>
      <c r="C538" s="90"/>
      <c r="D538" s="90"/>
      <c r="E538" s="1785"/>
      <c r="F538" s="38"/>
      <c r="G538" s="38"/>
      <c r="H538" s="38"/>
      <c r="I538" s="38"/>
      <c r="J538" s="96" t="s">
        <v>30</v>
      </c>
      <c r="K538" s="708"/>
      <c r="L538" s="43">
        <f>SUM(L536:L537)</f>
        <v>12042512</v>
      </c>
      <c r="M538" s="43">
        <f>SUM(M536:M537)</f>
        <v>0</v>
      </c>
      <c r="N538" s="650">
        <f>(M538-L538)/L538*100</f>
        <v>-100</v>
      </c>
      <c r="O538" s="12"/>
    </row>
    <row r="539" spans="1:15" ht="15.5" thickBot="1" x14ac:dyDescent="0.4">
      <c r="A539" s="702"/>
      <c r="B539" s="736"/>
      <c r="C539" s="92"/>
      <c r="D539" s="92"/>
      <c r="E539" s="1786"/>
      <c r="F539" s="737"/>
      <c r="G539" s="737"/>
      <c r="H539" s="737"/>
      <c r="I539" s="737"/>
      <c r="J539" s="736"/>
      <c r="K539" s="738"/>
      <c r="L539" s="739"/>
      <c r="M539" s="739"/>
      <c r="N539" s="646"/>
      <c r="O539" s="740"/>
    </row>
    <row r="540" spans="1:15" ht="15" x14ac:dyDescent="0.35">
      <c r="A540" s="702"/>
      <c r="B540" s="2142" t="s">
        <v>1090</v>
      </c>
      <c r="C540" s="2143"/>
      <c r="D540" s="683" t="s">
        <v>14</v>
      </c>
      <c r="F540" s="2144" t="s">
        <v>1091</v>
      </c>
      <c r="G540" s="2145"/>
      <c r="H540" s="2146"/>
      <c r="I540" s="683" t="s">
        <v>14</v>
      </c>
      <c r="J540" s="620"/>
      <c r="K540" s="2147" t="s">
        <v>1092</v>
      </c>
      <c r="L540" s="2148"/>
      <c r="M540" s="684" t="s">
        <v>14</v>
      </c>
      <c r="N540" s="646"/>
      <c r="O540" s="740"/>
    </row>
    <row r="541" spans="1:15" ht="15" x14ac:dyDescent="0.35">
      <c r="A541" s="702"/>
      <c r="B541" s="2122" t="str">
        <f>B522</f>
        <v xml:space="preserve"> 33 KV SENDING SIDE</v>
      </c>
      <c r="C541" s="2123"/>
      <c r="D541" s="689">
        <f>M525</f>
        <v>0</v>
      </c>
      <c r="F541" s="2124" t="s">
        <v>1093</v>
      </c>
      <c r="G541" s="2125"/>
      <c r="H541" s="2126"/>
      <c r="I541" s="685">
        <f>L533</f>
        <v>0</v>
      </c>
      <c r="J541" s="620"/>
      <c r="K541" s="2160" t="str">
        <f>F542</f>
        <v>MOGBAZAR T&amp;T 33 KV NET IMPORT</v>
      </c>
      <c r="L541" s="2161"/>
      <c r="M541" s="687" t="e">
        <f>I542</f>
        <v>#REF!</v>
      </c>
      <c r="N541" s="646"/>
      <c r="O541" s="740"/>
    </row>
    <row r="542" spans="1:15" ht="15" x14ac:dyDescent="0.35">
      <c r="A542" s="702"/>
      <c r="B542" s="2122" t="e">
        <f>#REF!</f>
        <v>#REF!</v>
      </c>
      <c r="C542" s="2123"/>
      <c r="D542" s="741" t="e">
        <f>#REF!</f>
        <v>#REF!</v>
      </c>
      <c r="F542" s="2124" t="s">
        <v>1119</v>
      </c>
      <c r="G542" s="2125"/>
      <c r="H542" s="2126"/>
      <c r="I542" s="685" t="e">
        <f>D545-I541</f>
        <v>#REF!</v>
      </c>
      <c r="J542" s="620"/>
      <c r="K542" s="2162" t="s">
        <v>1120</v>
      </c>
      <c r="L542" s="2163"/>
      <c r="M542" s="685">
        <f>M576</f>
        <v>0</v>
      </c>
      <c r="N542" s="646"/>
      <c r="O542" s="740"/>
    </row>
    <row r="543" spans="1:15" ht="15" x14ac:dyDescent="0.35">
      <c r="A543" s="702"/>
      <c r="B543" s="2122" t="s">
        <v>1117</v>
      </c>
      <c r="C543" s="2123"/>
      <c r="D543" s="721"/>
      <c r="F543" s="2124" t="s">
        <v>1089</v>
      </c>
      <c r="G543" s="2125"/>
      <c r="H543" s="2126"/>
      <c r="I543" s="685" t="e">
        <f>I541+I542</f>
        <v>#REF!</v>
      </c>
      <c r="J543" s="620"/>
      <c r="K543" s="2127" t="s">
        <v>284</v>
      </c>
      <c r="L543" s="2128"/>
      <c r="M543" s="685" t="e">
        <f>M541-M542</f>
        <v>#REF!</v>
      </c>
      <c r="N543" s="646"/>
      <c r="O543" s="740"/>
    </row>
    <row r="544" spans="1:15" ht="16" thickBot="1" x14ac:dyDescent="0.4">
      <c r="A544" s="702"/>
      <c r="B544" s="2122" t="s">
        <v>1118</v>
      </c>
      <c r="C544" s="2123"/>
      <c r="D544" s="722"/>
      <c r="F544" s="2113" t="s">
        <v>1102</v>
      </c>
      <c r="G544" s="2114"/>
      <c r="H544" s="2115"/>
      <c r="I544" s="690" t="e">
        <f>(D545-I543)/I543</f>
        <v>#REF!</v>
      </c>
      <c r="J544" s="620"/>
      <c r="K544" s="2134" t="s">
        <v>285</v>
      </c>
      <c r="L544" s="2135"/>
      <c r="M544" s="688" t="e">
        <f>M543/M541</f>
        <v>#REF!</v>
      </c>
      <c r="N544" s="646"/>
      <c r="O544" s="740"/>
    </row>
    <row r="545" spans="1:15" ht="15.5" thickBot="1" x14ac:dyDescent="0.4">
      <c r="A545" s="702"/>
      <c r="B545" s="2158" t="s">
        <v>1082</v>
      </c>
      <c r="C545" s="2159"/>
      <c r="D545" s="686" t="e">
        <f>SUM(D541:D543)</f>
        <v>#REF!</v>
      </c>
      <c r="F545" s="620"/>
      <c r="G545" s="620"/>
      <c r="H545" s="620"/>
      <c r="I545" s="620"/>
      <c r="J545" s="620"/>
      <c r="K545" s="702"/>
      <c r="L545" s="620"/>
      <c r="M545" s="620"/>
      <c r="N545" s="646"/>
      <c r="O545" s="740"/>
    </row>
    <row r="546" spans="1:15" ht="15" x14ac:dyDescent="0.35">
      <c r="A546" s="702"/>
      <c r="B546" s="736"/>
      <c r="C546" s="92"/>
      <c r="D546" s="92"/>
      <c r="E546" s="1786"/>
      <c r="F546" s="737"/>
      <c r="G546" s="737"/>
      <c r="H546" s="737"/>
      <c r="I546" s="737"/>
      <c r="J546" s="736"/>
      <c r="K546" s="738"/>
      <c r="L546" s="739"/>
      <c r="M546" s="739"/>
      <c r="N546" s="646"/>
      <c r="O546" s="740"/>
    </row>
    <row r="547" spans="1:15" x14ac:dyDescent="0.35">
      <c r="A547" s="620"/>
      <c r="B547" s="632"/>
      <c r="C547" s="620"/>
      <c r="D547" s="728"/>
      <c r="E547" s="1820"/>
      <c r="F547" s="620"/>
      <c r="G547" s="620"/>
      <c r="H547" s="620"/>
      <c r="I547" s="620"/>
      <c r="J547" s="620"/>
      <c r="K547" s="702"/>
      <c r="L547" s="620"/>
      <c r="M547" s="620"/>
      <c r="N547" s="702"/>
      <c r="O547" s="620"/>
    </row>
    <row r="548" spans="1:15" x14ac:dyDescent="0.35">
      <c r="A548" s="620"/>
      <c r="B548" s="632"/>
      <c r="C548" s="620"/>
      <c r="D548" s="728"/>
      <c r="E548" s="1820"/>
      <c r="F548" s="620"/>
      <c r="G548" s="620"/>
      <c r="H548" s="620"/>
      <c r="I548" s="620"/>
      <c r="J548" s="620"/>
      <c r="K548" s="702"/>
      <c r="L548" s="620"/>
      <c r="M548" s="620"/>
      <c r="N548" s="702"/>
      <c r="O548" s="620"/>
    </row>
    <row r="549" spans="1:15" ht="25" x14ac:dyDescent="0.35">
      <c r="A549" s="2095" t="s">
        <v>2476</v>
      </c>
      <c r="B549" s="2095"/>
      <c r="C549" s="2095"/>
      <c r="D549" s="2095"/>
      <c r="E549" s="2095"/>
      <c r="F549" s="2095"/>
      <c r="G549" s="2095"/>
      <c r="H549" s="2095"/>
      <c r="I549" s="2095"/>
      <c r="J549" s="2095"/>
      <c r="K549" s="2095"/>
      <c r="L549" s="2095"/>
      <c r="M549" s="2095"/>
      <c r="N549" s="2095"/>
      <c r="O549" s="756" t="str">
        <f>$O$6</f>
        <v>Month December-2022</v>
      </c>
    </row>
    <row r="550" spans="1:15" ht="15.5" x14ac:dyDescent="0.35">
      <c r="A550" s="2096" t="s">
        <v>0</v>
      </c>
      <c r="B550" s="2098" t="s">
        <v>1</v>
      </c>
      <c r="C550" s="2100" t="s">
        <v>2</v>
      </c>
      <c r="D550" s="2101"/>
      <c r="E550" s="2102"/>
      <c r="F550" s="2103" t="s">
        <v>3</v>
      </c>
      <c r="G550" s="2100" t="s">
        <v>4</v>
      </c>
      <c r="H550" s="2102"/>
      <c r="I550" s="2085"/>
      <c r="J550" s="2103" t="s">
        <v>5</v>
      </c>
      <c r="K550" s="2100" t="s">
        <v>6</v>
      </c>
      <c r="L550" s="2085"/>
      <c r="M550" s="97" t="s">
        <v>32</v>
      </c>
      <c r="N550" s="98"/>
      <c r="O550" s="2084" t="s">
        <v>7</v>
      </c>
    </row>
    <row r="551" spans="1:15" ht="15.5" x14ac:dyDescent="0.35">
      <c r="A551" s="2097"/>
      <c r="B551" s="2099"/>
      <c r="C551" s="2086" t="s">
        <v>1108</v>
      </c>
      <c r="D551" s="2087"/>
      <c r="E551" s="1810" t="s">
        <v>9</v>
      </c>
      <c r="F551" s="2097"/>
      <c r="G551" s="2">
        <f>'NORTH-1'!$G$8</f>
        <v>44774</v>
      </c>
      <c r="H551" s="2">
        <f>'NORTH-1'!$H$8</f>
        <v>44805</v>
      </c>
      <c r="I551" s="1" t="s">
        <v>10</v>
      </c>
      <c r="J551" s="2097"/>
      <c r="K551" s="1" t="s">
        <v>11</v>
      </c>
      <c r="L551" s="1" t="s">
        <v>12</v>
      </c>
      <c r="M551" s="617" t="s">
        <v>33</v>
      </c>
      <c r="N551" s="76" t="s">
        <v>47</v>
      </c>
      <c r="O551" s="2085"/>
    </row>
    <row r="552" spans="1:15" ht="15.5" x14ac:dyDescent="0.35">
      <c r="A552" s="3">
        <v>1</v>
      </c>
      <c r="B552" s="88">
        <v>2</v>
      </c>
      <c r="C552" s="2088">
        <v>4</v>
      </c>
      <c r="D552" s="2089"/>
      <c r="E552" s="1811">
        <v>5</v>
      </c>
      <c r="F552" s="3">
        <v>7</v>
      </c>
      <c r="G552" s="3">
        <v>8</v>
      </c>
      <c r="H552" s="3">
        <v>9</v>
      </c>
      <c r="I552" s="3" t="s">
        <v>13</v>
      </c>
      <c r="J552" s="3">
        <v>11</v>
      </c>
      <c r="K552" s="3" t="s">
        <v>19</v>
      </c>
      <c r="L552" s="3" t="s">
        <v>20</v>
      </c>
      <c r="M552" s="3">
        <v>14</v>
      </c>
      <c r="N552" s="77">
        <v>15</v>
      </c>
      <c r="O552" s="3">
        <v>16</v>
      </c>
    </row>
    <row r="553" spans="1:15" ht="15.5" x14ac:dyDescent="0.35">
      <c r="A553" s="631"/>
      <c r="B553" s="624" t="s">
        <v>2477</v>
      </c>
      <c r="C553" s="625"/>
      <c r="D553" s="625"/>
      <c r="E553" s="1794"/>
      <c r="F553" s="625"/>
      <c r="G553" s="625"/>
      <c r="H553" s="625"/>
      <c r="I553" s="625"/>
      <c r="J553" s="625"/>
      <c r="K553" s="695"/>
      <c r="L553" s="625"/>
      <c r="M553" s="626"/>
      <c r="N553" s="1972"/>
      <c r="O553" s="616"/>
    </row>
    <row r="554" spans="1:15" ht="15.5" x14ac:dyDescent="0.35">
      <c r="A554" s="631">
        <v>17</v>
      </c>
      <c r="B554" s="100" t="s">
        <v>1969</v>
      </c>
      <c r="C554" s="52">
        <v>11</v>
      </c>
      <c r="D554" s="2105"/>
      <c r="E554" s="1801" t="s">
        <v>1968</v>
      </c>
      <c r="F554" s="4">
        <v>1</v>
      </c>
      <c r="G554" s="21">
        <v>6283744</v>
      </c>
      <c r="H554" s="21">
        <v>12754752</v>
      </c>
      <c r="I554" s="21">
        <f>H554-G554</f>
        <v>6471008</v>
      </c>
      <c r="J554" s="616">
        <v>1</v>
      </c>
      <c r="K554" s="696">
        <f>F554*I554*J554</f>
        <v>6471008</v>
      </c>
      <c r="L554" s="22"/>
      <c r="M554" s="22"/>
      <c r="N554" s="72"/>
      <c r="O554" s="616"/>
    </row>
    <row r="555" spans="1:15" ht="15.5" x14ac:dyDescent="0.35">
      <c r="A555" s="631">
        <v>18</v>
      </c>
      <c r="B555" s="100" t="s">
        <v>1970</v>
      </c>
      <c r="C555" s="52">
        <v>11</v>
      </c>
      <c r="D555" s="2151"/>
      <c r="E555" s="1801" t="s">
        <v>1971</v>
      </c>
      <c r="F555" s="4">
        <v>1</v>
      </c>
      <c r="G555" s="21">
        <v>9984704</v>
      </c>
      <c r="H555" s="21">
        <v>15512096</v>
      </c>
      <c r="I555" s="21">
        <f>H555-G555</f>
        <v>5527392</v>
      </c>
      <c r="J555" s="616">
        <v>1</v>
      </c>
      <c r="K555" s="696">
        <f>F555*I555*J555</f>
        <v>5527392</v>
      </c>
      <c r="L555" s="22"/>
      <c r="M555" s="22"/>
      <c r="N555" s="72"/>
      <c r="O555" s="616"/>
    </row>
    <row r="556" spans="1:15" ht="15.5" x14ac:dyDescent="0.35">
      <c r="A556" s="631"/>
      <c r="B556" s="102"/>
      <c r="C556" s="91"/>
      <c r="D556" s="726"/>
      <c r="E556" s="1814"/>
      <c r="F556" s="47"/>
      <c r="G556" s="48"/>
      <c r="H556" s="48"/>
      <c r="I556" s="48"/>
      <c r="J556" s="39" t="s">
        <v>30</v>
      </c>
      <c r="K556" s="708">
        <f>SUM(K554:K555)</f>
        <v>11998400</v>
      </c>
      <c r="L556" s="49"/>
      <c r="M556" s="43">
        <f>SUM(M554:M555)</f>
        <v>0</v>
      </c>
      <c r="N556" s="1973"/>
      <c r="O556" s="616"/>
    </row>
    <row r="557" spans="1:15" ht="15.5" x14ac:dyDescent="0.35">
      <c r="A557" s="631"/>
      <c r="B557" s="647" t="s">
        <v>2477</v>
      </c>
      <c r="C557" s="648"/>
      <c r="D557" s="648"/>
      <c r="E557" s="1800"/>
      <c r="F557" s="648"/>
      <c r="G557" s="648"/>
      <c r="H557" s="648"/>
      <c r="I557" s="648"/>
      <c r="J557" s="50"/>
      <c r="K557" s="710"/>
      <c r="L557" s="51"/>
      <c r="M557" s="51"/>
      <c r="N557" s="1971"/>
      <c r="O557" s="616"/>
    </row>
    <row r="558" spans="1:15" s="1952" customFormat="1" ht="17.25" customHeight="1" x14ac:dyDescent="0.35">
      <c r="A558" s="1941">
        <v>1</v>
      </c>
      <c r="B558" s="1917" t="s">
        <v>1957</v>
      </c>
      <c r="C558" s="1942">
        <v>11</v>
      </c>
      <c r="D558" s="1955"/>
      <c r="E558" s="1991" t="s">
        <v>1958</v>
      </c>
      <c r="F558" s="1945">
        <v>1</v>
      </c>
      <c r="G558" s="1946">
        <v>11822371</v>
      </c>
      <c r="H558" s="1946">
        <v>13130288</v>
      </c>
      <c r="I558" s="1947">
        <f t="shared" ref="I558:I565" si="19">H558-G558</f>
        <v>1307917</v>
      </c>
      <c r="J558" s="1948">
        <v>1</v>
      </c>
      <c r="K558" s="1949"/>
      <c r="L558" s="1950">
        <f t="shared" ref="L558:L565" si="20">F558*I558*J558</f>
        <v>1307917</v>
      </c>
      <c r="M558" s="1950"/>
      <c r="N558" s="1934" t="s">
        <v>95</v>
      </c>
      <c r="O558" s="1951"/>
    </row>
    <row r="559" spans="1:15" ht="17.25" customHeight="1" x14ac:dyDescent="0.35">
      <c r="A559" s="631">
        <v>2</v>
      </c>
      <c r="B559" s="100" t="s">
        <v>1959</v>
      </c>
      <c r="C559" s="73">
        <v>11</v>
      </c>
      <c r="D559" s="1782"/>
      <c r="E559" s="1801" t="s">
        <v>1960</v>
      </c>
      <c r="F559" s="32">
        <v>1</v>
      </c>
      <c r="G559" s="6">
        <v>3962168</v>
      </c>
      <c r="H559" s="6">
        <v>5070648</v>
      </c>
      <c r="I559" s="20">
        <f t="shared" si="19"/>
        <v>1108480</v>
      </c>
      <c r="J559" s="616">
        <v>1</v>
      </c>
      <c r="K559" s="703"/>
      <c r="L559" s="22">
        <f t="shared" si="20"/>
        <v>1108480</v>
      </c>
      <c r="M559" s="22"/>
      <c r="N559" s="72" t="s">
        <v>103</v>
      </c>
      <c r="O559" s="15"/>
    </row>
    <row r="560" spans="1:15" ht="17.25" customHeight="1" x14ac:dyDescent="0.35">
      <c r="A560" s="631">
        <v>3</v>
      </c>
      <c r="B560" s="100" t="s">
        <v>1961</v>
      </c>
      <c r="C560" s="73">
        <v>11</v>
      </c>
      <c r="D560" s="1782"/>
      <c r="E560" s="1801" t="s">
        <v>1962</v>
      </c>
      <c r="F560" s="32">
        <v>1</v>
      </c>
      <c r="G560" s="6">
        <v>9704920</v>
      </c>
      <c r="H560" s="6">
        <v>10417116</v>
      </c>
      <c r="I560" s="20">
        <f t="shared" si="19"/>
        <v>712196</v>
      </c>
      <c r="J560" s="616">
        <v>1</v>
      </c>
      <c r="K560" s="703"/>
      <c r="L560" s="22">
        <f t="shared" si="20"/>
        <v>712196</v>
      </c>
      <c r="M560" s="22"/>
      <c r="N560" s="72" t="s">
        <v>103</v>
      </c>
      <c r="O560" s="15"/>
    </row>
    <row r="561" spans="1:15" s="1952" customFormat="1" ht="17.25" customHeight="1" x14ac:dyDescent="0.35">
      <c r="A561" s="1941">
        <v>4</v>
      </c>
      <c r="B561" s="1917" t="s">
        <v>1963</v>
      </c>
      <c r="C561" s="1942">
        <v>11</v>
      </c>
      <c r="D561" s="1943"/>
      <c r="E561" s="1991" t="s">
        <v>2257</v>
      </c>
      <c r="F561" s="1945">
        <v>1</v>
      </c>
      <c r="G561" s="1946">
        <v>11853440</v>
      </c>
      <c r="H561" s="1946">
        <v>13593192</v>
      </c>
      <c r="I561" s="1947">
        <f t="shared" si="19"/>
        <v>1739752</v>
      </c>
      <c r="J561" s="1948">
        <v>1</v>
      </c>
      <c r="K561" s="1949"/>
      <c r="L561" s="1950">
        <f t="shared" si="20"/>
        <v>1739752</v>
      </c>
      <c r="M561" s="1950"/>
      <c r="N561" s="1934" t="s">
        <v>95</v>
      </c>
      <c r="O561" s="1951"/>
    </row>
    <row r="562" spans="1:15" ht="17.25" customHeight="1" x14ac:dyDescent="0.35">
      <c r="A562" s="631">
        <v>5</v>
      </c>
      <c r="B562" s="100" t="s">
        <v>1964</v>
      </c>
      <c r="C562" s="73">
        <v>1</v>
      </c>
      <c r="D562" s="1782"/>
      <c r="E562" s="1801" t="s">
        <v>2478</v>
      </c>
      <c r="F562" s="32">
        <v>1</v>
      </c>
      <c r="G562" s="6">
        <v>5719992</v>
      </c>
      <c r="H562" s="6">
        <v>7328068</v>
      </c>
      <c r="I562" s="20">
        <f t="shared" si="19"/>
        <v>1608076</v>
      </c>
      <c r="J562" s="616">
        <v>1</v>
      </c>
      <c r="K562" s="703"/>
      <c r="L562" s="22">
        <f t="shared" si="20"/>
        <v>1608076</v>
      </c>
      <c r="M562" s="22"/>
      <c r="N562" s="72" t="s">
        <v>103</v>
      </c>
      <c r="O562" s="15"/>
    </row>
    <row r="563" spans="1:15" ht="17.25" customHeight="1" x14ac:dyDescent="0.35">
      <c r="A563" s="631">
        <v>6</v>
      </c>
      <c r="B563" s="100" t="s">
        <v>1965</v>
      </c>
      <c r="C563" s="73">
        <v>11</v>
      </c>
      <c r="D563" s="1782"/>
      <c r="E563" s="1801" t="s">
        <v>2152</v>
      </c>
      <c r="F563" s="32">
        <v>1</v>
      </c>
      <c r="G563" s="6"/>
      <c r="H563" s="6"/>
      <c r="I563" s="20">
        <f t="shared" si="19"/>
        <v>0</v>
      </c>
      <c r="J563" s="616">
        <v>1</v>
      </c>
      <c r="K563" s="703"/>
      <c r="L563" s="1843">
        <f t="shared" si="20"/>
        <v>0</v>
      </c>
      <c r="M563" s="22"/>
      <c r="N563" s="72"/>
      <c r="O563" s="15"/>
    </row>
    <row r="564" spans="1:15" ht="17.25" customHeight="1" x14ac:dyDescent="0.35">
      <c r="A564" s="631">
        <v>7</v>
      </c>
      <c r="B564" s="100" t="s">
        <v>1966</v>
      </c>
      <c r="C564" s="73">
        <v>11</v>
      </c>
      <c r="D564" s="1782"/>
      <c r="E564" s="1801" t="s">
        <v>2254</v>
      </c>
      <c r="F564" s="32">
        <v>1</v>
      </c>
      <c r="G564" s="6"/>
      <c r="H564" s="6"/>
      <c r="I564" s="20">
        <f t="shared" si="19"/>
        <v>0</v>
      </c>
      <c r="J564" s="616">
        <v>1</v>
      </c>
      <c r="K564" s="703"/>
      <c r="L564" s="1843">
        <f t="shared" si="20"/>
        <v>0</v>
      </c>
      <c r="M564" s="22"/>
      <c r="N564" s="72"/>
      <c r="O564" s="15"/>
    </row>
    <row r="565" spans="1:15" ht="17.25" customHeight="1" x14ac:dyDescent="0.35">
      <c r="A565" s="631">
        <v>8</v>
      </c>
      <c r="B565" s="100" t="s">
        <v>1967</v>
      </c>
      <c r="C565" s="73">
        <v>11</v>
      </c>
      <c r="D565" s="1782"/>
      <c r="E565" s="1801" t="s">
        <v>2479</v>
      </c>
      <c r="F565" s="32">
        <v>1</v>
      </c>
      <c r="G565" s="6"/>
      <c r="H565" s="6"/>
      <c r="I565" s="20">
        <f t="shared" si="19"/>
        <v>0</v>
      </c>
      <c r="J565" s="616">
        <v>1</v>
      </c>
      <c r="K565" s="703"/>
      <c r="L565" s="1843">
        <f t="shared" si="20"/>
        <v>0</v>
      </c>
      <c r="M565" s="22"/>
      <c r="N565" s="72"/>
      <c r="O565" s="15"/>
    </row>
    <row r="566" spans="1:15" ht="17.25" customHeight="1" x14ac:dyDescent="0.35">
      <c r="A566" s="631">
        <v>9</v>
      </c>
      <c r="B566" s="100" t="s">
        <v>1972</v>
      </c>
      <c r="C566" s="73">
        <v>11</v>
      </c>
      <c r="D566" s="1782"/>
      <c r="E566" s="1801" t="s">
        <v>2480</v>
      </c>
      <c r="F566" s="32">
        <v>1</v>
      </c>
      <c r="G566" s="6"/>
      <c r="H566" s="6"/>
      <c r="I566" s="20"/>
      <c r="J566" s="616"/>
      <c r="K566" s="703"/>
      <c r="L566" s="1843"/>
      <c r="M566" s="22"/>
      <c r="N566" s="72"/>
      <c r="O566" s="15"/>
    </row>
    <row r="567" spans="1:15" s="1952" customFormat="1" ht="17.25" customHeight="1" x14ac:dyDescent="0.35">
      <c r="A567" s="1941">
        <v>10</v>
      </c>
      <c r="B567" s="1917" t="s">
        <v>1973</v>
      </c>
      <c r="C567" s="1942">
        <v>11</v>
      </c>
      <c r="D567" s="1943"/>
      <c r="E567" s="1991" t="s">
        <v>2481</v>
      </c>
      <c r="F567" s="1945">
        <v>1</v>
      </c>
      <c r="G567" s="1946">
        <v>5976065</v>
      </c>
      <c r="H567" s="1946">
        <v>6977343</v>
      </c>
      <c r="I567" s="1947">
        <f t="shared" ref="I567:I572" si="21">H567-G567</f>
        <v>1001278</v>
      </c>
      <c r="J567" s="1948">
        <v>1</v>
      </c>
      <c r="K567" s="1949"/>
      <c r="L567" s="1950">
        <f t="shared" ref="L567:L575" si="22">F567*I567*J567</f>
        <v>1001278</v>
      </c>
      <c r="M567" s="1950"/>
      <c r="N567" s="1934" t="s">
        <v>95</v>
      </c>
      <c r="O567" s="1951"/>
    </row>
    <row r="568" spans="1:15" ht="17.25" customHeight="1" x14ac:dyDescent="0.35">
      <c r="A568" s="631">
        <v>11</v>
      </c>
      <c r="B568" s="100" t="s">
        <v>1974</v>
      </c>
      <c r="C568" s="73">
        <v>11</v>
      </c>
      <c r="D568" s="1782"/>
      <c r="E568" s="1801" t="s">
        <v>2482</v>
      </c>
      <c r="F568" s="32">
        <v>1</v>
      </c>
      <c r="G568" s="6">
        <v>3773190</v>
      </c>
      <c r="H568" s="6">
        <v>3783590</v>
      </c>
      <c r="I568" s="20">
        <f t="shared" si="21"/>
        <v>10400</v>
      </c>
      <c r="J568" s="616">
        <v>1</v>
      </c>
      <c r="K568" s="703"/>
      <c r="L568" s="22">
        <f t="shared" si="22"/>
        <v>10400</v>
      </c>
      <c r="M568" s="22"/>
      <c r="N568" s="72" t="s">
        <v>103</v>
      </c>
      <c r="O568" s="15"/>
    </row>
    <row r="569" spans="1:15" ht="17.25" customHeight="1" x14ac:dyDescent="0.35">
      <c r="A569" s="631">
        <v>12</v>
      </c>
      <c r="B569" s="100" t="s">
        <v>1975</v>
      </c>
      <c r="C569" s="73">
        <v>11</v>
      </c>
      <c r="D569" s="1782"/>
      <c r="E569" s="1801" t="s">
        <v>2483</v>
      </c>
      <c r="F569" s="32">
        <v>1</v>
      </c>
      <c r="G569" s="6">
        <v>8024248</v>
      </c>
      <c r="H569" s="6">
        <v>9079488</v>
      </c>
      <c r="I569" s="20">
        <f t="shared" si="21"/>
        <v>1055240</v>
      </c>
      <c r="J569" s="616">
        <v>1</v>
      </c>
      <c r="K569" s="703"/>
      <c r="L569" s="22">
        <f t="shared" si="22"/>
        <v>1055240</v>
      </c>
      <c r="M569" s="22"/>
      <c r="N569" s="72" t="s">
        <v>103</v>
      </c>
      <c r="O569" s="15"/>
    </row>
    <row r="570" spans="1:15" s="1952" customFormat="1" ht="17.25" customHeight="1" x14ac:dyDescent="0.35">
      <c r="A570" s="1941">
        <v>13</v>
      </c>
      <c r="B570" s="1917" t="s">
        <v>1976</v>
      </c>
      <c r="C570" s="1942">
        <v>11</v>
      </c>
      <c r="D570" s="1943"/>
      <c r="E570" s="1991" t="s">
        <v>2484</v>
      </c>
      <c r="F570" s="1945">
        <v>1</v>
      </c>
      <c r="G570" s="1946">
        <v>9418672</v>
      </c>
      <c r="H570" s="1946">
        <v>10629230</v>
      </c>
      <c r="I570" s="1947">
        <f t="shared" si="21"/>
        <v>1210558</v>
      </c>
      <c r="J570" s="1948">
        <v>1</v>
      </c>
      <c r="K570" s="1949"/>
      <c r="L570" s="1950">
        <f t="shared" si="22"/>
        <v>1210558</v>
      </c>
      <c r="M570" s="1950"/>
      <c r="N570" s="1934" t="s">
        <v>95</v>
      </c>
      <c r="O570" s="1951"/>
    </row>
    <row r="571" spans="1:15" s="1952" customFormat="1" ht="17.25" customHeight="1" x14ac:dyDescent="0.35">
      <c r="A571" s="1941">
        <v>14</v>
      </c>
      <c r="B571" s="1917" t="s">
        <v>1977</v>
      </c>
      <c r="C571" s="1942">
        <v>11</v>
      </c>
      <c r="D571" s="1943"/>
      <c r="E571" s="1991" t="s">
        <v>2485</v>
      </c>
      <c r="F571" s="1945">
        <v>1</v>
      </c>
      <c r="G571" s="1946">
        <v>10799236</v>
      </c>
      <c r="H571" s="1946">
        <v>12252112</v>
      </c>
      <c r="I571" s="1947">
        <f t="shared" si="21"/>
        <v>1452876</v>
      </c>
      <c r="J571" s="1948">
        <v>1</v>
      </c>
      <c r="K571" s="1949"/>
      <c r="L571" s="1950">
        <f t="shared" si="22"/>
        <v>1452876</v>
      </c>
      <c r="M571" s="1950"/>
      <c r="N571" s="1934" t="s">
        <v>95</v>
      </c>
      <c r="O571" s="1951"/>
    </row>
    <row r="572" spans="1:15" ht="17.25" customHeight="1" x14ac:dyDescent="0.35">
      <c r="A572" s="631">
        <v>15</v>
      </c>
      <c r="B572" s="100" t="s">
        <v>1978</v>
      </c>
      <c r="C572" s="73">
        <v>11</v>
      </c>
      <c r="D572" s="1782"/>
      <c r="E572" s="1801" t="s">
        <v>2486</v>
      </c>
      <c r="F572" s="32">
        <v>1</v>
      </c>
      <c r="G572" s="6">
        <v>605958</v>
      </c>
      <c r="H572" s="6">
        <v>1400996</v>
      </c>
      <c r="I572" s="20">
        <f t="shared" si="21"/>
        <v>795038</v>
      </c>
      <c r="J572" s="616">
        <v>1</v>
      </c>
      <c r="K572" s="703"/>
      <c r="L572" s="22">
        <f t="shared" si="22"/>
        <v>795038</v>
      </c>
      <c r="M572" s="22"/>
      <c r="N572" s="72" t="s">
        <v>103</v>
      </c>
      <c r="O572" s="15"/>
    </row>
    <row r="573" spans="1:15" s="1952" customFormat="1" ht="17.25" customHeight="1" x14ac:dyDescent="0.35">
      <c r="A573" s="1941">
        <v>16</v>
      </c>
      <c r="B573" s="1917" t="s">
        <v>1979</v>
      </c>
      <c r="C573" s="1942">
        <v>11</v>
      </c>
      <c r="D573" s="1943"/>
      <c r="E573" s="1991" t="s">
        <v>2487</v>
      </c>
      <c r="F573" s="1945">
        <v>1</v>
      </c>
      <c r="G573" s="1946"/>
      <c r="H573" s="1946"/>
      <c r="I573" s="1947"/>
      <c r="J573" s="1948">
        <v>1</v>
      </c>
      <c r="K573" s="1949"/>
      <c r="L573" s="1950">
        <f t="shared" si="22"/>
        <v>0</v>
      </c>
      <c r="M573" s="1950"/>
      <c r="N573" s="1934" t="s">
        <v>95</v>
      </c>
      <c r="O573" s="1951"/>
    </row>
    <row r="574" spans="1:15" ht="17.25" customHeight="1" x14ac:dyDescent="0.35">
      <c r="A574" s="631">
        <v>17</v>
      </c>
      <c r="B574" s="100" t="s">
        <v>1980</v>
      </c>
      <c r="C574" s="73">
        <v>0.4</v>
      </c>
      <c r="D574" s="1782"/>
      <c r="E574" s="1801" t="s">
        <v>2488</v>
      </c>
      <c r="F574" s="32">
        <v>1</v>
      </c>
      <c r="G574" s="6">
        <v>1328</v>
      </c>
      <c r="H574" s="6">
        <v>1352.96</v>
      </c>
      <c r="I574" s="20">
        <f>H574-G574</f>
        <v>24.960000000000036</v>
      </c>
      <c r="J574" s="616">
        <v>100</v>
      </c>
      <c r="K574" s="703"/>
      <c r="L574" s="22">
        <f t="shared" si="22"/>
        <v>2496.0000000000036</v>
      </c>
      <c r="M574" s="22"/>
      <c r="N574" s="72" t="s">
        <v>103</v>
      </c>
      <c r="O574" s="15"/>
    </row>
    <row r="575" spans="1:15" ht="17.25" customHeight="1" x14ac:dyDescent="0.35">
      <c r="A575" s="631">
        <v>18</v>
      </c>
      <c r="B575" s="100" t="s">
        <v>1981</v>
      </c>
      <c r="C575" s="73">
        <v>0.41499999999999998</v>
      </c>
      <c r="D575" s="1783"/>
      <c r="E575" s="1801" t="s">
        <v>2489</v>
      </c>
      <c r="F575" s="32">
        <v>1</v>
      </c>
      <c r="G575" s="6">
        <v>60</v>
      </c>
      <c r="H575" s="6">
        <v>60.71</v>
      </c>
      <c r="I575" s="20">
        <f>H575-G575</f>
        <v>0.71000000000000085</v>
      </c>
      <c r="J575" s="616">
        <v>100</v>
      </c>
      <c r="K575" s="703"/>
      <c r="L575" s="22">
        <f t="shared" si="22"/>
        <v>71.000000000000085</v>
      </c>
      <c r="M575" s="22"/>
      <c r="N575" s="72" t="s">
        <v>103</v>
      </c>
      <c r="O575" s="15"/>
    </row>
    <row r="576" spans="1:15" ht="28" x14ac:dyDescent="0.35">
      <c r="A576" s="636"/>
      <c r="B576" s="96"/>
      <c r="C576" s="90"/>
      <c r="D576" s="90"/>
      <c r="E576" s="1785"/>
      <c r="F576" s="38"/>
      <c r="G576" s="38"/>
      <c r="H576" s="38"/>
      <c r="I576" s="38"/>
      <c r="J576" s="53" t="s">
        <v>44</v>
      </c>
      <c r="K576" s="43">
        <f>M556</f>
        <v>0</v>
      </c>
      <c r="L576" s="1844">
        <f>SUM(L558:L575)</f>
        <v>12004378</v>
      </c>
      <c r="M576" s="43">
        <f>SUM(M558:M575)</f>
        <v>0</v>
      </c>
      <c r="N576" s="84">
        <f>(M576-L576)/L576*100</f>
        <v>-100</v>
      </c>
      <c r="O576" s="29"/>
    </row>
    <row r="578" spans="1:15" ht="15" x14ac:dyDescent="0.35">
      <c r="A578" s="620"/>
      <c r="B578" s="635"/>
      <c r="C578" s="632"/>
      <c r="D578" s="720"/>
      <c r="F578" s="2092" t="s">
        <v>1099</v>
      </c>
      <c r="G578" s="2092"/>
      <c r="H578" s="2092"/>
      <c r="I578" s="677" t="s">
        <v>14</v>
      </c>
      <c r="J578" s="620"/>
      <c r="K578" s="702"/>
      <c r="L578" s="620"/>
      <c r="M578" s="620"/>
      <c r="N578" s="635"/>
      <c r="O578" s="620"/>
    </row>
    <row r="579" spans="1:15" ht="15.5" x14ac:dyDescent="0.35">
      <c r="A579" s="620"/>
      <c r="B579" s="635"/>
      <c r="C579" s="632"/>
      <c r="D579" s="720"/>
      <c r="F579" s="2153" t="s">
        <v>232</v>
      </c>
      <c r="G579" s="2154"/>
      <c r="H579" s="2155"/>
      <c r="I579" s="643">
        <f>SUM(M558:M559,M569)</f>
        <v>0</v>
      </c>
      <c r="J579" s="620"/>
      <c r="K579" s="702"/>
      <c r="L579" s="620"/>
      <c r="M579" s="620"/>
      <c r="N579" s="635"/>
      <c r="O579" s="620" t="s">
        <v>237</v>
      </c>
    </row>
    <row r="580" spans="1:15" ht="15.5" x14ac:dyDescent="0.35">
      <c r="A580" s="620"/>
      <c r="B580" s="635"/>
      <c r="C580" s="632"/>
      <c r="D580" s="720"/>
      <c r="F580" s="2153" t="s">
        <v>268</v>
      </c>
      <c r="G580" s="2154"/>
      <c r="H580" s="2155"/>
      <c r="I580" s="643">
        <f>SUM(M567:M568,M570,M572,M573,M575)</f>
        <v>0</v>
      </c>
      <c r="J580" s="620"/>
      <c r="K580" s="702"/>
      <c r="L580" s="620"/>
      <c r="M580" s="620"/>
      <c r="N580" s="635"/>
      <c r="O580" s="620"/>
    </row>
    <row r="581" spans="1:15" ht="16" thickBot="1" x14ac:dyDescent="0.4">
      <c r="A581" s="620"/>
      <c r="B581" s="635"/>
      <c r="C581" s="632"/>
      <c r="D581" s="720"/>
      <c r="F581" s="2153" t="s">
        <v>269</v>
      </c>
      <c r="G581" s="2154"/>
      <c r="H581" s="2155"/>
      <c r="I581" s="643">
        <f>SUM(M571,M574)</f>
        <v>0</v>
      </c>
      <c r="J581" s="620"/>
      <c r="K581" s="702"/>
      <c r="L581" s="620"/>
      <c r="M581" s="620"/>
      <c r="N581" s="635"/>
      <c r="O581" s="620"/>
    </row>
    <row r="582" spans="1:15" ht="20.5" thickBot="1" x14ac:dyDescent="0.4">
      <c r="A582" s="620"/>
      <c r="B582" s="635"/>
      <c r="C582" s="632"/>
      <c r="D582" s="720"/>
      <c r="E582" s="1788"/>
      <c r="F582" s="2156" t="s">
        <v>210</v>
      </c>
      <c r="G582" s="2156"/>
      <c r="H582" s="2156"/>
      <c r="I582" s="656">
        <f>SUM(I579:I581)</f>
        <v>0</v>
      </c>
      <c r="J582" s="682">
        <f>I582-M576</f>
        <v>0</v>
      </c>
      <c r="K582" s="702"/>
      <c r="L582" s="620"/>
      <c r="M582" s="620"/>
      <c r="N582" s="635"/>
      <c r="O582" s="620"/>
    </row>
    <row r="583" spans="1:15" x14ac:dyDescent="0.35">
      <c r="A583" s="620"/>
      <c r="B583" s="635"/>
      <c r="C583" s="632"/>
      <c r="D583" s="720"/>
      <c r="E583" s="1788"/>
      <c r="F583" s="620"/>
      <c r="G583" s="620"/>
      <c r="H583" s="620"/>
      <c r="I583" s="620"/>
      <c r="J583" s="620"/>
      <c r="K583" s="702"/>
      <c r="L583" s="620"/>
      <c r="M583" s="620"/>
      <c r="N583" s="635"/>
      <c r="O583" s="620"/>
    </row>
    <row r="584" spans="1:15" x14ac:dyDescent="0.35">
      <c r="A584" s="620"/>
      <c r="B584" s="635"/>
      <c r="C584" s="632"/>
      <c r="D584" s="720"/>
      <c r="E584" s="1788"/>
      <c r="F584" s="620"/>
      <c r="G584" s="620"/>
      <c r="H584" s="620"/>
      <c r="I584" s="620"/>
      <c r="J584" s="620"/>
      <c r="K584" s="702"/>
      <c r="L584" s="620"/>
      <c r="M584" s="620"/>
      <c r="N584" s="635"/>
      <c r="O584" s="620"/>
    </row>
    <row r="585" spans="1:15" x14ac:dyDescent="0.35">
      <c r="A585" s="620"/>
      <c r="B585" s="635"/>
      <c r="C585" s="632"/>
      <c r="D585" s="720"/>
      <c r="E585" s="1788"/>
      <c r="F585" s="620"/>
      <c r="G585" s="620"/>
      <c r="H585" s="620"/>
      <c r="I585" s="620"/>
      <c r="J585" s="620"/>
      <c r="K585" s="702"/>
      <c r="L585" s="620"/>
      <c r="M585" s="620"/>
      <c r="N585" s="635"/>
      <c r="O585" s="620"/>
    </row>
    <row r="586" spans="1:15" x14ac:dyDescent="0.35">
      <c r="A586" s="620"/>
      <c r="B586" s="635"/>
      <c r="C586" s="632"/>
      <c r="D586" s="720"/>
      <c r="E586" s="1788"/>
      <c r="F586" s="620"/>
      <c r="G586" s="620"/>
      <c r="H586" s="620"/>
      <c r="I586" s="620"/>
      <c r="J586" s="620"/>
      <c r="K586" s="702"/>
      <c r="L586" s="620"/>
      <c r="M586" s="620"/>
      <c r="N586" s="635"/>
      <c r="O586" s="620"/>
    </row>
    <row r="587" spans="1:15" x14ac:dyDescent="0.35">
      <c r="A587" s="620"/>
      <c r="B587" s="635"/>
      <c r="C587" s="632"/>
      <c r="D587" s="720"/>
      <c r="E587" s="1788"/>
      <c r="F587" s="620"/>
      <c r="G587" s="620"/>
      <c r="H587" s="620"/>
      <c r="I587" s="620"/>
      <c r="J587" s="620"/>
      <c r="K587" s="702"/>
      <c r="L587" s="620"/>
      <c r="M587" s="620"/>
      <c r="N587" s="635"/>
      <c r="O587" s="620"/>
    </row>
    <row r="588" spans="1:15" x14ac:dyDescent="0.35">
      <c r="A588" s="620"/>
      <c r="B588" s="632"/>
      <c r="C588" s="632"/>
      <c r="D588" s="720"/>
      <c r="E588" s="1788"/>
      <c r="F588" s="620"/>
      <c r="G588" s="620"/>
      <c r="H588" s="620"/>
      <c r="I588" s="620"/>
      <c r="J588" s="620"/>
      <c r="K588" s="702"/>
      <c r="L588" s="620"/>
      <c r="M588" s="620"/>
      <c r="N588" s="635"/>
      <c r="O588" s="620"/>
    </row>
    <row r="589" spans="1:15" x14ac:dyDescent="0.35">
      <c r="A589" s="620"/>
      <c r="B589" s="632"/>
      <c r="C589" s="632"/>
      <c r="D589" s="720"/>
      <c r="E589" s="1788"/>
      <c r="F589" s="620"/>
      <c r="G589" s="620"/>
      <c r="H589" s="620"/>
      <c r="I589" s="620"/>
      <c r="J589" s="620"/>
      <c r="K589" s="702"/>
      <c r="L589" s="620"/>
      <c r="M589" s="620"/>
      <c r="N589" s="635"/>
      <c r="O589" s="620"/>
    </row>
    <row r="590" spans="1:15" x14ac:dyDescent="0.35">
      <c r="A590" s="620"/>
      <c r="B590" s="635"/>
      <c r="C590" s="632"/>
      <c r="D590" s="720"/>
      <c r="E590" s="1788"/>
      <c r="F590" s="620"/>
      <c r="G590" s="620"/>
      <c r="H590" s="620"/>
      <c r="I590" s="620"/>
      <c r="J590" s="620"/>
      <c r="K590" s="702"/>
      <c r="L590" s="620"/>
      <c r="M590" s="620"/>
      <c r="N590" s="635"/>
      <c r="O590" s="620"/>
    </row>
    <row r="591" spans="1:15" x14ac:dyDescent="0.35">
      <c r="A591" s="620"/>
      <c r="B591" s="635"/>
      <c r="C591" s="632"/>
      <c r="D591" s="720"/>
      <c r="E591" s="1788"/>
      <c r="F591" s="620"/>
      <c r="G591" s="620"/>
      <c r="H591" s="620"/>
      <c r="I591" s="620"/>
      <c r="J591" s="620"/>
      <c r="K591" s="702"/>
      <c r="L591" s="620"/>
      <c r="M591" s="620"/>
      <c r="N591" s="635"/>
      <c r="O591" s="620"/>
    </row>
    <row r="592" spans="1:15" x14ac:dyDescent="0.35">
      <c r="A592" s="620"/>
      <c r="B592" s="635"/>
      <c r="C592" s="632"/>
      <c r="D592" s="720"/>
      <c r="E592" s="1788"/>
      <c r="F592" s="620"/>
      <c r="G592" s="620"/>
      <c r="H592" s="620"/>
      <c r="I592" s="620"/>
      <c r="J592" s="620"/>
      <c r="K592" s="702"/>
      <c r="L592" s="620"/>
      <c r="M592" s="620"/>
      <c r="N592" s="635"/>
      <c r="O592" s="620"/>
    </row>
    <row r="593" spans="1:15" ht="25" x14ac:dyDescent="0.35">
      <c r="A593" s="28"/>
      <c r="B593" s="2152"/>
      <c r="C593" s="2152"/>
      <c r="D593" s="2152"/>
      <c r="E593" s="2152"/>
      <c r="F593" s="2152"/>
      <c r="G593" s="2152"/>
      <c r="H593" s="2152"/>
      <c r="I593" s="2152"/>
      <c r="J593" s="2152"/>
      <c r="K593" s="2152"/>
      <c r="L593" s="2152"/>
      <c r="M593" s="2152"/>
      <c r="N593" s="635"/>
      <c r="O593" s="620"/>
    </row>
    <row r="594" spans="1:15" x14ac:dyDescent="0.35">
      <c r="A594" s="620"/>
      <c r="B594" s="635"/>
      <c r="C594" s="632"/>
      <c r="D594" s="720"/>
      <c r="E594" s="1788"/>
      <c r="F594" s="620"/>
      <c r="G594" s="620"/>
      <c r="H594" s="620"/>
      <c r="I594" s="620"/>
      <c r="J594" s="620"/>
      <c r="K594" s="702"/>
      <c r="L594" s="620"/>
      <c r="M594" s="620"/>
      <c r="N594" s="635"/>
      <c r="O594" s="620"/>
    </row>
    <row r="595" spans="1:15" x14ac:dyDescent="0.35">
      <c r="A595" s="620"/>
      <c r="B595" s="635"/>
      <c r="C595" s="632"/>
      <c r="D595" s="720"/>
      <c r="E595" s="1788"/>
      <c r="F595" s="620"/>
      <c r="G595" s="620"/>
      <c r="H595" s="620"/>
      <c r="I595" s="620"/>
      <c r="J595" s="620"/>
      <c r="K595" s="702"/>
      <c r="L595" s="620"/>
      <c r="M595" s="620"/>
      <c r="N595" s="635"/>
      <c r="O595" s="620"/>
    </row>
    <row r="596" spans="1:15" ht="25" x14ac:dyDescent="0.35">
      <c r="A596" s="2095" t="s">
        <v>2491</v>
      </c>
      <c r="B596" s="2095"/>
      <c r="C596" s="2095"/>
      <c r="D596" s="2095"/>
      <c r="E596" s="2095"/>
      <c r="F596" s="2095"/>
      <c r="G596" s="2095"/>
      <c r="H596" s="2095"/>
      <c r="I596" s="2095"/>
      <c r="J596" s="2095"/>
      <c r="K596" s="2095"/>
      <c r="L596" s="2095"/>
      <c r="M596" s="2095"/>
      <c r="N596" s="2095"/>
      <c r="O596" s="756" t="str">
        <f>$O$6</f>
        <v>Month December-2022</v>
      </c>
    </row>
    <row r="597" spans="1:15" ht="15.5" x14ac:dyDescent="0.35">
      <c r="A597" s="2096" t="s">
        <v>0</v>
      </c>
      <c r="B597" s="2098" t="s">
        <v>1</v>
      </c>
      <c r="C597" s="2100" t="s">
        <v>2</v>
      </c>
      <c r="D597" s="2101"/>
      <c r="E597" s="2102"/>
      <c r="F597" s="2103" t="s">
        <v>3</v>
      </c>
      <c r="G597" s="2100" t="s">
        <v>4</v>
      </c>
      <c r="H597" s="2102"/>
      <c r="I597" s="2085"/>
      <c r="J597" s="2103" t="s">
        <v>5</v>
      </c>
      <c r="K597" s="2100" t="s">
        <v>6</v>
      </c>
      <c r="L597" s="2085"/>
      <c r="M597" s="97" t="s">
        <v>32</v>
      </c>
      <c r="N597" s="98"/>
      <c r="O597" s="2084" t="s">
        <v>7</v>
      </c>
    </row>
    <row r="598" spans="1:15" ht="15.5" x14ac:dyDescent="0.35">
      <c r="A598" s="2097"/>
      <c r="B598" s="2099"/>
      <c r="C598" s="2086" t="s">
        <v>1108</v>
      </c>
      <c r="D598" s="2087"/>
      <c r="E598" s="1810" t="s">
        <v>9</v>
      </c>
      <c r="F598" s="2097"/>
      <c r="G598" s="2">
        <f>'NORTH-1'!$G$8</f>
        <v>44774</v>
      </c>
      <c r="H598" s="2">
        <f>'NORTH-1'!$H$8</f>
        <v>44805</v>
      </c>
      <c r="I598" s="1" t="s">
        <v>10</v>
      </c>
      <c r="J598" s="2097"/>
      <c r="K598" s="1" t="s">
        <v>11</v>
      </c>
      <c r="L598" s="1" t="s">
        <v>12</v>
      </c>
      <c r="M598" s="617" t="s">
        <v>33</v>
      </c>
      <c r="N598" s="76" t="s">
        <v>47</v>
      </c>
      <c r="O598" s="2085"/>
    </row>
    <row r="599" spans="1:15" ht="15.5" x14ac:dyDescent="0.35">
      <c r="A599" s="3">
        <v>1</v>
      </c>
      <c r="B599" s="88">
        <v>2</v>
      </c>
      <c r="C599" s="2088">
        <v>4</v>
      </c>
      <c r="D599" s="2089"/>
      <c r="E599" s="1811">
        <v>5</v>
      </c>
      <c r="F599" s="3">
        <v>7</v>
      </c>
      <c r="G599" s="3">
        <v>8</v>
      </c>
      <c r="H599" s="3">
        <v>9</v>
      </c>
      <c r="I599" s="3" t="s">
        <v>13</v>
      </c>
      <c r="J599" s="3">
        <v>11</v>
      </c>
      <c r="K599" s="3" t="s">
        <v>19</v>
      </c>
      <c r="L599" s="3" t="s">
        <v>20</v>
      </c>
      <c r="M599" s="3">
        <v>14</v>
      </c>
      <c r="N599" s="77">
        <v>15</v>
      </c>
      <c r="O599" s="3">
        <v>16</v>
      </c>
    </row>
    <row r="600" spans="1:15" ht="15.5" x14ac:dyDescent="0.35">
      <c r="A600" s="631"/>
      <c r="B600" s="624" t="s">
        <v>2490</v>
      </c>
      <c r="C600" s="625"/>
      <c r="D600" s="625"/>
      <c r="E600" s="1794"/>
      <c r="F600" s="625"/>
      <c r="G600" s="625"/>
      <c r="H600" s="625"/>
      <c r="I600" s="625"/>
      <c r="J600" s="625"/>
      <c r="K600" s="695"/>
      <c r="L600" s="625"/>
      <c r="M600" s="626"/>
      <c r="N600" s="1972"/>
      <c r="O600" s="616"/>
    </row>
    <row r="601" spans="1:15" ht="15.5" x14ac:dyDescent="0.35">
      <c r="A601" s="11">
        <v>5</v>
      </c>
      <c r="B601" s="100" t="s">
        <v>1984</v>
      </c>
      <c r="C601" s="52">
        <v>33</v>
      </c>
      <c r="D601" s="1550" t="s">
        <v>527</v>
      </c>
      <c r="E601" s="1801" t="s">
        <v>1985</v>
      </c>
      <c r="F601" s="4">
        <v>1</v>
      </c>
      <c r="G601" s="21">
        <v>496.78</v>
      </c>
      <c r="H601" s="21">
        <v>518.39</v>
      </c>
      <c r="I601" s="21">
        <f>SUM(H601-G601)</f>
        <v>21.610000000000014</v>
      </c>
      <c r="J601" s="616">
        <v>360000</v>
      </c>
      <c r="K601" s="696">
        <f>J601*I601*F601</f>
        <v>7779600.0000000047</v>
      </c>
      <c r="L601" s="22"/>
      <c r="M601" s="22"/>
      <c r="N601" s="72"/>
      <c r="O601" s="9"/>
    </row>
    <row r="602" spans="1:15" ht="15.5" x14ac:dyDescent="0.35">
      <c r="A602" s="11"/>
      <c r="B602" s="100"/>
      <c r="C602" s="52">
        <v>33</v>
      </c>
      <c r="D602" s="1729" t="s">
        <v>1652</v>
      </c>
      <c r="E602" s="1801" t="s">
        <v>1986</v>
      </c>
      <c r="F602" s="4">
        <v>1</v>
      </c>
      <c r="G602" s="21">
        <v>496.8</v>
      </c>
      <c r="H602" s="21">
        <v>518.41</v>
      </c>
      <c r="I602" s="21">
        <f>SUM(H602-G602)</f>
        <v>21.609999999999957</v>
      </c>
      <c r="J602" s="616">
        <v>360000</v>
      </c>
      <c r="K602" s="696">
        <f>J602*I602*F602</f>
        <v>7779599.9999999842</v>
      </c>
      <c r="L602" s="22"/>
      <c r="M602" s="22"/>
      <c r="N602" s="72"/>
      <c r="O602" s="9"/>
    </row>
    <row r="603" spans="1:15" ht="15.5" x14ac:dyDescent="0.35">
      <c r="A603" s="11">
        <v>6</v>
      </c>
      <c r="B603" s="100" t="s">
        <v>1987</v>
      </c>
      <c r="C603" s="52">
        <v>33</v>
      </c>
      <c r="D603" s="1727" t="s">
        <v>527</v>
      </c>
      <c r="E603" s="1801" t="s">
        <v>1988</v>
      </c>
      <c r="F603" s="4">
        <v>1</v>
      </c>
      <c r="G603" s="21">
        <v>369.5</v>
      </c>
      <c r="H603" s="21">
        <v>380.73</v>
      </c>
      <c r="I603" s="21">
        <f>SUM(H603-G603)</f>
        <v>11.230000000000018</v>
      </c>
      <c r="J603" s="616">
        <v>360000</v>
      </c>
      <c r="K603" s="696">
        <f>J603*I603*F603</f>
        <v>4042800.0000000065</v>
      </c>
      <c r="L603" s="22"/>
      <c r="M603" s="22"/>
      <c r="N603" s="72"/>
      <c r="O603" s="9"/>
    </row>
    <row r="604" spans="1:15" ht="15.5" x14ac:dyDescent="0.35">
      <c r="A604" s="631"/>
      <c r="B604" s="100"/>
      <c r="C604" s="52">
        <v>33</v>
      </c>
      <c r="D604" s="1728" t="s">
        <v>1652</v>
      </c>
      <c r="E604" s="1801" t="s">
        <v>1989</v>
      </c>
      <c r="F604" s="4">
        <v>1</v>
      </c>
      <c r="G604" s="21">
        <v>369.64</v>
      </c>
      <c r="H604" s="21">
        <v>380.87</v>
      </c>
      <c r="I604" s="21">
        <f>SUM(H604-G604)</f>
        <v>11.230000000000018</v>
      </c>
      <c r="J604" s="616">
        <v>360000</v>
      </c>
      <c r="K604" s="696">
        <f>J604*I604*F604</f>
        <v>4042800.0000000065</v>
      </c>
      <c r="L604" s="22"/>
      <c r="M604" s="22"/>
      <c r="N604" s="72"/>
      <c r="O604" s="616"/>
    </row>
    <row r="605" spans="1:15" ht="15.5" x14ac:dyDescent="0.35">
      <c r="A605" s="631"/>
      <c r="B605" s="102"/>
      <c r="C605" s="91"/>
      <c r="D605" s="726"/>
      <c r="E605" s="1814"/>
      <c r="F605" s="47"/>
      <c r="G605" s="48"/>
      <c r="H605" s="48"/>
      <c r="I605" s="48"/>
      <c r="J605" s="96" t="s">
        <v>30</v>
      </c>
      <c r="K605" s="43">
        <f>K604+K602</f>
        <v>11822399.999999991</v>
      </c>
      <c r="L605" s="43">
        <f>SUM(L601:L604)</f>
        <v>0</v>
      </c>
      <c r="M605" s="43">
        <f>SUM(M601:M604)</f>
        <v>0</v>
      </c>
      <c r="N605" s="646"/>
      <c r="O605" s="616"/>
    </row>
    <row r="606" spans="1:15" ht="15.5" x14ac:dyDescent="0.35">
      <c r="A606" s="616"/>
      <c r="B606" s="624" t="s">
        <v>2492</v>
      </c>
      <c r="C606" s="625"/>
      <c r="D606" s="625"/>
      <c r="E606" s="1794"/>
      <c r="F606" s="625"/>
      <c r="G606" s="625"/>
      <c r="H606" s="625"/>
      <c r="I606" s="625"/>
      <c r="J606" s="732"/>
      <c r="K606" s="733"/>
      <c r="L606" s="734"/>
      <c r="M606" s="734"/>
      <c r="N606" s="1972"/>
      <c r="O606" s="12"/>
    </row>
    <row r="607" spans="1:15" ht="15.65" customHeight="1" x14ac:dyDescent="0.35">
      <c r="A607" s="616">
        <v>8</v>
      </c>
      <c r="B607" s="100" t="s">
        <v>1990</v>
      </c>
      <c r="C607" s="52">
        <v>33</v>
      </c>
      <c r="D607" s="1770" t="s">
        <v>324</v>
      </c>
      <c r="E607" s="1801" t="s">
        <v>1991</v>
      </c>
      <c r="F607" s="4">
        <v>1</v>
      </c>
      <c r="G607" s="21">
        <v>950039.8</v>
      </c>
      <c r="H607" s="21">
        <v>982506.2</v>
      </c>
      <c r="I607" s="20">
        <f>H607-G607</f>
        <v>32466.399999999907</v>
      </c>
      <c r="J607" s="616">
        <v>240</v>
      </c>
      <c r="K607" s="696">
        <f>F607*I607*J607</f>
        <v>7791935.9999999776</v>
      </c>
      <c r="L607" s="22"/>
      <c r="M607" s="22"/>
      <c r="N607" s="72"/>
      <c r="O607" s="12"/>
    </row>
    <row r="608" spans="1:15" ht="15.65" customHeight="1" x14ac:dyDescent="0.35">
      <c r="A608" s="616">
        <v>9</v>
      </c>
      <c r="B608" s="100" t="s">
        <v>1992</v>
      </c>
      <c r="C608" s="52">
        <v>33</v>
      </c>
      <c r="D608" s="1771" t="s">
        <v>324</v>
      </c>
      <c r="E608" s="1801" t="s">
        <v>1993</v>
      </c>
      <c r="F608" s="4">
        <v>1</v>
      </c>
      <c r="G608" s="21">
        <v>213.45840000000001</v>
      </c>
      <c r="H608" s="21">
        <v>224.82230000000001</v>
      </c>
      <c r="I608" s="20">
        <f>H608-G608</f>
        <v>11.363900000000001</v>
      </c>
      <c r="J608" s="616">
        <v>360000</v>
      </c>
      <c r="K608" s="696">
        <f>F608*I608*J608</f>
        <v>4091004.0000000005</v>
      </c>
      <c r="L608" s="22"/>
      <c r="M608" s="22"/>
      <c r="N608" s="72"/>
      <c r="O608" s="12"/>
    </row>
    <row r="609" spans="1:15" ht="15.5" x14ac:dyDescent="0.35">
      <c r="A609" s="616"/>
      <c r="B609" s="102"/>
      <c r="C609" s="91"/>
      <c r="D609" s="726"/>
      <c r="E609" s="1814"/>
      <c r="F609" s="47"/>
      <c r="G609" s="48"/>
      <c r="H609" s="48"/>
      <c r="I609" s="36"/>
      <c r="J609" s="96" t="s">
        <v>30</v>
      </c>
      <c r="K609" s="43">
        <f>SUM(K607:K608)</f>
        <v>11882939.999999978</v>
      </c>
      <c r="L609" s="43">
        <f>SUM(L607:L608)</f>
        <v>0</v>
      </c>
      <c r="M609" s="43">
        <f>SUM(M607:M608)</f>
        <v>0</v>
      </c>
      <c r="N609" s="1973"/>
      <c r="O609" s="12"/>
    </row>
    <row r="610" spans="1:15" ht="15.5" x14ac:dyDescent="0.35">
      <c r="A610" s="616"/>
      <c r="B610" s="647" t="s">
        <v>2493</v>
      </c>
      <c r="C610" s="648"/>
      <c r="D610" s="648"/>
      <c r="E610" s="1800"/>
      <c r="F610" s="648"/>
      <c r="G610" s="648"/>
      <c r="H610" s="648"/>
      <c r="I610" s="648"/>
      <c r="J610" s="648"/>
      <c r="K610" s="700"/>
      <c r="L610" s="648"/>
      <c r="M610" s="651"/>
      <c r="N610" s="1971"/>
      <c r="O610" s="8"/>
    </row>
    <row r="611" spans="1:15" ht="15.5" x14ac:dyDescent="0.35">
      <c r="A611" s="616"/>
      <c r="B611" s="100" t="s">
        <v>1079</v>
      </c>
      <c r="C611" s="52">
        <v>132</v>
      </c>
      <c r="D611" s="2138" t="s">
        <v>1083</v>
      </c>
      <c r="E611" s="1818"/>
      <c r="F611" s="4"/>
      <c r="G611" s="5"/>
      <c r="H611" s="5"/>
      <c r="I611" s="5"/>
      <c r="J611" s="616"/>
      <c r="K611" s="696"/>
      <c r="L611" s="16">
        <f>J611*I611*F611</f>
        <v>0</v>
      </c>
      <c r="M611" s="7"/>
      <c r="N611" s="1428"/>
      <c r="O611" s="616"/>
    </row>
    <row r="612" spans="1:15" ht="15.5" x14ac:dyDescent="0.35">
      <c r="A612" s="616"/>
      <c r="B612" s="100" t="s">
        <v>1078</v>
      </c>
      <c r="C612" s="52">
        <v>132</v>
      </c>
      <c r="D612" s="2139"/>
      <c r="E612" s="1818"/>
      <c r="F612" s="4"/>
      <c r="G612" s="5"/>
      <c r="H612" s="5"/>
      <c r="I612" s="5"/>
      <c r="J612" s="616"/>
      <c r="K612" s="696"/>
      <c r="L612" s="16">
        <f>J612*I612*F612</f>
        <v>0</v>
      </c>
      <c r="M612" s="16"/>
      <c r="N612" s="711"/>
      <c r="O612" s="616"/>
    </row>
    <row r="613" spans="1:15" ht="15.5" x14ac:dyDescent="0.35">
      <c r="A613" s="616"/>
      <c r="B613" s="95"/>
      <c r="C613" s="89"/>
      <c r="D613" s="89"/>
      <c r="E613" s="1784"/>
      <c r="F613" s="37"/>
      <c r="G613" s="37"/>
      <c r="H613" s="37"/>
      <c r="I613" s="37"/>
      <c r="J613" s="95" t="s">
        <v>279</v>
      </c>
      <c r="K613" s="699"/>
      <c r="L613" s="55">
        <f>SUM(L611:L612)</f>
        <v>0</v>
      </c>
      <c r="M613" s="633"/>
      <c r="N613" s="1921"/>
      <c r="O613" s="616"/>
    </row>
    <row r="614" spans="1:15" ht="15.5" x14ac:dyDescent="0.35">
      <c r="A614" s="616"/>
      <c r="B614" s="102"/>
      <c r="C614" s="91"/>
      <c r="D614" s="726"/>
      <c r="E614" s="1814"/>
      <c r="F614" s="47"/>
      <c r="G614" s="48"/>
      <c r="H614" s="48"/>
      <c r="I614" s="36"/>
      <c r="J614" s="96"/>
      <c r="K614" s="706"/>
      <c r="L614" s="43"/>
      <c r="M614" s="43"/>
      <c r="N614" s="1973"/>
      <c r="O614" s="12"/>
    </row>
    <row r="615" spans="1:15" ht="15.5" x14ac:dyDescent="0.35">
      <c r="A615" s="636"/>
      <c r="B615" s="647" t="s">
        <v>2494</v>
      </c>
      <c r="C615" s="648"/>
      <c r="D615" s="648"/>
      <c r="E615" s="1800"/>
      <c r="F615" s="648"/>
      <c r="G615" s="648"/>
      <c r="H615" s="648"/>
      <c r="I615" s="648"/>
      <c r="J615" s="50"/>
      <c r="K615" s="710"/>
      <c r="L615" s="51"/>
      <c r="M615" s="51"/>
      <c r="N615" s="1971"/>
      <c r="O615" s="12"/>
    </row>
    <row r="616" spans="1:15" ht="15.5" x14ac:dyDescent="0.35">
      <c r="A616" s="616">
        <v>12</v>
      </c>
      <c r="B616" s="100" t="s">
        <v>1732</v>
      </c>
      <c r="C616" s="52">
        <v>33</v>
      </c>
      <c r="D616" s="2140" t="s">
        <v>324</v>
      </c>
      <c r="E616" s="1801" t="s">
        <v>1994</v>
      </c>
      <c r="F616" s="4">
        <v>1</v>
      </c>
      <c r="G616" s="21">
        <v>734768.8</v>
      </c>
      <c r="H616" s="21">
        <v>755039.9</v>
      </c>
      <c r="I616" s="21">
        <f>H616-G616</f>
        <v>20271.099999999977</v>
      </c>
      <c r="J616" s="31">
        <v>240</v>
      </c>
      <c r="K616" s="707" t="s">
        <v>1995</v>
      </c>
      <c r="L616" s="22">
        <f>F616*I616*J616</f>
        <v>4865063.9999999944</v>
      </c>
      <c r="M616" s="22"/>
      <c r="N616" s="99"/>
      <c r="O616" s="12"/>
    </row>
    <row r="617" spans="1:15" ht="15.5" x14ac:dyDescent="0.35">
      <c r="A617" s="616">
        <v>13</v>
      </c>
      <c r="B617" s="100" t="s">
        <v>1996</v>
      </c>
      <c r="C617" s="52">
        <v>33</v>
      </c>
      <c r="D617" s="2157" t="s">
        <v>324</v>
      </c>
      <c r="E617" s="1801" t="s">
        <v>1997</v>
      </c>
      <c r="F617" s="4">
        <v>1</v>
      </c>
      <c r="G617" s="21">
        <v>413214.2</v>
      </c>
      <c r="H617" s="21">
        <v>425399.6</v>
      </c>
      <c r="I617" s="21">
        <f>H617-G617</f>
        <v>12185.399999999965</v>
      </c>
      <c r="J617" s="31">
        <v>240</v>
      </c>
      <c r="K617" s="707"/>
      <c r="L617" s="22">
        <f>F617*I617*J617</f>
        <v>2924495.9999999916</v>
      </c>
      <c r="M617" s="22"/>
      <c r="N617" s="99"/>
      <c r="O617" s="12"/>
    </row>
    <row r="618" spans="1:15" ht="15" x14ac:dyDescent="0.35">
      <c r="A618" s="636"/>
      <c r="B618" s="96"/>
      <c r="C618" s="90"/>
      <c r="D618" s="90"/>
      <c r="E618" s="1785"/>
      <c r="F618" s="38"/>
      <c r="G618" s="38"/>
      <c r="H618" s="38"/>
      <c r="I618" s="38"/>
      <c r="J618" s="96" t="s">
        <v>30</v>
      </c>
      <c r="K618" s="708"/>
      <c r="L618" s="43">
        <f>SUM(L616:L617)</f>
        <v>7789559.999999986</v>
      </c>
      <c r="M618" s="43">
        <f>SUM(M616:M617)</f>
        <v>0</v>
      </c>
      <c r="N618" s="650"/>
      <c r="O618" s="12"/>
    </row>
    <row r="619" spans="1:15" ht="15.5" thickBot="1" x14ac:dyDescent="0.4">
      <c r="A619" s="702"/>
      <c r="B619" s="736"/>
      <c r="C619" s="92"/>
      <c r="D619" s="92"/>
      <c r="E619" s="1786"/>
      <c r="F619" s="737"/>
      <c r="G619" s="737"/>
      <c r="H619" s="737"/>
      <c r="I619" s="737"/>
      <c r="J619" s="736"/>
      <c r="K619" s="738"/>
      <c r="L619" s="739"/>
      <c r="M619" s="739"/>
      <c r="N619" s="646"/>
      <c r="O619" s="740"/>
    </row>
    <row r="620" spans="1:15" ht="15" x14ac:dyDescent="0.35">
      <c r="A620" s="702"/>
      <c r="B620" s="2142" t="s">
        <v>1090</v>
      </c>
      <c r="C620" s="2143"/>
      <c r="D620" s="683" t="s">
        <v>14</v>
      </c>
      <c r="F620" s="2144" t="s">
        <v>1091</v>
      </c>
      <c r="G620" s="2145"/>
      <c r="H620" s="2146"/>
      <c r="I620" s="683" t="s">
        <v>14</v>
      </c>
      <c r="J620" s="620"/>
      <c r="K620" s="2147" t="s">
        <v>1092</v>
      </c>
      <c r="L620" s="2148"/>
      <c r="M620" s="684" t="s">
        <v>14</v>
      </c>
      <c r="N620" s="646"/>
      <c r="O620" s="740"/>
    </row>
    <row r="621" spans="1:15" ht="15" x14ac:dyDescent="0.35">
      <c r="A621" s="702"/>
      <c r="B621" s="2122" t="str">
        <f>B600</f>
        <v>33 KV SENDING SIDE</v>
      </c>
      <c r="C621" s="2123"/>
      <c r="D621" s="689">
        <f>K605</f>
        <v>11822399.999999991</v>
      </c>
      <c r="F621" s="2124" t="s">
        <v>1093</v>
      </c>
      <c r="G621" s="2125"/>
      <c r="H621" s="2126"/>
      <c r="I621" s="685">
        <f>L613</f>
        <v>0</v>
      </c>
      <c r="J621" s="620"/>
      <c r="K621" s="2160" t="str">
        <f>F622</f>
        <v>MOGBAZAR T&amp;T 33 KV NET IMPORT</v>
      </c>
      <c r="L621" s="2161"/>
      <c r="M621" s="687">
        <f>I622</f>
        <v>11822399.999999991</v>
      </c>
      <c r="N621" s="646"/>
      <c r="O621" s="740"/>
    </row>
    <row r="622" spans="1:15" ht="15" x14ac:dyDescent="0.35">
      <c r="A622" s="702"/>
      <c r="B622" s="2122" t="s">
        <v>1116</v>
      </c>
      <c r="C622" s="2123"/>
      <c r="D622" s="741"/>
      <c r="F622" s="2124" t="s">
        <v>1119</v>
      </c>
      <c r="G622" s="2125"/>
      <c r="H622" s="2126"/>
      <c r="I622" s="685">
        <f>D625-I621</f>
        <v>11822399.999999991</v>
      </c>
      <c r="J622" s="620"/>
      <c r="K622" s="2162" t="s">
        <v>1120</v>
      </c>
      <c r="L622" s="2163"/>
      <c r="M622" s="685">
        <f>M662</f>
        <v>0</v>
      </c>
      <c r="N622" s="646"/>
      <c r="O622" s="740"/>
    </row>
    <row r="623" spans="1:15" ht="15" x14ac:dyDescent="0.35">
      <c r="A623" s="702"/>
      <c r="B623" s="2122" t="s">
        <v>1117</v>
      </c>
      <c r="C623" s="2123"/>
      <c r="D623" s="721"/>
      <c r="F623" s="2124" t="s">
        <v>1089</v>
      </c>
      <c r="G623" s="2125"/>
      <c r="H623" s="2126"/>
      <c r="I623" s="685">
        <f>I621+I622</f>
        <v>11822399.999999991</v>
      </c>
      <c r="J623" s="620"/>
      <c r="K623" s="2127" t="s">
        <v>284</v>
      </c>
      <c r="L623" s="2128"/>
      <c r="M623" s="685">
        <f>M621-M622</f>
        <v>11822399.999999991</v>
      </c>
      <c r="N623" s="646"/>
      <c r="O623" s="740"/>
    </row>
    <row r="624" spans="1:15" ht="16" thickBot="1" x14ac:dyDescent="0.4">
      <c r="A624" s="702"/>
      <c r="B624" s="2122" t="s">
        <v>1118</v>
      </c>
      <c r="C624" s="2123"/>
      <c r="D624" s="722"/>
      <c r="F624" s="2113" t="s">
        <v>1102</v>
      </c>
      <c r="G624" s="2114"/>
      <c r="H624" s="2115"/>
      <c r="I624" s="690">
        <f>(D625-I623)/I623</f>
        <v>0</v>
      </c>
      <c r="J624" s="620"/>
      <c r="K624" s="2134" t="s">
        <v>285</v>
      </c>
      <c r="L624" s="2135"/>
      <c r="M624" s="688">
        <f>M623/M621</f>
        <v>1</v>
      </c>
      <c r="N624" s="646"/>
      <c r="O624" s="740"/>
    </row>
    <row r="625" spans="1:15" ht="15.5" thickBot="1" x14ac:dyDescent="0.4">
      <c r="A625" s="702"/>
      <c r="B625" s="2158" t="s">
        <v>1082</v>
      </c>
      <c r="C625" s="2159"/>
      <c r="D625" s="686">
        <f>SUM(D621:D623)</f>
        <v>11822399.999999991</v>
      </c>
      <c r="F625" s="620"/>
      <c r="G625" s="620"/>
      <c r="H625" s="620"/>
      <c r="I625" s="620"/>
      <c r="J625" s="620"/>
      <c r="K625" s="702"/>
      <c r="L625" s="620"/>
      <c r="M625" s="620"/>
      <c r="N625" s="646"/>
      <c r="O625" s="740"/>
    </row>
    <row r="626" spans="1:15" ht="15" x14ac:dyDescent="0.35">
      <c r="A626" s="702"/>
      <c r="B626" s="736"/>
      <c r="C626" s="92"/>
      <c r="D626" s="92"/>
      <c r="E626" s="1786"/>
      <c r="F626" s="737"/>
      <c r="G626" s="737"/>
      <c r="H626" s="737"/>
      <c r="I626" s="737"/>
      <c r="J626" s="736"/>
      <c r="K626" s="738"/>
      <c r="L626" s="739"/>
      <c r="M626" s="739"/>
      <c r="N626" s="646"/>
      <c r="O626" s="740"/>
    </row>
    <row r="627" spans="1:15" x14ac:dyDescent="0.35">
      <c r="A627" s="620"/>
      <c r="B627" s="632"/>
      <c r="C627" s="620"/>
      <c r="D627" s="728"/>
      <c r="E627" s="1820"/>
      <c r="F627" s="620"/>
      <c r="G627" s="620"/>
      <c r="H627" s="620"/>
      <c r="I627" s="620"/>
      <c r="J627" s="620"/>
      <c r="K627" s="702"/>
      <c r="L627" s="620"/>
      <c r="M627" s="620"/>
      <c r="N627" s="702"/>
      <c r="O627" s="620"/>
    </row>
    <row r="628" spans="1:15" x14ac:dyDescent="0.35">
      <c r="A628" s="620"/>
      <c r="B628" s="632"/>
      <c r="C628" s="620"/>
      <c r="D628" s="728"/>
      <c r="E628" s="1820"/>
      <c r="F628" s="620"/>
      <c r="G628" s="620"/>
      <c r="H628" s="620"/>
      <c r="I628" s="620"/>
      <c r="J628" s="620"/>
      <c r="K628" s="702"/>
      <c r="L628" s="620"/>
      <c r="M628" s="620"/>
      <c r="N628" s="702"/>
      <c r="O628" s="620"/>
    </row>
    <row r="629" spans="1:15" ht="25" x14ac:dyDescent="0.35">
      <c r="A629" s="2095" t="s">
        <v>1193</v>
      </c>
      <c r="B629" s="2095"/>
      <c r="C629" s="2095"/>
      <c r="D629" s="2095"/>
      <c r="E629" s="2095"/>
      <c r="F629" s="2095"/>
      <c r="G629" s="2095"/>
      <c r="H629" s="2095"/>
      <c r="I629" s="2095"/>
      <c r="J629" s="2095"/>
      <c r="K629" s="2095"/>
      <c r="L629" s="2095"/>
      <c r="M629" s="2095"/>
      <c r="N629" s="2095"/>
      <c r="O629" s="756" t="str">
        <f>$O$6</f>
        <v>Month December-2022</v>
      </c>
    </row>
    <row r="630" spans="1:15" ht="15.5" x14ac:dyDescent="0.35">
      <c r="A630" s="2096" t="s">
        <v>0</v>
      </c>
      <c r="B630" s="2098" t="s">
        <v>1</v>
      </c>
      <c r="C630" s="2100" t="s">
        <v>2</v>
      </c>
      <c r="D630" s="2101"/>
      <c r="E630" s="2102"/>
      <c r="F630" s="2103" t="s">
        <v>3</v>
      </c>
      <c r="G630" s="2100" t="s">
        <v>4</v>
      </c>
      <c r="H630" s="2102"/>
      <c r="I630" s="2085"/>
      <c r="J630" s="2103" t="s">
        <v>5</v>
      </c>
      <c r="K630" s="2100" t="s">
        <v>6</v>
      </c>
      <c r="L630" s="2085"/>
      <c r="M630" s="97" t="s">
        <v>32</v>
      </c>
      <c r="N630" s="98"/>
      <c r="O630" s="2084" t="s">
        <v>7</v>
      </c>
    </row>
    <row r="631" spans="1:15" ht="15.5" x14ac:dyDescent="0.35">
      <c r="A631" s="2097"/>
      <c r="B631" s="2099"/>
      <c r="C631" s="2086" t="s">
        <v>1108</v>
      </c>
      <c r="D631" s="2087"/>
      <c r="E631" s="1810" t="s">
        <v>9</v>
      </c>
      <c r="F631" s="2097"/>
      <c r="G631" s="2">
        <f>'NORTH-1'!$G$8</f>
        <v>44774</v>
      </c>
      <c r="H631" s="2">
        <f>'NORTH-1'!$H$8</f>
        <v>44805</v>
      </c>
      <c r="I631" s="1" t="s">
        <v>10</v>
      </c>
      <c r="J631" s="2097"/>
      <c r="K631" s="1" t="s">
        <v>11</v>
      </c>
      <c r="L631" s="1" t="s">
        <v>12</v>
      </c>
      <c r="M631" s="617" t="s">
        <v>33</v>
      </c>
      <c r="N631" s="76" t="s">
        <v>47</v>
      </c>
      <c r="O631" s="2085"/>
    </row>
    <row r="632" spans="1:15" ht="15.5" x14ac:dyDescent="0.35">
      <c r="A632" s="3">
        <v>1</v>
      </c>
      <c r="B632" s="88">
        <v>2</v>
      </c>
      <c r="C632" s="2088">
        <v>4</v>
      </c>
      <c r="D632" s="2089"/>
      <c r="E632" s="1811">
        <v>5</v>
      </c>
      <c r="F632" s="3">
        <v>7</v>
      </c>
      <c r="G632" s="3">
        <v>8</v>
      </c>
      <c r="H632" s="3">
        <v>9</v>
      </c>
      <c r="I632" s="3" t="s">
        <v>13</v>
      </c>
      <c r="J632" s="3">
        <v>11</v>
      </c>
      <c r="K632" s="3" t="s">
        <v>19</v>
      </c>
      <c r="L632" s="3" t="s">
        <v>20</v>
      </c>
      <c r="M632" s="3">
        <v>14</v>
      </c>
      <c r="N632" s="77">
        <v>15</v>
      </c>
      <c r="O632" s="3">
        <v>16</v>
      </c>
    </row>
    <row r="633" spans="1:15" ht="15.5" x14ac:dyDescent="0.35">
      <c r="A633" s="631"/>
      <c r="B633" s="624" t="s">
        <v>4664</v>
      </c>
      <c r="C633" s="625"/>
      <c r="D633" s="625"/>
      <c r="E633" s="1794"/>
      <c r="F633" s="625"/>
      <c r="G633" s="625"/>
      <c r="H633" s="625"/>
      <c r="I633" s="625"/>
      <c r="J633" s="625"/>
      <c r="K633" s="695"/>
      <c r="L633" s="625"/>
      <c r="M633" s="626"/>
      <c r="N633" s="1972"/>
      <c r="O633" s="616"/>
    </row>
    <row r="634" spans="1:15" ht="15.5" x14ac:dyDescent="0.35">
      <c r="A634" s="631">
        <v>21</v>
      </c>
      <c r="B634" s="100" t="s">
        <v>2011</v>
      </c>
      <c r="C634" s="52">
        <v>11</v>
      </c>
      <c r="D634" s="1770" t="s">
        <v>1699</v>
      </c>
      <c r="E634" s="1801" t="s">
        <v>2012</v>
      </c>
      <c r="F634" s="4">
        <v>1</v>
      </c>
      <c r="G634" s="21">
        <v>872681.1</v>
      </c>
      <c r="H634" s="21">
        <v>898315.4</v>
      </c>
      <c r="I634" s="21">
        <f>H634-G634</f>
        <v>25634.300000000047</v>
      </c>
      <c r="J634" s="616">
        <v>180</v>
      </c>
      <c r="K634" s="696">
        <f>F634*I634*J634</f>
        <v>4614174.0000000084</v>
      </c>
      <c r="L634" s="22"/>
      <c r="M634" s="22"/>
      <c r="N634" s="72"/>
      <c r="O634" s="616"/>
    </row>
    <row r="635" spans="1:15" ht="15.5" x14ac:dyDescent="0.35">
      <c r="A635" s="631">
        <v>22</v>
      </c>
      <c r="B635" s="100" t="s">
        <v>2013</v>
      </c>
      <c r="C635" s="52">
        <v>11</v>
      </c>
      <c r="D635" s="1771" t="s">
        <v>1699</v>
      </c>
      <c r="E635" s="1801" t="s">
        <v>2014</v>
      </c>
      <c r="F635" s="4">
        <v>1</v>
      </c>
      <c r="G635" s="21">
        <v>269578.2</v>
      </c>
      <c r="H635" s="21">
        <v>286086.7</v>
      </c>
      <c r="I635" s="21">
        <f>H635-G635</f>
        <v>16508.5</v>
      </c>
      <c r="J635" s="616">
        <v>180</v>
      </c>
      <c r="K635" s="696">
        <f>F635*I635*J635</f>
        <v>2971530</v>
      </c>
      <c r="L635" s="22"/>
      <c r="M635" s="22"/>
      <c r="N635" s="72"/>
      <c r="O635" s="616"/>
    </row>
    <row r="636" spans="1:15" ht="15.5" x14ac:dyDescent="0.35">
      <c r="A636" s="631">
        <v>31</v>
      </c>
      <c r="B636" s="100" t="s">
        <v>2031</v>
      </c>
      <c r="C636" s="52">
        <v>11</v>
      </c>
      <c r="D636" s="1771" t="s">
        <v>1699</v>
      </c>
      <c r="E636" s="1801" t="s">
        <v>2032</v>
      </c>
      <c r="F636" s="4">
        <v>1.1000000000000001</v>
      </c>
      <c r="G636" s="21">
        <v>281947.3</v>
      </c>
      <c r="H636" s="21">
        <v>302615.7</v>
      </c>
      <c r="I636" s="21">
        <f>H636-G636</f>
        <v>20668.400000000023</v>
      </c>
      <c r="J636" s="616">
        <v>180</v>
      </c>
      <c r="K636" s="696">
        <f>F636*I636*J636</f>
        <v>4092343.2000000048</v>
      </c>
      <c r="L636" s="22"/>
      <c r="M636" s="22"/>
      <c r="N636" s="72"/>
      <c r="O636" s="616"/>
    </row>
    <row r="637" spans="1:15" ht="15.5" x14ac:dyDescent="0.35">
      <c r="A637" s="631">
        <v>32</v>
      </c>
      <c r="B637" s="100" t="s">
        <v>2033</v>
      </c>
      <c r="C637" s="52">
        <v>11</v>
      </c>
      <c r="D637" s="1772" t="s">
        <v>1699</v>
      </c>
      <c r="E637" s="1801" t="s">
        <v>2034</v>
      </c>
      <c r="F637" s="4">
        <v>1</v>
      </c>
      <c r="G637" s="21">
        <v>833559.1</v>
      </c>
      <c r="H637" s="21">
        <v>833559.1</v>
      </c>
      <c r="I637" s="21">
        <f>H637-G637</f>
        <v>0</v>
      </c>
      <c r="J637" s="616">
        <v>90</v>
      </c>
      <c r="K637" s="696">
        <f>F637*I637*J637</f>
        <v>0</v>
      </c>
      <c r="L637" s="22"/>
      <c r="M637" s="22"/>
      <c r="N637" s="72"/>
      <c r="O637" s="616"/>
    </row>
    <row r="638" spans="1:15" ht="15.5" x14ac:dyDescent="0.35">
      <c r="A638" s="631"/>
      <c r="B638" s="102"/>
      <c r="C638" s="91"/>
      <c r="D638" s="726"/>
      <c r="E638" s="1814"/>
      <c r="F638" s="47"/>
      <c r="G638" s="48"/>
      <c r="H638" s="48"/>
      <c r="I638" s="48"/>
      <c r="J638" s="39" t="s">
        <v>30</v>
      </c>
      <c r="K638" s="708">
        <f>SUM(K634:K637)</f>
        <v>11678047.200000014</v>
      </c>
      <c r="L638" s="49"/>
      <c r="M638" s="43">
        <f>SUM(M634:M637)</f>
        <v>0</v>
      </c>
      <c r="N638" s="1973"/>
      <c r="O638" s="616"/>
    </row>
    <row r="639" spans="1:15" ht="15.5" x14ac:dyDescent="0.35">
      <c r="A639" s="631"/>
      <c r="B639" s="647" t="s">
        <v>4664</v>
      </c>
      <c r="C639" s="648"/>
      <c r="D639" s="648"/>
      <c r="E639" s="1800"/>
      <c r="F639" s="648"/>
      <c r="G639" s="648"/>
      <c r="H639" s="648"/>
      <c r="I639" s="648"/>
      <c r="J639" s="50"/>
      <c r="K639" s="710"/>
      <c r="L639" s="51"/>
      <c r="M639" s="51"/>
      <c r="N639" s="1971"/>
      <c r="O639" s="616"/>
    </row>
    <row r="640" spans="1:15" ht="16.5" customHeight="1" x14ac:dyDescent="0.35">
      <c r="A640" s="631">
        <v>14</v>
      </c>
      <c r="B640" s="100" t="s">
        <v>1998</v>
      </c>
      <c r="C640" s="73">
        <v>11</v>
      </c>
      <c r="D640" s="2167" t="s">
        <v>1699</v>
      </c>
      <c r="E640" s="1801"/>
      <c r="F640" s="32">
        <v>1</v>
      </c>
      <c r="G640" s="6">
        <v>71151668</v>
      </c>
      <c r="H640" s="6">
        <v>71764201</v>
      </c>
      <c r="I640" s="20">
        <f t="shared" ref="I640:I656" si="23">H640-G640</f>
        <v>612533</v>
      </c>
      <c r="J640" s="616">
        <v>1</v>
      </c>
      <c r="K640" s="703"/>
      <c r="L640" s="22">
        <f t="shared" ref="L640:L654" si="24">I640*F640*J640</f>
        <v>612533</v>
      </c>
      <c r="M640" s="22"/>
      <c r="N640" s="72" t="s">
        <v>94</v>
      </c>
      <c r="O640" s="15"/>
    </row>
    <row r="641" spans="1:15" ht="16.5" customHeight="1" x14ac:dyDescent="0.35">
      <c r="A641" s="631">
        <v>15</v>
      </c>
      <c r="B641" s="100" t="s">
        <v>1999</v>
      </c>
      <c r="C641" s="73">
        <v>11</v>
      </c>
      <c r="D641" s="2168" t="s">
        <v>1699</v>
      </c>
      <c r="E641" s="1801" t="s">
        <v>2000</v>
      </c>
      <c r="F641" s="32">
        <v>1</v>
      </c>
      <c r="G641" s="6">
        <v>81809788</v>
      </c>
      <c r="H641" s="6">
        <v>82628968</v>
      </c>
      <c r="I641" s="20">
        <f t="shared" si="23"/>
        <v>819180</v>
      </c>
      <c r="J641" s="616">
        <v>1</v>
      </c>
      <c r="K641" s="703"/>
      <c r="L641" s="22">
        <f t="shared" si="24"/>
        <v>819180</v>
      </c>
      <c r="M641" s="22"/>
      <c r="N641" s="72" t="s">
        <v>94</v>
      </c>
      <c r="O641" s="15"/>
    </row>
    <row r="642" spans="1:15" ht="16.5" customHeight="1" x14ac:dyDescent="0.35">
      <c r="A642" s="631">
        <v>16</v>
      </c>
      <c r="B642" s="100" t="s">
        <v>2001</v>
      </c>
      <c r="C642" s="73">
        <v>11</v>
      </c>
      <c r="D642" s="2168" t="s">
        <v>1699</v>
      </c>
      <c r="E642" s="1801" t="s">
        <v>2002</v>
      </c>
      <c r="F642" s="32">
        <v>1</v>
      </c>
      <c r="G642" s="6">
        <v>950100.1</v>
      </c>
      <c r="H642" s="6">
        <v>967097.7</v>
      </c>
      <c r="I642" s="20">
        <f t="shared" si="23"/>
        <v>16997.599999999977</v>
      </c>
      <c r="J642" s="616">
        <v>60</v>
      </c>
      <c r="K642" s="703"/>
      <c r="L642" s="22">
        <f t="shared" si="24"/>
        <v>1019855.9999999986</v>
      </c>
      <c r="M642" s="22"/>
      <c r="N642" s="72" t="s">
        <v>104</v>
      </c>
      <c r="O642" s="15"/>
    </row>
    <row r="643" spans="1:15" ht="16.5" customHeight="1" x14ac:dyDescent="0.35">
      <c r="A643" s="631">
        <v>17</v>
      </c>
      <c r="B643" s="100" t="s">
        <v>2003</v>
      </c>
      <c r="C643" s="73">
        <v>11</v>
      </c>
      <c r="D643" s="2168" t="s">
        <v>1699</v>
      </c>
      <c r="E643" s="1801" t="s">
        <v>2004</v>
      </c>
      <c r="F643" s="32">
        <v>1</v>
      </c>
      <c r="G643" s="6">
        <v>115800.1</v>
      </c>
      <c r="H643" s="6">
        <v>115800.8</v>
      </c>
      <c r="I643" s="20">
        <f t="shared" si="23"/>
        <v>0.69999999999708962</v>
      </c>
      <c r="J643" s="616">
        <v>60</v>
      </c>
      <c r="K643" s="703"/>
      <c r="L643" s="22">
        <f t="shared" si="24"/>
        <v>41.999999999825377</v>
      </c>
      <c r="M643" s="22"/>
      <c r="N643" s="72" t="s">
        <v>104</v>
      </c>
      <c r="O643" s="15"/>
    </row>
    <row r="644" spans="1:15" ht="16.5" customHeight="1" x14ac:dyDescent="0.35">
      <c r="A644" s="631">
        <v>18</v>
      </c>
      <c r="B644" s="100" t="s">
        <v>2005</v>
      </c>
      <c r="C644" s="73">
        <v>11</v>
      </c>
      <c r="D644" s="2168" t="s">
        <v>1699</v>
      </c>
      <c r="E644" s="1801" t="s">
        <v>2006</v>
      </c>
      <c r="F644" s="32">
        <v>1</v>
      </c>
      <c r="G644" s="6">
        <v>198749.2</v>
      </c>
      <c r="H644" s="6">
        <v>209082.4</v>
      </c>
      <c r="I644" s="20">
        <f t="shared" si="23"/>
        <v>10333.199999999983</v>
      </c>
      <c r="J644" s="616">
        <v>60</v>
      </c>
      <c r="K644" s="703"/>
      <c r="L644" s="22">
        <f t="shared" si="24"/>
        <v>619991.99999999895</v>
      </c>
      <c r="M644" s="22"/>
      <c r="N644" s="72" t="s">
        <v>104</v>
      </c>
      <c r="O644" s="15"/>
    </row>
    <row r="645" spans="1:15" ht="16.5" customHeight="1" x14ac:dyDescent="0.35">
      <c r="A645" s="631">
        <v>19</v>
      </c>
      <c r="B645" s="100" t="s">
        <v>2007</v>
      </c>
      <c r="C645" s="73">
        <v>11</v>
      </c>
      <c r="D645" s="2168" t="s">
        <v>1699</v>
      </c>
      <c r="E645" s="1801" t="s">
        <v>2008</v>
      </c>
      <c r="F645" s="32">
        <v>1</v>
      </c>
      <c r="G645" s="6">
        <v>759270.3</v>
      </c>
      <c r="H645" s="6">
        <v>779902.8</v>
      </c>
      <c r="I645" s="20">
        <f t="shared" si="23"/>
        <v>20632.5</v>
      </c>
      <c r="J645" s="616">
        <v>60</v>
      </c>
      <c r="K645" s="703"/>
      <c r="L645" s="22">
        <f t="shared" si="24"/>
        <v>1237950</v>
      </c>
      <c r="M645" s="22"/>
      <c r="N645" s="72" t="s">
        <v>104</v>
      </c>
      <c r="O645" s="15"/>
    </row>
    <row r="646" spans="1:15" ht="16.5" customHeight="1" x14ac:dyDescent="0.35">
      <c r="A646" s="631">
        <v>20</v>
      </c>
      <c r="B646" s="100" t="s">
        <v>2009</v>
      </c>
      <c r="C646" s="73">
        <v>11</v>
      </c>
      <c r="D646" s="2168" t="s">
        <v>1699</v>
      </c>
      <c r="E646" s="1801" t="s">
        <v>2010</v>
      </c>
      <c r="F646" s="32">
        <v>1</v>
      </c>
      <c r="G646" s="6">
        <v>976797.4</v>
      </c>
      <c r="H646" s="6">
        <v>986344.3</v>
      </c>
      <c r="I646" s="20">
        <f t="shared" si="23"/>
        <v>9546.9000000000233</v>
      </c>
      <c r="J646" s="616">
        <v>60</v>
      </c>
      <c r="K646" s="703"/>
      <c r="L646" s="22">
        <f t="shared" si="24"/>
        <v>572814.0000000014</v>
      </c>
      <c r="M646" s="22"/>
      <c r="N646" s="72" t="s">
        <v>104</v>
      </c>
      <c r="O646" s="15"/>
    </row>
    <row r="647" spans="1:15" ht="16.5" customHeight="1" x14ac:dyDescent="0.35">
      <c r="A647" s="631">
        <v>23</v>
      </c>
      <c r="B647" s="100" t="s">
        <v>2015</v>
      </c>
      <c r="C647" s="73">
        <v>11</v>
      </c>
      <c r="D647" s="2168" t="s">
        <v>1699</v>
      </c>
      <c r="E647" s="1801" t="s">
        <v>2016</v>
      </c>
      <c r="F647" s="32">
        <v>1</v>
      </c>
      <c r="G647" s="6">
        <v>519030.5</v>
      </c>
      <c r="H647" s="6">
        <v>529098.6</v>
      </c>
      <c r="I647" s="20">
        <f t="shared" si="23"/>
        <v>10068.099999999977</v>
      </c>
      <c r="J647" s="616">
        <v>60</v>
      </c>
      <c r="K647" s="703"/>
      <c r="L647" s="22">
        <f t="shared" si="24"/>
        <v>604085.9999999986</v>
      </c>
      <c r="M647" s="22"/>
      <c r="N647" s="72" t="s">
        <v>104</v>
      </c>
      <c r="O647" s="15"/>
    </row>
    <row r="648" spans="1:15" ht="16.5" customHeight="1" x14ac:dyDescent="0.35">
      <c r="A648" s="631">
        <v>24</v>
      </c>
      <c r="B648" s="100" t="s">
        <v>2017</v>
      </c>
      <c r="C648" s="73">
        <v>11</v>
      </c>
      <c r="D648" s="2168" t="s">
        <v>1699</v>
      </c>
      <c r="E648" s="1801" t="s">
        <v>2018</v>
      </c>
      <c r="F648" s="32">
        <v>1</v>
      </c>
      <c r="G648" s="6">
        <v>363927.6</v>
      </c>
      <c r="H648" s="6">
        <v>383607.6</v>
      </c>
      <c r="I648" s="20">
        <f t="shared" si="23"/>
        <v>19680</v>
      </c>
      <c r="J648" s="616">
        <v>60</v>
      </c>
      <c r="K648" s="703"/>
      <c r="L648" s="22">
        <f t="shared" si="24"/>
        <v>1180800</v>
      </c>
      <c r="M648" s="22"/>
      <c r="N648" s="72" t="s">
        <v>104</v>
      </c>
      <c r="O648" s="15"/>
    </row>
    <row r="649" spans="1:15" ht="16.5" customHeight="1" x14ac:dyDescent="0.35">
      <c r="A649" s="631">
        <v>25</v>
      </c>
      <c r="B649" s="100" t="s">
        <v>2019</v>
      </c>
      <c r="C649" s="73">
        <v>11</v>
      </c>
      <c r="D649" s="2168" t="s">
        <v>1699</v>
      </c>
      <c r="E649" s="1801" t="s">
        <v>2020</v>
      </c>
      <c r="F649" s="32">
        <v>1</v>
      </c>
      <c r="G649" s="6">
        <v>802820.7</v>
      </c>
      <c r="H649" s="6">
        <v>811561.4</v>
      </c>
      <c r="I649" s="20">
        <f t="shared" si="23"/>
        <v>8740.7000000000698</v>
      </c>
      <c r="J649" s="616">
        <v>60</v>
      </c>
      <c r="K649" s="703"/>
      <c r="L649" s="22">
        <f t="shared" si="24"/>
        <v>524442.00000000419</v>
      </c>
      <c r="M649" s="22"/>
      <c r="N649" s="72" t="s">
        <v>104</v>
      </c>
      <c r="O649" s="15"/>
    </row>
    <row r="650" spans="1:15" ht="16.5" customHeight="1" x14ac:dyDescent="0.35">
      <c r="A650" s="631">
        <v>26</v>
      </c>
      <c r="B650" s="100" t="s">
        <v>2021</v>
      </c>
      <c r="C650" s="73">
        <v>11</v>
      </c>
      <c r="D650" s="2168" t="s">
        <v>1699</v>
      </c>
      <c r="E650" s="1801" t="s">
        <v>2022</v>
      </c>
      <c r="F650" s="32">
        <v>1</v>
      </c>
      <c r="G650" s="6">
        <v>443166.8</v>
      </c>
      <c r="H650" s="6">
        <v>452585.2</v>
      </c>
      <c r="I650" s="20">
        <f t="shared" si="23"/>
        <v>9418.4000000000233</v>
      </c>
      <c r="J650" s="616">
        <v>60</v>
      </c>
      <c r="K650" s="703"/>
      <c r="L650" s="22">
        <f t="shared" si="24"/>
        <v>565104.0000000014</v>
      </c>
      <c r="M650" s="22"/>
      <c r="N650" s="72" t="s">
        <v>104</v>
      </c>
      <c r="O650" s="15"/>
    </row>
    <row r="651" spans="1:15" ht="16.5" customHeight="1" x14ac:dyDescent="0.35">
      <c r="A651" s="631">
        <v>27</v>
      </c>
      <c r="B651" s="100" t="s">
        <v>2023</v>
      </c>
      <c r="C651" s="73">
        <v>11</v>
      </c>
      <c r="D651" s="2168" t="s">
        <v>1699</v>
      </c>
      <c r="E651" s="1801" t="s">
        <v>2024</v>
      </c>
      <c r="F651" s="32">
        <v>1</v>
      </c>
      <c r="G651" s="6">
        <v>95719038</v>
      </c>
      <c r="H651" s="6">
        <v>96159693</v>
      </c>
      <c r="I651" s="20">
        <f t="shared" si="23"/>
        <v>440655</v>
      </c>
      <c r="J651" s="616">
        <v>1</v>
      </c>
      <c r="K651" s="703"/>
      <c r="L651" s="22">
        <f t="shared" si="24"/>
        <v>440655</v>
      </c>
      <c r="M651" s="22"/>
      <c r="N651" s="72" t="s">
        <v>117</v>
      </c>
      <c r="O651" s="15"/>
    </row>
    <row r="652" spans="1:15" ht="16.5" customHeight="1" x14ac:dyDescent="0.35">
      <c r="A652" s="631">
        <v>28</v>
      </c>
      <c r="B652" s="100" t="s">
        <v>2025</v>
      </c>
      <c r="C652" s="73">
        <v>11</v>
      </c>
      <c r="D652" s="2168" t="s">
        <v>1699</v>
      </c>
      <c r="E652" s="1801" t="s">
        <v>2026</v>
      </c>
      <c r="F652" s="32">
        <v>1</v>
      </c>
      <c r="G652" s="6">
        <v>22727356</v>
      </c>
      <c r="H652" s="6">
        <v>22941937</v>
      </c>
      <c r="I652" s="20">
        <f t="shared" si="23"/>
        <v>214581</v>
      </c>
      <c r="J652" s="616">
        <v>1</v>
      </c>
      <c r="K652" s="703"/>
      <c r="L652" s="22">
        <f t="shared" si="24"/>
        <v>214581</v>
      </c>
      <c r="M652" s="22"/>
      <c r="N652" s="72" t="s">
        <v>117</v>
      </c>
      <c r="O652" s="15"/>
    </row>
    <row r="653" spans="1:15" ht="16.5" customHeight="1" x14ac:dyDescent="0.35">
      <c r="A653" s="631">
        <v>29</v>
      </c>
      <c r="B653" s="100" t="s">
        <v>2027</v>
      </c>
      <c r="C653" s="73">
        <v>11</v>
      </c>
      <c r="D653" s="2168" t="s">
        <v>1699</v>
      </c>
      <c r="E653" s="1801" t="s">
        <v>2028</v>
      </c>
      <c r="F653" s="32">
        <v>1</v>
      </c>
      <c r="G653" s="6">
        <v>11911988</v>
      </c>
      <c r="H653" s="6">
        <v>12179480</v>
      </c>
      <c r="I653" s="20">
        <f t="shared" si="23"/>
        <v>267492</v>
      </c>
      <c r="J653" s="616">
        <v>1</v>
      </c>
      <c r="K653" s="703"/>
      <c r="L653" s="22">
        <f t="shared" si="24"/>
        <v>267492</v>
      </c>
      <c r="M653" s="22"/>
      <c r="N653" s="72" t="s">
        <v>117</v>
      </c>
      <c r="O653" s="15"/>
    </row>
    <row r="654" spans="1:15" ht="16.5" customHeight="1" x14ac:dyDescent="0.35">
      <c r="A654" s="631">
        <v>30</v>
      </c>
      <c r="B654" s="100" t="s">
        <v>2029</v>
      </c>
      <c r="C654" s="73">
        <v>11</v>
      </c>
      <c r="D654" s="2168" t="s">
        <v>1699</v>
      </c>
      <c r="E654" s="1801" t="s">
        <v>2030</v>
      </c>
      <c r="F654" s="32">
        <v>1</v>
      </c>
      <c r="G654" s="6">
        <v>78709899</v>
      </c>
      <c r="H654" s="6">
        <v>78709899</v>
      </c>
      <c r="I654" s="20">
        <f t="shared" si="23"/>
        <v>0</v>
      </c>
      <c r="J654" s="616">
        <v>1</v>
      </c>
      <c r="K654" s="703"/>
      <c r="L654" s="22">
        <f t="shared" si="24"/>
        <v>0</v>
      </c>
      <c r="M654" s="22"/>
      <c r="N654" s="72" t="s">
        <v>104</v>
      </c>
      <c r="O654" s="15"/>
    </row>
    <row r="655" spans="1:15" ht="16.5" customHeight="1" x14ac:dyDescent="0.35">
      <c r="A655" s="631">
        <v>33</v>
      </c>
      <c r="B655" s="100" t="s">
        <v>2035</v>
      </c>
      <c r="C655" s="73">
        <v>11</v>
      </c>
      <c r="D655" s="2168" t="s">
        <v>1699</v>
      </c>
      <c r="E655" s="1801" t="s">
        <v>2036</v>
      </c>
      <c r="F655" s="32">
        <v>1</v>
      </c>
      <c r="G655" s="6">
        <v>24527028</v>
      </c>
      <c r="H655" s="6">
        <v>24819311</v>
      </c>
      <c r="I655" s="20">
        <f t="shared" si="23"/>
        <v>292283</v>
      </c>
      <c r="J655" s="616">
        <v>1</v>
      </c>
      <c r="K655" s="703"/>
      <c r="L655" s="22">
        <f>I655*F655*J655</f>
        <v>292283</v>
      </c>
      <c r="M655" s="22"/>
      <c r="N655" s="72" t="s">
        <v>104</v>
      </c>
      <c r="O655" s="15"/>
    </row>
    <row r="656" spans="1:15" ht="16.5" customHeight="1" x14ac:dyDescent="0.35">
      <c r="A656" s="631">
        <v>34</v>
      </c>
      <c r="B656" s="100" t="s">
        <v>2037</v>
      </c>
      <c r="C656" s="73">
        <v>11</v>
      </c>
      <c r="D656" s="2168" t="s">
        <v>1699</v>
      </c>
      <c r="E656" s="1801" t="s">
        <v>2038</v>
      </c>
      <c r="F656" s="32">
        <v>1</v>
      </c>
      <c r="G656" s="6">
        <v>97157689</v>
      </c>
      <c r="H656" s="6">
        <v>98999649</v>
      </c>
      <c r="I656" s="20">
        <f t="shared" si="23"/>
        <v>1841960</v>
      </c>
      <c r="J656" s="616">
        <v>1</v>
      </c>
      <c r="K656" s="703"/>
      <c r="L656" s="22">
        <f>I656*F656*J656</f>
        <v>1841960</v>
      </c>
      <c r="M656" s="22"/>
      <c r="N656" s="72" t="s">
        <v>104</v>
      </c>
      <c r="O656" s="15"/>
    </row>
    <row r="657" spans="1:15" ht="16.5" customHeight="1" x14ac:dyDescent="0.35">
      <c r="A657" s="631">
        <v>35</v>
      </c>
      <c r="B657" s="100" t="s">
        <v>2039</v>
      </c>
      <c r="C657" s="73">
        <v>11</v>
      </c>
      <c r="D657" s="2168" t="s">
        <v>1699</v>
      </c>
      <c r="E657" s="1801" t="s">
        <v>2040</v>
      </c>
      <c r="F657" s="32">
        <v>1</v>
      </c>
      <c r="G657" s="6"/>
      <c r="H657" s="6"/>
      <c r="I657" s="20">
        <v>0</v>
      </c>
      <c r="J657" s="616">
        <v>1</v>
      </c>
      <c r="K657" s="703"/>
      <c r="L657" s="22">
        <f>I657*F657*J657</f>
        <v>0</v>
      </c>
      <c r="M657" s="22"/>
      <c r="N657" s="72" t="s">
        <v>104</v>
      </c>
      <c r="O657" s="15"/>
    </row>
    <row r="658" spans="1:15" ht="16.5" customHeight="1" x14ac:dyDescent="0.35">
      <c r="A658" s="631"/>
      <c r="B658" s="100"/>
      <c r="C658" s="73">
        <v>11</v>
      </c>
      <c r="D658" s="2168" t="s">
        <v>2041</v>
      </c>
      <c r="E658" s="1801" t="s">
        <v>2042</v>
      </c>
      <c r="F658" s="32">
        <v>1</v>
      </c>
      <c r="G658" s="6"/>
      <c r="H658" s="6"/>
      <c r="I658" s="20">
        <v>0</v>
      </c>
      <c r="J658" s="616">
        <v>1</v>
      </c>
      <c r="K658" s="703"/>
      <c r="L658" s="22"/>
      <c r="M658" s="22"/>
      <c r="N658" s="72" t="s">
        <v>104</v>
      </c>
      <c r="O658" s="15"/>
    </row>
    <row r="659" spans="1:15" ht="16.5" customHeight="1" x14ac:dyDescent="0.35">
      <c r="A659" s="631">
        <v>36</v>
      </c>
      <c r="B659" s="100" t="s">
        <v>2043</v>
      </c>
      <c r="C659" s="73">
        <v>11</v>
      </c>
      <c r="D659" s="2168" t="s">
        <v>1699</v>
      </c>
      <c r="E659" s="1801" t="s">
        <v>2044</v>
      </c>
      <c r="F659" s="32">
        <v>1</v>
      </c>
      <c r="G659" s="6">
        <v>92711699</v>
      </c>
      <c r="H659" s="6">
        <v>93739023</v>
      </c>
      <c r="I659" s="20">
        <f>H659-G659</f>
        <v>1027324</v>
      </c>
      <c r="J659" s="616">
        <v>1</v>
      </c>
      <c r="K659" s="703"/>
      <c r="L659" s="22">
        <f>I659*F659*J659</f>
        <v>1027324</v>
      </c>
      <c r="M659" s="22"/>
      <c r="N659" s="72" t="s">
        <v>104</v>
      </c>
      <c r="O659" s="15"/>
    </row>
    <row r="660" spans="1:15" ht="16.5" customHeight="1" x14ac:dyDescent="0.35">
      <c r="A660" s="631">
        <v>37</v>
      </c>
      <c r="B660" s="100" t="s">
        <v>2045</v>
      </c>
      <c r="C660" s="73">
        <v>11</v>
      </c>
      <c r="D660" s="2168" t="s">
        <v>1699</v>
      </c>
      <c r="E660" s="1801" t="s">
        <v>2046</v>
      </c>
      <c r="F660" s="32">
        <v>1</v>
      </c>
      <c r="G660" s="6"/>
      <c r="H660" s="6"/>
      <c r="I660" s="20">
        <f>H660-G660</f>
        <v>0</v>
      </c>
      <c r="J660" s="616">
        <v>1</v>
      </c>
      <c r="K660" s="703"/>
      <c r="L660" s="22">
        <f>I660*F660*J660</f>
        <v>0</v>
      </c>
      <c r="M660" s="22"/>
      <c r="N660" s="72" t="s">
        <v>104</v>
      </c>
      <c r="O660" s="15"/>
    </row>
    <row r="661" spans="1:15" ht="16.5" customHeight="1" x14ac:dyDescent="0.35">
      <c r="A661" s="631">
        <v>38</v>
      </c>
      <c r="B661" s="100" t="s">
        <v>2047</v>
      </c>
      <c r="C661" s="73">
        <v>11</v>
      </c>
      <c r="D661" s="2169"/>
      <c r="E661" s="1801" t="s">
        <v>2048</v>
      </c>
      <c r="F661" s="32">
        <v>1</v>
      </c>
      <c r="G661" s="6">
        <v>223454</v>
      </c>
      <c r="H661" s="6">
        <v>223454</v>
      </c>
      <c r="I661" s="20">
        <f>H661-G661</f>
        <v>0</v>
      </c>
      <c r="J661" s="616">
        <v>1</v>
      </c>
      <c r="K661" s="703">
        <f>F661*I661*J661</f>
        <v>0</v>
      </c>
      <c r="L661" s="22"/>
      <c r="M661" s="22"/>
      <c r="N661" s="72" t="s">
        <v>104</v>
      </c>
      <c r="O661" s="15"/>
    </row>
    <row r="662" spans="1:15" ht="28" x14ac:dyDescent="0.35">
      <c r="A662" s="636"/>
      <c r="B662" s="96"/>
      <c r="C662" s="90"/>
      <c r="D662" s="90"/>
      <c r="E662" s="1785"/>
      <c r="F662" s="38"/>
      <c r="G662" s="38"/>
      <c r="H662" s="38"/>
      <c r="I662" s="38"/>
      <c r="J662" s="53" t="s">
        <v>44</v>
      </c>
      <c r="K662" s="43">
        <f>M638</f>
        <v>0</v>
      </c>
      <c r="L662" s="43">
        <f>SUM(L640:L661)</f>
        <v>11841094.000000004</v>
      </c>
      <c r="M662" s="43">
        <f>SUM(M640:M661)</f>
        <v>0</v>
      </c>
      <c r="N662" s="84">
        <f>(M662-L662)/L662*100</f>
        <v>-100</v>
      </c>
      <c r="O662" s="29"/>
    </row>
    <row r="664" spans="1:15" ht="15" x14ac:dyDescent="0.35">
      <c r="A664" s="620"/>
      <c r="B664" s="635"/>
      <c r="C664" s="632"/>
      <c r="D664" s="720"/>
      <c r="F664" s="2092" t="s">
        <v>1099</v>
      </c>
      <c r="G664" s="2092"/>
      <c r="H664" s="2092"/>
      <c r="I664" s="677" t="s">
        <v>14</v>
      </c>
      <c r="J664" s="620"/>
      <c r="K664" s="702"/>
      <c r="L664" s="620"/>
      <c r="M664" s="620"/>
      <c r="N664" s="635"/>
      <c r="O664" s="620"/>
    </row>
    <row r="665" spans="1:15" ht="15.5" x14ac:dyDescent="0.35">
      <c r="A665" s="620"/>
      <c r="B665" s="635"/>
      <c r="C665" s="632"/>
      <c r="D665" s="720"/>
      <c r="F665" s="2153" t="s">
        <v>232</v>
      </c>
      <c r="G665" s="2154"/>
      <c r="H665" s="2155"/>
      <c r="I665" s="643">
        <f>SUM(M640:M652,M655)</f>
        <v>0</v>
      </c>
      <c r="J665" s="620"/>
      <c r="K665" s="702"/>
      <c r="L665" s="620"/>
      <c r="M665" s="620"/>
      <c r="N665" s="635"/>
      <c r="O665" s="620" t="s">
        <v>237</v>
      </c>
    </row>
    <row r="666" spans="1:15" ht="15.5" x14ac:dyDescent="0.35">
      <c r="A666" s="620"/>
      <c r="B666" s="635"/>
      <c r="C666" s="632"/>
      <c r="D666" s="720"/>
      <c r="F666" s="2153" t="s">
        <v>268</v>
      </c>
      <c r="G666" s="2154"/>
      <c r="H666" s="2155"/>
      <c r="I666" s="643">
        <f>SUM(M653:M654,M656,M658,M659,M661)</f>
        <v>0</v>
      </c>
      <c r="J666" s="620"/>
      <c r="K666" s="702"/>
      <c r="L666" s="620"/>
      <c r="M666" s="620"/>
      <c r="N666" s="635"/>
      <c r="O666" s="620"/>
    </row>
    <row r="667" spans="1:15" ht="16" thickBot="1" x14ac:dyDescent="0.4">
      <c r="A667" s="620"/>
      <c r="B667" s="635"/>
      <c r="C667" s="632"/>
      <c r="D667" s="720"/>
      <c r="F667" s="2153" t="s">
        <v>269</v>
      </c>
      <c r="G667" s="2154"/>
      <c r="H667" s="2155"/>
      <c r="I667" s="643">
        <f>SUM(M657,M660)</f>
        <v>0</v>
      </c>
      <c r="J667" s="620"/>
      <c r="K667" s="702"/>
      <c r="L667" s="620"/>
      <c r="M667" s="620"/>
      <c r="N667" s="635"/>
      <c r="O667" s="620"/>
    </row>
    <row r="668" spans="1:15" ht="20.5" thickBot="1" x14ac:dyDescent="0.4">
      <c r="A668" s="620"/>
      <c r="B668" s="635"/>
      <c r="C668" s="632"/>
      <c r="D668" s="720"/>
      <c r="E668" s="1788"/>
      <c r="F668" s="2156" t="s">
        <v>210</v>
      </c>
      <c r="G668" s="2156"/>
      <c r="H668" s="2156"/>
      <c r="I668" s="656">
        <f>SUM(I665:I667)</f>
        <v>0</v>
      </c>
      <c r="J668" s="682">
        <f>I668-M662</f>
        <v>0</v>
      </c>
      <c r="K668" s="702"/>
      <c r="L668" s="620"/>
      <c r="M668" s="620"/>
      <c r="N668" s="635"/>
      <c r="O668" s="620"/>
    </row>
    <row r="680" spans="1:15" x14ac:dyDescent="0.35">
      <c r="A680" s="620"/>
      <c r="B680" s="635"/>
      <c r="C680" s="632"/>
      <c r="D680" s="720"/>
      <c r="E680" s="1788"/>
      <c r="F680" s="620"/>
      <c r="G680" s="620"/>
      <c r="H680" s="620"/>
      <c r="I680" s="620"/>
      <c r="J680" s="620"/>
      <c r="K680" s="702"/>
      <c r="L680" s="620"/>
      <c r="M680" s="620"/>
      <c r="N680" s="635"/>
      <c r="O680" s="620"/>
    </row>
    <row r="681" spans="1:15" x14ac:dyDescent="0.35">
      <c r="A681" s="620"/>
      <c r="B681" s="635"/>
      <c r="C681" s="632"/>
      <c r="D681" s="720"/>
      <c r="E681" s="1788"/>
      <c r="F681" s="620"/>
      <c r="G681" s="620"/>
      <c r="H681" s="620"/>
      <c r="I681" s="620"/>
      <c r="J681" s="620"/>
      <c r="K681" s="702"/>
      <c r="L681" s="620"/>
      <c r="M681" s="620"/>
      <c r="N681" s="635"/>
      <c r="O681" s="620"/>
    </row>
    <row r="682" spans="1:15" ht="25" x14ac:dyDescent="0.35">
      <c r="A682" s="46"/>
      <c r="B682" s="2152"/>
      <c r="C682" s="2152"/>
      <c r="D682" s="2152"/>
      <c r="E682" s="2152"/>
      <c r="F682" s="2152"/>
      <c r="G682" s="2152"/>
      <c r="H682" s="2152"/>
      <c r="I682" s="2152"/>
      <c r="J682" s="2152"/>
      <c r="K682" s="2152"/>
      <c r="L682" s="2152"/>
      <c r="M682" s="2152"/>
      <c r="N682" s="1967"/>
      <c r="O682" s="28"/>
    </row>
    <row r="683" spans="1:15" x14ac:dyDescent="0.35">
      <c r="A683" s="620"/>
      <c r="B683" s="635"/>
      <c r="C683" s="632"/>
      <c r="D683" s="720"/>
      <c r="E683" s="1788"/>
      <c r="F683" s="620"/>
      <c r="G683" s="620"/>
      <c r="H683" s="620"/>
      <c r="I683" s="620"/>
      <c r="J683" s="620"/>
      <c r="K683" s="702"/>
      <c r="L683" s="620"/>
      <c r="M683" s="620"/>
      <c r="N683" s="635"/>
      <c r="O683" s="620"/>
    </row>
    <row r="684" spans="1:15" x14ac:dyDescent="0.35">
      <c r="A684" s="620"/>
      <c r="B684" s="635"/>
      <c r="C684" s="632"/>
      <c r="D684" s="720"/>
      <c r="E684" s="1788"/>
      <c r="F684" s="620"/>
      <c r="G684" s="620"/>
      <c r="H684" s="620"/>
      <c r="I684" s="620"/>
      <c r="J684" s="620"/>
      <c r="K684" s="702"/>
      <c r="L684" s="620"/>
      <c r="M684" s="620"/>
      <c r="N684" s="635"/>
      <c r="O684" s="620"/>
    </row>
    <row r="685" spans="1:15" ht="25" x14ac:dyDescent="0.35">
      <c r="A685" s="2095" t="s">
        <v>2495</v>
      </c>
      <c r="B685" s="2095"/>
      <c r="C685" s="2095"/>
      <c r="D685" s="2095"/>
      <c r="E685" s="2095"/>
      <c r="F685" s="2095"/>
      <c r="G685" s="2095"/>
      <c r="H685" s="2095"/>
      <c r="I685" s="2095"/>
      <c r="J685" s="2095"/>
      <c r="K685" s="2095"/>
      <c r="L685" s="2095"/>
      <c r="M685" s="2095"/>
      <c r="N685" s="2095"/>
      <c r="O685" s="756" t="e">
        <f>#REF!</f>
        <v>#REF!</v>
      </c>
    </row>
    <row r="686" spans="1:15" ht="15.5" x14ac:dyDescent="0.35">
      <c r="A686" s="2096" t="s">
        <v>0</v>
      </c>
      <c r="B686" s="2098" t="s">
        <v>1</v>
      </c>
      <c r="C686" s="2100" t="s">
        <v>2</v>
      </c>
      <c r="D686" s="2101"/>
      <c r="E686" s="2102"/>
      <c r="F686" s="2103" t="s">
        <v>3</v>
      </c>
      <c r="G686" s="2100" t="s">
        <v>4</v>
      </c>
      <c r="H686" s="2102"/>
      <c r="I686" s="2085"/>
      <c r="J686" s="2103" t="s">
        <v>5</v>
      </c>
      <c r="K686" s="2100" t="s">
        <v>6</v>
      </c>
      <c r="L686" s="2102"/>
      <c r="M686" s="97" t="s">
        <v>1088</v>
      </c>
      <c r="N686" s="98"/>
      <c r="O686" s="2084" t="s">
        <v>7</v>
      </c>
    </row>
    <row r="687" spans="1:15" ht="15.5" x14ac:dyDescent="0.35">
      <c r="A687" s="2097"/>
      <c r="B687" s="2099"/>
      <c r="C687" s="2086" t="s">
        <v>1108</v>
      </c>
      <c r="D687" s="2087"/>
      <c r="E687" s="1810" t="s">
        <v>9</v>
      </c>
      <c r="F687" s="2097"/>
      <c r="G687" s="2">
        <f>'NORTH-1'!$G$8</f>
        <v>44774</v>
      </c>
      <c r="H687" s="2">
        <f>'NORTH-1'!$H$8</f>
        <v>44805</v>
      </c>
      <c r="I687" s="1" t="s">
        <v>10</v>
      </c>
      <c r="J687" s="2097"/>
      <c r="K687" s="1" t="s">
        <v>11</v>
      </c>
      <c r="L687" s="1" t="s">
        <v>12</v>
      </c>
      <c r="M687" s="617" t="s">
        <v>33</v>
      </c>
      <c r="N687" s="76" t="s">
        <v>47</v>
      </c>
      <c r="O687" s="2085"/>
    </row>
    <row r="688" spans="1:15" ht="15.5" x14ac:dyDescent="0.35">
      <c r="A688" s="3">
        <v>1</v>
      </c>
      <c r="B688" s="88">
        <v>2</v>
      </c>
      <c r="C688" s="2088">
        <v>4</v>
      </c>
      <c r="D688" s="2089"/>
      <c r="E688" s="1811">
        <v>5</v>
      </c>
      <c r="F688" s="3">
        <v>7</v>
      </c>
      <c r="G688" s="3">
        <v>8</v>
      </c>
      <c r="H688" s="3">
        <v>9</v>
      </c>
      <c r="I688" s="3" t="s">
        <v>13</v>
      </c>
      <c r="J688" s="3">
        <v>11</v>
      </c>
      <c r="K688" s="3" t="s">
        <v>19</v>
      </c>
      <c r="L688" s="3" t="s">
        <v>20</v>
      </c>
      <c r="M688" s="3">
        <v>14</v>
      </c>
      <c r="N688" s="77">
        <v>15</v>
      </c>
      <c r="O688" s="3">
        <v>16</v>
      </c>
    </row>
    <row r="689" spans="1:15" ht="15.5" x14ac:dyDescent="0.35">
      <c r="A689" s="11"/>
      <c r="B689" s="624" t="s">
        <v>2466</v>
      </c>
      <c r="C689" s="625"/>
      <c r="D689" s="625"/>
      <c r="E689" s="1834"/>
      <c r="F689" s="625"/>
      <c r="G689" s="625"/>
      <c r="H689" s="625"/>
      <c r="I689" s="625"/>
      <c r="J689" s="625"/>
      <c r="K689" s="695"/>
      <c r="L689" s="625"/>
      <c r="M689" s="626"/>
      <c r="N689" s="1972"/>
      <c r="O689" s="8"/>
    </row>
    <row r="690" spans="1:15" ht="15.65" customHeight="1" x14ac:dyDescent="0.35">
      <c r="A690" s="631">
        <v>1</v>
      </c>
      <c r="B690" s="100" t="s">
        <v>2049</v>
      </c>
      <c r="C690" s="52">
        <v>132</v>
      </c>
      <c r="D690" s="735" t="s">
        <v>326</v>
      </c>
      <c r="E690" s="1835" t="s">
        <v>2050</v>
      </c>
      <c r="F690" s="4">
        <v>1</v>
      </c>
      <c r="G690" s="5">
        <v>119.01</v>
      </c>
      <c r="H690" s="5">
        <v>124.41</v>
      </c>
      <c r="I690" s="5">
        <f t="shared" ref="I690:I705" si="25">H690-G690</f>
        <v>5.3999999999999915</v>
      </c>
      <c r="J690" s="616">
        <v>1200000</v>
      </c>
      <c r="K690" s="696"/>
      <c r="L690" s="7">
        <f>F690*I690*J690</f>
        <v>6479999.9999999898</v>
      </c>
      <c r="M690" s="7"/>
      <c r="N690" s="1428"/>
      <c r="O690" s="616"/>
    </row>
    <row r="691" spans="1:15" ht="15.5" x14ac:dyDescent="0.35">
      <c r="A691" s="631"/>
      <c r="B691" s="100"/>
      <c r="C691" s="52">
        <v>132</v>
      </c>
      <c r="D691" s="735"/>
      <c r="E691" s="1836" t="s">
        <v>2051</v>
      </c>
      <c r="F691" s="4">
        <v>1</v>
      </c>
      <c r="G691" s="5">
        <v>119</v>
      </c>
      <c r="H691" s="5">
        <v>124.41</v>
      </c>
      <c r="I691" s="5">
        <f t="shared" si="25"/>
        <v>5.4099999999999966</v>
      </c>
      <c r="J691" s="616">
        <v>1200000</v>
      </c>
      <c r="K691" s="696"/>
      <c r="L691" s="7">
        <f>F691*I691*J691</f>
        <v>6491999.9999999963</v>
      </c>
      <c r="M691" s="7"/>
      <c r="N691" s="1428"/>
      <c r="O691" s="616"/>
    </row>
    <row r="692" spans="1:15" ht="15.5" x14ac:dyDescent="0.35">
      <c r="A692" s="631"/>
      <c r="B692" s="100"/>
      <c r="C692" s="52">
        <v>132</v>
      </c>
      <c r="D692" s="735" t="s">
        <v>339</v>
      </c>
      <c r="E692" s="1836" t="s">
        <v>2050</v>
      </c>
      <c r="F692" s="4">
        <v>1</v>
      </c>
      <c r="G692" s="5">
        <v>104.8</v>
      </c>
      <c r="H692" s="5">
        <v>105.46</v>
      </c>
      <c r="I692" s="5">
        <f t="shared" si="25"/>
        <v>0.65999999999999659</v>
      </c>
      <c r="J692" s="616">
        <v>1200000</v>
      </c>
      <c r="K692" s="696">
        <f>F692*I692*J692</f>
        <v>791999.99999999593</v>
      </c>
      <c r="L692" s="7"/>
      <c r="M692" s="7"/>
      <c r="N692" s="1428"/>
      <c r="O692" s="616"/>
    </row>
    <row r="693" spans="1:15" ht="15.5" x14ac:dyDescent="0.35">
      <c r="A693" s="631"/>
      <c r="B693" s="100"/>
      <c r="C693" s="52">
        <v>132</v>
      </c>
      <c r="D693" s="735"/>
      <c r="E693" s="1836" t="s">
        <v>2051</v>
      </c>
      <c r="F693" s="4">
        <v>1</v>
      </c>
      <c r="G693" s="5">
        <v>104.79</v>
      </c>
      <c r="H693" s="5">
        <v>105.44</v>
      </c>
      <c r="I693" s="5">
        <f t="shared" si="25"/>
        <v>0.64999999999999147</v>
      </c>
      <c r="J693" s="616">
        <v>1200000</v>
      </c>
      <c r="K693" s="696">
        <f>F693*I693*J693</f>
        <v>779999.99999998976</v>
      </c>
      <c r="L693" s="7"/>
      <c r="M693" s="7"/>
      <c r="N693" s="1428"/>
      <c r="O693" s="616"/>
    </row>
    <row r="694" spans="1:15" ht="15.5" x14ac:dyDescent="0.35">
      <c r="A694" s="631">
        <v>3</v>
      </c>
      <c r="B694" s="100" t="s">
        <v>2055</v>
      </c>
      <c r="C694" s="52">
        <v>132</v>
      </c>
      <c r="D694" s="735" t="s">
        <v>326</v>
      </c>
      <c r="E694" s="1836" t="s">
        <v>2056</v>
      </c>
      <c r="F694" s="4">
        <v>1</v>
      </c>
      <c r="G694" s="5">
        <v>27.45</v>
      </c>
      <c r="H694" s="5">
        <v>27.58</v>
      </c>
      <c r="I694" s="5">
        <f t="shared" si="25"/>
        <v>0.12999999999999901</v>
      </c>
      <c r="J694" s="616">
        <v>1200000</v>
      </c>
      <c r="K694" s="696"/>
      <c r="L694" s="7">
        <f>I694*J694</f>
        <v>155999.99999999881</v>
      </c>
      <c r="M694" s="7"/>
      <c r="N694" s="1428"/>
      <c r="O694" s="616"/>
    </row>
    <row r="695" spans="1:15" ht="15.5" x14ac:dyDescent="0.35">
      <c r="A695" s="631"/>
      <c r="B695" s="100"/>
      <c r="C695" s="52">
        <v>132</v>
      </c>
      <c r="D695" s="735"/>
      <c r="E695" s="1836" t="s">
        <v>2057</v>
      </c>
      <c r="F695" s="4">
        <v>1</v>
      </c>
      <c r="G695" s="5">
        <v>27.45</v>
      </c>
      <c r="H695" s="5">
        <v>27.59</v>
      </c>
      <c r="I695" s="5">
        <f t="shared" si="25"/>
        <v>0.14000000000000057</v>
      </c>
      <c r="J695" s="616">
        <v>1200000</v>
      </c>
      <c r="K695" s="696"/>
      <c r="L695" s="7">
        <f>F695*I695*J695</f>
        <v>168000.00000000067</v>
      </c>
      <c r="M695" s="7"/>
      <c r="N695" s="1428"/>
      <c r="O695" s="616"/>
    </row>
    <row r="696" spans="1:15" ht="15.5" x14ac:dyDescent="0.35">
      <c r="A696" s="631"/>
      <c r="B696" s="100"/>
      <c r="C696" s="52">
        <v>132</v>
      </c>
      <c r="D696" s="735" t="s">
        <v>339</v>
      </c>
      <c r="E696" s="1836" t="s">
        <v>2056</v>
      </c>
      <c r="F696" s="4">
        <v>1</v>
      </c>
      <c r="G696" s="5">
        <v>647.29999999999995</v>
      </c>
      <c r="H696" s="5">
        <v>677.24</v>
      </c>
      <c r="I696" s="5">
        <f t="shared" si="25"/>
        <v>29.940000000000055</v>
      </c>
      <c r="J696" s="616">
        <v>1200000</v>
      </c>
      <c r="K696" s="696">
        <f>F696*I696*J696</f>
        <v>35928000.000000067</v>
      </c>
      <c r="L696" s="7"/>
      <c r="M696" s="7"/>
      <c r="N696" s="1428"/>
      <c r="O696" s="616"/>
    </row>
    <row r="697" spans="1:15" ht="15.5" x14ac:dyDescent="0.35">
      <c r="A697" s="631"/>
      <c r="B697" s="100"/>
      <c r="C697" s="52">
        <v>132</v>
      </c>
      <c r="D697" s="735"/>
      <c r="E697" s="1836" t="s">
        <v>2057</v>
      </c>
      <c r="F697" s="4">
        <v>1</v>
      </c>
      <c r="G697" s="5">
        <v>647.52</v>
      </c>
      <c r="H697" s="5">
        <v>677.47</v>
      </c>
      <c r="I697" s="5">
        <f t="shared" si="25"/>
        <v>29.950000000000045</v>
      </c>
      <c r="J697" s="616">
        <v>1200000</v>
      </c>
      <c r="K697" s="696">
        <f>F697*I697*J697</f>
        <v>35940000.000000052</v>
      </c>
      <c r="L697" s="7"/>
      <c r="M697" s="7"/>
      <c r="N697" s="1428"/>
      <c r="O697" s="616"/>
    </row>
    <row r="698" spans="1:15" ht="15.5" x14ac:dyDescent="0.35">
      <c r="A698" s="631">
        <v>4</v>
      </c>
      <c r="B698" s="100" t="s">
        <v>2058</v>
      </c>
      <c r="C698" s="52">
        <v>132</v>
      </c>
      <c r="D698" s="735" t="s">
        <v>326</v>
      </c>
      <c r="E698" s="1836" t="s">
        <v>2059</v>
      </c>
      <c r="F698" s="4">
        <v>1</v>
      </c>
      <c r="G698" s="5">
        <v>27.69</v>
      </c>
      <c r="H698" s="5">
        <v>27.75</v>
      </c>
      <c r="I698" s="5">
        <f t="shared" si="25"/>
        <v>5.9999999999998721E-2</v>
      </c>
      <c r="J698" s="616">
        <v>1200000</v>
      </c>
      <c r="K698" s="696"/>
      <c r="L698" s="7">
        <f>F698*I698*J698</f>
        <v>71999.999999998472</v>
      </c>
      <c r="M698" s="7"/>
      <c r="N698" s="1428"/>
      <c r="O698" s="616"/>
    </row>
    <row r="699" spans="1:15" ht="15.5" x14ac:dyDescent="0.35">
      <c r="A699" s="631"/>
      <c r="B699" s="100"/>
      <c r="C699" s="52">
        <v>132</v>
      </c>
      <c r="D699" s="735"/>
      <c r="E699" s="1836" t="s">
        <v>2060</v>
      </c>
      <c r="F699" s="4">
        <v>1</v>
      </c>
      <c r="G699" s="5">
        <v>27.69</v>
      </c>
      <c r="H699" s="5">
        <v>27.75</v>
      </c>
      <c r="I699" s="5">
        <f t="shared" si="25"/>
        <v>5.9999999999998721E-2</v>
      </c>
      <c r="J699" s="616">
        <v>1200000</v>
      </c>
      <c r="K699" s="696"/>
      <c r="L699" s="7">
        <f>F699*I699*J699</f>
        <v>71999.999999998472</v>
      </c>
      <c r="M699" s="7"/>
      <c r="N699" s="1428"/>
      <c r="O699" s="616"/>
    </row>
    <row r="700" spans="1:15" ht="15.5" x14ac:dyDescent="0.35">
      <c r="A700" s="631"/>
      <c r="B700" s="100"/>
      <c r="C700" s="52">
        <v>132</v>
      </c>
      <c r="D700" s="735" t="s">
        <v>339</v>
      </c>
      <c r="E700" s="1836" t="s">
        <v>2059</v>
      </c>
      <c r="F700" s="4">
        <v>1</v>
      </c>
      <c r="G700" s="5">
        <v>223.81</v>
      </c>
      <c r="H700" s="5">
        <v>228.34</v>
      </c>
      <c r="I700" s="5">
        <f t="shared" si="25"/>
        <v>4.5300000000000011</v>
      </c>
      <c r="J700" s="616">
        <v>1200000</v>
      </c>
      <c r="K700" s="696">
        <f>F700*I700*J700</f>
        <v>5436000.0000000009</v>
      </c>
      <c r="L700" s="7"/>
      <c r="M700" s="7"/>
      <c r="N700" s="1428"/>
      <c r="O700" s="616"/>
    </row>
    <row r="701" spans="1:15" ht="15.5" x14ac:dyDescent="0.35">
      <c r="A701" s="631"/>
      <c r="B701" s="100"/>
      <c r="C701" s="52">
        <v>132</v>
      </c>
      <c r="D701" s="735"/>
      <c r="E701" s="1836" t="s">
        <v>2060</v>
      </c>
      <c r="F701" s="4">
        <v>1</v>
      </c>
      <c r="G701" s="5">
        <v>223.82</v>
      </c>
      <c r="H701" s="5">
        <v>228.35</v>
      </c>
      <c r="I701" s="5">
        <f t="shared" si="25"/>
        <v>4.5300000000000011</v>
      </c>
      <c r="J701" s="616">
        <v>1200000</v>
      </c>
      <c r="K701" s="696">
        <f>SUM(I701*J701)</f>
        <v>5436000.0000000009</v>
      </c>
      <c r="L701" s="7"/>
      <c r="M701" s="7"/>
      <c r="N701" s="1428"/>
      <c r="O701" s="616"/>
    </row>
    <row r="702" spans="1:15" ht="15.5" x14ac:dyDescent="0.35">
      <c r="A702" s="631">
        <v>6</v>
      </c>
      <c r="B702" s="100" t="s">
        <v>2064</v>
      </c>
      <c r="C702" s="52">
        <v>132</v>
      </c>
      <c r="D702" s="735" t="s">
        <v>326</v>
      </c>
      <c r="E702" s="1836" t="s">
        <v>2065</v>
      </c>
      <c r="F702" s="4">
        <v>1</v>
      </c>
      <c r="G702" s="5">
        <v>112.88</v>
      </c>
      <c r="H702" s="5">
        <v>118.34</v>
      </c>
      <c r="I702" s="5">
        <f t="shared" si="25"/>
        <v>5.460000000000008</v>
      </c>
      <c r="J702" s="616">
        <v>1200000</v>
      </c>
      <c r="K702" s="696"/>
      <c r="L702" s="7">
        <f>F702*I702*J702</f>
        <v>6552000.0000000093</v>
      </c>
      <c r="M702" s="7"/>
      <c r="N702" s="1428"/>
      <c r="O702" s="616"/>
    </row>
    <row r="703" spans="1:15" ht="15.5" x14ac:dyDescent="0.35">
      <c r="A703" s="631"/>
      <c r="B703" s="100"/>
      <c r="C703" s="52">
        <v>132</v>
      </c>
      <c r="D703" s="735"/>
      <c r="E703" s="1836" t="s">
        <v>2066</v>
      </c>
      <c r="F703" s="4">
        <v>1</v>
      </c>
      <c r="G703" s="5">
        <v>112.89</v>
      </c>
      <c r="H703" s="5">
        <v>118.36</v>
      </c>
      <c r="I703" s="5">
        <f t="shared" si="25"/>
        <v>5.4699999999999989</v>
      </c>
      <c r="J703" s="616">
        <v>1200000</v>
      </c>
      <c r="K703" s="696"/>
      <c r="L703" s="7">
        <f>F703*I703*J703</f>
        <v>6563999.9999999991</v>
      </c>
      <c r="M703" s="7"/>
      <c r="N703" s="1428"/>
      <c r="O703" s="616"/>
    </row>
    <row r="704" spans="1:15" ht="15.5" x14ac:dyDescent="0.35">
      <c r="A704" s="631"/>
      <c r="B704" s="100"/>
      <c r="C704" s="52">
        <v>132</v>
      </c>
      <c r="D704" s="735" t="s">
        <v>339</v>
      </c>
      <c r="E704" s="1836" t="s">
        <v>2065</v>
      </c>
      <c r="F704" s="4">
        <v>1</v>
      </c>
      <c r="G704" s="5">
        <v>95.83</v>
      </c>
      <c r="H704" s="5">
        <v>96.46</v>
      </c>
      <c r="I704" s="5">
        <f t="shared" si="25"/>
        <v>0.62999999999999545</v>
      </c>
      <c r="J704" s="616">
        <v>1200000</v>
      </c>
      <c r="K704" s="696">
        <f>J704*I704*F704</f>
        <v>755999.99999999453</v>
      </c>
      <c r="L704" s="7"/>
      <c r="M704" s="7"/>
      <c r="N704" s="1428"/>
      <c r="O704" s="616"/>
    </row>
    <row r="705" spans="1:15" ht="15.5" x14ac:dyDescent="0.35">
      <c r="A705" s="631"/>
      <c r="B705" s="100"/>
      <c r="C705" s="52">
        <v>132</v>
      </c>
      <c r="D705" s="735"/>
      <c r="E705" s="1836" t="s">
        <v>2066</v>
      </c>
      <c r="F705" s="4">
        <v>1</v>
      </c>
      <c r="G705" s="5">
        <v>95.85</v>
      </c>
      <c r="H705" s="5">
        <v>96.48</v>
      </c>
      <c r="I705" s="5">
        <f t="shared" si="25"/>
        <v>0.63000000000000966</v>
      </c>
      <c r="J705" s="616">
        <v>1200000</v>
      </c>
      <c r="K705" s="696">
        <f>J705*I705*F705</f>
        <v>756000.00000001164</v>
      </c>
      <c r="L705" s="7"/>
      <c r="M705" s="7"/>
      <c r="N705" s="1428"/>
      <c r="O705" s="616"/>
    </row>
    <row r="706" spans="1:15" ht="15.5" x14ac:dyDescent="0.35">
      <c r="A706" s="631"/>
      <c r="B706" s="95"/>
      <c r="C706" s="89"/>
      <c r="D706" s="89"/>
      <c r="E706" s="1784"/>
      <c r="F706" s="37"/>
      <c r="G706" s="37"/>
      <c r="H706" s="37"/>
      <c r="I706" s="2136" t="s">
        <v>236</v>
      </c>
      <c r="J706" s="2137"/>
      <c r="K706" s="698">
        <f>K704+K700+K696+K692</f>
        <v>42912000.000000052</v>
      </c>
      <c r="L706" s="83">
        <f>L702+L698+L694+L690</f>
        <v>13259999.999999996</v>
      </c>
      <c r="M706" s="18"/>
      <c r="N706" s="1978"/>
      <c r="O706" s="616"/>
    </row>
    <row r="707" spans="1:15" ht="15.5" x14ac:dyDescent="0.35">
      <c r="A707" s="631"/>
      <c r="B707" s="95"/>
      <c r="C707" s="89"/>
      <c r="D707" s="89"/>
      <c r="E707" s="1784"/>
      <c r="F707" s="37"/>
      <c r="G707" s="37"/>
      <c r="H707" s="37"/>
      <c r="I707" s="665"/>
      <c r="J707" s="665" t="s">
        <v>31</v>
      </c>
      <c r="K707" s="699">
        <f>K706-L706</f>
        <v>29652000.000000056</v>
      </c>
      <c r="L707" s="40"/>
      <c r="M707" s="41"/>
      <c r="N707" s="635"/>
      <c r="O707" s="616"/>
    </row>
    <row r="708" spans="1:15" ht="15.5" x14ac:dyDescent="0.35">
      <c r="A708" s="631"/>
      <c r="B708" s="624" t="s">
        <v>2496</v>
      </c>
      <c r="C708" s="625"/>
      <c r="D708" s="625"/>
      <c r="E708" s="1794"/>
      <c r="F708" s="625"/>
      <c r="G708" s="625"/>
      <c r="H708" s="625"/>
      <c r="I708" s="625"/>
      <c r="J708" s="625"/>
      <c r="K708" s="695"/>
      <c r="L708" s="625"/>
      <c r="M708" s="626"/>
      <c r="N708" s="1972"/>
      <c r="O708" s="616"/>
    </row>
    <row r="709" spans="1:15" ht="15.5" x14ac:dyDescent="0.35">
      <c r="A709" s="631"/>
      <c r="B709" s="100"/>
      <c r="C709" s="52"/>
      <c r="D709" s="2105"/>
      <c r="E709" s="2165"/>
      <c r="F709" s="4"/>
      <c r="G709" s="5"/>
      <c r="H709" s="5"/>
      <c r="I709" s="5"/>
      <c r="J709" s="616"/>
      <c r="K709" s="696"/>
      <c r="L709" s="16"/>
      <c r="M709" s="16"/>
      <c r="N709" s="711"/>
      <c r="O709" s="616"/>
    </row>
    <row r="710" spans="1:15" ht="15.5" x14ac:dyDescent="0.35">
      <c r="A710" s="631"/>
      <c r="B710" s="100"/>
      <c r="C710" s="52"/>
      <c r="D710" s="2106"/>
      <c r="E710" s="2166"/>
      <c r="F710" s="4"/>
      <c r="G710" s="5"/>
      <c r="H710" s="5"/>
      <c r="I710" s="5"/>
      <c r="J710" s="616"/>
      <c r="K710" s="696"/>
      <c r="L710" s="16"/>
      <c r="M710" s="16"/>
      <c r="N710" s="711"/>
      <c r="O710" s="616"/>
    </row>
    <row r="711" spans="1:15" ht="15.5" x14ac:dyDescent="0.35">
      <c r="A711" s="631"/>
      <c r="B711" s="100"/>
      <c r="C711" s="52"/>
      <c r="D711" s="2106"/>
      <c r="E711" s="2165"/>
      <c r="F711" s="4"/>
      <c r="G711" s="5"/>
      <c r="H711" s="5"/>
      <c r="I711" s="5"/>
      <c r="J711" s="616"/>
      <c r="K711" s="696"/>
      <c r="L711" s="16"/>
      <c r="M711" s="16"/>
      <c r="N711" s="711"/>
      <c r="O711" s="616"/>
    </row>
    <row r="712" spans="1:15" ht="15.5" x14ac:dyDescent="0.35">
      <c r="A712" s="631"/>
      <c r="B712" s="100"/>
      <c r="C712" s="52"/>
      <c r="D712" s="2151"/>
      <c r="E712" s="2166"/>
      <c r="F712" s="4"/>
      <c r="G712" s="5"/>
      <c r="H712" s="5"/>
      <c r="I712" s="5"/>
      <c r="J712" s="616"/>
      <c r="K712" s="697"/>
      <c r="L712" s="17"/>
      <c r="M712" s="17"/>
      <c r="N712" s="1977"/>
      <c r="O712" s="616"/>
    </row>
    <row r="713" spans="1:15" ht="15.5" x14ac:dyDescent="0.35">
      <c r="A713" s="631"/>
      <c r="B713" s="95"/>
      <c r="C713" s="89"/>
      <c r="D713" s="89"/>
      <c r="E713" s="1784"/>
      <c r="F713" s="37"/>
      <c r="G713" s="37"/>
      <c r="H713" s="37"/>
      <c r="I713" s="2136" t="s">
        <v>303</v>
      </c>
      <c r="J713" s="2137"/>
      <c r="K713" s="94">
        <f>SUM(K709:K712)</f>
        <v>0</v>
      </c>
      <c r="L713" s="94">
        <f>SUM(L709:L712)</f>
        <v>0</v>
      </c>
      <c r="M713" s="18"/>
      <c r="N713" s="1978"/>
      <c r="O713" s="633"/>
    </row>
    <row r="714" spans="1:15" ht="15.5" x14ac:dyDescent="0.35">
      <c r="A714" s="631"/>
      <c r="B714" s="95"/>
      <c r="C714" s="89"/>
      <c r="D714" s="89"/>
      <c r="E714" s="1784"/>
      <c r="F714" s="37"/>
      <c r="G714" s="37"/>
      <c r="H714" s="37"/>
      <c r="I714" s="2136" t="s">
        <v>31</v>
      </c>
      <c r="J714" s="2137"/>
      <c r="K714" s="94">
        <f>K713-L713</f>
        <v>0</v>
      </c>
      <c r="L714" s="40"/>
      <c r="M714" s="42"/>
      <c r="N714" s="1921"/>
      <c r="O714" s="633"/>
    </row>
    <row r="715" spans="1:15" ht="15.5" x14ac:dyDescent="0.35">
      <c r="A715" s="11"/>
      <c r="B715" s="647" t="s">
        <v>1115</v>
      </c>
      <c r="C715" s="648"/>
      <c r="D715" s="648"/>
      <c r="E715" s="1800"/>
      <c r="F715" s="648"/>
      <c r="G715" s="648"/>
      <c r="H715" s="648"/>
      <c r="I715" s="648"/>
      <c r="J715" s="648"/>
      <c r="K715" s="700"/>
      <c r="L715" s="648"/>
      <c r="M715" s="651"/>
      <c r="N715" s="1971"/>
      <c r="O715" s="8"/>
    </row>
    <row r="716" spans="1:15" ht="15.5" x14ac:dyDescent="0.35">
      <c r="A716" s="631"/>
      <c r="B716" s="100" t="s">
        <v>1079</v>
      </c>
      <c r="C716" s="52">
        <v>132</v>
      </c>
      <c r="D716" s="2138" t="s">
        <v>1083</v>
      </c>
      <c r="E716" s="1818"/>
      <c r="F716" s="4"/>
      <c r="G716" s="5"/>
      <c r="H716" s="5"/>
      <c r="I716" s="5"/>
      <c r="J716" s="616"/>
      <c r="K716" s="696"/>
      <c r="L716" s="16">
        <f>J716*I716*F716</f>
        <v>0</v>
      </c>
      <c r="M716" s="7"/>
      <c r="N716" s="1428"/>
      <c r="O716" s="616"/>
    </row>
    <row r="717" spans="1:15" ht="15.5" x14ac:dyDescent="0.35">
      <c r="A717" s="631"/>
      <c r="B717" s="100" t="s">
        <v>1078</v>
      </c>
      <c r="C717" s="52">
        <v>132</v>
      </c>
      <c r="D717" s="2139"/>
      <c r="E717" s="1818"/>
      <c r="F717" s="4"/>
      <c r="G717" s="5"/>
      <c r="H717" s="5"/>
      <c r="I717" s="5"/>
      <c r="J717" s="616"/>
      <c r="K717" s="696"/>
      <c r="L717" s="16">
        <f>J717*I717*F717</f>
        <v>0</v>
      </c>
      <c r="M717" s="16"/>
      <c r="N717" s="711"/>
      <c r="O717" s="616"/>
    </row>
    <row r="718" spans="1:15" ht="15.5" x14ac:dyDescent="0.35">
      <c r="A718" s="631"/>
      <c r="B718" s="95"/>
      <c r="C718" s="89"/>
      <c r="D718" s="89"/>
      <c r="E718" s="1784"/>
      <c r="F718" s="37"/>
      <c r="G718" s="37"/>
      <c r="H718" s="37"/>
      <c r="I718" s="37"/>
      <c r="J718" s="95" t="s">
        <v>279</v>
      </c>
      <c r="K718" s="699"/>
      <c r="L718" s="55">
        <f>SUM(L716:L717)</f>
        <v>0</v>
      </c>
      <c r="M718" s="633"/>
      <c r="N718" s="1921"/>
      <c r="O718" s="616"/>
    </row>
    <row r="719" spans="1:15" ht="15.5" x14ac:dyDescent="0.35">
      <c r="A719" s="11"/>
      <c r="B719" s="647" t="s">
        <v>1101</v>
      </c>
      <c r="C719" s="648"/>
      <c r="D719" s="648"/>
      <c r="E719" s="1800"/>
      <c r="F719" s="648"/>
      <c r="G719" s="648"/>
      <c r="H719" s="648"/>
      <c r="I719" s="648"/>
      <c r="J719" s="648"/>
      <c r="K719" s="700"/>
      <c r="L719" s="648"/>
      <c r="M719" s="651"/>
      <c r="N719" s="1971"/>
      <c r="O719" s="8"/>
    </row>
    <row r="720" spans="1:15" ht="15.5" x14ac:dyDescent="0.35">
      <c r="A720" s="631">
        <v>2</v>
      </c>
      <c r="B720" s="100" t="s">
        <v>2052</v>
      </c>
      <c r="C720" s="52">
        <v>132</v>
      </c>
      <c r="D720" s="1748" t="s">
        <v>326</v>
      </c>
      <c r="E720" s="1836" t="s">
        <v>2053</v>
      </c>
      <c r="F720" s="4">
        <v>1</v>
      </c>
      <c r="G720" s="5">
        <v>439.39</v>
      </c>
      <c r="H720" s="5">
        <v>454.67</v>
      </c>
      <c r="I720" s="5">
        <v>15.28000000000003</v>
      </c>
      <c r="J720" s="616">
        <v>1200000</v>
      </c>
      <c r="K720" s="696"/>
      <c r="L720" s="7">
        <v>18336000.000000037</v>
      </c>
      <c r="M720" s="7"/>
      <c r="N720" s="1428"/>
      <c r="O720" s="616"/>
    </row>
    <row r="721" spans="1:15" ht="15.5" x14ac:dyDescent="0.35">
      <c r="A721" s="631"/>
      <c r="B721" s="100"/>
      <c r="C721" s="52">
        <v>132</v>
      </c>
      <c r="D721" s="1748" t="s">
        <v>326</v>
      </c>
      <c r="E721" s="1836" t="s">
        <v>2054</v>
      </c>
      <c r="F721" s="4">
        <v>1</v>
      </c>
      <c r="G721" s="5">
        <v>439.29</v>
      </c>
      <c r="H721" s="5">
        <v>454.55</v>
      </c>
      <c r="I721" s="5">
        <v>15.259999999999991</v>
      </c>
      <c r="J721" s="616">
        <v>1200000</v>
      </c>
      <c r="K721" s="696"/>
      <c r="L721" s="7">
        <v>18311999.999999989</v>
      </c>
      <c r="M721" s="7"/>
      <c r="N721" s="1428"/>
      <c r="O721" s="616"/>
    </row>
    <row r="722" spans="1:15" ht="15.5" x14ac:dyDescent="0.35">
      <c r="A722" s="631">
        <v>5</v>
      </c>
      <c r="B722" s="100" t="s">
        <v>2061</v>
      </c>
      <c r="C722" s="52">
        <v>132</v>
      </c>
      <c r="D722" s="1748" t="s">
        <v>326</v>
      </c>
      <c r="E722" s="1836" t="s">
        <v>2062</v>
      </c>
      <c r="F722" s="4">
        <v>1</v>
      </c>
      <c r="G722" s="5">
        <v>348.45</v>
      </c>
      <c r="H722" s="5">
        <v>357.87</v>
      </c>
      <c r="I722" s="5">
        <v>9.4200000000000159</v>
      </c>
      <c r="J722" s="616">
        <v>1200000</v>
      </c>
      <c r="K722" s="696"/>
      <c r="L722" s="7">
        <v>11304000.000000019</v>
      </c>
      <c r="M722" s="7"/>
      <c r="N722" s="1428"/>
      <c r="O722" s="616"/>
    </row>
    <row r="723" spans="1:15" ht="15.5" x14ac:dyDescent="0.35">
      <c r="A723" s="631"/>
      <c r="B723" s="100"/>
      <c r="C723" s="52">
        <v>132</v>
      </c>
      <c r="D723" s="1748" t="s">
        <v>326</v>
      </c>
      <c r="E723" s="1836" t="s">
        <v>2063</v>
      </c>
      <c r="F723" s="4">
        <v>1</v>
      </c>
      <c r="G723" s="5">
        <v>348.32</v>
      </c>
      <c r="H723" s="5">
        <v>357.74</v>
      </c>
      <c r="I723" s="5">
        <v>9.4200000000000159</v>
      </c>
      <c r="J723" s="616">
        <v>1200000</v>
      </c>
      <c r="K723" s="696"/>
      <c r="L723" s="7">
        <v>11304000.000000019</v>
      </c>
      <c r="M723" s="7"/>
      <c r="N723" s="1428"/>
      <c r="O723" s="616"/>
    </row>
    <row r="724" spans="1:15" ht="15.5" x14ac:dyDescent="0.35">
      <c r="A724" s="631"/>
      <c r="B724" s="95"/>
      <c r="C724" s="89"/>
      <c r="D724" s="89"/>
      <c r="E724" s="1787"/>
      <c r="F724" s="65"/>
      <c r="G724" s="65"/>
      <c r="H724" s="65"/>
      <c r="I724" s="65"/>
      <c r="J724" s="95" t="s">
        <v>30</v>
      </c>
      <c r="K724" s="701"/>
      <c r="L724" s="43">
        <f>L722+L720</f>
        <v>29640000.000000056</v>
      </c>
      <c r="M724" s="55"/>
      <c r="N724" s="1428"/>
      <c r="O724" s="616"/>
    </row>
    <row r="725" spans="1:15" ht="15" thickBot="1" x14ac:dyDescent="0.4">
      <c r="A725" s="620"/>
      <c r="B725" s="635"/>
      <c r="C725" s="632"/>
      <c r="D725" s="720"/>
      <c r="K725" s="702"/>
      <c r="L725" s="620"/>
      <c r="M725" s="620"/>
      <c r="N725" s="635"/>
      <c r="O725" s="620"/>
    </row>
    <row r="726" spans="1:15" s="620" customFormat="1" x14ac:dyDescent="0.35">
      <c r="B726" s="2142" t="s">
        <v>1090</v>
      </c>
      <c r="C726" s="2143"/>
      <c r="D726" s="683" t="s">
        <v>14</v>
      </c>
      <c r="E726"/>
      <c r="F726" s="2144" t="s">
        <v>1091</v>
      </c>
      <c r="G726" s="2145"/>
      <c r="H726" s="2146"/>
      <c r="I726" s="683" t="s">
        <v>14</v>
      </c>
      <c r="K726" s="2147" t="s">
        <v>1092</v>
      </c>
      <c r="L726" s="2148"/>
      <c r="M726" s="684" t="s">
        <v>14</v>
      </c>
      <c r="N726" s="635"/>
    </row>
    <row r="727" spans="1:15" s="620" customFormat="1" x14ac:dyDescent="0.35">
      <c r="B727" s="2122" t="str">
        <f>B689</f>
        <v>132 KV SENDING SIDE (TARIFF POINT)</v>
      </c>
      <c r="C727" s="2123"/>
      <c r="D727" s="689">
        <f>K707</f>
        <v>29652000.000000056</v>
      </c>
      <c r="E727"/>
      <c r="F727" s="2124" t="s">
        <v>1093</v>
      </c>
      <c r="G727" s="2125"/>
      <c r="H727" s="2126"/>
      <c r="I727" s="689">
        <f>L718</f>
        <v>0</v>
      </c>
      <c r="K727" s="2129" t="s">
        <v>4625</v>
      </c>
      <c r="L727" s="2130"/>
      <c r="M727" s="687">
        <f>I728</f>
        <v>29640000.000000056</v>
      </c>
      <c r="N727" s="635"/>
    </row>
    <row r="728" spans="1:15" s="620" customFormat="1" x14ac:dyDescent="0.35">
      <c r="B728" s="2122" t="s">
        <v>1116</v>
      </c>
      <c r="C728" s="2123"/>
      <c r="D728" s="689"/>
      <c r="E728"/>
      <c r="F728" s="2124" t="s">
        <v>4625</v>
      </c>
      <c r="G728" s="2125"/>
      <c r="H728" s="2126"/>
      <c r="I728" s="687">
        <f>L724</f>
        <v>29640000.000000056</v>
      </c>
      <c r="K728" s="2127" t="s">
        <v>2455</v>
      </c>
      <c r="L728" s="2128"/>
      <c r="M728" s="1908">
        <f>D732</f>
        <v>29491199.999999944</v>
      </c>
      <c r="N728" s="635"/>
    </row>
    <row r="729" spans="1:15" s="620" customFormat="1" x14ac:dyDescent="0.35">
      <c r="B729" s="2122" t="s">
        <v>1117</v>
      </c>
      <c r="C729" s="2123"/>
      <c r="D729" s="689"/>
      <c r="E729"/>
      <c r="F729" s="2124" t="s">
        <v>1089</v>
      </c>
      <c r="G729" s="2125"/>
      <c r="H729" s="2126"/>
      <c r="I729" s="689">
        <f>I727+I728</f>
        <v>29640000.000000056</v>
      </c>
      <c r="K729" s="2129" t="s">
        <v>4622</v>
      </c>
      <c r="L729" s="2130"/>
      <c r="M729" s="689">
        <f>M727-M728</f>
        <v>148800.00000011176</v>
      </c>
      <c r="N729" s="635"/>
    </row>
    <row r="730" spans="1:15" s="620" customFormat="1" ht="15" thickBot="1" x14ac:dyDescent="0.4">
      <c r="B730" s="2122" t="s">
        <v>1118</v>
      </c>
      <c r="C730" s="2123"/>
      <c r="D730" s="722"/>
      <c r="E730"/>
      <c r="F730" s="2131" t="s">
        <v>4626</v>
      </c>
      <c r="G730" s="2132"/>
      <c r="H730" s="2133"/>
      <c r="I730" s="689">
        <f>D731-I729</f>
        <v>12000</v>
      </c>
      <c r="K730" s="2134" t="s">
        <v>285</v>
      </c>
      <c r="L730" s="2135"/>
      <c r="M730" s="1905">
        <f>M729/M727</f>
        <v>5.0202429149835181E-3</v>
      </c>
      <c r="N730" s="635"/>
    </row>
    <row r="731" spans="1:15" s="620" customFormat="1" ht="15" thickBot="1" x14ac:dyDescent="0.4">
      <c r="B731" s="2109" t="s">
        <v>4620</v>
      </c>
      <c r="C731" s="2110"/>
      <c r="D731" s="1435">
        <f>SUM(D727:D730)</f>
        <v>29652000.000000056</v>
      </c>
      <c r="E731"/>
      <c r="F731" s="2113" t="s">
        <v>2454</v>
      </c>
      <c r="G731" s="2114"/>
      <c r="H731" s="2115"/>
      <c r="I731" s="1904">
        <f>I730/I729</f>
        <v>4.0485829959514092E-4</v>
      </c>
      <c r="K731" s="702"/>
      <c r="N731" s="635"/>
    </row>
    <row r="732" spans="1:15" s="620" customFormat="1" x14ac:dyDescent="0.35">
      <c r="B732" s="2116" t="s">
        <v>4624</v>
      </c>
      <c r="C732" s="2117"/>
      <c r="D732" s="1908">
        <f>K747</f>
        <v>29491199.999999944</v>
      </c>
      <c r="E732"/>
      <c r="F732" s="791"/>
      <c r="G732"/>
      <c r="H732"/>
      <c r="I732"/>
      <c r="J732"/>
      <c r="K732" s="702"/>
      <c r="N732" s="635"/>
    </row>
    <row r="733" spans="1:15" s="620" customFormat="1" x14ac:dyDescent="0.35">
      <c r="B733" s="2118" t="s">
        <v>4627</v>
      </c>
      <c r="C733" s="2119"/>
      <c r="D733" s="1436">
        <f>D731-D732</f>
        <v>160800.00000011176</v>
      </c>
      <c r="E733"/>
      <c r="F733" s="791"/>
      <c r="G733"/>
      <c r="H733"/>
      <c r="I733"/>
      <c r="J733"/>
      <c r="K733" s="702"/>
      <c r="N733" s="635"/>
    </row>
    <row r="734" spans="1:15" s="620" customFormat="1" ht="15" thickBot="1" x14ac:dyDescent="0.4">
      <c r="B734" s="2120" t="str">
        <f>K730</f>
        <v>LOSS % IN =&gt;</v>
      </c>
      <c r="C734" s="2121"/>
      <c r="D734" s="1899">
        <f>D733/D727</f>
        <v>5.4229057061955842E-3</v>
      </c>
      <c r="E734"/>
      <c r="F734" s="791"/>
      <c r="G734" s="678"/>
      <c r="H734" s="678"/>
      <c r="I734" s="678"/>
      <c r="J734" s="679"/>
      <c r="K734" s="702"/>
      <c r="N734" s="635"/>
    </row>
    <row r="735" spans="1:15" x14ac:dyDescent="0.35">
      <c r="A735" s="620"/>
      <c r="B735" s="635"/>
      <c r="C735" s="632"/>
      <c r="D735" s="720"/>
      <c r="G735" s="678"/>
      <c r="H735" s="678"/>
      <c r="I735" s="678"/>
      <c r="J735" s="679"/>
      <c r="K735" s="702"/>
      <c r="L735" s="620"/>
      <c r="M735" s="620"/>
      <c r="N735" s="635"/>
      <c r="O735" s="620"/>
    </row>
    <row r="736" spans="1:15" x14ac:dyDescent="0.35">
      <c r="A736" s="620"/>
      <c r="B736" s="635"/>
      <c r="C736" s="632"/>
      <c r="D736" s="720"/>
      <c r="G736" s="678"/>
      <c r="H736" s="678"/>
      <c r="I736" s="678"/>
      <c r="J736" s="679"/>
      <c r="K736" s="702"/>
      <c r="L736" s="620"/>
      <c r="M736" s="620"/>
      <c r="N736" s="635"/>
      <c r="O736" s="620"/>
    </row>
    <row r="737" spans="1:15" x14ac:dyDescent="0.35">
      <c r="A737" s="620"/>
      <c r="B737" s="635"/>
      <c r="C737" s="632"/>
      <c r="D737" s="720"/>
      <c r="E737" s="1788"/>
      <c r="F737" s="620"/>
      <c r="G737" s="620"/>
      <c r="H737" s="620"/>
      <c r="I737" s="620"/>
      <c r="J737" s="620"/>
      <c r="K737" s="702"/>
      <c r="L737" s="620"/>
      <c r="M737" s="620"/>
      <c r="N737" s="635"/>
      <c r="O737" s="620"/>
    </row>
    <row r="738" spans="1:15" ht="25" x14ac:dyDescent="0.35">
      <c r="A738" s="2095" t="s">
        <v>1194</v>
      </c>
      <c r="B738" s="2095"/>
      <c r="C738" s="2095"/>
      <c r="D738" s="2095"/>
      <c r="E738" s="2095"/>
      <c r="F738" s="2095"/>
      <c r="G738" s="2095"/>
      <c r="H738" s="2095"/>
      <c r="I738" s="2095"/>
      <c r="J738" s="2095"/>
      <c r="K738" s="2095"/>
      <c r="L738" s="2095"/>
      <c r="M738" s="2095"/>
      <c r="N738" s="2095"/>
      <c r="O738" s="756" t="str">
        <f>$O$6</f>
        <v>Month December-2022</v>
      </c>
    </row>
    <row r="739" spans="1:15" ht="15.5" x14ac:dyDescent="0.35">
      <c r="A739" s="2096" t="s">
        <v>0</v>
      </c>
      <c r="B739" s="2098" t="s">
        <v>1</v>
      </c>
      <c r="C739" s="2100" t="s">
        <v>2</v>
      </c>
      <c r="D739" s="2101"/>
      <c r="E739" s="2102"/>
      <c r="F739" s="2103" t="s">
        <v>3</v>
      </c>
      <c r="G739" s="2100" t="s">
        <v>4</v>
      </c>
      <c r="H739" s="2102"/>
      <c r="I739" s="2085"/>
      <c r="J739" s="2103" t="s">
        <v>5</v>
      </c>
      <c r="K739" s="2100" t="s">
        <v>6</v>
      </c>
      <c r="L739" s="2085"/>
      <c r="M739" s="97" t="s">
        <v>32</v>
      </c>
      <c r="N739" s="98"/>
      <c r="O739" s="2084" t="s">
        <v>7</v>
      </c>
    </row>
    <row r="740" spans="1:15" ht="15.5" x14ac:dyDescent="0.35">
      <c r="A740" s="2111"/>
      <c r="B740" s="2112"/>
      <c r="C740" s="2086" t="s">
        <v>1108</v>
      </c>
      <c r="D740" s="2087"/>
      <c r="E740" s="1838" t="s">
        <v>9</v>
      </c>
      <c r="F740" s="2111"/>
      <c r="G740" s="2">
        <f>'NORTH-1'!$G$8</f>
        <v>44774</v>
      </c>
      <c r="H740" s="2">
        <f>'NORTH-1'!$H$8</f>
        <v>44805</v>
      </c>
      <c r="I740" s="676" t="s">
        <v>10</v>
      </c>
      <c r="J740" s="2111"/>
      <c r="K740" s="676" t="s">
        <v>11</v>
      </c>
      <c r="L740" s="676" t="s">
        <v>12</v>
      </c>
      <c r="M740" s="715" t="s">
        <v>33</v>
      </c>
      <c r="N740" s="716" t="s">
        <v>47</v>
      </c>
      <c r="O740" s="2104"/>
    </row>
    <row r="741" spans="1:15" ht="15.5" x14ac:dyDescent="0.35">
      <c r="A741" s="717">
        <v>1</v>
      </c>
      <c r="B741" s="673">
        <v>2</v>
      </c>
      <c r="C741" s="2088">
        <v>4</v>
      </c>
      <c r="D741" s="2089"/>
      <c r="E741" s="1839">
        <v>5</v>
      </c>
      <c r="F741" s="717">
        <v>7</v>
      </c>
      <c r="G741" s="717">
        <v>8</v>
      </c>
      <c r="H741" s="717">
        <v>9</v>
      </c>
      <c r="I741" s="717" t="s">
        <v>13</v>
      </c>
      <c r="J741" s="717">
        <v>11</v>
      </c>
      <c r="K741" s="717" t="s">
        <v>19</v>
      </c>
      <c r="L741" s="717" t="s">
        <v>20</v>
      </c>
      <c r="M741" s="717">
        <v>14</v>
      </c>
      <c r="N741" s="673">
        <v>15</v>
      </c>
      <c r="O741" s="717">
        <v>16</v>
      </c>
    </row>
    <row r="742" spans="1:15" ht="15.5" x14ac:dyDescent="0.35">
      <c r="A742" s="11"/>
      <c r="B742" s="624" t="s">
        <v>1100</v>
      </c>
      <c r="C742" s="625"/>
      <c r="D742" s="625"/>
      <c r="E742" s="1794"/>
      <c r="F742" s="625"/>
      <c r="G742" s="625"/>
      <c r="H742" s="625"/>
      <c r="I742" s="625"/>
      <c r="J742" s="625"/>
      <c r="K742" s="695"/>
      <c r="L742" s="625"/>
      <c r="M742" s="626"/>
      <c r="N742" s="1972"/>
      <c r="O742" s="8"/>
    </row>
    <row r="743" spans="1:15" ht="15.5" x14ac:dyDescent="0.35">
      <c r="A743" s="631">
        <v>14</v>
      </c>
      <c r="B743" s="100" t="s">
        <v>2080</v>
      </c>
      <c r="C743" s="52">
        <v>33</v>
      </c>
      <c r="D743" s="735" t="s">
        <v>1650</v>
      </c>
      <c r="E743" s="1801" t="s">
        <v>2081</v>
      </c>
      <c r="F743" s="4">
        <v>1</v>
      </c>
      <c r="G743" s="5">
        <v>728.83</v>
      </c>
      <c r="H743" s="5">
        <v>754.17</v>
      </c>
      <c r="I743" s="5">
        <f>SUM(H743-G743)</f>
        <v>25.339999999999918</v>
      </c>
      <c r="J743" s="616">
        <v>720000</v>
      </c>
      <c r="K743" s="696">
        <f>F743*I743*J743</f>
        <v>18244799.99999994</v>
      </c>
      <c r="L743" s="7"/>
      <c r="M743" s="7"/>
      <c r="N743" s="1428"/>
      <c r="O743" s="616"/>
    </row>
    <row r="744" spans="1:15" ht="15.5" x14ac:dyDescent="0.35">
      <c r="A744" s="631"/>
      <c r="B744" s="100"/>
      <c r="C744" s="52">
        <v>33</v>
      </c>
      <c r="D744" s="735" t="s">
        <v>1651</v>
      </c>
      <c r="E744" s="1801" t="s">
        <v>2082</v>
      </c>
      <c r="F744" s="4">
        <v>1</v>
      </c>
      <c r="G744" s="5">
        <v>728.84</v>
      </c>
      <c r="H744" s="5">
        <v>754.18</v>
      </c>
      <c r="I744" s="5">
        <f>SUM(H744-G744)</f>
        <v>25.339999999999918</v>
      </c>
      <c r="J744" s="616">
        <v>720000</v>
      </c>
      <c r="K744" s="696">
        <f>F744*I744*J744</f>
        <v>18244799.99999994</v>
      </c>
      <c r="L744" s="7"/>
      <c r="M744" s="7"/>
      <c r="N744" s="1428"/>
      <c r="O744" s="616"/>
    </row>
    <row r="745" spans="1:15" ht="15.5" x14ac:dyDescent="0.35">
      <c r="A745" s="631">
        <v>15</v>
      </c>
      <c r="B745" s="100" t="s">
        <v>2083</v>
      </c>
      <c r="C745" s="52">
        <v>33</v>
      </c>
      <c r="D745" s="735" t="s">
        <v>1650</v>
      </c>
      <c r="E745" s="1801" t="s">
        <v>2084</v>
      </c>
      <c r="F745" s="4">
        <v>1</v>
      </c>
      <c r="G745" s="5">
        <v>578.23</v>
      </c>
      <c r="H745" s="5">
        <v>593.85</v>
      </c>
      <c r="I745" s="5">
        <f>SUM(H745-G745)</f>
        <v>15.620000000000005</v>
      </c>
      <c r="J745" s="616">
        <v>720000</v>
      </c>
      <c r="K745" s="696">
        <f>F745*I745*J745</f>
        <v>11246400.000000004</v>
      </c>
      <c r="L745" s="7"/>
      <c r="M745" s="7"/>
      <c r="N745" s="1428"/>
      <c r="O745" s="616"/>
    </row>
    <row r="746" spans="1:15" ht="15.5" x14ac:dyDescent="0.35">
      <c r="A746" s="631"/>
      <c r="B746" s="100"/>
      <c r="C746" s="52">
        <v>33</v>
      </c>
      <c r="D746" s="735" t="s">
        <v>1651</v>
      </c>
      <c r="E746" s="1801" t="s">
        <v>2085</v>
      </c>
      <c r="F746" s="4">
        <v>1</v>
      </c>
      <c r="G746" s="5">
        <v>578.09</v>
      </c>
      <c r="H746" s="5">
        <v>593.70000000000005</v>
      </c>
      <c r="I746" s="5">
        <f>SUM(H746-G746)</f>
        <v>15.610000000000014</v>
      </c>
      <c r="J746" s="616">
        <v>720000</v>
      </c>
      <c r="K746" s="696">
        <f>F746*I746*J746</f>
        <v>11239200.000000009</v>
      </c>
      <c r="L746" s="7"/>
      <c r="M746" s="7"/>
      <c r="N746" s="1428"/>
      <c r="O746" s="616"/>
    </row>
    <row r="747" spans="1:15" ht="15.5" x14ac:dyDescent="0.35">
      <c r="A747" s="631"/>
      <c r="B747" s="95"/>
      <c r="C747" s="89"/>
      <c r="D747" s="89"/>
      <c r="E747" s="1784"/>
      <c r="F747" s="37"/>
      <c r="G747" s="37"/>
      <c r="H747" s="37"/>
      <c r="I747" s="37"/>
      <c r="J747" s="95" t="s">
        <v>30</v>
      </c>
      <c r="K747" s="1908">
        <f>K745+K743</f>
        <v>29491199.999999944</v>
      </c>
      <c r="L747" s="40"/>
      <c r="M747" s="40">
        <f>SUM(M743:M746)</f>
        <v>0</v>
      </c>
      <c r="N747" s="1428"/>
      <c r="O747" s="616"/>
    </row>
    <row r="748" spans="1:15" ht="15.5" x14ac:dyDescent="0.35">
      <c r="A748" s="631"/>
      <c r="B748" s="647" t="s">
        <v>1103</v>
      </c>
      <c r="C748" s="648"/>
      <c r="D748" s="648"/>
      <c r="E748" s="1800"/>
      <c r="F748" s="648"/>
      <c r="G748" s="648"/>
      <c r="H748" s="648"/>
      <c r="I748" s="648"/>
      <c r="J748" s="648"/>
      <c r="K748" s="700"/>
      <c r="L748" s="648"/>
      <c r="M748" s="651"/>
      <c r="N748" s="1971"/>
      <c r="O748" s="616"/>
    </row>
    <row r="749" spans="1:15" ht="15.5" x14ac:dyDescent="0.35">
      <c r="A749" s="631"/>
      <c r="B749" s="662" t="s">
        <v>1106</v>
      </c>
      <c r="C749" s="52"/>
      <c r="D749" s="1777" t="s">
        <v>1083</v>
      </c>
      <c r="E749" s="1801"/>
      <c r="F749" s="4"/>
      <c r="G749" s="5"/>
      <c r="H749" s="5"/>
      <c r="I749" s="6"/>
      <c r="J749" s="616"/>
      <c r="K749" s="696"/>
      <c r="L749" s="7"/>
      <c r="M749" s="7"/>
      <c r="N749" s="1428"/>
      <c r="O749" s="616"/>
    </row>
    <row r="750" spans="1:15" ht="15.5" x14ac:dyDescent="0.35">
      <c r="A750" s="11">
        <v>13</v>
      </c>
      <c r="B750" s="100" t="s">
        <v>2077</v>
      </c>
      <c r="C750" s="661">
        <v>33</v>
      </c>
      <c r="D750" s="1748" t="s">
        <v>1650</v>
      </c>
      <c r="E750" s="1840" t="s">
        <v>2078</v>
      </c>
      <c r="F750" s="4">
        <v>1</v>
      </c>
      <c r="G750" s="21">
        <v>586.34</v>
      </c>
      <c r="H750" s="21">
        <v>603.05999999999995</v>
      </c>
      <c r="I750" s="21">
        <f>SUM(H750-G750)</f>
        <v>16.719999999999914</v>
      </c>
      <c r="J750" s="616">
        <v>240000</v>
      </c>
      <c r="K750" s="696"/>
      <c r="L750" s="22">
        <f>F750*I750*J750</f>
        <v>4012799.999999979</v>
      </c>
      <c r="M750" s="22"/>
      <c r="N750" s="72"/>
      <c r="O750" s="9"/>
    </row>
    <row r="751" spans="1:15" ht="15.5" x14ac:dyDescent="0.35">
      <c r="A751" s="631"/>
      <c r="B751" s="100"/>
      <c r="C751" s="661">
        <v>33</v>
      </c>
      <c r="D751" s="1748" t="s">
        <v>1651</v>
      </c>
      <c r="E751" s="1840" t="s">
        <v>2079</v>
      </c>
      <c r="F751" s="4">
        <v>1</v>
      </c>
      <c r="G751" s="21">
        <v>585.99</v>
      </c>
      <c r="H751" s="21">
        <v>602.69000000000005</v>
      </c>
      <c r="I751" s="21">
        <f>SUM(H751-G751)</f>
        <v>16.700000000000045</v>
      </c>
      <c r="J751" s="616">
        <v>240000</v>
      </c>
      <c r="K751" s="696"/>
      <c r="L751" s="22">
        <f>F751*I751*J751</f>
        <v>4008000.0000000107</v>
      </c>
      <c r="M751" s="22"/>
      <c r="N751" s="72"/>
      <c r="O751" s="616"/>
    </row>
    <row r="752" spans="1:15" ht="15.5" x14ac:dyDescent="0.35">
      <c r="A752" s="616">
        <v>16</v>
      </c>
      <c r="B752" s="100" t="s">
        <v>2086</v>
      </c>
      <c r="C752" s="661">
        <v>33</v>
      </c>
      <c r="D752" s="1748" t="s">
        <v>1650</v>
      </c>
      <c r="E752" s="1840" t="s">
        <v>2087</v>
      </c>
      <c r="F752" s="4">
        <v>1</v>
      </c>
      <c r="G752" s="21">
        <v>496.16</v>
      </c>
      <c r="H752" s="21">
        <v>510.2</v>
      </c>
      <c r="I752" s="21">
        <f>SUM(H752-G752)</f>
        <v>14.039999999999964</v>
      </c>
      <c r="J752" s="616">
        <v>240000</v>
      </c>
      <c r="K752" s="696"/>
      <c r="L752" s="22">
        <f>F752*I752*J752</f>
        <v>3369599.9999999912</v>
      </c>
      <c r="M752" s="22"/>
      <c r="N752" s="72"/>
      <c r="O752" s="616"/>
    </row>
    <row r="753" spans="1:15" ht="15.5" x14ac:dyDescent="0.35">
      <c r="A753" s="616"/>
      <c r="B753" s="100"/>
      <c r="C753" s="661">
        <v>33</v>
      </c>
      <c r="D753" s="1748" t="s">
        <v>1651</v>
      </c>
      <c r="E753" s="1840" t="s">
        <v>2088</v>
      </c>
      <c r="F753" s="4">
        <v>1</v>
      </c>
      <c r="G753" s="21">
        <v>496.09</v>
      </c>
      <c r="H753" s="21">
        <v>510.12</v>
      </c>
      <c r="I753" s="21">
        <f>SUM(H753-G753)</f>
        <v>14.03000000000003</v>
      </c>
      <c r="J753" s="616">
        <v>240000</v>
      </c>
      <c r="K753" s="696"/>
      <c r="L753" s="22">
        <f>F753*I753*J753</f>
        <v>3367200.000000007</v>
      </c>
      <c r="M753" s="22"/>
      <c r="N753" s="72"/>
      <c r="O753" s="12"/>
    </row>
    <row r="754" spans="1:15" ht="15.5" x14ac:dyDescent="0.35">
      <c r="A754" s="616"/>
      <c r="B754" s="662" t="s">
        <v>1107</v>
      </c>
      <c r="C754" s="89"/>
      <c r="D754" s="1773"/>
      <c r="E754" s="1784"/>
      <c r="F754" s="37"/>
      <c r="G754" s="37"/>
      <c r="H754" s="37"/>
      <c r="I754" s="37"/>
      <c r="J754" s="95" t="s">
        <v>30</v>
      </c>
      <c r="K754" s="696"/>
      <c r="L754" s="43">
        <f>L752+L750</f>
        <v>7382399.9999999702</v>
      </c>
      <c r="M754" s="43">
        <f>M752+M750</f>
        <v>0</v>
      </c>
      <c r="N754" s="99"/>
      <c r="O754" s="12"/>
    </row>
    <row r="755" spans="1:15" ht="15.5" x14ac:dyDescent="0.35">
      <c r="A755" s="636">
        <v>9</v>
      </c>
      <c r="B755" s="100" t="s">
        <v>2067</v>
      </c>
      <c r="C755" s="661">
        <v>33</v>
      </c>
      <c r="D755" s="1748" t="s">
        <v>1650</v>
      </c>
      <c r="E755" s="1840" t="s">
        <v>2068</v>
      </c>
      <c r="F755" s="4">
        <v>1</v>
      </c>
      <c r="G755" s="6">
        <v>596.53</v>
      </c>
      <c r="H755" s="6">
        <v>614.49</v>
      </c>
      <c r="I755" s="20">
        <f t="shared" ref="I755:I771" si="26">SUM(H755-G755)</f>
        <v>17.960000000000036</v>
      </c>
      <c r="J755" s="616">
        <v>360000</v>
      </c>
      <c r="K755" s="703"/>
      <c r="L755" s="22">
        <f t="shared" ref="L755:L772" si="27">F755*I755*J755</f>
        <v>6465600.000000013</v>
      </c>
      <c r="M755" s="22"/>
      <c r="N755" s="72"/>
      <c r="O755" s="15"/>
    </row>
    <row r="756" spans="1:15" ht="15.5" x14ac:dyDescent="0.35">
      <c r="A756" s="636"/>
      <c r="B756" s="100"/>
      <c r="C756" s="661">
        <v>33</v>
      </c>
      <c r="D756" s="1748" t="s">
        <v>1651</v>
      </c>
      <c r="E756" s="1840" t="s">
        <v>2069</v>
      </c>
      <c r="F756" s="4">
        <v>1</v>
      </c>
      <c r="G756" s="6">
        <v>596.24</v>
      </c>
      <c r="H756" s="6">
        <v>614.17999999999995</v>
      </c>
      <c r="I756" s="20">
        <f t="shared" si="26"/>
        <v>17.939999999999941</v>
      </c>
      <c r="J756" s="616">
        <v>360000</v>
      </c>
      <c r="K756" s="703"/>
      <c r="L756" s="22">
        <f t="shared" si="27"/>
        <v>6458399.9999999786</v>
      </c>
      <c r="M756" s="22"/>
      <c r="N756" s="72"/>
      <c r="O756" s="15"/>
    </row>
    <row r="757" spans="1:15" ht="15.5" x14ac:dyDescent="0.35">
      <c r="A757" s="636">
        <v>10</v>
      </c>
      <c r="B757" s="100" t="s">
        <v>2070</v>
      </c>
      <c r="C757" s="661">
        <v>33</v>
      </c>
      <c r="D757" s="1748" t="s">
        <v>1650</v>
      </c>
      <c r="E757" s="1840" t="s">
        <v>2071</v>
      </c>
      <c r="F757" s="4">
        <v>1</v>
      </c>
      <c r="G757" s="6"/>
      <c r="H757" s="6"/>
      <c r="I757" s="20">
        <f t="shared" si="26"/>
        <v>0</v>
      </c>
      <c r="J757" s="616">
        <v>360000</v>
      </c>
      <c r="K757" s="703"/>
      <c r="L757" s="22">
        <f t="shared" si="27"/>
        <v>0</v>
      </c>
      <c r="M757" s="22"/>
      <c r="N757" s="72"/>
      <c r="O757" s="15"/>
    </row>
    <row r="758" spans="1:15" ht="15.5" x14ac:dyDescent="0.35">
      <c r="A758" s="636"/>
      <c r="B758" s="100"/>
      <c r="C758" s="661">
        <v>33</v>
      </c>
      <c r="D758" s="1748" t="s">
        <v>1651</v>
      </c>
      <c r="E758" s="1840" t="s">
        <v>2072</v>
      </c>
      <c r="F758" s="4">
        <v>1</v>
      </c>
      <c r="G758" s="6"/>
      <c r="H758" s="6"/>
      <c r="I758" s="20">
        <f t="shared" si="26"/>
        <v>0</v>
      </c>
      <c r="J758" s="616">
        <v>360000</v>
      </c>
      <c r="K758" s="703"/>
      <c r="L758" s="22">
        <f t="shared" si="27"/>
        <v>0</v>
      </c>
      <c r="M758" s="22"/>
      <c r="N758" s="72"/>
      <c r="O758" s="15"/>
    </row>
    <row r="759" spans="1:15" ht="15.5" x14ac:dyDescent="0.35">
      <c r="A759" s="636">
        <v>11</v>
      </c>
      <c r="B759" s="100" t="s">
        <v>2073</v>
      </c>
      <c r="C759" s="661">
        <v>33</v>
      </c>
      <c r="D759" s="1748" t="s">
        <v>1650</v>
      </c>
      <c r="E759" s="1840" t="s">
        <v>1985</v>
      </c>
      <c r="F759" s="4">
        <v>1</v>
      </c>
      <c r="G759" s="6">
        <v>496.78</v>
      </c>
      <c r="H759" s="6">
        <v>518.39</v>
      </c>
      <c r="I759" s="20">
        <f t="shared" si="26"/>
        <v>21.610000000000014</v>
      </c>
      <c r="J759" s="616">
        <v>360000</v>
      </c>
      <c r="K759" s="703"/>
      <c r="L759" s="22">
        <f t="shared" si="27"/>
        <v>7779600.0000000047</v>
      </c>
      <c r="M759" s="22"/>
      <c r="N759" s="72"/>
      <c r="O759" s="15"/>
    </row>
    <row r="760" spans="1:15" ht="15.5" x14ac:dyDescent="0.35">
      <c r="A760" s="636"/>
      <c r="B760" s="100"/>
      <c r="C760" s="661">
        <v>33</v>
      </c>
      <c r="D760" s="1748" t="s">
        <v>1651</v>
      </c>
      <c r="E760" s="1840" t="s">
        <v>1986</v>
      </c>
      <c r="F760" s="4">
        <v>1</v>
      </c>
      <c r="G760" s="6">
        <v>496.8</v>
      </c>
      <c r="H760" s="6">
        <v>518.41</v>
      </c>
      <c r="I760" s="20">
        <f t="shared" si="26"/>
        <v>21.609999999999957</v>
      </c>
      <c r="J760" s="616">
        <v>360000</v>
      </c>
      <c r="K760" s="703"/>
      <c r="L760" s="22">
        <f t="shared" si="27"/>
        <v>7779599.9999999842</v>
      </c>
      <c r="M760" s="22"/>
      <c r="N760" s="72"/>
      <c r="O760" s="15"/>
    </row>
    <row r="761" spans="1:15" ht="15.5" x14ac:dyDescent="0.35">
      <c r="A761" s="636">
        <v>12</v>
      </c>
      <c r="B761" s="100" t="s">
        <v>2074</v>
      </c>
      <c r="C761" s="661">
        <v>33</v>
      </c>
      <c r="D761" s="1748" t="s">
        <v>1650</v>
      </c>
      <c r="E761" s="1840" t="s">
        <v>2075</v>
      </c>
      <c r="F761" s="4">
        <v>1</v>
      </c>
      <c r="G761" s="6"/>
      <c r="H761" s="6"/>
      <c r="I761" s="20">
        <f t="shared" si="26"/>
        <v>0</v>
      </c>
      <c r="J761" s="616">
        <v>360000</v>
      </c>
      <c r="K761" s="703"/>
      <c r="L761" s="22">
        <f t="shared" si="27"/>
        <v>0</v>
      </c>
      <c r="M761" s="22"/>
      <c r="N761" s="72"/>
      <c r="O761" s="15"/>
    </row>
    <row r="762" spans="1:15" ht="15.5" x14ac:dyDescent="0.35">
      <c r="A762" s="636"/>
      <c r="B762" s="100"/>
      <c r="C762" s="661">
        <v>33</v>
      </c>
      <c r="D762" s="1748" t="s">
        <v>1651</v>
      </c>
      <c r="E762" s="1840" t="s">
        <v>2076</v>
      </c>
      <c r="F762" s="4">
        <v>1</v>
      </c>
      <c r="G762" s="6"/>
      <c r="H762" s="6"/>
      <c r="I762" s="20">
        <f t="shared" si="26"/>
        <v>0</v>
      </c>
      <c r="J762" s="616">
        <v>360000</v>
      </c>
      <c r="K762" s="703"/>
      <c r="L762" s="22">
        <f t="shared" si="27"/>
        <v>0</v>
      </c>
      <c r="M762" s="22"/>
      <c r="N762" s="72"/>
      <c r="O762" s="15"/>
    </row>
    <row r="763" spans="1:15" ht="15.5" x14ac:dyDescent="0.35">
      <c r="A763" s="636">
        <v>17</v>
      </c>
      <c r="B763" s="100" t="s">
        <v>2089</v>
      </c>
      <c r="C763" s="661">
        <v>33</v>
      </c>
      <c r="D763" s="1748" t="s">
        <v>1650</v>
      </c>
      <c r="E763" s="1840" t="s">
        <v>2090</v>
      </c>
      <c r="F763" s="4">
        <v>1</v>
      </c>
      <c r="G763" s="6">
        <v>431.46</v>
      </c>
      <c r="H763" s="6">
        <v>442.13</v>
      </c>
      <c r="I763" s="20">
        <f t="shared" si="26"/>
        <v>10.670000000000016</v>
      </c>
      <c r="J763" s="616">
        <v>360000</v>
      </c>
      <c r="K763" s="703"/>
      <c r="L763" s="22">
        <f t="shared" si="27"/>
        <v>3841200.0000000056</v>
      </c>
      <c r="M763" s="22"/>
      <c r="N763" s="72"/>
      <c r="O763" s="15"/>
    </row>
    <row r="764" spans="1:15" ht="15.5" x14ac:dyDescent="0.35">
      <c r="A764" s="636"/>
      <c r="B764" s="100"/>
      <c r="C764" s="661">
        <v>33</v>
      </c>
      <c r="D764" s="1748" t="s">
        <v>1651</v>
      </c>
      <c r="E764" s="1840" t="s">
        <v>2060</v>
      </c>
      <c r="F764" s="4">
        <v>1</v>
      </c>
      <c r="G764" s="6">
        <v>431.72</v>
      </c>
      <c r="H764" s="6">
        <v>442.39</v>
      </c>
      <c r="I764" s="20">
        <f t="shared" si="26"/>
        <v>10.669999999999959</v>
      </c>
      <c r="J764" s="616">
        <v>360000</v>
      </c>
      <c r="K764" s="703"/>
      <c r="L764" s="22">
        <f t="shared" si="27"/>
        <v>3841199.9999999851</v>
      </c>
      <c r="M764" s="22"/>
      <c r="N764" s="72"/>
      <c r="O764" s="15"/>
    </row>
    <row r="765" spans="1:15" ht="15.5" x14ac:dyDescent="0.35">
      <c r="A765" s="636">
        <v>18</v>
      </c>
      <c r="B765" s="100" t="s">
        <v>2091</v>
      </c>
      <c r="C765" s="661">
        <v>33</v>
      </c>
      <c r="D765" s="1748" t="s">
        <v>1650</v>
      </c>
      <c r="E765" s="1840" t="s">
        <v>1988</v>
      </c>
      <c r="F765" s="4">
        <v>1</v>
      </c>
      <c r="G765" s="6">
        <v>369.5</v>
      </c>
      <c r="H765" s="6">
        <v>380.73</v>
      </c>
      <c r="I765" s="20">
        <f t="shared" si="26"/>
        <v>11.230000000000018</v>
      </c>
      <c r="J765" s="616">
        <v>360000</v>
      </c>
      <c r="K765" s="703"/>
      <c r="L765" s="22">
        <f t="shared" si="27"/>
        <v>4042800.0000000065</v>
      </c>
      <c r="M765" s="22"/>
      <c r="N765" s="72"/>
      <c r="O765" s="15"/>
    </row>
    <row r="766" spans="1:15" ht="15.5" x14ac:dyDescent="0.35">
      <c r="A766" s="636"/>
      <c r="B766" s="100"/>
      <c r="C766" s="661">
        <v>33</v>
      </c>
      <c r="D766" s="1748" t="s">
        <v>1651</v>
      </c>
      <c r="E766" s="1840" t="s">
        <v>1989</v>
      </c>
      <c r="F766" s="4">
        <v>1</v>
      </c>
      <c r="G766" s="6">
        <v>369.64</v>
      </c>
      <c r="H766" s="6">
        <v>380.87</v>
      </c>
      <c r="I766" s="20">
        <f t="shared" si="26"/>
        <v>11.230000000000018</v>
      </c>
      <c r="J766" s="616">
        <v>360000</v>
      </c>
      <c r="K766" s="703"/>
      <c r="L766" s="22">
        <f t="shared" si="27"/>
        <v>4042800.0000000065</v>
      </c>
      <c r="M766" s="22"/>
      <c r="N766" s="72"/>
      <c r="O766" s="15"/>
    </row>
    <row r="767" spans="1:15" ht="15.5" x14ac:dyDescent="0.35">
      <c r="A767" s="636">
        <v>19</v>
      </c>
      <c r="B767" s="100" t="s">
        <v>2092</v>
      </c>
      <c r="C767" s="661">
        <v>33</v>
      </c>
      <c r="D767" s="1748" t="s">
        <v>1650</v>
      </c>
      <c r="E767" s="1841" t="s">
        <v>2093</v>
      </c>
      <c r="F767" s="4">
        <v>1</v>
      </c>
      <c r="G767" s="6"/>
      <c r="H767" s="6"/>
      <c r="I767" s="20">
        <f t="shared" si="26"/>
        <v>0</v>
      </c>
      <c r="J767" s="616">
        <v>360000</v>
      </c>
      <c r="K767" s="704"/>
      <c r="L767" s="22">
        <f t="shared" si="27"/>
        <v>0</v>
      </c>
      <c r="M767" s="22"/>
      <c r="N767" s="72"/>
      <c r="O767" s="14"/>
    </row>
    <row r="768" spans="1:15" ht="15.5" x14ac:dyDescent="0.35">
      <c r="A768" s="636"/>
      <c r="B768" s="100"/>
      <c r="C768" s="661">
        <v>33</v>
      </c>
      <c r="D768" s="1748" t="s">
        <v>1651</v>
      </c>
      <c r="E768" s="1841" t="s">
        <v>2094</v>
      </c>
      <c r="F768" s="4">
        <v>1</v>
      </c>
      <c r="G768" s="6"/>
      <c r="H768" s="6"/>
      <c r="I768" s="20">
        <f t="shared" si="26"/>
        <v>0</v>
      </c>
      <c r="J768" s="616">
        <v>360000</v>
      </c>
      <c r="K768" s="704"/>
      <c r="L768" s="22">
        <f t="shared" si="27"/>
        <v>0</v>
      </c>
      <c r="M768" s="22"/>
      <c r="N768" s="72"/>
      <c r="O768" s="14"/>
    </row>
    <row r="769" spans="1:15" ht="15.5" x14ac:dyDescent="0.35">
      <c r="A769" s="636">
        <v>20</v>
      </c>
      <c r="B769" s="100" t="s">
        <v>2095</v>
      </c>
      <c r="C769" s="661">
        <v>33</v>
      </c>
      <c r="D769" s="1748" t="s">
        <v>1650</v>
      </c>
      <c r="E769" s="1840" t="s">
        <v>2096</v>
      </c>
      <c r="F769" s="4">
        <v>1</v>
      </c>
      <c r="G769" s="6"/>
      <c r="H769" s="6"/>
      <c r="I769" s="20">
        <f t="shared" si="26"/>
        <v>0</v>
      </c>
      <c r="J769" s="616">
        <v>360000</v>
      </c>
      <c r="K769" s="704"/>
      <c r="L769" s="22">
        <f t="shared" si="27"/>
        <v>0</v>
      </c>
      <c r="M769" s="22"/>
      <c r="N769" s="72"/>
      <c r="O769" s="14"/>
    </row>
    <row r="770" spans="1:15" ht="15.5" x14ac:dyDescent="0.35">
      <c r="A770" s="636"/>
      <c r="B770" s="100"/>
      <c r="C770" s="661">
        <v>33</v>
      </c>
      <c r="D770" s="1748" t="s">
        <v>1651</v>
      </c>
      <c r="E770" s="1840" t="s">
        <v>2097</v>
      </c>
      <c r="F770" s="4">
        <v>1</v>
      </c>
      <c r="G770" s="6"/>
      <c r="H770" s="6"/>
      <c r="I770" s="20">
        <f t="shared" si="26"/>
        <v>0</v>
      </c>
      <c r="J770" s="616">
        <v>360000</v>
      </c>
      <c r="K770" s="703"/>
      <c r="L770" s="22">
        <f t="shared" si="27"/>
        <v>0</v>
      </c>
      <c r="M770" s="22"/>
      <c r="N770" s="72"/>
      <c r="O770" s="15"/>
    </row>
    <row r="771" spans="1:15" ht="15.5" x14ac:dyDescent="0.35">
      <c r="A771" s="636">
        <v>21</v>
      </c>
      <c r="B771" s="100" t="s">
        <v>2098</v>
      </c>
      <c r="C771" s="661">
        <v>0.41499999999999998</v>
      </c>
      <c r="D771" s="1748"/>
      <c r="E771" s="1840" t="s">
        <v>2099</v>
      </c>
      <c r="F771" s="4">
        <v>1</v>
      </c>
      <c r="G771" s="6">
        <v>387.5</v>
      </c>
      <c r="H771" s="6">
        <v>485.32</v>
      </c>
      <c r="I771" s="20">
        <f t="shared" si="26"/>
        <v>97.82</v>
      </c>
      <c r="J771" s="616">
        <v>1</v>
      </c>
      <c r="K771" s="704"/>
      <c r="L771" s="22">
        <f>F771*I771*J771</f>
        <v>97.82</v>
      </c>
      <c r="M771" s="22"/>
      <c r="N771" s="72"/>
      <c r="O771" s="10"/>
    </row>
    <row r="772" spans="1:15" ht="15.5" x14ac:dyDescent="0.35">
      <c r="A772" s="636">
        <v>22</v>
      </c>
      <c r="B772" s="100" t="s">
        <v>2100</v>
      </c>
      <c r="C772" s="661">
        <v>0.41499999999999998</v>
      </c>
      <c r="D772" s="1748"/>
      <c r="E772" s="1840"/>
      <c r="F772" s="4">
        <v>1</v>
      </c>
      <c r="G772" s="6"/>
      <c r="H772" s="6" t="s">
        <v>2101</v>
      </c>
      <c r="I772" s="20"/>
      <c r="J772" s="616">
        <v>1</v>
      </c>
      <c r="K772" s="703"/>
      <c r="L772" s="22">
        <f t="shared" si="27"/>
        <v>0</v>
      </c>
      <c r="M772" s="22"/>
      <c r="N772" s="72"/>
      <c r="O772" s="13"/>
    </row>
    <row r="773" spans="1:15" ht="15.5" x14ac:dyDescent="0.35">
      <c r="A773" s="636"/>
      <c r="B773" s="96"/>
      <c r="C773" s="90"/>
      <c r="D773" s="90"/>
      <c r="E773" s="1785"/>
      <c r="F773" s="38"/>
      <c r="G773" s="38"/>
      <c r="H773" s="38"/>
      <c r="I773" s="38"/>
      <c r="J773" s="95" t="s">
        <v>30</v>
      </c>
      <c r="K773" s="696"/>
      <c r="L773" s="43">
        <f>L772+L771+L769+L767+L765+L763+L761+L759+L757+L755</f>
        <v>22129297.82000003</v>
      </c>
      <c r="M773" s="43">
        <f>M772+M771+M769+M767+M765+M763+M761+M759+M757+M755</f>
        <v>0</v>
      </c>
      <c r="N773" s="99"/>
      <c r="O773" s="13"/>
    </row>
    <row r="774" spans="1:15" ht="20" x14ac:dyDescent="0.35">
      <c r="A774" s="636"/>
      <c r="B774" s="96"/>
      <c r="C774" s="90"/>
      <c r="D774" s="90"/>
      <c r="E774" s="1785"/>
      <c r="F774" s="38"/>
      <c r="G774" s="38"/>
      <c r="H774" s="38"/>
      <c r="I774" s="2107" t="s">
        <v>44</v>
      </c>
      <c r="J774" s="2108"/>
      <c r="K774" s="698">
        <f>M747*0.996</f>
        <v>0</v>
      </c>
      <c r="L774" s="44">
        <f>L754+L773</f>
        <v>29511697.82</v>
      </c>
      <c r="M774" s="44">
        <f>M773+M754</f>
        <v>0</v>
      </c>
      <c r="N774" s="84">
        <f>(M774-L774)/L774*100</f>
        <v>-100</v>
      </c>
      <c r="O774" s="29"/>
    </row>
    <row r="775" spans="1:15" x14ac:dyDescent="0.35">
      <c r="A775" s="620"/>
      <c r="B775" s="635"/>
      <c r="C775" s="632"/>
      <c r="D775" s="720"/>
      <c r="K775" s="702"/>
      <c r="L775" s="620"/>
      <c r="M775" s="620"/>
      <c r="N775" s="635"/>
      <c r="O775" s="620"/>
    </row>
    <row r="776" spans="1:15" ht="15" x14ac:dyDescent="0.35">
      <c r="A776" s="620"/>
      <c r="B776" t="s">
        <v>237</v>
      </c>
      <c r="D776" s="725"/>
      <c r="G776" s="2092" t="s">
        <v>1096</v>
      </c>
      <c r="H776" s="2092"/>
      <c r="I776" s="2092"/>
      <c r="J776" s="677" t="s">
        <v>14</v>
      </c>
      <c r="K776" s="69" t="s">
        <v>1098</v>
      </c>
      <c r="L776" s="620"/>
      <c r="M776" s="620"/>
      <c r="N776" s="635"/>
      <c r="O776" s="620"/>
    </row>
    <row r="777" spans="1:15" ht="17.5" x14ac:dyDescent="0.35">
      <c r="A777" s="620"/>
      <c r="D777" s="725"/>
      <c r="G777" s="2093" t="s">
        <v>1071</v>
      </c>
      <c r="H777" s="2093"/>
      <c r="I777" s="2093"/>
      <c r="J777" s="692">
        <f>M754</f>
        <v>0</v>
      </c>
      <c r="K777" s="70">
        <v>6.933634163553025</v>
      </c>
      <c r="L777" s="620"/>
      <c r="M777" s="620"/>
      <c r="N777" s="635"/>
      <c r="O777" s="620"/>
    </row>
    <row r="778" spans="1:15" ht="17.5" x14ac:dyDescent="0.35">
      <c r="A778" s="620"/>
      <c r="D778" s="725"/>
      <c r="G778" s="2093" t="s">
        <v>206</v>
      </c>
      <c r="H778" s="2093"/>
      <c r="I778" s="2093"/>
      <c r="J778" s="692">
        <f>M755+M767+M768</f>
        <v>0</v>
      </c>
      <c r="K778" s="70">
        <v>-0.33769527905653496</v>
      </c>
      <c r="L778" s="620"/>
      <c r="M778" s="620"/>
      <c r="N778" s="635"/>
      <c r="O778" s="620"/>
    </row>
    <row r="779" spans="1:15" ht="17.5" x14ac:dyDescent="0.35">
      <c r="A779" s="620"/>
      <c r="D779" s="725"/>
      <c r="G779" s="2093" t="s">
        <v>207</v>
      </c>
      <c r="H779" s="2093"/>
      <c r="I779" s="2093"/>
      <c r="J779" s="692">
        <f>M769+M770</f>
        <v>0</v>
      </c>
      <c r="K779" s="70"/>
      <c r="L779" s="620"/>
      <c r="M779" s="620"/>
      <c r="N779" s="635"/>
      <c r="O779" s="620"/>
    </row>
    <row r="780" spans="1:15" ht="17.5" x14ac:dyDescent="0.35">
      <c r="A780" s="620"/>
      <c r="D780" s="725"/>
      <c r="G780" s="2093" t="s">
        <v>208</v>
      </c>
      <c r="H780" s="2093"/>
      <c r="I780" s="2093"/>
      <c r="J780" s="692">
        <f>M771</f>
        <v>0</v>
      </c>
      <c r="K780" s="70">
        <v>0.58957194954853154</v>
      </c>
      <c r="L780" s="620"/>
      <c r="M780" s="620"/>
      <c r="N780" s="635"/>
      <c r="O780" s="620"/>
    </row>
    <row r="781" spans="1:15" ht="17.5" x14ac:dyDescent="0.35">
      <c r="A781" s="620"/>
      <c r="B781" s="635"/>
      <c r="C781" s="632"/>
      <c r="D781" s="720"/>
      <c r="G781" s="2093" t="s">
        <v>209</v>
      </c>
      <c r="H781" s="2093"/>
      <c r="I781" s="2093"/>
      <c r="J781" s="692">
        <f>M772</f>
        <v>0</v>
      </c>
      <c r="K781" s="70"/>
      <c r="L781" s="620"/>
      <c r="M781" s="620"/>
      <c r="N781" s="635"/>
      <c r="O781" s="620"/>
    </row>
    <row r="782" spans="1:15" ht="17.5" x14ac:dyDescent="0.35">
      <c r="A782" s="620"/>
      <c r="B782" s="635"/>
      <c r="C782" s="632"/>
      <c r="D782" s="720"/>
      <c r="G782" s="2093" t="s">
        <v>40</v>
      </c>
      <c r="H782" s="2093"/>
      <c r="I782" s="2093"/>
      <c r="J782" s="692" t="e">
        <f>#REF!+#REF!</f>
        <v>#REF!</v>
      </c>
      <c r="K782" s="70">
        <v>2.4391608198671739</v>
      </c>
      <c r="L782" s="620"/>
      <c r="M782" s="620"/>
      <c r="N782" s="635"/>
      <c r="O782" s="620"/>
    </row>
    <row r="783" spans="1:15" x14ac:dyDescent="0.35">
      <c r="A783" s="620"/>
      <c r="B783" s="635"/>
      <c r="C783" s="632"/>
      <c r="D783" s="720"/>
      <c r="G783" s="2094" t="s">
        <v>42</v>
      </c>
      <c r="H783" s="2094"/>
      <c r="I783" s="2094"/>
      <c r="J783" s="693" t="e">
        <f>#REF!</f>
        <v>#REF!</v>
      </c>
      <c r="K783" s="694" t="s">
        <v>1097</v>
      </c>
      <c r="L783" s="620"/>
      <c r="M783" s="620"/>
      <c r="N783" s="635"/>
      <c r="O783" s="620"/>
    </row>
    <row r="784" spans="1:15" ht="18" thickBot="1" x14ac:dyDescent="0.4">
      <c r="A784" s="620"/>
      <c r="B784" s="635"/>
      <c r="C784" s="632"/>
      <c r="D784" s="720"/>
      <c r="E784" s="1788"/>
      <c r="F784" s="620"/>
      <c r="G784" s="2093" t="s">
        <v>41</v>
      </c>
      <c r="H784" s="2093"/>
      <c r="I784" s="2093"/>
      <c r="J784" s="692" t="e">
        <f>#REF!</f>
        <v>#REF!</v>
      </c>
      <c r="K784" s="681">
        <v>1.4463055987403735</v>
      </c>
      <c r="L784" s="620"/>
      <c r="M784" s="620"/>
      <c r="N784" s="635"/>
      <c r="O784" s="620"/>
    </row>
    <row r="785" spans="1:15" ht="20.5" thickBot="1" x14ac:dyDescent="0.4">
      <c r="A785" s="620"/>
      <c r="B785" s="635"/>
      <c r="C785" s="632"/>
      <c r="D785" s="720"/>
      <c r="E785" s="1788"/>
      <c r="F785" s="620"/>
      <c r="G785" s="620"/>
      <c r="H785" s="620"/>
      <c r="I785" s="642" t="s">
        <v>210</v>
      </c>
      <c r="J785" s="680" t="e">
        <f>SUM(J777:J784)</f>
        <v>#REF!</v>
      </c>
      <c r="K785" s="682" t="e">
        <f>J785-M774</f>
        <v>#REF!</v>
      </c>
      <c r="L785" s="620"/>
      <c r="M785" s="620"/>
      <c r="N785" s="635"/>
      <c r="O785" s="620"/>
    </row>
    <row r="786" spans="1:15" x14ac:dyDescent="0.35">
      <c r="A786" s="620"/>
      <c r="B786" s="635"/>
      <c r="C786" s="632"/>
      <c r="D786" s="720"/>
      <c r="E786" s="1788"/>
      <c r="F786" s="620"/>
      <c r="G786" s="620"/>
      <c r="H786" s="620"/>
      <c r="I786" s="620"/>
      <c r="J786" s="620"/>
      <c r="K786" s="702"/>
      <c r="L786" s="620"/>
      <c r="M786" s="620"/>
      <c r="N786" s="635"/>
      <c r="O786" s="620"/>
    </row>
    <row r="787" spans="1:15" ht="25" x14ac:dyDescent="0.35">
      <c r="A787" s="2095" t="s">
        <v>1195</v>
      </c>
      <c r="B787" s="2095"/>
      <c r="C787" s="2095"/>
      <c r="D787" s="2095"/>
      <c r="E787" s="2095"/>
      <c r="F787" s="2095"/>
      <c r="G787" s="2095"/>
      <c r="H787" s="2095"/>
      <c r="I787" s="2095"/>
      <c r="J787" s="2095"/>
      <c r="K787" s="2095"/>
      <c r="L787" s="2095"/>
      <c r="M787" s="2095"/>
      <c r="N787" s="2095"/>
      <c r="O787" s="756" t="str">
        <f>$O$6</f>
        <v>Month December-2022</v>
      </c>
    </row>
    <row r="788" spans="1:15" ht="15.5" x14ac:dyDescent="0.35">
      <c r="A788" s="2096" t="s">
        <v>0</v>
      </c>
      <c r="B788" s="2098" t="s">
        <v>1</v>
      </c>
      <c r="C788" s="2100" t="s">
        <v>2</v>
      </c>
      <c r="D788" s="2101"/>
      <c r="E788" s="2102"/>
      <c r="F788" s="2103" t="s">
        <v>3</v>
      </c>
      <c r="G788" s="2100" t="s">
        <v>4</v>
      </c>
      <c r="H788" s="2102"/>
      <c r="I788" s="2085"/>
      <c r="J788" s="2103" t="s">
        <v>5</v>
      </c>
      <c r="K788" s="2100" t="s">
        <v>6</v>
      </c>
      <c r="L788" s="2085"/>
      <c r="M788" s="97" t="s">
        <v>32</v>
      </c>
      <c r="N788" s="98"/>
      <c r="O788" s="2084" t="s">
        <v>7</v>
      </c>
    </row>
    <row r="789" spans="1:15" ht="15.5" x14ac:dyDescent="0.35">
      <c r="A789" s="2097"/>
      <c r="B789" s="2099"/>
      <c r="C789" s="2086" t="s">
        <v>1108</v>
      </c>
      <c r="D789" s="2087"/>
      <c r="E789" s="1810" t="s">
        <v>9</v>
      </c>
      <c r="F789" s="2097"/>
      <c r="G789" s="2">
        <f>'NORTH-1'!$G$8</f>
        <v>44774</v>
      </c>
      <c r="H789" s="2">
        <f>'NORTH-1'!$H$8</f>
        <v>44805</v>
      </c>
      <c r="I789" s="1" t="s">
        <v>10</v>
      </c>
      <c r="J789" s="2097"/>
      <c r="K789" s="1" t="s">
        <v>11</v>
      </c>
      <c r="L789" s="1" t="s">
        <v>12</v>
      </c>
      <c r="M789" s="617" t="s">
        <v>33</v>
      </c>
      <c r="N789" s="76" t="s">
        <v>47</v>
      </c>
      <c r="O789" s="2085"/>
    </row>
    <row r="790" spans="1:15" ht="15.5" x14ac:dyDescent="0.35">
      <c r="A790" s="3">
        <v>1</v>
      </c>
      <c r="B790" s="88">
        <v>2</v>
      </c>
      <c r="C790" s="2088">
        <v>4</v>
      </c>
      <c r="D790" s="2089"/>
      <c r="E790" s="1811">
        <v>5</v>
      </c>
      <c r="F790" s="3">
        <v>7</v>
      </c>
      <c r="G790" s="3">
        <v>8</v>
      </c>
      <c r="H790" s="3">
        <v>9</v>
      </c>
      <c r="I790" s="3" t="s">
        <v>13</v>
      </c>
      <c r="J790" s="3">
        <v>11</v>
      </c>
      <c r="K790" s="3" t="s">
        <v>19</v>
      </c>
      <c r="L790" s="3" t="s">
        <v>20</v>
      </c>
      <c r="M790" s="3">
        <v>14</v>
      </c>
      <c r="N790" s="77">
        <v>15</v>
      </c>
      <c r="O790" s="3">
        <v>16</v>
      </c>
    </row>
    <row r="791" spans="1:15" ht="15" x14ac:dyDescent="0.35">
      <c r="A791" s="636"/>
      <c r="B791" s="624" t="s">
        <v>1104</v>
      </c>
      <c r="C791" s="625"/>
      <c r="D791" s="625"/>
      <c r="E791" s="1794"/>
      <c r="F791" s="625"/>
      <c r="G791" s="625"/>
      <c r="H791" s="625"/>
      <c r="I791" s="625"/>
      <c r="J791" s="625"/>
      <c r="K791" s="695"/>
      <c r="L791" s="625"/>
      <c r="M791" s="626"/>
      <c r="N791" s="1972"/>
      <c r="O791" s="12"/>
    </row>
    <row r="792" spans="1:15" ht="15.5" x14ac:dyDescent="0.35">
      <c r="A792" s="616">
        <v>3</v>
      </c>
      <c r="B792" s="100" t="s">
        <v>2102</v>
      </c>
      <c r="C792" s="73">
        <v>11</v>
      </c>
      <c r="D792" s="1779"/>
      <c r="E792" s="1801" t="s">
        <v>2103</v>
      </c>
      <c r="F792" s="32">
        <v>1</v>
      </c>
      <c r="G792" s="5">
        <v>561.28</v>
      </c>
      <c r="H792" s="5">
        <v>577.27</v>
      </c>
      <c r="I792" s="21">
        <f>H792-G792</f>
        <v>15.990000000000009</v>
      </c>
      <c r="J792" s="616">
        <v>250000</v>
      </c>
      <c r="K792" s="707">
        <f>F792*I792*J792</f>
        <v>3997500.0000000023</v>
      </c>
      <c r="L792" s="22"/>
      <c r="M792" s="22"/>
      <c r="N792" s="99"/>
      <c r="O792" s="12"/>
    </row>
    <row r="793" spans="1:15" ht="26.5" customHeight="1" x14ac:dyDescent="0.35">
      <c r="A793" s="616">
        <v>20</v>
      </c>
      <c r="B793" s="100" t="s">
        <v>2137</v>
      </c>
      <c r="C793" s="73">
        <v>11</v>
      </c>
      <c r="D793" s="1780"/>
      <c r="E793" s="1801" t="s">
        <v>2138</v>
      </c>
      <c r="F793" s="32">
        <v>1</v>
      </c>
      <c r="G793" s="5">
        <v>474.87</v>
      </c>
      <c r="H793" s="5">
        <v>488.28</v>
      </c>
      <c r="I793" s="21">
        <f>H793-G793</f>
        <v>13.409999999999968</v>
      </c>
      <c r="J793" s="616">
        <v>250000</v>
      </c>
      <c r="K793" s="707">
        <f>F793*I793*J793</f>
        <v>3352499.9999999921</v>
      </c>
      <c r="L793" s="22"/>
      <c r="M793" s="22"/>
      <c r="N793" s="99"/>
      <c r="O793" s="12"/>
    </row>
    <row r="794" spans="1:15" ht="15" x14ac:dyDescent="0.35">
      <c r="A794" s="636"/>
      <c r="B794" s="96"/>
      <c r="C794" s="90"/>
      <c r="D794" s="90"/>
      <c r="E794" s="1785"/>
      <c r="F794" s="38"/>
      <c r="G794" s="38"/>
      <c r="H794" s="38"/>
      <c r="I794" s="38"/>
      <c r="J794" s="96" t="s">
        <v>30</v>
      </c>
      <c r="K794" s="708">
        <f>SUM(K792:K793)</f>
        <v>7349999.9999999944</v>
      </c>
      <c r="L794" s="43"/>
      <c r="M794" s="43">
        <f>SUM(M792:M793)</f>
        <v>0</v>
      </c>
      <c r="N794" s="99"/>
      <c r="O794" s="12"/>
    </row>
    <row r="795" spans="1:15" ht="15.5" x14ac:dyDescent="0.35">
      <c r="A795" s="631"/>
      <c r="B795" s="647" t="s">
        <v>1105</v>
      </c>
      <c r="C795" s="648"/>
      <c r="D795" s="648"/>
      <c r="E795" s="1800"/>
      <c r="F795" s="648"/>
      <c r="G795" s="648"/>
      <c r="H795" s="648"/>
      <c r="I795" s="648"/>
      <c r="J795" s="648"/>
      <c r="K795" s="700"/>
      <c r="L795" s="648"/>
      <c r="M795" s="651"/>
      <c r="N795" s="1971"/>
      <c r="O795" s="616"/>
    </row>
    <row r="796" spans="1:15" ht="15.5" x14ac:dyDescent="0.35">
      <c r="A796" s="631">
        <v>4</v>
      </c>
      <c r="B796" s="100" t="s">
        <v>2104</v>
      </c>
      <c r="C796" s="73">
        <v>11</v>
      </c>
      <c r="D796" s="2167"/>
      <c r="E796" s="1801" t="s">
        <v>2105</v>
      </c>
      <c r="F796" s="32">
        <v>1</v>
      </c>
      <c r="G796" s="6"/>
      <c r="H796" s="6"/>
      <c r="I796" s="20">
        <f t="shared" ref="I796:I811" si="28">H796-G796</f>
        <v>0</v>
      </c>
      <c r="J796" s="616">
        <v>60000</v>
      </c>
      <c r="K796" s="703"/>
      <c r="L796" s="22">
        <f t="shared" ref="L796:L811" si="29">I796*J796</f>
        <v>0</v>
      </c>
      <c r="M796" s="22"/>
      <c r="N796" s="72"/>
      <c r="O796" s="15"/>
    </row>
    <row r="797" spans="1:15" ht="15.5" x14ac:dyDescent="0.35">
      <c r="A797" s="631">
        <v>5</v>
      </c>
      <c r="B797" s="100" t="s">
        <v>2106</v>
      </c>
      <c r="C797" s="73">
        <v>11</v>
      </c>
      <c r="D797" s="2168"/>
      <c r="E797" s="1801" t="s">
        <v>2107</v>
      </c>
      <c r="F797" s="32">
        <v>1</v>
      </c>
      <c r="G797" s="6"/>
      <c r="H797" s="6"/>
      <c r="I797" s="20">
        <f t="shared" si="28"/>
        <v>0</v>
      </c>
      <c r="J797" s="616">
        <v>60000</v>
      </c>
      <c r="K797" s="703"/>
      <c r="L797" s="22">
        <f t="shared" si="29"/>
        <v>0</v>
      </c>
      <c r="M797" s="22"/>
      <c r="N797" s="72"/>
      <c r="O797" s="15"/>
    </row>
    <row r="798" spans="1:15" ht="15.5" x14ac:dyDescent="0.35">
      <c r="A798" s="631">
        <v>6</v>
      </c>
      <c r="B798" s="100" t="s">
        <v>2108</v>
      </c>
      <c r="C798" s="73">
        <v>11</v>
      </c>
      <c r="D798" s="2168" t="s">
        <v>2109</v>
      </c>
      <c r="E798" s="1801" t="s">
        <v>2110</v>
      </c>
      <c r="F798" s="32">
        <v>1</v>
      </c>
      <c r="G798" s="6">
        <v>665.86</v>
      </c>
      <c r="H798" s="6">
        <v>688.21</v>
      </c>
      <c r="I798" s="20">
        <f t="shared" si="28"/>
        <v>22.350000000000023</v>
      </c>
      <c r="J798" s="616">
        <v>60000</v>
      </c>
      <c r="K798" s="703"/>
      <c r="L798" s="22">
        <f t="shared" si="29"/>
        <v>1341000.0000000014</v>
      </c>
      <c r="M798" s="22"/>
      <c r="N798" s="72" t="s">
        <v>117</v>
      </c>
      <c r="O798" s="15"/>
    </row>
    <row r="799" spans="1:15" ht="15.5" x14ac:dyDescent="0.35">
      <c r="A799" s="631">
        <v>7</v>
      </c>
      <c r="B799" s="100" t="s">
        <v>2111</v>
      </c>
      <c r="C799" s="73">
        <v>11</v>
      </c>
      <c r="D799" s="2168" t="s">
        <v>2109</v>
      </c>
      <c r="E799" s="1801" t="s">
        <v>2112</v>
      </c>
      <c r="F799" s="32">
        <v>1</v>
      </c>
      <c r="G799" s="6">
        <v>248.46</v>
      </c>
      <c r="H799" s="6">
        <v>264.55</v>
      </c>
      <c r="I799" s="20">
        <f t="shared" si="28"/>
        <v>16.090000000000003</v>
      </c>
      <c r="J799" s="616">
        <v>60000</v>
      </c>
      <c r="K799" s="703"/>
      <c r="L799" s="22">
        <f t="shared" si="29"/>
        <v>965400.00000000023</v>
      </c>
      <c r="M799" s="22"/>
      <c r="N799" s="72" t="s">
        <v>117</v>
      </c>
      <c r="O799" s="15"/>
    </row>
    <row r="800" spans="1:15" ht="15.5" x14ac:dyDescent="0.35">
      <c r="A800" s="631">
        <v>8</v>
      </c>
      <c r="B800" s="100" t="s">
        <v>2113</v>
      </c>
      <c r="C800" s="73">
        <v>11</v>
      </c>
      <c r="D800" s="2168" t="s">
        <v>2109</v>
      </c>
      <c r="E800" s="1801" t="s">
        <v>2114</v>
      </c>
      <c r="F800" s="32">
        <v>1</v>
      </c>
      <c r="G800" s="6">
        <v>453.28</v>
      </c>
      <c r="H800" s="6">
        <v>460.44</v>
      </c>
      <c r="I800" s="20">
        <f t="shared" si="28"/>
        <v>7.160000000000025</v>
      </c>
      <c r="J800" s="616">
        <v>60000</v>
      </c>
      <c r="K800" s="703"/>
      <c r="L800" s="22">
        <f t="shared" si="29"/>
        <v>429600.00000000151</v>
      </c>
      <c r="M800" s="22"/>
      <c r="N800" s="72" t="s">
        <v>117</v>
      </c>
      <c r="O800" s="15"/>
    </row>
    <row r="801" spans="1:15" ht="15.5" x14ac:dyDescent="0.35">
      <c r="A801" s="631">
        <v>9</v>
      </c>
      <c r="B801" s="100" t="s">
        <v>2115</v>
      </c>
      <c r="C801" s="73">
        <v>11</v>
      </c>
      <c r="D801" s="2168" t="s">
        <v>2109</v>
      </c>
      <c r="E801" s="1801" t="s">
        <v>2116</v>
      </c>
      <c r="F801" s="32">
        <v>1</v>
      </c>
      <c r="G801" s="6">
        <v>967.66</v>
      </c>
      <c r="H801" s="6">
        <v>988.58</v>
      </c>
      <c r="I801" s="20">
        <f t="shared" si="28"/>
        <v>20.920000000000073</v>
      </c>
      <c r="J801" s="616">
        <v>60000</v>
      </c>
      <c r="K801" s="703"/>
      <c r="L801" s="22">
        <f t="shared" si="29"/>
        <v>1255200.0000000044</v>
      </c>
      <c r="M801" s="22"/>
      <c r="N801" s="72" t="s">
        <v>117</v>
      </c>
      <c r="O801" s="15"/>
    </row>
    <row r="802" spans="1:15" ht="15.5" x14ac:dyDescent="0.35">
      <c r="A802" s="631">
        <v>10</v>
      </c>
      <c r="B802" s="100" t="s">
        <v>2117</v>
      </c>
      <c r="C802" s="73">
        <v>11</v>
      </c>
      <c r="D802" s="2168"/>
      <c r="E802" s="1801" t="s">
        <v>2118</v>
      </c>
      <c r="F802" s="32">
        <v>1</v>
      </c>
      <c r="G802" s="6"/>
      <c r="H802" s="6"/>
      <c r="I802" s="20">
        <f t="shared" si="28"/>
        <v>0</v>
      </c>
      <c r="J802" s="616">
        <v>60000</v>
      </c>
      <c r="K802" s="703"/>
      <c r="L802" s="22">
        <f t="shared" si="29"/>
        <v>0</v>
      </c>
      <c r="M802" s="22"/>
      <c r="N802" s="72"/>
      <c r="O802" s="15"/>
    </row>
    <row r="803" spans="1:15" ht="15.5" x14ac:dyDescent="0.35">
      <c r="A803" s="631">
        <v>11</v>
      </c>
      <c r="B803" s="100" t="s">
        <v>2119</v>
      </c>
      <c r="C803" s="73">
        <v>11</v>
      </c>
      <c r="D803" s="2168"/>
      <c r="E803" s="1801" t="s">
        <v>2120</v>
      </c>
      <c r="F803" s="32">
        <v>1</v>
      </c>
      <c r="G803" s="6"/>
      <c r="H803" s="6"/>
      <c r="I803" s="20">
        <f t="shared" si="28"/>
        <v>0</v>
      </c>
      <c r="J803" s="616">
        <v>60000</v>
      </c>
      <c r="K803" s="703"/>
      <c r="L803" s="22">
        <f t="shared" si="29"/>
        <v>0</v>
      </c>
      <c r="M803" s="22"/>
      <c r="N803" s="72"/>
      <c r="O803" s="15"/>
    </row>
    <row r="804" spans="1:15" ht="15.5" x14ac:dyDescent="0.35">
      <c r="A804" s="631">
        <v>12</v>
      </c>
      <c r="B804" s="100" t="s">
        <v>2121</v>
      </c>
      <c r="C804" s="73">
        <v>11</v>
      </c>
      <c r="D804" s="2168"/>
      <c r="E804" s="1801" t="s">
        <v>2122</v>
      </c>
      <c r="F804" s="32">
        <v>1</v>
      </c>
      <c r="G804" s="6"/>
      <c r="H804" s="6"/>
      <c r="I804" s="20">
        <f t="shared" si="28"/>
        <v>0</v>
      </c>
      <c r="J804" s="616">
        <v>60000</v>
      </c>
      <c r="K804" s="703"/>
      <c r="L804" s="22">
        <f t="shared" si="29"/>
        <v>0</v>
      </c>
      <c r="M804" s="22"/>
      <c r="N804" s="72"/>
      <c r="O804" s="15"/>
    </row>
    <row r="805" spans="1:15" ht="15.5" x14ac:dyDescent="0.35">
      <c r="A805" s="631">
        <v>13</v>
      </c>
      <c r="B805" s="100" t="s">
        <v>2123</v>
      </c>
      <c r="C805" s="73">
        <v>11</v>
      </c>
      <c r="D805" s="2168"/>
      <c r="E805" s="1801" t="s">
        <v>2124</v>
      </c>
      <c r="F805" s="32">
        <v>1</v>
      </c>
      <c r="G805" s="6"/>
      <c r="H805" s="6"/>
      <c r="I805" s="20">
        <f t="shared" si="28"/>
        <v>0</v>
      </c>
      <c r="J805" s="616">
        <v>60000</v>
      </c>
      <c r="K805" s="703"/>
      <c r="L805" s="22">
        <f t="shared" si="29"/>
        <v>0</v>
      </c>
      <c r="M805" s="22"/>
      <c r="N805" s="72"/>
      <c r="O805" s="15"/>
    </row>
    <row r="806" spans="1:15" ht="15.5" x14ac:dyDescent="0.35">
      <c r="A806" s="631">
        <v>14</v>
      </c>
      <c r="B806" s="100" t="s">
        <v>2125</v>
      </c>
      <c r="C806" s="73">
        <v>11</v>
      </c>
      <c r="D806" s="2168"/>
      <c r="E806" s="1801" t="s">
        <v>2126</v>
      </c>
      <c r="F806" s="32">
        <v>1</v>
      </c>
      <c r="G806" s="6"/>
      <c r="H806" s="6"/>
      <c r="I806" s="20">
        <f t="shared" si="28"/>
        <v>0</v>
      </c>
      <c r="J806" s="616">
        <v>60000</v>
      </c>
      <c r="K806" s="703"/>
      <c r="L806" s="22">
        <f t="shared" si="29"/>
        <v>0</v>
      </c>
      <c r="M806" s="22"/>
      <c r="N806" s="72"/>
      <c r="O806" s="15"/>
    </row>
    <row r="807" spans="1:15" ht="15.5" x14ac:dyDescent="0.35">
      <c r="A807" s="631">
        <v>15</v>
      </c>
      <c r="B807" s="100" t="s">
        <v>2127</v>
      </c>
      <c r="C807" s="73">
        <v>11</v>
      </c>
      <c r="D807" s="2168" t="s">
        <v>2109</v>
      </c>
      <c r="E807" s="1801" t="s">
        <v>2128</v>
      </c>
      <c r="F807" s="32">
        <v>1</v>
      </c>
      <c r="G807" s="6">
        <v>16.27</v>
      </c>
      <c r="H807" s="6">
        <v>30.14</v>
      </c>
      <c r="I807" s="20">
        <f t="shared" si="28"/>
        <v>13.870000000000001</v>
      </c>
      <c r="J807" s="616">
        <v>60000</v>
      </c>
      <c r="K807" s="703"/>
      <c r="L807" s="22">
        <f t="shared" si="29"/>
        <v>832200.00000000012</v>
      </c>
      <c r="M807" s="22"/>
      <c r="N807" s="72" t="s">
        <v>117</v>
      </c>
      <c r="O807" s="15"/>
    </row>
    <row r="808" spans="1:15" ht="15.5" x14ac:dyDescent="0.35">
      <c r="A808" s="631">
        <v>16</v>
      </c>
      <c r="B808" s="100" t="s">
        <v>2129</v>
      </c>
      <c r="C808" s="73">
        <v>11</v>
      </c>
      <c r="D808" s="2168" t="s">
        <v>2109</v>
      </c>
      <c r="E808" s="1801" t="s">
        <v>2130</v>
      </c>
      <c r="F808" s="32">
        <v>1</v>
      </c>
      <c r="G808" s="6">
        <v>6.57</v>
      </c>
      <c r="H808" s="6">
        <v>11.77</v>
      </c>
      <c r="I808" s="20">
        <f t="shared" si="28"/>
        <v>5.1999999999999993</v>
      </c>
      <c r="J808" s="616">
        <v>60000</v>
      </c>
      <c r="K808" s="703"/>
      <c r="L808" s="22">
        <f t="shared" si="29"/>
        <v>311999.99999999994</v>
      </c>
      <c r="M808" s="22"/>
      <c r="N808" s="72" t="s">
        <v>117</v>
      </c>
      <c r="O808" s="15"/>
    </row>
    <row r="809" spans="1:15" ht="15.5" x14ac:dyDescent="0.35">
      <c r="A809" s="631">
        <v>17</v>
      </c>
      <c r="B809" s="100" t="s">
        <v>2131</v>
      </c>
      <c r="C809" s="73">
        <v>11</v>
      </c>
      <c r="D809" s="2168" t="s">
        <v>2109</v>
      </c>
      <c r="E809" s="1801" t="s">
        <v>2132</v>
      </c>
      <c r="F809" s="32">
        <v>1</v>
      </c>
      <c r="G809" s="6">
        <v>885.56</v>
      </c>
      <c r="H809" s="6">
        <v>908.51</v>
      </c>
      <c r="I809" s="20">
        <f t="shared" si="28"/>
        <v>22.950000000000045</v>
      </c>
      <c r="J809" s="616">
        <v>60000</v>
      </c>
      <c r="K809" s="703"/>
      <c r="L809" s="22">
        <f t="shared" si="29"/>
        <v>1377000.0000000028</v>
      </c>
      <c r="M809" s="22"/>
      <c r="N809" s="72" t="s">
        <v>117</v>
      </c>
      <c r="O809" s="15"/>
    </row>
    <row r="810" spans="1:15" ht="15.5" x14ac:dyDescent="0.35">
      <c r="A810" s="631">
        <v>18</v>
      </c>
      <c r="B810" s="101" t="s">
        <v>2133</v>
      </c>
      <c r="C810" s="73">
        <v>11</v>
      </c>
      <c r="D810" s="2168" t="s">
        <v>2109</v>
      </c>
      <c r="E810" s="1801" t="s">
        <v>2134</v>
      </c>
      <c r="F810" s="32">
        <v>1</v>
      </c>
      <c r="G810" s="6">
        <v>1070.1600000000001</v>
      </c>
      <c r="H810" s="6">
        <v>1084.04</v>
      </c>
      <c r="I810" s="20">
        <f t="shared" si="28"/>
        <v>13.879999999999882</v>
      </c>
      <c r="J810" s="616">
        <v>60000</v>
      </c>
      <c r="K810" s="703"/>
      <c r="L810" s="22">
        <f t="shared" si="29"/>
        <v>832799.9999999929</v>
      </c>
      <c r="M810" s="22"/>
      <c r="N810" s="72" t="s">
        <v>117</v>
      </c>
      <c r="O810" s="15"/>
    </row>
    <row r="811" spans="1:15" ht="15.5" x14ac:dyDescent="0.35">
      <c r="A811" s="631">
        <v>19</v>
      </c>
      <c r="B811" s="100" t="s">
        <v>2135</v>
      </c>
      <c r="C811" s="73">
        <v>11</v>
      </c>
      <c r="D811" s="2168"/>
      <c r="E811" s="1801" t="s">
        <v>2136</v>
      </c>
      <c r="F811" s="32">
        <v>1</v>
      </c>
      <c r="G811" s="6"/>
      <c r="H811" s="6"/>
      <c r="I811" s="20">
        <f t="shared" si="28"/>
        <v>0</v>
      </c>
      <c r="J811" s="616">
        <v>60000</v>
      </c>
      <c r="K811" s="703"/>
      <c r="L811" s="22">
        <f t="shared" si="29"/>
        <v>0</v>
      </c>
      <c r="M811" s="22"/>
      <c r="N811" s="72"/>
      <c r="O811" s="15"/>
    </row>
    <row r="812" spans="1:15" ht="20" x14ac:dyDescent="0.35">
      <c r="A812" s="636"/>
      <c r="B812" s="96"/>
      <c r="C812" s="90"/>
      <c r="D812" s="90"/>
      <c r="E812" s="1785"/>
      <c r="F812" s="38"/>
      <c r="G812" s="38"/>
      <c r="H812" s="38"/>
      <c r="I812" s="38"/>
      <c r="J812" s="96" t="s">
        <v>30</v>
      </c>
      <c r="K812" s="708">
        <f>M794</f>
        <v>0</v>
      </c>
      <c r="L812" s="43">
        <f>SUM(L796:L811)</f>
        <v>7345200.0000000028</v>
      </c>
      <c r="M812" s="43">
        <f>SUM(M796:M811)</f>
        <v>0</v>
      </c>
      <c r="N812" s="84">
        <f>(M812-L812)/L812*100</f>
        <v>-100</v>
      </c>
      <c r="O812" s="13"/>
    </row>
    <row r="813" spans="1:15" x14ac:dyDescent="0.35">
      <c r="D813" s="725"/>
      <c r="K813" s="34"/>
    </row>
    <row r="814" spans="1:15" ht="15" x14ac:dyDescent="0.35">
      <c r="A814" s="620"/>
      <c r="B814" s="635"/>
      <c r="C814" s="632"/>
      <c r="D814" s="720"/>
      <c r="G814" s="2092" t="s">
        <v>1099</v>
      </c>
      <c r="H814" s="2092"/>
      <c r="I814" s="2092"/>
      <c r="J814" s="677" t="s">
        <v>14</v>
      </c>
      <c r="K814" s="702"/>
      <c r="L814" s="620"/>
      <c r="M814" s="620"/>
      <c r="N814" s="635"/>
      <c r="O814" s="620"/>
    </row>
    <row r="815" spans="1:15" ht="15.5" x14ac:dyDescent="0.35">
      <c r="A815" s="620"/>
      <c r="B815" s="635"/>
      <c r="C815" s="632"/>
      <c r="D815" s="720"/>
      <c r="G815" s="2082" t="s">
        <v>232</v>
      </c>
      <c r="H815" s="2082"/>
      <c r="I815" s="2082"/>
      <c r="J815" s="643" t="e">
        <f>M802+M806+M808+M809+M810+#REF!+#REF!+#REF!+#REF!</f>
        <v>#REF!</v>
      </c>
      <c r="K815" s="702"/>
      <c r="L815" s="620"/>
      <c r="M815" s="620"/>
      <c r="N815" s="635"/>
      <c r="O815" s="620" t="s">
        <v>237</v>
      </c>
    </row>
    <row r="816" spans="1:15" ht="15.5" x14ac:dyDescent="0.35">
      <c r="A816" s="620"/>
      <c r="B816" s="635"/>
      <c r="C816" s="632"/>
      <c r="D816" s="720"/>
      <c r="G816" s="2082" t="s">
        <v>233</v>
      </c>
      <c r="H816" s="2082"/>
      <c r="I816" s="2082"/>
      <c r="J816" s="643" t="e">
        <f>M797+M798+M799+M803+M804+M805+#REF!+#REF!+#REF!</f>
        <v>#REF!</v>
      </c>
      <c r="K816" s="702"/>
      <c r="L816" s="620"/>
      <c r="M816" s="620"/>
      <c r="N816" s="635"/>
      <c r="O816" s="620"/>
    </row>
    <row r="817" spans="1:15" ht="15.5" x14ac:dyDescent="0.35">
      <c r="A817" s="620"/>
      <c r="B817" s="635"/>
      <c r="C817" s="632"/>
      <c r="D817" s="720"/>
      <c r="G817" s="2082" t="s">
        <v>234</v>
      </c>
      <c r="H817" s="2082"/>
      <c r="I817" s="2082"/>
      <c r="J817" s="643" t="e">
        <f>#REF!</f>
        <v>#REF!</v>
      </c>
      <c r="K817" s="702"/>
      <c r="L817" s="620"/>
      <c r="M817" s="620"/>
      <c r="N817" s="635"/>
      <c r="O817" s="620"/>
    </row>
    <row r="818" spans="1:15" ht="16" thickBot="1" x14ac:dyDescent="0.4">
      <c r="A818" s="620"/>
      <c r="B818" s="635"/>
      <c r="C818" s="632"/>
      <c r="D818" s="720"/>
      <c r="G818" s="2082" t="s">
        <v>235</v>
      </c>
      <c r="H818" s="2082"/>
      <c r="I818" s="2082"/>
      <c r="J818" s="643" t="e">
        <f>M796+M800+M801+M807+M811+#REF!+#REF!+#REF!+#REF!</f>
        <v>#REF!</v>
      </c>
      <c r="K818" s="702"/>
      <c r="L818" s="620"/>
      <c r="M818" s="620"/>
      <c r="N818" s="635"/>
      <c r="O818" s="620"/>
    </row>
    <row r="819" spans="1:15" ht="20.5" thickBot="1" x14ac:dyDescent="0.4">
      <c r="A819" s="620"/>
      <c r="B819" s="635"/>
      <c r="C819" s="632"/>
      <c r="D819" s="720"/>
      <c r="G819" s="2083" t="s">
        <v>210</v>
      </c>
      <c r="H819" s="2083"/>
      <c r="I819" s="2083"/>
      <c r="J819" s="714" t="e">
        <f>SUM(J815:J818)</f>
        <v>#REF!</v>
      </c>
      <c r="K819" s="682" t="e">
        <f>J819-M812</f>
        <v>#REF!</v>
      </c>
      <c r="L819" s="620"/>
      <c r="M819" s="620"/>
      <c r="N819" s="635"/>
      <c r="O819" s="620"/>
    </row>
    <row r="821" spans="1:15" x14ac:dyDescent="0.35">
      <c r="A821" s="620"/>
      <c r="B821" s="635"/>
      <c r="C821" s="632"/>
      <c r="D821" s="720"/>
      <c r="E821" s="1788"/>
      <c r="F821" s="620"/>
      <c r="G821" s="620"/>
      <c r="H821" s="620"/>
      <c r="I821" s="620"/>
      <c r="J821" s="620"/>
      <c r="K821" s="702"/>
      <c r="L821" s="620"/>
      <c r="M821" s="620"/>
      <c r="N821" s="635"/>
      <c r="O821" s="620"/>
    </row>
    <row r="822" spans="1:15" x14ac:dyDescent="0.35">
      <c r="A822" s="620"/>
      <c r="B822" s="635"/>
      <c r="C822" s="632"/>
      <c r="D822" s="720"/>
      <c r="E822" s="1788"/>
      <c r="F822" s="620"/>
      <c r="G822" s="620"/>
      <c r="H822" s="620"/>
      <c r="I822" s="620"/>
      <c r="J822" s="620"/>
      <c r="K822" s="702"/>
      <c r="L822" s="620"/>
      <c r="M822" s="620"/>
      <c r="N822" s="635"/>
      <c r="O822" s="620"/>
    </row>
    <row r="823" spans="1:15" x14ac:dyDescent="0.35">
      <c r="A823" s="620"/>
      <c r="B823" s="635"/>
      <c r="C823" s="632"/>
      <c r="D823" s="720"/>
      <c r="E823" s="1788"/>
      <c r="F823" s="620"/>
      <c r="G823" s="620"/>
      <c r="H823" s="620"/>
      <c r="I823" s="620"/>
      <c r="J823" s="620"/>
      <c r="K823" s="702"/>
      <c r="L823" s="620"/>
      <c r="M823" s="620"/>
      <c r="N823" s="635"/>
      <c r="O823" s="620"/>
    </row>
    <row r="824" spans="1:15" x14ac:dyDescent="0.35">
      <c r="A824" s="620"/>
      <c r="B824" s="635"/>
      <c r="C824" s="632"/>
      <c r="D824" s="720"/>
      <c r="E824" s="1788"/>
      <c r="F824" s="620"/>
      <c r="G824" s="620"/>
      <c r="H824" s="620"/>
      <c r="I824" s="620"/>
      <c r="J824" s="620"/>
      <c r="K824" s="702"/>
      <c r="L824" s="620"/>
      <c r="M824" s="620"/>
      <c r="N824" s="635"/>
      <c r="O824" s="620"/>
    </row>
    <row r="825" spans="1:15" x14ac:dyDescent="0.35">
      <c r="A825" s="620"/>
      <c r="B825" s="635"/>
      <c r="C825" s="632"/>
      <c r="D825" s="720"/>
      <c r="E825" s="1788"/>
      <c r="F825" s="620"/>
      <c r="G825" s="620"/>
      <c r="H825" s="620"/>
      <c r="I825" s="620"/>
      <c r="J825" s="620"/>
      <c r="K825" s="702"/>
      <c r="L825" s="620"/>
      <c r="M825" s="620"/>
      <c r="N825" s="635"/>
      <c r="O825" s="620"/>
    </row>
    <row r="826" spans="1:15" x14ac:dyDescent="0.35">
      <c r="A826" s="620"/>
      <c r="B826" s="632"/>
      <c r="C826" s="632"/>
      <c r="D826" s="720"/>
      <c r="E826" s="1788"/>
      <c r="F826" s="620"/>
      <c r="G826" s="620"/>
      <c r="H826" s="620"/>
      <c r="I826" s="620"/>
      <c r="J826" s="620"/>
      <c r="K826" s="702"/>
      <c r="L826" s="620"/>
      <c r="M826" s="620"/>
      <c r="N826" s="635"/>
      <c r="O826" s="620"/>
    </row>
    <row r="827" spans="1:15" x14ac:dyDescent="0.35">
      <c r="A827" s="620"/>
      <c r="B827" s="632"/>
      <c r="C827" s="632"/>
      <c r="D827" s="720"/>
      <c r="E827" s="1788"/>
      <c r="F827" s="620"/>
      <c r="G827" s="620"/>
      <c r="H827" s="620"/>
      <c r="I827" s="620"/>
      <c r="J827" s="620"/>
      <c r="K827" s="702"/>
      <c r="L827" s="620"/>
      <c r="M827" s="620"/>
      <c r="N827" s="635"/>
      <c r="O827" s="620"/>
    </row>
    <row r="828" spans="1:15" x14ac:dyDescent="0.35">
      <c r="A828" s="620"/>
      <c r="B828" s="635"/>
      <c r="C828" s="632"/>
      <c r="D828" s="720"/>
      <c r="E828" s="1788"/>
      <c r="F828" s="620"/>
      <c r="G828" s="620"/>
      <c r="H828" s="620"/>
      <c r="I828" s="620"/>
      <c r="J828" s="620"/>
      <c r="K828" s="702"/>
      <c r="L828" s="620"/>
      <c r="M828" s="620"/>
      <c r="N828" s="635"/>
      <c r="O828" s="620"/>
    </row>
    <row r="829" spans="1:15" x14ac:dyDescent="0.35">
      <c r="A829" s="620"/>
      <c r="B829" s="635"/>
      <c r="C829" s="632"/>
      <c r="D829" s="720"/>
      <c r="E829" s="1788"/>
      <c r="F829" s="620"/>
      <c r="G829" s="620"/>
      <c r="H829" s="620"/>
      <c r="I829" s="620"/>
      <c r="J829" s="620"/>
      <c r="K829" s="702"/>
      <c r="L829" s="620"/>
      <c r="M829" s="620"/>
      <c r="N829" s="635"/>
      <c r="O829" s="620"/>
    </row>
    <row r="830" spans="1:15" x14ac:dyDescent="0.35">
      <c r="A830" s="620"/>
      <c r="B830" s="635"/>
      <c r="C830" s="632"/>
      <c r="D830" s="720"/>
      <c r="E830" s="1788"/>
      <c r="F830" s="620"/>
      <c r="G830" s="620"/>
      <c r="H830" s="620"/>
      <c r="I830" s="620"/>
      <c r="J830" s="620"/>
      <c r="K830" s="702"/>
      <c r="L830" s="620"/>
      <c r="M830" s="620"/>
      <c r="N830" s="635"/>
      <c r="O830" s="620"/>
    </row>
    <row r="831" spans="1:15" ht="25" x14ac:dyDescent="0.35">
      <c r="A831" s="28"/>
      <c r="B831" s="2152"/>
      <c r="C831" s="2152"/>
      <c r="D831" s="2152"/>
      <c r="E831" s="2152"/>
      <c r="F831" s="2152"/>
      <c r="G831" s="2152"/>
      <c r="H831" s="2152"/>
      <c r="I831" s="2152"/>
      <c r="J831" s="2152"/>
      <c r="K831" s="2152"/>
      <c r="L831" s="2152"/>
      <c r="M831" s="2152"/>
      <c r="N831" s="635"/>
      <c r="O831" s="620"/>
    </row>
    <row r="832" spans="1:15" x14ac:dyDescent="0.35">
      <c r="A832" s="620"/>
      <c r="B832" s="635"/>
      <c r="C832" s="632"/>
      <c r="D832" s="720"/>
      <c r="E832" s="1788"/>
      <c r="F832" s="620"/>
      <c r="G832" s="620"/>
      <c r="H832" s="620"/>
      <c r="I832" s="620"/>
      <c r="J832" s="620"/>
      <c r="K832" s="702"/>
      <c r="L832" s="620"/>
      <c r="M832" s="620"/>
      <c r="N832" s="635"/>
      <c r="O832" s="620"/>
    </row>
    <row r="833" spans="1:15" x14ac:dyDescent="0.35">
      <c r="A833" s="620"/>
      <c r="B833" s="635"/>
      <c r="C833" s="632"/>
      <c r="D833" s="720"/>
      <c r="E833" s="1788"/>
      <c r="F833" s="620"/>
      <c r="G833" s="620"/>
      <c r="H833" s="620"/>
      <c r="I833" s="620"/>
      <c r="J833" s="620"/>
      <c r="K833" s="702"/>
      <c r="L833" s="620"/>
      <c r="M833" s="620"/>
      <c r="N833" s="635"/>
      <c r="O833" s="620"/>
    </row>
    <row r="834" spans="1:15" ht="25" x14ac:dyDescent="0.35">
      <c r="A834" s="2095" t="s">
        <v>1196</v>
      </c>
      <c r="B834" s="2095"/>
      <c r="C834" s="2095"/>
      <c r="D834" s="2095"/>
      <c r="E834" s="2095"/>
      <c r="F834" s="2095"/>
      <c r="G834" s="2095"/>
      <c r="H834" s="2095"/>
      <c r="I834" s="2095"/>
      <c r="J834" s="2095"/>
      <c r="K834" s="2095"/>
      <c r="L834" s="2095"/>
      <c r="M834" s="2095"/>
      <c r="N834" s="2095"/>
      <c r="O834" s="756" t="str">
        <f>$O$6</f>
        <v>Month December-2022</v>
      </c>
    </row>
    <row r="835" spans="1:15" ht="15.5" x14ac:dyDescent="0.35">
      <c r="A835" s="2096" t="s">
        <v>0</v>
      </c>
      <c r="B835" s="2098" t="s">
        <v>1</v>
      </c>
      <c r="C835" s="2100" t="s">
        <v>2</v>
      </c>
      <c r="D835" s="2101"/>
      <c r="E835" s="2102"/>
      <c r="F835" s="2103" t="s">
        <v>3</v>
      </c>
      <c r="G835" s="2100" t="s">
        <v>4</v>
      </c>
      <c r="H835" s="2102"/>
      <c r="I835" s="2085"/>
      <c r="J835" s="2103" t="s">
        <v>5</v>
      </c>
      <c r="K835" s="2100" t="s">
        <v>6</v>
      </c>
      <c r="L835" s="2085"/>
      <c r="M835" s="97" t="s">
        <v>32</v>
      </c>
      <c r="N835" s="98"/>
      <c r="O835" s="2084" t="s">
        <v>7</v>
      </c>
    </row>
    <row r="836" spans="1:15" ht="15.5" x14ac:dyDescent="0.35">
      <c r="A836" s="2097"/>
      <c r="B836" s="2099"/>
      <c r="C836" s="2086" t="s">
        <v>1108</v>
      </c>
      <c r="D836" s="2087"/>
      <c r="E836" s="1810" t="s">
        <v>9</v>
      </c>
      <c r="F836" s="2097"/>
      <c r="G836" s="2">
        <f>'NORTH-1'!$G$8</f>
        <v>44774</v>
      </c>
      <c r="H836" s="2">
        <f>'NORTH-1'!$H$8</f>
        <v>44805</v>
      </c>
      <c r="I836" s="1" t="s">
        <v>10</v>
      </c>
      <c r="J836" s="2097"/>
      <c r="K836" s="1" t="s">
        <v>11</v>
      </c>
      <c r="L836" s="1" t="s">
        <v>12</v>
      </c>
      <c r="M836" s="617" t="s">
        <v>33</v>
      </c>
      <c r="N836" s="76" t="s">
        <v>47</v>
      </c>
      <c r="O836" s="2085"/>
    </row>
    <row r="837" spans="1:15" ht="15.5" x14ac:dyDescent="0.35">
      <c r="A837" s="3">
        <v>1</v>
      </c>
      <c r="B837" s="88">
        <v>2</v>
      </c>
      <c r="C837" s="2088">
        <v>4</v>
      </c>
      <c r="D837" s="2089"/>
      <c r="E837" s="1811">
        <v>5</v>
      </c>
      <c r="F837" s="3">
        <v>7</v>
      </c>
      <c r="G837" s="3">
        <v>8</v>
      </c>
      <c r="H837" s="3">
        <v>9</v>
      </c>
      <c r="I837" s="3" t="s">
        <v>13</v>
      </c>
      <c r="J837" s="3">
        <v>11</v>
      </c>
      <c r="K837" s="3" t="s">
        <v>19</v>
      </c>
      <c r="L837" s="3" t="s">
        <v>20</v>
      </c>
      <c r="M837" s="3">
        <v>14</v>
      </c>
      <c r="N837" s="77">
        <v>15</v>
      </c>
      <c r="O837" s="3">
        <v>16</v>
      </c>
    </row>
    <row r="838" spans="1:15" ht="15.5" x14ac:dyDescent="0.35">
      <c r="A838" s="631"/>
      <c r="B838" s="624" t="s">
        <v>1100</v>
      </c>
      <c r="C838" s="625"/>
      <c r="D838" s="625"/>
      <c r="E838" s="1794"/>
      <c r="F838" s="625"/>
      <c r="G838" s="625"/>
      <c r="H838" s="625"/>
      <c r="I838" s="625"/>
      <c r="J838" s="625"/>
      <c r="K838" s="695"/>
      <c r="L838" s="625"/>
      <c r="M838" s="626"/>
      <c r="N838" s="1972"/>
      <c r="O838" s="616"/>
    </row>
    <row r="839" spans="1:15" ht="15.5" x14ac:dyDescent="0.35">
      <c r="A839" s="11">
        <v>1</v>
      </c>
      <c r="B839" s="100" t="s">
        <v>2139</v>
      </c>
      <c r="C839" s="52">
        <v>33</v>
      </c>
      <c r="D839" s="735" t="s">
        <v>339</v>
      </c>
      <c r="E839" s="1801" t="s">
        <v>2140</v>
      </c>
      <c r="F839" s="4">
        <v>1</v>
      </c>
      <c r="G839" s="21">
        <v>667.15920000000006</v>
      </c>
      <c r="H839" s="21">
        <v>667.15920000000006</v>
      </c>
      <c r="I839" s="21">
        <f t="shared" ref="I839:I845" si="30">SUM(H839-G839)</f>
        <v>0</v>
      </c>
      <c r="J839" s="616">
        <v>240000</v>
      </c>
      <c r="K839" s="696">
        <f t="shared" ref="K839:K845" si="31">F839*I839*J839</f>
        <v>0</v>
      </c>
      <c r="L839" s="22"/>
      <c r="M839" s="22"/>
      <c r="N839" s="72"/>
      <c r="O839" s="9"/>
    </row>
    <row r="840" spans="1:15" ht="15.5" x14ac:dyDescent="0.35">
      <c r="A840" s="11">
        <v>2</v>
      </c>
      <c r="B840" s="100" t="s">
        <v>2141</v>
      </c>
      <c r="C840" s="52">
        <v>33</v>
      </c>
      <c r="D840" s="735" t="s">
        <v>1650</v>
      </c>
      <c r="E840" s="1801" t="s">
        <v>2068</v>
      </c>
      <c r="F840" s="4">
        <v>1</v>
      </c>
      <c r="G840" s="21">
        <v>596.53</v>
      </c>
      <c r="H840" s="21">
        <v>614.49</v>
      </c>
      <c r="I840" s="21">
        <f t="shared" si="30"/>
        <v>17.960000000000036</v>
      </c>
      <c r="J840" s="616">
        <v>360000</v>
      </c>
      <c r="K840" s="696">
        <f t="shared" si="31"/>
        <v>6465600.000000013</v>
      </c>
      <c r="L840" s="22"/>
      <c r="M840" s="22"/>
      <c r="N840" s="72"/>
      <c r="O840" s="9"/>
    </row>
    <row r="841" spans="1:15" ht="15.5" x14ac:dyDescent="0.35">
      <c r="A841" s="11"/>
      <c r="B841" s="100"/>
      <c r="C841" s="52">
        <v>33</v>
      </c>
      <c r="D841" s="735" t="s">
        <v>1651</v>
      </c>
      <c r="E841" s="1801" t="s">
        <v>2069</v>
      </c>
      <c r="F841" s="4">
        <v>1</v>
      </c>
      <c r="G841" s="21">
        <v>596.24</v>
      </c>
      <c r="H841" s="21">
        <v>614.17999999999995</v>
      </c>
      <c r="I841" s="21">
        <f t="shared" si="30"/>
        <v>17.939999999999941</v>
      </c>
      <c r="J841" s="616">
        <v>360000</v>
      </c>
      <c r="K841" s="696">
        <f t="shared" si="31"/>
        <v>6458399.9999999786</v>
      </c>
      <c r="L841" s="22"/>
      <c r="M841" s="22"/>
      <c r="N841" s="72"/>
      <c r="O841" s="9"/>
    </row>
    <row r="842" spans="1:15" ht="15.5" x14ac:dyDescent="0.35">
      <c r="A842" s="11">
        <v>3</v>
      </c>
      <c r="B842" s="100" t="s">
        <v>2142</v>
      </c>
      <c r="C842" s="52">
        <v>33</v>
      </c>
      <c r="D842" s="735" t="s">
        <v>1650</v>
      </c>
      <c r="E842" s="1801" t="s">
        <v>2090</v>
      </c>
      <c r="F842" s="4">
        <v>1</v>
      </c>
      <c r="G842" s="21">
        <v>431.46</v>
      </c>
      <c r="H842" s="21">
        <v>442.13</v>
      </c>
      <c r="I842" s="21">
        <f t="shared" si="30"/>
        <v>10.670000000000016</v>
      </c>
      <c r="J842" s="616">
        <v>360000</v>
      </c>
      <c r="K842" s="696">
        <f t="shared" si="31"/>
        <v>3841200.0000000056</v>
      </c>
      <c r="L842" s="22"/>
      <c r="M842" s="22"/>
      <c r="N842" s="72"/>
      <c r="O842" s="9"/>
    </row>
    <row r="843" spans="1:15" ht="15.5" x14ac:dyDescent="0.35">
      <c r="A843" s="11"/>
      <c r="B843" s="100"/>
      <c r="C843" s="52">
        <v>33</v>
      </c>
      <c r="D843" s="735" t="s">
        <v>1651</v>
      </c>
      <c r="E843" s="1801" t="s">
        <v>2060</v>
      </c>
      <c r="F843" s="4">
        <v>1</v>
      </c>
      <c r="G843" s="21">
        <v>431.72</v>
      </c>
      <c r="H843" s="21">
        <v>442.39</v>
      </c>
      <c r="I843" s="21">
        <f t="shared" si="30"/>
        <v>10.669999999999959</v>
      </c>
      <c r="J843" s="616">
        <v>360000</v>
      </c>
      <c r="K843" s="696">
        <f t="shared" si="31"/>
        <v>3841199.9999999851</v>
      </c>
      <c r="L843" s="22"/>
      <c r="M843" s="22"/>
      <c r="N843" s="72"/>
      <c r="O843" s="9"/>
    </row>
    <row r="844" spans="1:15" ht="15.5" x14ac:dyDescent="0.35">
      <c r="A844" s="11">
        <v>4</v>
      </c>
      <c r="B844" s="100" t="s">
        <v>2143</v>
      </c>
      <c r="C844" s="52">
        <v>33</v>
      </c>
      <c r="D844" s="735" t="s">
        <v>326</v>
      </c>
      <c r="E844" s="1801"/>
      <c r="F844" s="4">
        <v>1</v>
      </c>
      <c r="G844" s="21"/>
      <c r="H844" s="21"/>
      <c r="I844" s="21">
        <f t="shared" si="30"/>
        <v>0</v>
      </c>
      <c r="J844" s="616"/>
      <c r="K844" s="696">
        <f t="shared" si="31"/>
        <v>0</v>
      </c>
      <c r="L844" s="22">
        <f>F844*I844*J844</f>
        <v>0</v>
      </c>
      <c r="M844" s="22"/>
      <c r="N844" s="72"/>
      <c r="O844" s="9"/>
    </row>
    <row r="845" spans="1:15" ht="15.5" x14ac:dyDescent="0.35">
      <c r="A845" s="11"/>
      <c r="B845" s="100"/>
      <c r="C845" s="52">
        <v>33</v>
      </c>
      <c r="D845" s="735" t="s">
        <v>339</v>
      </c>
      <c r="E845" s="1801"/>
      <c r="F845" s="4">
        <v>1</v>
      </c>
      <c r="G845" s="21"/>
      <c r="H845" s="21"/>
      <c r="I845" s="21">
        <f t="shared" si="30"/>
        <v>0</v>
      </c>
      <c r="J845" s="616"/>
      <c r="K845" s="696">
        <f t="shared" si="31"/>
        <v>0</v>
      </c>
      <c r="L845" s="22"/>
      <c r="M845" s="22"/>
      <c r="N845" s="72"/>
      <c r="O845" s="9"/>
    </row>
    <row r="846" spans="1:15" ht="15.5" x14ac:dyDescent="0.35">
      <c r="A846" s="631"/>
      <c r="B846" s="102"/>
      <c r="C846" s="91"/>
      <c r="D846" s="726"/>
      <c r="E846" s="1814"/>
      <c r="F846" s="47"/>
      <c r="G846" s="48"/>
      <c r="H846" s="48"/>
      <c r="I846" s="48"/>
      <c r="J846" s="96" t="s">
        <v>30</v>
      </c>
      <c r="K846" s="43">
        <f>K845+K842+K840+K839</f>
        <v>10306800.000000019</v>
      </c>
      <c r="L846" s="43">
        <f>SUM(L839:L845)</f>
        <v>0</v>
      </c>
      <c r="M846" s="43">
        <f>SUM(M839:M845)</f>
        <v>0</v>
      </c>
      <c r="N846" s="646"/>
      <c r="O846" s="616"/>
    </row>
    <row r="847" spans="1:15" ht="15.5" x14ac:dyDescent="0.35">
      <c r="A847" s="616"/>
      <c r="B847" s="624" t="s">
        <v>1113</v>
      </c>
      <c r="C847" s="625"/>
      <c r="D847" s="625"/>
      <c r="E847" s="1794"/>
      <c r="F847" s="625"/>
      <c r="G847" s="625"/>
      <c r="H847" s="625"/>
      <c r="I847" s="625"/>
      <c r="J847" s="732"/>
      <c r="K847" s="733"/>
      <c r="L847" s="734"/>
      <c r="M847" s="734"/>
      <c r="N847" s="1972"/>
      <c r="O847" s="12"/>
    </row>
    <row r="848" spans="1:15" ht="15.5" x14ac:dyDescent="0.35">
      <c r="A848" s="616">
        <v>5</v>
      </c>
      <c r="B848" s="100" t="s">
        <v>2144</v>
      </c>
      <c r="C848" s="52">
        <v>33</v>
      </c>
      <c r="D848" s="735" t="s">
        <v>339</v>
      </c>
      <c r="E848" s="1801"/>
      <c r="F848" s="4">
        <v>1</v>
      </c>
      <c r="G848" s="21">
        <v>155042096</v>
      </c>
      <c r="H848" s="21">
        <v>158872320</v>
      </c>
      <c r="I848" s="20">
        <f>H848-G848</f>
        <v>3830224</v>
      </c>
      <c r="J848" s="616">
        <v>1</v>
      </c>
      <c r="K848" s="696">
        <f>F848*I848*J848</f>
        <v>3830224</v>
      </c>
      <c r="L848" s="22"/>
      <c r="M848" s="22"/>
      <c r="N848" s="72"/>
      <c r="O848" s="12"/>
    </row>
    <row r="849" spans="1:15" ht="15.5" x14ac:dyDescent="0.35">
      <c r="A849" s="616">
        <v>6</v>
      </c>
      <c r="B849" s="100" t="s">
        <v>2145</v>
      </c>
      <c r="C849" s="52">
        <v>33</v>
      </c>
      <c r="D849" s="735" t="s">
        <v>339</v>
      </c>
      <c r="E849" s="1801" t="s">
        <v>2146</v>
      </c>
      <c r="F849" s="4">
        <v>1</v>
      </c>
      <c r="G849" s="21">
        <v>108089912</v>
      </c>
      <c r="H849" s="21">
        <v>108089912</v>
      </c>
      <c r="I849" s="20">
        <f>H849-G849</f>
        <v>0</v>
      </c>
      <c r="J849" s="616">
        <v>1</v>
      </c>
      <c r="K849" s="696">
        <f>F849*I849*J849</f>
        <v>0</v>
      </c>
      <c r="L849" s="22"/>
      <c r="M849" s="22"/>
      <c r="N849" s="72"/>
      <c r="O849" s="12"/>
    </row>
    <row r="850" spans="1:15" ht="15.5" x14ac:dyDescent="0.35">
      <c r="A850" s="616">
        <v>8</v>
      </c>
      <c r="B850" s="100" t="s">
        <v>2149</v>
      </c>
      <c r="C850" s="52">
        <v>33</v>
      </c>
      <c r="D850" s="735" t="s">
        <v>326</v>
      </c>
      <c r="E850" s="1801" t="s">
        <v>1983</v>
      </c>
      <c r="F850" s="4">
        <v>1</v>
      </c>
      <c r="G850" s="21">
        <v>23104980</v>
      </c>
      <c r="H850" s="21">
        <v>23104980</v>
      </c>
      <c r="I850" s="20">
        <f>H850-G850</f>
        <v>0</v>
      </c>
      <c r="J850" s="616">
        <v>1</v>
      </c>
      <c r="K850" s="696"/>
      <c r="L850" s="22">
        <f>I850*F850*J850</f>
        <v>0</v>
      </c>
      <c r="M850" s="22"/>
      <c r="N850" s="72"/>
      <c r="O850" s="12"/>
    </row>
    <row r="851" spans="1:15" ht="15.5" x14ac:dyDescent="0.35">
      <c r="A851" s="616"/>
      <c r="B851" s="100"/>
      <c r="C851" s="52">
        <v>33</v>
      </c>
      <c r="D851" s="735" t="s">
        <v>339</v>
      </c>
      <c r="E851" s="1801" t="s">
        <v>1983</v>
      </c>
      <c r="F851" s="4">
        <v>1</v>
      </c>
      <c r="G851" s="21">
        <v>3086100</v>
      </c>
      <c r="H851" s="21">
        <v>3086100</v>
      </c>
      <c r="I851" s="20">
        <f>H851-G851</f>
        <v>0</v>
      </c>
      <c r="J851" s="616">
        <v>1</v>
      </c>
      <c r="K851" s="696">
        <f>F851*I851*J851</f>
        <v>0</v>
      </c>
      <c r="L851" s="22"/>
      <c r="M851" s="22"/>
      <c r="N851" s="72"/>
      <c r="O851" s="12"/>
    </row>
    <row r="852" spans="1:15" ht="15.5" x14ac:dyDescent="0.35">
      <c r="A852" s="616">
        <v>9</v>
      </c>
      <c r="B852" s="100" t="s">
        <v>2150</v>
      </c>
      <c r="C852" s="52">
        <v>33</v>
      </c>
      <c r="D852" s="735" t="s">
        <v>339</v>
      </c>
      <c r="E852" s="1801"/>
      <c r="F852" s="4">
        <v>1</v>
      </c>
      <c r="G852" s="21">
        <v>214375408</v>
      </c>
      <c r="H852" s="21">
        <v>220828416</v>
      </c>
      <c r="I852" s="20">
        <f>H852-G852</f>
        <v>6453008</v>
      </c>
      <c r="J852" s="616">
        <v>1</v>
      </c>
      <c r="K852" s="696">
        <f>F852*I852*J852</f>
        <v>6453008</v>
      </c>
      <c r="L852" s="22"/>
      <c r="M852" s="22"/>
      <c r="N852" s="72"/>
      <c r="O852" s="12"/>
    </row>
    <row r="853" spans="1:15" ht="15.5" x14ac:dyDescent="0.35">
      <c r="A853" s="616"/>
      <c r="B853" s="102"/>
      <c r="C853" s="91"/>
      <c r="D853" s="726"/>
      <c r="E853" s="1814"/>
      <c r="F853" s="47"/>
      <c r="G853" s="48"/>
      <c r="H853" s="48"/>
      <c r="I853" s="36"/>
      <c r="J853" s="96" t="s">
        <v>30</v>
      </c>
      <c r="K853" s="43">
        <f>SUM(K848:K852)</f>
        <v>10283232</v>
      </c>
      <c r="L853" s="43">
        <f>SUM(L848:L852)</f>
        <v>0</v>
      </c>
      <c r="M853" s="43">
        <f>SUM(M848:M852)</f>
        <v>0</v>
      </c>
      <c r="N853" s="1973"/>
      <c r="O853" s="12"/>
    </row>
    <row r="854" spans="1:15" ht="15.5" x14ac:dyDescent="0.35">
      <c r="A854" s="616"/>
      <c r="B854" s="647" t="s">
        <v>1114</v>
      </c>
      <c r="C854" s="648"/>
      <c r="D854" s="648"/>
      <c r="E854" s="1800"/>
      <c r="F854" s="648"/>
      <c r="G854" s="648"/>
      <c r="H854" s="648"/>
      <c r="I854" s="648"/>
      <c r="J854" s="648"/>
      <c r="K854" s="700"/>
      <c r="L854" s="648"/>
      <c r="M854" s="651"/>
      <c r="N854" s="1971"/>
      <c r="O854" s="8"/>
    </row>
    <row r="855" spans="1:15" ht="15.5" x14ac:dyDescent="0.35">
      <c r="A855" s="616"/>
      <c r="B855" s="100" t="s">
        <v>1079</v>
      </c>
      <c r="C855" s="52">
        <v>132</v>
      </c>
      <c r="D855" s="2138" t="s">
        <v>1083</v>
      </c>
      <c r="E855" s="1818"/>
      <c r="F855" s="4"/>
      <c r="G855" s="5"/>
      <c r="H855" s="5"/>
      <c r="I855" s="5"/>
      <c r="J855" s="616"/>
      <c r="K855" s="696"/>
      <c r="L855" s="16">
        <f>J855*I855*F855</f>
        <v>0</v>
      </c>
      <c r="M855" s="7"/>
      <c r="N855" s="1428"/>
      <c r="O855" s="616"/>
    </row>
    <row r="856" spans="1:15" ht="15.5" x14ac:dyDescent="0.35">
      <c r="A856" s="616"/>
      <c r="B856" s="100" t="s">
        <v>1078</v>
      </c>
      <c r="C856" s="52">
        <v>132</v>
      </c>
      <c r="D856" s="2139"/>
      <c r="E856" s="1818"/>
      <c r="F856" s="4"/>
      <c r="G856" s="5" t="s">
        <v>237</v>
      </c>
      <c r="H856" s="5"/>
      <c r="I856" s="5"/>
      <c r="J856" s="616"/>
      <c r="K856" s="696"/>
      <c r="L856" s="16">
        <f>J856*I856*F856</f>
        <v>0</v>
      </c>
      <c r="M856" s="16"/>
      <c r="N856" s="711"/>
      <c r="O856" s="616"/>
    </row>
    <row r="857" spans="1:15" ht="15.5" x14ac:dyDescent="0.35">
      <c r="A857" s="616"/>
      <c r="B857" s="95"/>
      <c r="C857" s="89"/>
      <c r="D857" s="89"/>
      <c r="E857" s="1784"/>
      <c r="F857" s="37"/>
      <c r="G857" s="37"/>
      <c r="H857" s="37"/>
      <c r="I857" s="37"/>
      <c r="J857" s="95" t="s">
        <v>279</v>
      </c>
      <c r="K857" s="699"/>
      <c r="L857" s="55">
        <f>SUM(L855:L856)</f>
        <v>0</v>
      </c>
      <c r="M857" s="633"/>
      <c r="N857" s="1921"/>
      <c r="O857" s="616"/>
    </row>
    <row r="858" spans="1:15" ht="15.5" x14ac:dyDescent="0.35">
      <c r="A858" s="616"/>
      <c r="B858" s="102"/>
      <c r="C858" s="91"/>
      <c r="D858" s="726"/>
      <c r="E858" s="1814"/>
      <c r="F858" s="47"/>
      <c r="G858" s="48"/>
      <c r="H858" s="48"/>
      <c r="I858" s="36"/>
      <c r="J858" s="96"/>
      <c r="K858" s="706"/>
      <c r="L858" s="43"/>
      <c r="M858" s="43"/>
      <c r="N858" s="1973"/>
      <c r="O858" s="12"/>
    </row>
    <row r="859" spans="1:15" ht="15.5" x14ac:dyDescent="0.35">
      <c r="A859" s="636"/>
      <c r="B859" s="647" t="s">
        <v>1110</v>
      </c>
      <c r="C859" s="648"/>
      <c r="D859" s="648"/>
      <c r="E859" s="1800"/>
      <c r="F859" s="648"/>
      <c r="G859" s="648"/>
      <c r="H859" s="648"/>
      <c r="I859" s="648"/>
      <c r="J859" s="50"/>
      <c r="K859" s="710"/>
      <c r="L859" s="51"/>
      <c r="M859" s="51"/>
      <c r="N859" s="1971"/>
      <c r="O859" s="12"/>
    </row>
    <row r="860" spans="1:15" ht="26.5" customHeight="1" x14ac:dyDescent="0.35">
      <c r="A860" s="616">
        <v>7</v>
      </c>
      <c r="B860" s="100" t="s">
        <v>2147</v>
      </c>
      <c r="C860" s="52">
        <v>33</v>
      </c>
      <c r="D860" s="1774" t="s">
        <v>326</v>
      </c>
      <c r="E860" s="1801" t="s">
        <v>2148</v>
      </c>
      <c r="F860" s="4">
        <v>1</v>
      </c>
      <c r="G860" s="21">
        <v>246606240</v>
      </c>
      <c r="H860" s="21">
        <v>250436640</v>
      </c>
      <c r="I860" s="21">
        <f>H860-G860</f>
        <v>3830400</v>
      </c>
      <c r="J860" s="31">
        <v>1</v>
      </c>
      <c r="K860" s="707"/>
      <c r="L860" s="22">
        <f>F860*I860*J860</f>
        <v>3830400</v>
      </c>
      <c r="M860" s="22"/>
      <c r="N860" s="99"/>
      <c r="O860" s="12"/>
    </row>
    <row r="861" spans="1:15" ht="30" x14ac:dyDescent="0.35">
      <c r="A861" s="616">
        <v>10</v>
      </c>
      <c r="B861" s="100" t="s">
        <v>2151</v>
      </c>
      <c r="C861" s="52">
        <v>33</v>
      </c>
      <c r="D861" s="1776" t="s">
        <v>326</v>
      </c>
      <c r="E861" s="1801" t="s">
        <v>2152</v>
      </c>
      <c r="F861" s="4">
        <v>1</v>
      </c>
      <c r="G861" s="21">
        <v>214375408</v>
      </c>
      <c r="H861" s="21">
        <v>220550800</v>
      </c>
      <c r="I861" s="21">
        <f>H861-G861</f>
        <v>6175392</v>
      </c>
      <c r="J861" s="31">
        <v>1</v>
      </c>
      <c r="K861" s="707"/>
      <c r="L861" s="22">
        <f>F861*I861*J861</f>
        <v>6175392</v>
      </c>
      <c r="M861" s="22"/>
      <c r="N861" s="99"/>
      <c r="O861" s="12"/>
    </row>
    <row r="862" spans="1:15" ht="15" x14ac:dyDescent="0.35">
      <c r="A862" s="636"/>
      <c r="B862" s="96"/>
      <c r="C862" s="90"/>
      <c r="D862" s="90"/>
      <c r="E862" s="1785"/>
      <c r="F862" s="38"/>
      <c r="G862" s="38"/>
      <c r="H862" s="38"/>
      <c r="I862" s="38"/>
      <c r="J862" s="96" t="s">
        <v>30</v>
      </c>
      <c r="K862" s="708"/>
      <c r="L862" s="43">
        <f>SUM(L860:L861)</f>
        <v>10005792</v>
      </c>
      <c r="M862" s="43">
        <f>SUM(M860:M861)</f>
        <v>0</v>
      </c>
      <c r="N862" s="650"/>
      <c r="O862" s="12"/>
    </row>
    <row r="863" spans="1:15" ht="15.5" thickBot="1" x14ac:dyDescent="0.4">
      <c r="A863" s="702"/>
      <c r="B863" s="736"/>
      <c r="C863" s="92"/>
      <c r="D863" s="92"/>
      <c r="E863" s="1786"/>
      <c r="F863" s="737"/>
      <c r="G863" s="737"/>
      <c r="H863" s="737"/>
      <c r="I863" s="737"/>
      <c r="J863" s="736"/>
      <c r="K863" s="738"/>
      <c r="L863" s="739"/>
      <c r="M863" s="739"/>
      <c r="N863" s="646"/>
      <c r="O863" s="740"/>
    </row>
    <row r="864" spans="1:15" ht="15" x14ac:dyDescent="0.35">
      <c r="A864" s="702"/>
      <c r="B864" s="2142" t="s">
        <v>1090</v>
      </c>
      <c r="C864" s="2143"/>
      <c r="D864" s="683" t="s">
        <v>14</v>
      </c>
      <c r="F864" s="2144" t="s">
        <v>1091</v>
      </c>
      <c r="G864" s="2145"/>
      <c r="H864" s="2146"/>
      <c r="I864" s="683" t="s">
        <v>14</v>
      </c>
      <c r="J864" s="620"/>
      <c r="K864" s="2147" t="s">
        <v>1092</v>
      </c>
      <c r="L864" s="2148"/>
      <c r="M864" s="684" t="s">
        <v>14</v>
      </c>
      <c r="N864" s="646"/>
      <c r="O864" s="740"/>
    </row>
    <row r="865" spans="1:15" ht="15" x14ac:dyDescent="0.35">
      <c r="A865" s="702"/>
      <c r="B865" s="2122" t="str">
        <f>B838</f>
        <v>MOGBAZAR 33 KV SIDE</v>
      </c>
      <c r="C865" s="2123"/>
      <c r="D865" s="689">
        <f>K846</f>
        <v>10306800.000000019</v>
      </c>
      <c r="F865" s="2124" t="s">
        <v>1093</v>
      </c>
      <c r="G865" s="2125"/>
      <c r="H865" s="2126"/>
      <c r="I865" s="685">
        <f>L857</f>
        <v>0</v>
      </c>
      <c r="J865" s="620"/>
      <c r="K865" s="2160" t="str">
        <f>F866</f>
        <v>MOGBAZAR T&amp;T 33 KV NET IMPORT</v>
      </c>
      <c r="L865" s="2161"/>
      <c r="M865" s="687">
        <f>I866</f>
        <v>10306800.000000019</v>
      </c>
      <c r="N865" s="646"/>
      <c r="O865" s="740"/>
    </row>
    <row r="866" spans="1:15" ht="15" x14ac:dyDescent="0.35">
      <c r="A866" s="702"/>
      <c r="B866" s="2122" t="s">
        <v>1116</v>
      </c>
      <c r="C866" s="2123"/>
      <c r="D866" s="741"/>
      <c r="F866" s="2124" t="s">
        <v>1119</v>
      </c>
      <c r="G866" s="2125"/>
      <c r="H866" s="2126"/>
      <c r="I866" s="685">
        <f>D869-I865</f>
        <v>10306800.000000019</v>
      </c>
      <c r="J866" s="620"/>
      <c r="K866" s="2162" t="s">
        <v>1120</v>
      </c>
      <c r="L866" s="2163"/>
      <c r="M866" s="685">
        <f>M900</f>
        <v>0</v>
      </c>
      <c r="N866" s="646"/>
      <c r="O866" s="740"/>
    </row>
    <row r="867" spans="1:15" ht="15" x14ac:dyDescent="0.35">
      <c r="A867" s="702"/>
      <c r="B867" s="2122" t="s">
        <v>1117</v>
      </c>
      <c r="C867" s="2123"/>
      <c r="D867" s="721"/>
      <c r="F867" s="2124" t="s">
        <v>1089</v>
      </c>
      <c r="G867" s="2125"/>
      <c r="H867" s="2126"/>
      <c r="I867" s="685">
        <f>I865+I866</f>
        <v>10306800.000000019</v>
      </c>
      <c r="J867" s="620"/>
      <c r="K867" s="2127" t="s">
        <v>284</v>
      </c>
      <c r="L867" s="2128"/>
      <c r="M867" s="685">
        <f>M865-M866</f>
        <v>10306800.000000019</v>
      </c>
      <c r="N867" s="646"/>
      <c r="O867" s="740"/>
    </row>
    <row r="868" spans="1:15" ht="16" thickBot="1" x14ac:dyDescent="0.4">
      <c r="A868" s="702"/>
      <c r="B868" s="2122" t="s">
        <v>1118</v>
      </c>
      <c r="C868" s="2123"/>
      <c r="D868" s="722"/>
      <c r="F868" s="2113" t="s">
        <v>1102</v>
      </c>
      <c r="G868" s="2114"/>
      <c r="H868" s="2115"/>
      <c r="I868" s="690">
        <f>(D869-I867)/I867</f>
        <v>0</v>
      </c>
      <c r="J868" s="620"/>
      <c r="K868" s="2134" t="s">
        <v>285</v>
      </c>
      <c r="L868" s="2135"/>
      <c r="M868" s="688">
        <f>M867/M865</f>
        <v>1</v>
      </c>
      <c r="N868" s="646"/>
      <c r="O868" s="740"/>
    </row>
    <row r="869" spans="1:15" ht="15.5" thickBot="1" x14ac:dyDescent="0.4">
      <c r="A869" s="702"/>
      <c r="B869" s="2158" t="s">
        <v>1082</v>
      </c>
      <c r="C869" s="2159"/>
      <c r="D869" s="686">
        <f>SUM(D865:D867)</f>
        <v>10306800.000000019</v>
      </c>
      <c r="F869" s="620"/>
      <c r="G869" s="620"/>
      <c r="H869" s="620"/>
      <c r="I869" s="620"/>
      <c r="J869" s="620"/>
      <c r="K869" s="702"/>
      <c r="L869" s="620"/>
      <c r="M869" s="620"/>
      <c r="N869" s="646"/>
      <c r="O869" s="740"/>
    </row>
    <row r="870" spans="1:15" ht="15" x14ac:dyDescent="0.35">
      <c r="A870" s="702"/>
      <c r="B870" s="736"/>
      <c r="C870" s="92"/>
      <c r="D870" s="92"/>
      <c r="E870" s="1786"/>
      <c r="F870" s="737"/>
      <c r="G870" s="737"/>
      <c r="H870" s="737"/>
      <c r="I870" s="737"/>
      <c r="J870" s="736"/>
      <c r="K870" s="738"/>
      <c r="L870" s="739"/>
      <c r="M870" s="739"/>
      <c r="N870" s="646"/>
      <c r="O870" s="740"/>
    </row>
    <row r="871" spans="1:15" x14ac:dyDescent="0.35">
      <c r="A871" s="620"/>
      <c r="B871" s="632"/>
      <c r="C871" s="620"/>
      <c r="D871" s="728"/>
      <c r="E871" s="1820"/>
      <c r="F871" s="620"/>
      <c r="G871" s="620"/>
      <c r="H871" s="620"/>
      <c r="I871" s="620"/>
      <c r="J871" s="620"/>
      <c r="K871" s="702"/>
      <c r="L871" s="620"/>
      <c r="M871" s="620"/>
      <c r="N871" s="702"/>
      <c r="O871" s="620"/>
    </row>
    <row r="872" spans="1:15" x14ac:dyDescent="0.35">
      <c r="A872" s="620"/>
      <c r="B872" s="632"/>
      <c r="C872" s="620"/>
      <c r="D872" s="728"/>
      <c r="E872" s="1820"/>
      <c r="F872" s="620"/>
      <c r="G872" s="620"/>
      <c r="H872" s="620"/>
      <c r="I872" s="620"/>
      <c r="J872" s="620"/>
      <c r="K872" s="702"/>
      <c r="L872" s="620"/>
      <c r="M872" s="620"/>
      <c r="N872" s="702"/>
      <c r="O872" s="620"/>
    </row>
    <row r="873" spans="1:15" ht="25" x14ac:dyDescent="0.35">
      <c r="A873" s="2095" t="s">
        <v>1197</v>
      </c>
      <c r="B873" s="2095"/>
      <c r="C873" s="2095"/>
      <c r="D873" s="2095"/>
      <c r="E873" s="2095"/>
      <c r="F873" s="2095"/>
      <c r="G873" s="2095"/>
      <c r="H873" s="2095"/>
      <c r="I873" s="2095"/>
      <c r="J873" s="2095"/>
      <c r="K873" s="2095"/>
      <c r="L873" s="2095"/>
      <c r="M873" s="2095"/>
      <c r="N873" s="2095"/>
      <c r="O873" s="756" t="str">
        <f>$O$6</f>
        <v>Month December-2022</v>
      </c>
    </row>
    <row r="874" spans="1:15" ht="15.5" x14ac:dyDescent="0.35">
      <c r="A874" s="2096" t="s">
        <v>0</v>
      </c>
      <c r="B874" s="2098" t="s">
        <v>1</v>
      </c>
      <c r="C874" s="2100" t="s">
        <v>2</v>
      </c>
      <c r="D874" s="2101"/>
      <c r="E874" s="2102"/>
      <c r="F874" s="2103" t="s">
        <v>3</v>
      </c>
      <c r="G874" s="2100" t="s">
        <v>4</v>
      </c>
      <c r="H874" s="2102"/>
      <c r="I874" s="2085"/>
      <c r="J874" s="2103" t="s">
        <v>5</v>
      </c>
      <c r="K874" s="2100" t="s">
        <v>6</v>
      </c>
      <c r="L874" s="2085"/>
      <c r="M874" s="97" t="s">
        <v>32</v>
      </c>
      <c r="N874" s="98"/>
      <c r="O874" s="2084" t="s">
        <v>7</v>
      </c>
    </row>
    <row r="875" spans="1:15" ht="15.5" x14ac:dyDescent="0.35">
      <c r="A875" s="2097"/>
      <c r="B875" s="2099"/>
      <c r="C875" s="2086" t="s">
        <v>1108</v>
      </c>
      <c r="D875" s="2087"/>
      <c r="E875" s="1810" t="s">
        <v>9</v>
      </c>
      <c r="F875" s="2097"/>
      <c r="G875" s="2">
        <f>'NORTH-1'!$G$8</f>
        <v>44774</v>
      </c>
      <c r="H875" s="2">
        <f>'NORTH-1'!$H$8</f>
        <v>44805</v>
      </c>
      <c r="I875" s="1" t="s">
        <v>10</v>
      </c>
      <c r="J875" s="2097"/>
      <c r="K875" s="1" t="s">
        <v>11</v>
      </c>
      <c r="L875" s="1" t="s">
        <v>12</v>
      </c>
      <c r="M875" s="617" t="s">
        <v>33</v>
      </c>
      <c r="N875" s="76" t="s">
        <v>47</v>
      </c>
      <c r="O875" s="2085"/>
    </row>
    <row r="876" spans="1:15" ht="15.5" x14ac:dyDescent="0.35">
      <c r="A876" s="3">
        <v>1</v>
      </c>
      <c r="B876" s="88">
        <v>2</v>
      </c>
      <c r="C876" s="2088">
        <v>4</v>
      </c>
      <c r="D876" s="2089"/>
      <c r="E876" s="1811">
        <v>5</v>
      </c>
      <c r="F876" s="3">
        <v>7</v>
      </c>
      <c r="G876" s="3">
        <v>8</v>
      </c>
      <c r="H876" s="3">
        <v>9</v>
      </c>
      <c r="I876" s="3" t="s">
        <v>13</v>
      </c>
      <c r="J876" s="3">
        <v>11</v>
      </c>
      <c r="K876" s="3" t="s">
        <v>19</v>
      </c>
      <c r="L876" s="3" t="s">
        <v>20</v>
      </c>
      <c r="M876" s="3">
        <v>14</v>
      </c>
      <c r="N876" s="77">
        <v>15</v>
      </c>
      <c r="O876" s="3">
        <v>16</v>
      </c>
    </row>
    <row r="877" spans="1:15" ht="15.5" x14ac:dyDescent="0.35">
      <c r="A877" s="631"/>
      <c r="B877" s="624" t="s">
        <v>1121</v>
      </c>
      <c r="C877" s="625"/>
      <c r="D877" s="625"/>
      <c r="E877" s="1794"/>
      <c r="F877" s="625"/>
      <c r="G877" s="625"/>
      <c r="H877" s="625"/>
      <c r="I877" s="625"/>
      <c r="J877" s="625"/>
      <c r="K877" s="695"/>
      <c r="L877" s="625"/>
      <c r="M877" s="626"/>
      <c r="N877" s="1972"/>
      <c r="O877" s="616"/>
    </row>
    <row r="878" spans="1:15" ht="15.5" x14ac:dyDescent="0.35">
      <c r="A878" s="631">
        <v>16</v>
      </c>
      <c r="B878" s="100" t="s">
        <v>2102</v>
      </c>
      <c r="C878" s="52">
        <v>11</v>
      </c>
      <c r="D878" s="2105"/>
      <c r="E878" s="1801" t="s">
        <v>2161</v>
      </c>
      <c r="F878" s="4">
        <v>1</v>
      </c>
      <c r="G878" s="21">
        <v>14783104</v>
      </c>
      <c r="H878" s="21">
        <v>21200704</v>
      </c>
      <c r="I878" s="21">
        <f>H878-G878</f>
        <v>6417600</v>
      </c>
      <c r="J878" s="616">
        <v>1</v>
      </c>
      <c r="K878" s="696">
        <f>F878*I878*J878</f>
        <v>6417600</v>
      </c>
      <c r="L878" s="22"/>
      <c r="M878" s="22"/>
      <c r="N878" s="72"/>
      <c r="O878" s="616"/>
    </row>
    <row r="879" spans="1:15" ht="15.5" x14ac:dyDescent="0.35">
      <c r="A879" s="631">
        <v>20</v>
      </c>
      <c r="B879" s="100" t="s">
        <v>2137</v>
      </c>
      <c r="C879" s="52">
        <v>11</v>
      </c>
      <c r="D879" s="2151"/>
      <c r="E879" s="1801" t="s">
        <v>2164</v>
      </c>
      <c r="F879" s="4">
        <v>1</v>
      </c>
      <c r="G879" s="21">
        <v>245552720</v>
      </c>
      <c r="H879" s="21">
        <v>249365120</v>
      </c>
      <c r="I879" s="21">
        <f>H879-G879</f>
        <v>3812400</v>
      </c>
      <c r="J879" s="616">
        <v>1</v>
      </c>
      <c r="K879" s="696">
        <f>F879*I879*J879</f>
        <v>3812400</v>
      </c>
      <c r="L879" s="22"/>
      <c r="M879" s="22"/>
      <c r="N879" s="72"/>
      <c r="O879" s="616"/>
    </row>
    <row r="880" spans="1:15" ht="15.5" x14ac:dyDescent="0.35">
      <c r="A880" s="631"/>
      <c r="B880" s="102"/>
      <c r="C880" s="91"/>
      <c r="D880" s="726"/>
      <c r="E880" s="1814"/>
      <c r="F880" s="47"/>
      <c r="G880" s="48"/>
      <c r="H880" s="48"/>
      <c r="I880" s="48"/>
      <c r="J880" s="39" t="s">
        <v>30</v>
      </c>
      <c r="K880" s="708">
        <f>SUM(K878:K879)</f>
        <v>10230000</v>
      </c>
      <c r="L880" s="49"/>
      <c r="M880" s="43">
        <f>SUM(M878:M879)</f>
        <v>0</v>
      </c>
      <c r="N880" s="1973"/>
      <c r="O880" s="616"/>
    </row>
    <row r="881" spans="1:15" ht="15.5" x14ac:dyDescent="0.35">
      <c r="A881" s="631"/>
      <c r="B881" s="647" t="s">
        <v>1121</v>
      </c>
      <c r="C881" s="648"/>
      <c r="D881" s="648"/>
      <c r="E881" s="1800"/>
      <c r="F881" s="648"/>
      <c r="G881" s="648"/>
      <c r="H881" s="648"/>
      <c r="I881" s="648"/>
      <c r="J881" s="50"/>
      <c r="K881" s="710"/>
      <c r="L881" s="51"/>
      <c r="M881" s="51"/>
      <c r="N881" s="1971"/>
      <c r="O881" s="616"/>
    </row>
    <row r="882" spans="1:15" ht="15.5" x14ac:dyDescent="0.35">
      <c r="A882" s="631">
        <v>11</v>
      </c>
      <c r="B882" s="100" t="s">
        <v>2153</v>
      </c>
      <c r="C882" s="73">
        <v>11</v>
      </c>
      <c r="D882" s="2167"/>
      <c r="E882" s="1801" t="s">
        <v>2154</v>
      </c>
      <c r="F882" s="32">
        <v>1</v>
      </c>
      <c r="G882" s="6">
        <v>48983600</v>
      </c>
      <c r="H882" s="6">
        <v>50641463</v>
      </c>
      <c r="I882" s="20">
        <f t="shared" ref="I882:I899" si="32">H882-G882</f>
        <v>1657863</v>
      </c>
      <c r="J882" s="616">
        <v>1</v>
      </c>
      <c r="K882" s="703"/>
      <c r="L882" s="22">
        <f>F882*I882*J882</f>
        <v>1657863</v>
      </c>
      <c r="M882" s="22"/>
      <c r="N882" s="72" t="s">
        <v>104</v>
      </c>
      <c r="O882" s="15"/>
    </row>
    <row r="883" spans="1:15" ht="15.5" x14ac:dyDescent="0.35">
      <c r="A883" s="631">
        <v>12</v>
      </c>
      <c r="B883" s="100" t="s">
        <v>2045</v>
      </c>
      <c r="C883" s="73">
        <v>11</v>
      </c>
      <c r="D883" s="2168"/>
      <c r="E883" s="1801"/>
      <c r="F883" s="32">
        <v>1</v>
      </c>
      <c r="G883" s="6"/>
      <c r="H883" s="6"/>
      <c r="I883" s="20">
        <f t="shared" si="32"/>
        <v>0</v>
      </c>
      <c r="J883" s="616">
        <v>1</v>
      </c>
      <c r="K883" s="703"/>
      <c r="L883" s="22">
        <f>F883*I883*J883</f>
        <v>0</v>
      </c>
      <c r="M883" s="22"/>
      <c r="N883" s="72"/>
      <c r="O883" s="15"/>
    </row>
    <row r="884" spans="1:15" ht="15.5" x14ac:dyDescent="0.35">
      <c r="A884" s="631">
        <v>13</v>
      </c>
      <c r="B884" s="100" t="s">
        <v>2155</v>
      </c>
      <c r="C884" s="73">
        <v>11</v>
      </c>
      <c r="D884" s="2168"/>
      <c r="E884" s="1801" t="s">
        <v>2156</v>
      </c>
      <c r="F884" s="32">
        <v>1</v>
      </c>
      <c r="G884" s="6">
        <v>53323908</v>
      </c>
      <c r="H884" s="6">
        <v>55171144</v>
      </c>
      <c r="I884" s="20">
        <f t="shared" si="32"/>
        <v>1847236</v>
      </c>
      <c r="J884" s="616">
        <v>1</v>
      </c>
      <c r="K884" s="703"/>
      <c r="L884" s="22">
        <f>F884*I884*J884</f>
        <v>1847236</v>
      </c>
      <c r="M884" s="22"/>
      <c r="N884" s="72" t="s">
        <v>104</v>
      </c>
      <c r="O884" s="15"/>
    </row>
    <row r="885" spans="1:15" ht="15.5" x14ac:dyDescent="0.35">
      <c r="A885" s="631">
        <v>14</v>
      </c>
      <c r="B885" s="100" t="s">
        <v>2157</v>
      </c>
      <c r="C885" s="73">
        <v>11</v>
      </c>
      <c r="D885" s="2168"/>
      <c r="E885" s="1801" t="s">
        <v>2158</v>
      </c>
      <c r="F885" s="32">
        <v>1</v>
      </c>
      <c r="G885" s="6">
        <v>52262112</v>
      </c>
      <c r="H885" s="6">
        <v>53707308</v>
      </c>
      <c r="I885" s="20">
        <f t="shared" si="32"/>
        <v>1445196</v>
      </c>
      <c r="J885" s="616">
        <v>1</v>
      </c>
      <c r="K885" s="703"/>
      <c r="L885" s="22">
        <f>F885*I885*J885</f>
        <v>1445196</v>
      </c>
      <c r="M885" s="22"/>
      <c r="N885" s="72" t="s">
        <v>104</v>
      </c>
      <c r="O885" s="15"/>
    </row>
    <row r="886" spans="1:15" ht="15.5" x14ac:dyDescent="0.35">
      <c r="A886" s="631">
        <v>15</v>
      </c>
      <c r="B886" s="100" t="s">
        <v>2159</v>
      </c>
      <c r="C886" s="73">
        <v>11</v>
      </c>
      <c r="D886" s="2168"/>
      <c r="E886" s="1801" t="s">
        <v>2160</v>
      </c>
      <c r="F886" s="32">
        <v>1</v>
      </c>
      <c r="G886" s="6">
        <v>60403452</v>
      </c>
      <c r="H886" s="6">
        <v>61584848</v>
      </c>
      <c r="I886" s="20">
        <f t="shared" si="32"/>
        <v>1181396</v>
      </c>
      <c r="J886" s="616">
        <v>1</v>
      </c>
      <c r="K886" s="703"/>
      <c r="L886" s="22">
        <f>F886*I886*J886</f>
        <v>1181396</v>
      </c>
      <c r="M886" s="22"/>
      <c r="N886" s="72" t="s">
        <v>104</v>
      </c>
      <c r="O886" s="15"/>
    </row>
    <row r="887" spans="1:15" ht="15.5" x14ac:dyDescent="0.35">
      <c r="A887" s="631">
        <v>17</v>
      </c>
      <c r="B887" s="100" t="s">
        <v>2045</v>
      </c>
      <c r="C887" s="73">
        <v>11</v>
      </c>
      <c r="D887" s="2168"/>
      <c r="E887" s="1801"/>
      <c r="F887" s="32">
        <v>1</v>
      </c>
      <c r="G887" s="6"/>
      <c r="H887" s="6"/>
      <c r="I887" s="20">
        <f t="shared" si="32"/>
        <v>0</v>
      </c>
      <c r="J887" s="616">
        <v>1</v>
      </c>
      <c r="K887" s="703"/>
      <c r="L887" s="22"/>
      <c r="M887" s="22"/>
      <c r="N887" s="72"/>
      <c r="O887" s="15"/>
    </row>
    <row r="888" spans="1:15" ht="15.5" x14ac:dyDescent="0.35">
      <c r="A888" s="631">
        <v>18</v>
      </c>
      <c r="B888" s="100" t="s">
        <v>2162</v>
      </c>
      <c r="C888" s="73">
        <v>11</v>
      </c>
      <c r="D888" s="2168"/>
      <c r="E888" s="1801" t="s">
        <v>2163</v>
      </c>
      <c r="F888" s="32">
        <v>1</v>
      </c>
      <c r="G888" s="6">
        <v>0</v>
      </c>
      <c r="H888" s="6">
        <v>182679</v>
      </c>
      <c r="I888" s="20">
        <f t="shared" si="32"/>
        <v>182679</v>
      </c>
      <c r="J888" s="616">
        <v>1</v>
      </c>
      <c r="K888" s="703"/>
      <c r="L888" s="22">
        <f>F888*I888*J888</f>
        <v>182679</v>
      </c>
      <c r="M888" s="22"/>
      <c r="N888" s="72" t="s">
        <v>104</v>
      </c>
      <c r="O888" s="15"/>
    </row>
    <row r="889" spans="1:15" ht="15.5" x14ac:dyDescent="0.35">
      <c r="A889" s="631">
        <v>19</v>
      </c>
      <c r="B889" s="100" t="s">
        <v>2045</v>
      </c>
      <c r="C889" s="73">
        <v>11</v>
      </c>
      <c r="D889" s="2168"/>
      <c r="E889" s="1801"/>
      <c r="F889" s="32">
        <v>1</v>
      </c>
      <c r="G889" s="6"/>
      <c r="H889" s="6"/>
      <c r="I889" s="20">
        <f t="shared" si="32"/>
        <v>0</v>
      </c>
      <c r="J889" s="616">
        <v>1</v>
      </c>
      <c r="K889" s="703"/>
      <c r="L889" s="22"/>
      <c r="M889" s="22"/>
      <c r="N889" s="72"/>
      <c r="O889" s="15"/>
    </row>
    <row r="890" spans="1:15" ht="15.5" x14ac:dyDescent="0.35">
      <c r="A890" s="631">
        <v>21</v>
      </c>
      <c r="B890" s="100" t="s">
        <v>2045</v>
      </c>
      <c r="C890" s="73">
        <v>11</v>
      </c>
      <c r="D890" s="2168"/>
      <c r="E890" s="1801"/>
      <c r="F890" s="32">
        <v>1</v>
      </c>
      <c r="G890" s="6"/>
      <c r="H890" s="6"/>
      <c r="I890" s="20">
        <f t="shared" si="32"/>
        <v>0</v>
      </c>
      <c r="J890" s="616">
        <v>1</v>
      </c>
      <c r="K890" s="703"/>
      <c r="L890" s="22">
        <f t="shared" ref="L890:L899" si="33">F890*I890*J890</f>
        <v>0</v>
      </c>
      <c r="M890" s="22"/>
      <c r="N890" s="72"/>
      <c r="O890" s="15"/>
    </row>
    <row r="891" spans="1:15" ht="15.5" x14ac:dyDescent="0.35">
      <c r="A891" s="631">
        <v>22</v>
      </c>
      <c r="B891" s="100" t="s">
        <v>2165</v>
      </c>
      <c r="C891" s="73">
        <v>11</v>
      </c>
      <c r="D891" s="2168"/>
      <c r="E891" s="1801" t="s">
        <v>2166</v>
      </c>
      <c r="F891" s="32">
        <v>1</v>
      </c>
      <c r="G891" s="6">
        <v>72529344</v>
      </c>
      <c r="H891" s="6">
        <v>73374504</v>
      </c>
      <c r="I891" s="20">
        <f t="shared" si="32"/>
        <v>845160</v>
      </c>
      <c r="J891" s="616">
        <v>1</v>
      </c>
      <c r="K891" s="703"/>
      <c r="L891" s="22">
        <f t="shared" si="33"/>
        <v>845160</v>
      </c>
      <c r="M891" s="22"/>
      <c r="N891" s="72" t="s">
        <v>104</v>
      </c>
      <c r="O891" s="15"/>
    </row>
    <row r="892" spans="1:15" ht="15.5" x14ac:dyDescent="0.35">
      <c r="A892" s="631">
        <v>23</v>
      </c>
      <c r="B892" s="100" t="s">
        <v>2167</v>
      </c>
      <c r="C892" s="73">
        <v>11</v>
      </c>
      <c r="D892" s="2168"/>
      <c r="E892" s="1801" t="s">
        <v>2168</v>
      </c>
      <c r="F892" s="32">
        <v>1</v>
      </c>
      <c r="G892" s="6">
        <v>71248704</v>
      </c>
      <c r="H892" s="6">
        <v>72495624</v>
      </c>
      <c r="I892" s="20">
        <f t="shared" si="32"/>
        <v>1246920</v>
      </c>
      <c r="J892" s="616">
        <v>1</v>
      </c>
      <c r="K892" s="703"/>
      <c r="L892" s="22">
        <f t="shared" si="33"/>
        <v>1246920</v>
      </c>
      <c r="M892" s="22"/>
      <c r="N892" s="72" t="s">
        <v>104</v>
      </c>
      <c r="O892" s="15"/>
    </row>
    <row r="893" spans="1:15" ht="15.5" x14ac:dyDescent="0.35">
      <c r="A893" s="631">
        <v>24</v>
      </c>
      <c r="B893" s="100" t="s">
        <v>2169</v>
      </c>
      <c r="C893" s="73">
        <v>11</v>
      </c>
      <c r="D893" s="2168"/>
      <c r="E893" s="1801" t="s">
        <v>2170</v>
      </c>
      <c r="F893" s="32">
        <v>1</v>
      </c>
      <c r="G893" s="6">
        <v>67125560</v>
      </c>
      <c r="H893" s="6">
        <v>68265712</v>
      </c>
      <c r="I893" s="20">
        <f t="shared" si="32"/>
        <v>1140152</v>
      </c>
      <c r="J893" s="616">
        <v>1</v>
      </c>
      <c r="K893" s="703"/>
      <c r="L893" s="22">
        <f t="shared" si="33"/>
        <v>1140152</v>
      </c>
      <c r="M893" s="22"/>
      <c r="N893" s="72" t="s">
        <v>104</v>
      </c>
      <c r="O893" s="15"/>
    </row>
    <row r="894" spans="1:15" ht="15.5" x14ac:dyDescent="0.35">
      <c r="A894" s="631">
        <v>25</v>
      </c>
      <c r="B894" s="100" t="s">
        <v>2171</v>
      </c>
      <c r="C894" s="73">
        <v>11</v>
      </c>
      <c r="D894" s="2168"/>
      <c r="E894" s="1801" t="s">
        <v>2172</v>
      </c>
      <c r="F894" s="32">
        <v>1</v>
      </c>
      <c r="G894" s="6">
        <v>34835756</v>
      </c>
      <c r="H894" s="6">
        <v>35418312</v>
      </c>
      <c r="I894" s="20">
        <f t="shared" si="32"/>
        <v>582556</v>
      </c>
      <c r="J894" s="616">
        <v>1</v>
      </c>
      <c r="K894" s="703"/>
      <c r="L894" s="22">
        <f t="shared" si="33"/>
        <v>582556</v>
      </c>
      <c r="M894" s="22"/>
      <c r="N894" s="72" t="s">
        <v>104</v>
      </c>
      <c r="O894" s="15"/>
    </row>
    <row r="895" spans="1:15" ht="15.5" x14ac:dyDescent="0.35">
      <c r="A895" s="631">
        <v>26</v>
      </c>
      <c r="B895" s="100" t="s">
        <v>2173</v>
      </c>
      <c r="C895" s="73">
        <v>11</v>
      </c>
      <c r="D895" s="2168"/>
      <c r="E895" s="1801" t="s">
        <v>2174</v>
      </c>
      <c r="F895" s="32">
        <v>1</v>
      </c>
      <c r="G895" s="6">
        <v>0</v>
      </c>
      <c r="H895" s="6">
        <v>0</v>
      </c>
      <c r="I895" s="20">
        <f t="shared" si="32"/>
        <v>0</v>
      </c>
      <c r="J895" s="616">
        <v>1</v>
      </c>
      <c r="K895" s="703"/>
      <c r="L895" s="22">
        <f t="shared" si="33"/>
        <v>0</v>
      </c>
      <c r="M895" s="22"/>
      <c r="N895" s="72" t="s">
        <v>104</v>
      </c>
      <c r="O895" s="15"/>
    </row>
    <row r="896" spans="1:15" ht="15.5" x14ac:dyDescent="0.35">
      <c r="A896" s="631">
        <v>27</v>
      </c>
      <c r="B896" s="100" t="s">
        <v>2045</v>
      </c>
      <c r="C896" s="73">
        <v>11</v>
      </c>
      <c r="D896" s="2168"/>
      <c r="E896" s="1801"/>
      <c r="F896" s="32">
        <v>1</v>
      </c>
      <c r="G896" s="6"/>
      <c r="H896" s="6"/>
      <c r="I896" s="20">
        <f t="shared" si="32"/>
        <v>0</v>
      </c>
      <c r="J896" s="616">
        <v>1</v>
      </c>
      <c r="K896" s="703"/>
      <c r="L896" s="22">
        <f t="shared" si="33"/>
        <v>0</v>
      </c>
      <c r="M896" s="22"/>
      <c r="N896" s="72"/>
      <c r="O896" s="15"/>
    </row>
    <row r="897" spans="1:15" ht="15.5" x14ac:dyDescent="0.35">
      <c r="A897" s="631">
        <v>28</v>
      </c>
      <c r="B897" s="100" t="s">
        <v>2045</v>
      </c>
      <c r="C897" s="73">
        <v>11</v>
      </c>
      <c r="D897" s="2168"/>
      <c r="E897" s="1801"/>
      <c r="F897" s="32">
        <v>1</v>
      </c>
      <c r="G897" s="6"/>
      <c r="H897" s="6"/>
      <c r="I897" s="20">
        <f t="shared" si="32"/>
        <v>0</v>
      </c>
      <c r="J897" s="616">
        <v>1</v>
      </c>
      <c r="K897" s="703"/>
      <c r="L897" s="22">
        <f t="shared" si="33"/>
        <v>0</v>
      </c>
      <c r="M897" s="22"/>
      <c r="N897" s="72"/>
      <c r="O897" s="15"/>
    </row>
    <row r="898" spans="1:15" ht="15.5" x14ac:dyDescent="0.35">
      <c r="A898" s="631">
        <v>29</v>
      </c>
      <c r="B898" s="100" t="s">
        <v>2175</v>
      </c>
      <c r="C898" s="73">
        <v>0.4</v>
      </c>
      <c r="D898" s="2168"/>
      <c r="E898" s="1801" t="s">
        <v>2176</v>
      </c>
      <c r="F898" s="32">
        <v>1</v>
      </c>
      <c r="G898" s="6">
        <v>2664</v>
      </c>
      <c r="H898" s="6">
        <v>2693</v>
      </c>
      <c r="I898" s="20">
        <f t="shared" si="32"/>
        <v>29</v>
      </c>
      <c r="J898" s="616">
        <v>100</v>
      </c>
      <c r="K898" s="703"/>
      <c r="L898" s="22">
        <f t="shared" si="33"/>
        <v>2900</v>
      </c>
      <c r="M898" s="22"/>
      <c r="N898" s="72" t="s">
        <v>104</v>
      </c>
      <c r="O898" s="15"/>
    </row>
    <row r="899" spans="1:15" ht="15.5" x14ac:dyDescent="0.35">
      <c r="A899" s="631">
        <v>30</v>
      </c>
      <c r="B899" s="100" t="s">
        <v>2177</v>
      </c>
      <c r="C899" s="73">
        <v>0.41499999999999998</v>
      </c>
      <c r="D899" s="2169"/>
      <c r="E899" s="1801" t="s">
        <v>2178</v>
      </c>
      <c r="F899" s="32">
        <v>1</v>
      </c>
      <c r="G899" s="6">
        <v>136</v>
      </c>
      <c r="H899" s="6">
        <v>136</v>
      </c>
      <c r="I899" s="20">
        <f t="shared" si="32"/>
        <v>0</v>
      </c>
      <c r="J899" s="616">
        <v>100</v>
      </c>
      <c r="K899" s="703">
        <f>J899*I899*F899</f>
        <v>0</v>
      </c>
      <c r="L899" s="22">
        <f t="shared" si="33"/>
        <v>0</v>
      </c>
      <c r="M899" s="22"/>
      <c r="N899" s="72" t="s">
        <v>104</v>
      </c>
      <c r="O899" s="15"/>
    </row>
    <row r="900" spans="1:15" ht="28" x14ac:dyDescent="0.35">
      <c r="A900" s="636"/>
      <c r="B900" s="96"/>
      <c r="C900" s="90"/>
      <c r="D900" s="90"/>
      <c r="E900" s="1785"/>
      <c r="F900" s="38"/>
      <c r="G900" s="38"/>
      <c r="H900" s="38"/>
      <c r="I900" s="38"/>
      <c r="J900" s="53" t="s">
        <v>44</v>
      </c>
      <c r="K900" s="43">
        <f>K880</f>
        <v>10230000</v>
      </c>
      <c r="L900" s="43">
        <f>SUM(L882:L899)</f>
        <v>10132058</v>
      </c>
      <c r="M900" s="43">
        <f>SUM(M882:M899)</f>
        <v>0</v>
      </c>
      <c r="N900" s="84">
        <f>(M900-L900)/L900*100</f>
        <v>-100</v>
      </c>
      <c r="O900" s="29"/>
    </row>
    <row r="902" spans="1:15" ht="15" x14ac:dyDescent="0.35">
      <c r="A902" s="620"/>
      <c r="B902" s="635"/>
      <c r="C902" s="632"/>
      <c r="D902" s="720"/>
      <c r="F902" s="2092" t="s">
        <v>1099</v>
      </c>
      <c r="G902" s="2092"/>
      <c r="H902" s="2092"/>
      <c r="I902" s="677" t="s">
        <v>14</v>
      </c>
      <c r="J902" s="620"/>
      <c r="K902" s="702"/>
      <c r="L902" s="620"/>
      <c r="M902" s="620"/>
      <c r="N902" s="635"/>
      <c r="O902" s="620"/>
    </row>
    <row r="903" spans="1:15" ht="15.5" x14ac:dyDescent="0.35">
      <c r="A903" s="620"/>
      <c r="B903" s="635"/>
      <c r="C903" s="632"/>
      <c r="D903" s="720"/>
      <c r="F903" s="2153" t="s">
        <v>232</v>
      </c>
      <c r="G903" s="2154"/>
      <c r="H903" s="2155"/>
      <c r="I903" s="643">
        <f>SUM(M882:M883,M893)</f>
        <v>0</v>
      </c>
      <c r="J903" s="620"/>
      <c r="K903" s="702"/>
      <c r="L903" s="620"/>
      <c r="M903" s="620"/>
      <c r="N903" s="635"/>
      <c r="O903" s="620" t="s">
        <v>237</v>
      </c>
    </row>
    <row r="904" spans="1:15" ht="15.5" x14ac:dyDescent="0.35">
      <c r="A904" s="620"/>
      <c r="B904" s="635"/>
      <c r="C904" s="632"/>
      <c r="D904" s="720"/>
      <c r="F904" s="2153" t="s">
        <v>268</v>
      </c>
      <c r="G904" s="2154"/>
      <c r="H904" s="2155"/>
      <c r="I904" s="643">
        <f>SUM(M884:M892,M894,M896,M897,M899)</f>
        <v>0</v>
      </c>
      <c r="J904" s="620"/>
      <c r="K904" s="702"/>
      <c r="L904" s="620"/>
      <c r="M904" s="620"/>
      <c r="N904" s="635"/>
      <c r="O904" s="620"/>
    </row>
    <row r="905" spans="1:15" ht="16" thickBot="1" x14ac:dyDescent="0.4">
      <c r="A905" s="620"/>
      <c r="B905" s="635"/>
      <c r="C905" s="632"/>
      <c r="D905" s="720"/>
      <c r="F905" s="2153" t="s">
        <v>269</v>
      </c>
      <c r="G905" s="2154"/>
      <c r="H905" s="2155"/>
      <c r="I905" s="643">
        <f>SUM(M895,M898)</f>
        <v>0</v>
      </c>
      <c r="J905" s="620"/>
      <c r="K905" s="702"/>
      <c r="L905" s="620"/>
      <c r="M905" s="620"/>
      <c r="N905" s="635"/>
      <c r="O905" s="620"/>
    </row>
    <row r="906" spans="1:15" ht="20.5" thickBot="1" x14ac:dyDescent="0.4">
      <c r="A906" s="620"/>
      <c r="B906" s="635"/>
      <c r="C906" s="632"/>
      <c r="D906" s="720"/>
      <c r="E906" s="1788"/>
      <c r="F906" s="2156" t="s">
        <v>210</v>
      </c>
      <c r="G906" s="2156"/>
      <c r="H906" s="2156"/>
      <c r="I906" s="656">
        <f>SUM(I903:I905)</f>
        <v>0</v>
      </c>
      <c r="J906" s="682">
        <f>I906-M900</f>
        <v>0</v>
      </c>
      <c r="K906" s="702"/>
      <c r="L906" s="620"/>
      <c r="M906" s="620"/>
      <c r="N906" s="635"/>
      <c r="O906" s="620"/>
    </row>
    <row r="918" spans="1:15" x14ac:dyDescent="0.35">
      <c r="A918" s="620"/>
      <c r="B918" s="635"/>
      <c r="C918" s="632"/>
      <c r="D918" s="720"/>
      <c r="E918" s="1788"/>
      <c r="F918" s="620"/>
      <c r="G918" s="620"/>
      <c r="H918" s="620"/>
      <c r="I918" s="620"/>
      <c r="J918" s="620"/>
      <c r="K918" s="702"/>
      <c r="L918" s="620"/>
      <c r="M918" s="620"/>
      <c r="N918" s="635"/>
      <c r="O918" s="620"/>
    </row>
    <row r="919" spans="1:15" x14ac:dyDescent="0.35">
      <c r="A919" s="620"/>
      <c r="B919" s="635"/>
      <c r="C919" s="632"/>
      <c r="D919" s="720"/>
      <c r="E919" s="1788"/>
      <c r="F919" s="620"/>
      <c r="G919" s="620"/>
      <c r="H919" s="620"/>
      <c r="I919" s="620"/>
      <c r="J919" s="620"/>
      <c r="K919" s="702"/>
      <c r="L919" s="620"/>
      <c r="M919" s="620"/>
      <c r="N919" s="635"/>
      <c r="O919" s="620"/>
    </row>
    <row r="920" spans="1:15" ht="25" x14ac:dyDescent="0.35">
      <c r="A920" s="46"/>
      <c r="B920" s="2152"/>
      <c r="C920" s="2152"/>
      <c r="D920" s="2152"/>
      <c r="E920" s="2152"/>
      <c r="F920" s="2152"/>
      <c r="G920" s="2152"/>
      <c r="H920" s="2152"/>
      <c r="I920" s="2152"/>
      <c r="J920" s="2152"/>
      <c r="K920" s="2152"/>
      <c r="L920" s="2152"/>
      <c r="M920" s="2152"/>
      <c r="N920" s="1967"/>
      <c r="O920" s="28"/>
    </row>
    <row r="921" spans="1:15" x14ac:dyDescent="0.35">
      <c r="A921" s="620"/>
      <c r="B921" s="635"/>
      <c r="C921" s="632"/>
      <c r="D921" s="720"/>
      <c r="E921" s="1788"/>
      <c r="F921" s="620"/>
      <c r="G921" s="620"/>
      <c r="H921" s="620"/>
      <c r="I921" s="620"/>
      <c r="J921" s="620"/>
      <c r="K921" s="702"/>
      <c r="L921" s="620"/>
      <c r="M921" s="620"/>
      <c r="N921" s="635"/>
      <c r="O921" s="620"/>
    </row>
    <row r="922" spans="1:15" x14ac:dyDescent="0.35">
      <c r="A922" s="620"/>
      <c r="B922" s="635"/>
      <c r="C922" s="632"/>
      <c r="D922" s="720"/>
      <c r="E922" s="1788"/>
      <c r="F922" s="620"/>
      <c r="G922" s="620"/>
      <c r="H922" s="620"/>
      <c r="I922" s="620"/>
      <c r="J922" s="620"/>
      <c r="K922" s="702"/>
      <c r="L922" s="620"/>
      <c r="M922" s="620"/>
      <c r="N922" s="635"/>
      <c r="O922" s="620"/>
    </row>
    <row r="923" spans="1:15" ht="25" x14ac:dyDescent="0.35">
      <c r="A923" s="2095" t="s">
        <v>1198</v>
      </c>
      <c r="B923" s="2095"/>
      <c r="C923" s="2095"/>
      <c r="D923" s="2095"/>
      <c r="E923" s="2095"/>
      <c r="F923" s="2095"/>
      <c r="G923" s="2095"/>
      <c r="H923" s="2095"/>
      <c r="I923" s="2095"/>
      <c r="J923" s="2095"/>
      <c r="K923" s="2095"/>
      <c r="L923" s="2095"/>
      <c r="M923" s="2095"/>
      <c r="N923" s="2095"/>
      <c r="O923" s="756" t="e">
        <f>#REF!</f>
        <v>#REF!</v>
      </c>
    </row>
    <row r="924" spans="1:15" ht="15.5" x14ac:dyDescent="0.35">
      <c r="A924" s="2096" t="s">
        <v>0</v>
      </c>
      <c r="B924" s="2098" t="s">
        <v>1</v>
      </c>
      <c r="C924" s="2100" t="s">
        <v>2</v>
      </c>
      <c r="D924" s="2101"/>
      <c r="E924" s="2102"/>
      <c r="F924" s="2103" t="s">
        <v>3</v>
      </c>
      <c r="G924" s="2100" t="s">
        <v>4</v>
      </c>
      <c r="H924" s="2102"/>
      <c r="I924" s="2085"/>
      <c r="J924" s="2103" t="s">
        <v>5</v>
      </c>
      <c r="K924" s="2100" t="s">
        <v>6</v>
      </c>
      <c r="L924" s="2102"/>
      <c r="M924" s="97" t="s">
        <v>1088</v>
      </c>
      <c r="N924" s="98"/>
      <c r="O924" s="2084" t="s">
        <v>7</v>
      </c>
    </row>
    <row r="925" spans="1:15" ht="15.5" x14ac:dyDescent="0.35">
      <c r="A925" s="2097"/>
      <c r="B925" s="2099"/>
      <c r="C925" s="2086" t="s">
        <v>1108</v>
      </c>
      <c r="D925" s="2087"/>
      <c r="E925" s="1810" t="s">
        <v>9</v>
      </c>
      <c r="F925" s="2097"/>
      <c r="G925" s="2">
        <f>'NORTH-1'!$G$8</f>
        <v>44774</v>
      </c>
      <c r="H925" s="2">
        <f>'NORTH-1'!$H$8</f>
        <v>44805</v>
      </c>
      <c r="I925" s="1" t="s">
        <v>10</v>
      </c>
      <c r="J925" s="2097"/>
      <c r="K925" s="1" t="s">
        <v>11</v>
      </c>
      <c r="L925" s="1" t="s">
        <v>12</v>
      </c>
      <c r="M925" s="617" t="s">
        <v>33</v>
      </c>
      <c r="N925" s="76" t="s">
        <v>47</v>
      </c>
      <c r="O925" s="2085"/>
    </row>
    <row r="926" spans="1:15" ht="15.5" x14ac:dyDescent="0.35">
      <c r="A926" s="3">
        <v>1</v>
      </c>
      <c r="B926" s="88">
        <v>2</v>
      </c>
      <c r="C926" s="2088">
        <v>4</v>
      </c>
      <c r="D926" s="2089"/>
      <c r="E926" s="1811">
        <v>5</v>
      </c>
      <c r="F926" s="3">
        <v>7</v>
      </c>
      <c r="G926" s="3">
        <v>8</v>
      </c>
      <c r="H926" s="3">
        <v>9</v>
      </c>
      <c r="I926" s="3" t="s">
        <v>13</v>
      </c>
      <c r="J926" s="3">
        <v>11</v>
      </c>
      <c r="K926" s="3" t="s">
        <v>19</v>
      </c>
      <c r="L926" s="3" t="s">
        <v>20</v>
      </c>
      <c r="M926" s="3">
        <v>14</v>
      </c>
      <c r="N926" s="77">
        <v>15</v>
      </c>
      <c r="O926" s="3">
        <v>16</v>
      </c>
    </row>
    <row r="927" spans="1:15" ht="15.5" x14ac:dyDescent="0.35">
      <c r="A927" s="11"/>
      <c r="B927" s="624" t="s">
        <v>2466</v>
      </c>
      <c r="C927" s="625"/>
      <c r="D927" s="625"/>
      <c r="E927" s="1834"/>
      <c r="F927" s="625"/>
      <c r="G927" s="625"/>
      <c r="H927" s="625"/>
      <c r="I927" s="625"/>
      <c r="J927" s="625"/>
      <c r="K927" s="695"/>
      <c r="L927" s="625"/>
      <c r="M927" s="626"/>
      <c r="N927" s="1972"/>
      <c r="O927" s="8"/>
    </row>
    <row r="928" spans="1:15" ht="15.5" x14ac:dyDescent="0.35">
      <c r="A928" s="631">
        <v>4</v>
      </c>
      <c r="B928" s="100" t="s">
        <v>2179</v>
      </c>
      <c r="C928" s="52">
        <v>132</v>
      </c>
      <c r="D928" s="735" t="s">
        <v>527</v>
      </c>
      <c r="E928" s="2165" t="s">
        <v>2180</v>
      </c>
      <c r="F928" s="4">
        <v>1</v>
      </c>
      <c r="G928" s="5">
        <v>54548.076000000001</v>
      </c>
      <c r="H928" s="5">
        <v>68850.872000000003</v>
      </c>
      <c r="I928" s="5">
        <f>SUM(H928-G928)</f>
        <v>14302.796000000002</v>
      </c>
      <c r="J928" s="616">
        <v>1000</v>
      </c>
      <c r="K928" s="696">
        <f t="shared" ref="K928:K935" si="34">J928*I928*F928</f>
        <v>14302796.000000002</v>
      </c>
      <c r="L928" s="7"/>
      <c r="M928" s="7"/>
      <c r="N928" s="1428"/>
      <c r="O928" s="616"/>
    </row>
    <row r="929" spans="1:15" ht="15.5" x14ac:dyDescent="0.35">
      <c r="A929" s="631"/>
      <c r="B929" s="100"/>
      <c r="C929" s="52">
        <v>132</v>
      </c>
      <c r="D929" s="735" t="s">
        <v>516</v>
      </c>
      <c r="E929" s="2188">
        <v>80505634</v>
      </c>
      <c r="F929" s="4">
        <v>1</v>
      </c>
      <c r="G929" s="5">
        <v>8138.7619999999997</v>
      </c>
      <c r="H929" s="5">
        <v>8168.5609999999997</v>
      </c>
      <c r="I929" s="5">
        <f>SUM(H929-G929)</f>
        <v>29.798999999999978</v>
      </c>
      <c r="J929" s="616">
        <v>480000</v>
      </c>
      <c r="K929" s="696">
        <f t="shared" si="34"/>
        <v>14303519.999999989</v>
      </c>
      <c r="L929" s="7"/>
      <c r="M929" s="7"/>
      <c r="N929" s="1428"/>
      <c r="O929" s="616"/>
    </row>
    <row r="930" spans="1:15" ht="15.5" x14ac:dyDescent="0.35">
      <c r="A930" s="631">
        <v>5</v>
      </c>
      <c r="B930" s="100" t="s">
        <v>2181</v>
      </c>
      <c r="C930" s="52">
        <v>132</v>
      </c>
      <c r="D930" s="735" t="s">
        <v>527</v>
      </c>
      <c r="E930" s="2188" t="s">
        <v>2182</v>
      </c>
      <c r="F930" s="4">
        <v>1</v>
      </c>
      <c r="G930" s="5">
        <v>7854.625</v>
      </c>
      <c r="H930" s="5">
        <v>22211.621999999999</v>
      </c>
      <c r="I930" s="5">
        <f>SUM(H930-G930)</f>
        <v>14356.996999999999</v>
      </c>
      <c r="J930" s="616">
        <v>1000</v>
      </c>
      <c r="K930" s="696">
        <f t="shared" si="34"/>
        <v>14356997</v>
      </c>
      <c r="L930" s="7"/>
      <c r="M930" s="7"/>
      <c r="N930" s="1428"/>
      <c r="O930" s="616"/>
    </row>
    <row r="931" spans="1:15" ht="15.5" x14ac:dyDescent="0.35">
      <c r="A931" s="631"/>
      <c r="B931" s="100"/>
      <c r="C931" s="52">
        <v>132</v>
      </c>
      <c r="D931" s="735" t="s">
        <v>516</v>
      </c>
      <c r="E931" s="2188">
        <v>80505637</v>
      </c>
      <c r="F931" s="4">
        <v>1</v>
      </c>
      <c r="G931" s="5">
        <v>8089.308</v>
      </c>
      <c r="H931" s="5">
        <v>8119.2759999999998</v>
      </c>
      <c r="I931" s="5">
        <f>SUM(H931-G931)</f>
        <v>29.967999999999847</v>
      </c>
      <c r="J931" s="616">
        <v>480000</v>
      </c>
      <c r="K931" s="696">
        <f t="shared" si="34"/>
        <v>14384639.999999927</v>
      </c>
      <c r="L931" s="7"/>
      <c r="M931" s="7"/>
      <c r="N931" s="1428"/>
      <c r="O931" s="616"/>
    </row>
    <row r="932" spans="1:15" ht="15.5" x14ac:dyDescent="0.35">
      <c r="A932" s="631">
        <v>6</v>
      </c>
      <c r="B932" s="100" t="s">
        <v>2183</v>
      </c>
      <c r="C932" s="52">
        <v>132</v>
      </c>
      <c r="D932" s="735" t="s">
        <v>527</v>
      </c>
      <c r="E932" s="2188" t="s">
        <v>2184</v>
      </c>
      <c r="F932" s="4">
        <v>1</v>
      </c>
      <c r="G932" s="5">
        <v>2519.6455000000001</v>
      </c>
      <c r="H932" s="5">
        <v>2551.3150999999998</v>
      </c>
      <c r="I932" s="5">
        <f>SUM(H932-G932)</f>
        <v>31.669599999999718</v>
      </c>
      <c r="J932" s="616">
        <v>480000</v>
      </c>
      <c r="K932" s="696">
        <f t="shared" si="34"/>
        <v>15201407.999999864</v>
      </c>
      <c r="L932" s="7"/>
      <c r="M932" s="7"/>
      <c r="N932" s="1428"/>
      <c r="O932" s="616"/>
    </row>
    <row r="933" spans="1:15" ht="15.5" x14ac:dyDescent="0.35">
      <c r="A933" s="631"/>
      <c r="B933" s="100"/>
      <c r="C933" s="52">
        <v>132</v>
      </c>
      <c r="D933" s="735" t="s">
        <v>516</v>
      </c>
      <c r="E933" s="2166">
        <v>50501730</v>
      </c>
      <c r="F933" s="4">
        <v>1</v>
      </c>
      <c r="G933" s="5">
        <v>2521.3780000000002</v>
      </c>
      <c r="H933" s="5">
        <v>2553.0610000000001</v>
      </c>
      <c r="I933" s="5">
        <f>H933-G933</f>
        <v>31.682999999999993</v>
      </c>
      <c r="J933" s="616">
        <v>480000</v>
      </c>
      <c r="K933" s="696">
        <f t="shared" si="34"/>
        <v>15207839.999999996</v>
      </c>
      <c r="L933" s="16"/>
      <c r="M933" s="16"/>
      <c r="N933" s="711"/>
      <c r="O933" s="616"/>
    </row>
    <row r="934" spans="1:15" ht="15.5" x14ac:dyDescent="0.35">
      <c r="A934" s="631">
        <v>7</v>
      </c>
      <c r="B934" s="100" t="s">
        <v>2185</v>
      </c>
      <c r="C934" s="52">
        <v>132</v>
      </c>
      <c r="D934" s="735" t="s">
        <v>1652</v>
      </c>
      <c r="E934" s="2165" t="s">
        <v>2186</v>
      </c>
      <c r="F934" s="4">
        <v>1</v>
      </c>
      <c r="G934" s="5">
        <v>99.251999999999995</v>
      </c>
      <c r="H934" s="5">
        <v>122.09099999999999</v>
      </c>
      <c r="I934" s="5">
        <f>SUM(H934-G934)</f>
        <v>22.838999999999999</v>
      </c>
      <c r="J934" s="616">
        <v>480000</v>
      </c>
      <c r="K934" s="696">
        <f t="shared" si="34"/>
        <v>10962720</v>
      </c>
      <c r="L934" s="7"/>
      <c r="M934" s="7"/>
      <c r="N934" s="1428"/>
      <c r="O934" s="616"/>
    </row>
    <row r="935" spans="1:15" ht="15.5" x14ac:dyDescent="0.35">
      <c r="A935" s="631"/>
      <c r="B935" s="100"/>
      <c r="C935" s="52">
        <v>132</v>
      </c>
      <c r="D935" s="735" t="s">
        <v>527</v>
      </c>
      <c r="E935" s="2166">
        <v>16402670</v>
      </c>
      <c r="F935" s="4">
        <v>1</v>
      </c>
      <c r="G935" s="5">
        <v>1624.43</v>
      </c>
      <c r="H935" s="5">
        <v>1647.26</v>
      </c>
      <c r="I935" s="5">
        <f>H935-G935</f>
        <v>22.829999999999927</v>
      </c>
      <c r="J935" s="616">
        <v>480000</v>
      </c>
      <c r="K935" s="696">
        <f t="shared" si="34"/>
        <v>10958399.999999965</v>
      </c>
      <c r="L935" s="17"/>
      <c r="M935" s="17"/>
      <c r="N935" s="1977"/>
      <c r="O935" s="616"/>
    </row>
    <row r="936" spans="1:15" ht="15.5" x14ac:dyDescent="0.35">
      <c r="A936" s="631"/>
      <c r="B936" s="95"/>
      <c r="C936" s="89"/>
      <c r="D936" s="89"/>
      <c r="E936" s="1784"/>
      <c r="F936" s="37"/>
      <c r="G936" s="37"/>
      <c r="H936" s="37"/>
      <c r="I936" s="2136" t="s">
        <v>236</v>
      </c>
      <c r="J936" s="2137"/>
      <c r="K936" s="698">
        <f>K935+K933+K931+K929</f>
        <v>54854399.999999881</v>
      </c>
      <c r="L936" s="94">
        <f>SUM(L928:L935)</f>
        <v>0</v>
      </c>
      <c r="M936" s="18"/>
      <c r="N936" s="1978"/>
      <c r="O936" s="616"/>
    </row>
    <row r="937" spans="1:15" ht="15.5" x14ac:dyDescent="0.35">
      <c r="A937" s="631"/>
      <c r="B937" s="95"/>
      <c r="C937" s="89"/>
      <c r="D937" s="89"/>
      <c r="E937" s="1784"/>
      <c r="F937" s="37"/>
      <c r="G937" s="37"/>
      <c r="H937" s="37"/>
      <c r="I937" s="665"/>
      <c r="J937" s="665" t="s">
        <v>31</v>
      </c>
      <c r="K937" s="699">
        <f>K936-L936</f>
        <v>54854399.999999881</v>
      </c>
      <c r="L937" s="40"/>
      <c r="M937" s="41"/>
      <c r="N937" s="635"/>
      <c r="O937" s="616"/>
    </row>
    <row r="938" spans="1:15" ht="15.5" x14ac:dyDescent="0.35">
      <c r="A938" s="631"/>
      <c r="B938" s="624" t="s">
        <v>1111</v>
      </c>
      <c r="C938" s="625"/>
      <c r="D938" s="625"/>
      <c r="E938" s="1794"/>
      <c r="F938" s="625"/>
      <c r="G938" s="625"/>
      <c r="H938" s="625"/>
      <c r="I938" s="625"/>
      <c r="J938" s="625"/>
      <c r="K938" s="695"/>
      <c r="L938" s="625"/>
      <c r="M938" s="626"/>
      <c r="N938" s="1972"/>
      <c r="O938" s="616"/>
    </row>
    <row r="939" spans="1:15" ht="15.5" x14ac:dyDescent="0.35">
      <c r="A939" s="631"/>
      <c r="B939" s="100"/>
      <c r="C939" s="52"/>
      <c r="D939" s="2105"/>
      <c r="E939" s="2165"/>
      <c r="F939" s="4"/>
      <c r="G939" s="5"/>
      <c r="H939" s="5"/>
      <c r="I939" s="5"/>
      <c r="J939" s="616"/>
      <c r="K939" s="696"/>
      <c r="L939" s="16"/>
      <c r="M939" s="16"/>
      <c r="N939" s="711"/>
      <c r="O939" s="616"/>
    </row>
    <row r="940" spans="1:15" ht="15.5" x14ac:dyDescent="0.35">
      <c r="A940" s="631"/>
      <c r="B940" s="100"/>
      <c r="C940" s="52"/>
      <c r="D940" s="2106"/>
      <c r="E940" s="2166"/>
      <c r="F940" s="4"/>
      <c r="G940" s="5"/>
      <c r="H940" s="5"/>
      <c r="I940" s="5"/>
      <c r="J940" s="616"/>
      <c r="K940" s="696"/>
      <c r="L940" s="16"/>
      <c r="M940" s="16"/>
      <c r="N940" s="711"/>
      <c r="O940" s="616"/>
    </row>
    <row r="941" spans="1:15" ht="15.5" x14ac:dyDescent="0.35">
      <c r="A941" s="631"/>
      <c r="B941" s="100"/>
      <c r="C941" s="52"/>
      <c r="D941" s="2106"/>
      <c r="E941" s="2165"/>
      <c r="F941" s="4"/>
      <c r="G941" s="5"/>
      <c r="H941" s="5"/>
      <c r="I941" s="5"/>
      <c r="J941" s="616"/>
      <c r="K941" s="696"/>
      <c r="L941" s="16"/>
      <c r="M941" s="16"/>
      <c r="N941" s="711"/>
      <c r="O941" s="616"/>
    </row>
    <row r="942" spans="1:15" ht="15.5" x14ac:dyDescent="0.35">
      <c r="A942" s="631"/>
      <c r="B942" s="100"/>
      <c r="C942" s="52"/>
      <c r="D942" s="2151"/>
      <c r="E942" s="2166"/>
      <c r="F942" s="4"/>
      <c r="G942" s="5"/>
      <c r="H942" s="5"/>
      <c r="I942" s="5"/>
      <c r="J942" s="616"/>
      <c r="K942" s="697"/>
      <c r="L942" s="17"/>
      <c r="M942" s="17"/>
      <c r="N942" s="1977"/>
      <c r="O942" s="616"/>
    </row>
    <row r="943" spans="1:15" ht="15.5" x14ac:dyDescent="0.35">
      <c r="A943" s="631"/>
      <c r="B943" s="95"/>
      <c r="C943" s="89"/>
      <c r="D943" s="89"/>
      <c r="E943" s="1784"/>
      <c r="F943" s="37"/>
      <c r="G943" s="37"/>
      <c r="H943" s="37"/>
      <c r="I943" s="2136" t="s">
        <v>303</v>
      </c>
      <c r="J943" s="2137"/>
      <c r="K943" s="698">
        <f>SUM(K939:K942)</f>
        <v>0</v>
      </c>
      <c r="L943" s="94">
        <f>SUM(L939:L942)</f>
        <v>0</v>
      </c>
      <c r="M943" s="18"/>
      <c r="N943" s="1978"/>
      <c r="O943" s="633"/>
    </row>
    <row r="944" spans="1:15" ht="15.5" x14ac:dyDescent="0.35">
      <c r="A944" s="631"/>
      <c r="B944" s="95"/>
      <c r="C944" s="89"/>
      <c r="D944" s="89"/>
      <c r="E944" s="1784"/>
      <c r="F944" s="37"/>
      <c r="G944" s="37"/>
      <c r="H944" s="37"/>
      <c r="I944" s="2136" t="s">
        <v>31</v>
      </c>
      <c r="J944" s="2137"/>
      <c r="K944" s="699">
        <f>K943-L943</f>
        <v>0</v>
      </c>
      <c r="L944" s="40"/>
      <c r="M944" s="42"/>
      <c r="N944" s="1921"/>
      <c r="O944" s="633"/>
    </row>
    <row r="945" spans="1:15" ht="15.5" x14ac:dyDescent="0.35">
      <c r="A945" s="11"/>
      <c r="B945" s="647" t="s">
        <v>1115</v>
      </c>
      <c r="C945" s="648"/>
      <c r="D945" s="648"/>
      <c r="E945" s="1800"/>
      <c r="F945" s="648"/>
      <c r="G945" s="648"/>
      <c r="H945" s="648"/>
      <c r="I945" s="648"/>
      <c r="J945" s="648"/>
      <c r="K945" s="700"/>
      <c r="L945" s="648"/>
      <c r="M945" s="651"/>
      <c r="N945" s="1971"/>
      <c r="O945" s="8"/>
    </row>
    <row r="946" spans="1:15" ht="15.5" x14ac:dyDescent="0.35">
      <c r="A946" s="631">
        <v>7</v>
      </c>
      <c r="B946" s="100" t="s">
        <v>2185</v>
      </c>
      <c r="C946" s="52">
        <v>132</v>
      </c>
      <c r="D946" s="1748" t="s">
        <v>1652</v>
      </c>
      <c r="E946" s="1818" t="s">
        <v>2186</v>
      </c>
      <c r="F946" s="4">
        <v>1</v>
      </c>
      <c r="G946" s="5">
        <v>99.251999999999995</v>
      </c>
      <c r="H946" s="5">
        <v>122.09099999999999</v>
      </c>
      <c r="I946" s="5">
        <f>SUM(H946-G946)</f>
        <v>22.838999999999999</v>
      </c>
      <c r="J946" s="616">
        <v>480000</v>
      </c>
      <c r="K946" s="696"/>
      <c r="L946" s="22">
        <f>J946*I946*F946</f>
        <v>10962720</v>
      </c>
      <c r="M946" s="7"/>
      <c r="N946" s="1428"/>
      <c r="O946" s="616"/>
    </row>
    <row r="947" spans="1:15" ht="15.5" x14ac:dyDescent="0.35">
      <c r="A947" s="631"/>
      <c r="B947" s="100"/>
      <c r="C947" s="52">
        <v>132</v>
      </c>
      <c r="D947" s="1748" t="s">
        <v>527</v>
      </c>
      <c r="E947" s="1818">
        <v>16402670</v>
      </c>
      <c r="F947" s="4">
        <v>1</v>
      </c>
      <c r="G947" s="5">
        <v>1624.43</v>
      </c>
      <c r="H947" s="5">
        <v>1647.26</v>
      </c>
      <c r="I947" s="5">
        <f>H947-G947</f>
        <v>22.829999999999927</v>
      </c>
      <c r="J947" s="616">
        <v>480000</v>
      </c>
      <c r="K947" s="696"/>
      <c r="L947" s="22">
        <f>J947*I947*F947</f>
        <v>10958399.999999965</v>
      </c>
      <c r="M947" s="16"/>
      <c r="N947" s="711"/>
      <c r="O947" s="616"/>
    </row>
    <row r="948" spans="1:15" ht="15.5" x14ac:dyDescent="0.35">
      <c r="A948" s="631"/>
      <c r="B948" s="95"/>
      <c r="C948" s="89"/>
      <c r="D948" s="89"/>
      <c r="E948" s="1784"/>
      <c r="F948" s="37"/>
      <c r="G948" s="37"/>
      <c r="H948" s="37"/>
      <c r="I948" s="37"/>
      <c r="J948" s="95" t="s">
        <v>279</v>
      </c>
      <c r="K948" s="699"/>
      <c r="L948" s="43">
        <f>L947</f>
        <v>10958399.999999965</v>
      </c>
      <c r="M948" s="633"/>
      <c r="N948" s="1921"/>
      <c r="O948" s="616"/>
    </row>
    <row r="949" spans="1:15" ht="15.5" x14ac:dyDescent="0.35">
      <c r="A949" s="11"/>
      <c r="B949" s="647" t="s">
        <v>1101</v>
      </c>
      <c r="C949" s="648"/>
      <c r="D949" s="648"/>
      <c r="E949" s="1800"/>
      <c r="F949" s="648"/>
      <c r="G949" s="648"/>
      <c r="H949" s="648"/>
      <c r="I949" s="648"/>
      <c r="J949" s="648"/>
      <c r="K949" s="700"/>
      <c r="L949" s="648"/>
      <c r="M949" s="651"/>
      <c r="N949" s="1971"/>
      <c r="O949" s="8"/>
    </row>
    <row r="950" spans="1:15" ht="15.5" x14ac:dyDescent="0.35">
      <c r="A950" s="631"/>
      <c r="B950" s="100" t="s">
        <v>1075</v>
      </c>
      <c r="C950" s="52">
        <v>132</v>
      </c>
      <c r="D950" s="2140" t="s">
        <v>1085</v>
      </c>
      <c r="E950" s="1842"/>
      <c r="F950" s="59"/>
      <c r="G950" s="60"/>
      <c r="H950" s="60"/>
      <c r="I950" s="60"/>
      <c r="J950" s="58"/>
      <c r="K950" s="4"/>
      <c r="L950" s="16">
        <f>J950*I950*F950</f>
        <v>0</v>
      </c>
      <c r="M950" s="16"/>
      <c r="N950" s="1428"/>
      <c r="O950" s="616"/>
    </row>
    <row r="951" spans="1:15" ht="15.5" x14ac:dyDescent="0.35">
      <c r="A951" s="631"/>
      <c r="B951" s="100" t="s">
        <v>1076</v>
      </c>
      <c r="C951" s="52">
        <v>132</v>
      </c>
      <c r="D951" s="2141"/>
      <c r="E951" s="1842"/>
      <c r="F951" s="59"/>
      <c r="G951" s="60"/>
      <c r="H951" s="60"/>
      <c r="I951" s="60"/>
      <c r="J951" s="58"/>
      <c r="K951" s="4"/>
      <c r="L951" s="16">
        <f>J951*I951*F951</f>
        <v>0</v>
      </c>
      <c r="M951" s="16"/>
      <c r="N951" s="1428"/>
      <c r="O951" s="616"/>
    </row>
    <row r="952" spans="1:15" ht="15.5" x14ac:dyDescent="0.35">
      <c r="A952" s="631"/>
      <c r="B952" s="100" t="s">
        <v>1077</v>
      </c>
      <c r="C952" s="52">
        <v>132</v>
      </c>
      <c r="D952" s="2157"/>
      <c r="E952" s="1842"/>
      <c r="F952" s="59"/>
      <c r="G952" s="60"/>
      <c r="H952" s="60"/>
      <c r="I952" s="60"/>
      <c r="J952" s="58"/>
      <c r="K952" s="4"/>
      <c r="L952" s="16">
        <f>J952*I952*F952</f>
        <v>0</v>
      </c>
      <c r="M952" s="16"/>
      <c r="N952" s="1428"/>
      <c r="O952" s="616"/>
    </row>
    <row r="953" spans="1:15" ht="15.5" x14ac:dyDescent="0.35">
      <c r="A953" s="631"/>
      <c r="B953" s="95"/>
      <c r="C953" s="89"/>
      <c r="D953" s="89"/>
      <c r="E953" s="1787"/>
      <c r="F953" s="65"/>
      <c r="G953" s="65"/>
      <c r="H953" s="65"/>
      <c r="I953" s="65"/>
      <c r="J953" s="95" t="s">
        <v>30</v>
      </c>
      <c r="K953" s="701"/>
      <c r="L953" s="43">
        <f>K937-L948</f>
        <v>43895999.999999918</v>
      </c>
      <c r="M953" s="55"/>
      <c r="N953" s="1428"/>
      <c r="O953" s="616"/>
    </row>
    <row r="954" spans="1:15" ht="29.25" customHeight="1" thickBot="1" x14ac:dyDescent="0.4">
      <c r="A954" s="620"/>
      <c r="B954" s="635"/>
      <c r="C954" s="632"/>
      <c r="D954" s="720"/>
      <c r="K954" s="702"/>
      <c r="L954" s="620"/>
      <c r="M954" s="620"/>
      <c r="N954" s="635"/>
      <c r="O954" s="620"/>
    </row>
    <row r="955" spans="1:15" s="620" customFormat="1" x14ac:dyDescent="0.35">
      <c r="B955" s="2142" t="s">
        <v>1090</v>
      </c>
      <c r="C955" s="2143"/>
      <c r="D955" s="683" t="s">
        <v>14</v>
      </c>
      <c r="E955"/>
      <c r="F955" s="2144" t="s">
        <v>1091</v>
      </c>
      <c r="G955" s="2145"/>
      <c r="H955" s="2146"/>
      <c r="I955" s="683" t="s">
        <v>14</v>
      </c>
      <c r="K955" s="2147" t="s">
        <v>1092</v>
      </c>
      <c r="L955" s="2148"/>
      <c r="M955" s="684" t="s">
        <v>14</v>
      </c>
      <c r="N955" s="635"/>
    </row>
    <row r="956" spans="1:15" s="620" customFormat="1" x14ac:dyDescent="0.35">
      <c r="B956" s="2122" t="str">
        <f>B927</f>
        <v>132 KV SENDING SIDE (TARIFF POINT)</v>
      </c>
      <c r="C956" s="2123"/>
      <c r="D956" s="689">
        <f>K937</f>
        <v>54854399.999999881</v>
      </c>
      <c r="E956"/>
      <c r="F956" s="2124" t="s">
        <v>1093</v>
      </c>
      <c r="G956" s="2125"/>
      <c r="H956" s="2126"/>
      <c r="I956" s="689">
        <f>L948</f>
        <v>10958399.999999965</v>
      </c>
      <c r="K956" s="2129" t="s">
        <v>4625</v>
      </c>
      <c r="L956" s="2130"/>
      <c r="M956" s="687">
        <f>I957</f>
        <v>43895999.999999918</v>
      </c>
      <c r="N956" s="635"/>
    </row>
    <row r="957" spans="1:15" s="620" customFormat="1" x14ac:dyDescent="0.35">
      <c r="B957" s="2122" t="s">
        <v>1116</v>
      </c>
      <c r="C957" s="2123"/>
      <c r="D957" s="689"/>
      <c r="E957"/>
      <c r="F957" s="2124" t="s">
        <v>4625</v>
      </c>
      <c r="G957" s="2125"/>
      <c r="H957" s="2126"/>
      <c r="I957" s="687">
        <f>L953</f>
        <v>43895999.999999918</v>
      </c>
      <c r="K957" s="2127" t="s">
        <v>2455</v>
      </c>
      <c r="L957" s="2128"/>
      <c r="M957" s="1908">
        <f>D961</f>
        <v>43782545.999999762</v>
      </c>
      <c r="N957" s="635"/>
    </row>
    <row r="958" spans="1:15" s="620" customFormat="1" x14ac:dyDescent="0.35">
      <c r="B958" s="2122" t="s">
        <v>1117</v>
      </c>
      <c r="C958" s="2123"/>
      <c r="D958" s="689"/>
      <c r="E958"/>
      <c r="F958" s="2124" t="s">
        <v>1089</v>
      </c>
      <c r="G958" s="2125"/>
      <c r="H958" s="2126"/>
      <c r="I958" s="689">
        <f>I956+I957</f>
        <v>54854399.999999881</v>
      </c>
      <c r="K958" s="2129" t="s">
        <v>4622</v>
      </c>
      <c r="L958" s="2130"/>
      <c r="M958" s="689">
        <f>M956-M957</f>
        <v>113454.00000015646</v>
      </c>
      <c r="N958" s="635"/>
    </row>
    <row r="959" spans="1:15" s="620" customFormat="1" ht="15" thickBot="1" x14ac:dyDescent="0.4">
      <c r="B959" s="2122" t="s">
        <v>1118</v>
      </c>
      <c r="C959" s="2123"/>
      <c r="D959" s="722"/>
      <c r="E959"/>
      <c r="F959" s="2131" t="s">
        <v>4626</v>
      </c>
      <c r="G959" s="2132"/>
      <c r="H959" s="2133"/>
      <c r="I959" s="689">
        <f>D960-I958</f>
        <v>0</v>
      </c>
      <c r="K959" s="2134" t="s">
        <v>285</v>
      </c>
      <c r="L959" s="2135"/>
      <c r="M959" s="1905">
        <f>M958/M956</f>
        <v>2.5846090760013821E-3</v>
      </c>
      <c r="N959" s="635"/>
    </row>
    <row r="960" spans="1:15" s="620" customFormat="1" ht="15" thickBot="1" x14ac:dyDescent="0.4">
      <c r="B960" s="2109" t="s">
        <v>4620</v>
      </c>
      <c r="C960" s="2110"/>
      <c r="D960" s="1435">
        <f>SUM(D956:D959)</f>
        <v>54854399.999999881</v>
      </c>
      <c r="E960"/>
      <c r="F960" s="2113" t="s">
        <v>2454</v>
      </c>
      <c r="G960" s="2114"/>
      <c r="H960" s="2115"/>
      <c r="I960" s="1904">
        <f>I959/I958</f>
        <v>0</v>
      </c>
      <c r="K960" s="702"/>
      <c r="N960" s="635"/>
    </row>
    <row r="961" spans="1:15" s="620" customFormat="1" x14ac:dyDescent="0.35">
      <c r="B961" s="2116" t="s">
        <v>4624</v>
      </c>
      <c r="C961" s="2117"/>
      <c r="D961" s="1908">
        <f>K977</f>
        <v>43782545.999999762</v>
      </c>
      <c r="E961"/>
      <c r="F961" s="791"/>
      <c r="G961"/>
      <c r="H961"/>
      <c r="I961"/>
      <c r="J961"/>
      <c r="K961" s="702"/>
      <c r="N961" s="635"/>
    </row>
    <row r="962" spans="1:15" s="620" customFormat="1" x14ac:dyDescent="0.35">
      <c r="B962" s="2118" t="s">
        <v>4627</v>
      </c>
      <c r="C962" s="2119"/>
      <c r="D962" s="1436">
        <f>D960-D961</f>
        <v>11071854.000000119</v>
      </c>
      <c r="E962"/>
      <c r="F962" s="791"/>
      <c r="G962"/>
      <c r="H962"/>
      <c r="I962"/>
      <c r="J962"/>
      <c r="K962" s="702"/>
      <c r="N962" s="635"/>
    </row>
    <row r="963" spans="1:15" s="620" customFormat="1" ht="15" thickBot="1" x14ac:dyDescent="0.4">
      <c r="B963" s="2120" t="str">
        <f>K959</f>
        <v>LOSS % IN =&gt;</v>
      </c>
      <c r="C963" s="2121"/>
      <c r="D963" s="1899">
        <f>D962/D956</f>
        <v>0.20184076391319827</v>
      </c>
      <c r="E963"/>
      <c r="F963" s="791"/>
      <c r="G963" s="678"/>
      <c r="H963" s="678"/>
      <c r="I963" s="678"/>
      <c r="J963" s="679"/>
      <c r="K963" s="702"/>
      <c r="N963" s="635"/>
    </row>
    <row r="964" spans="1:15" x14ac:dyDescent="0.35">
      <c r="A964" s="620"/>
      <c r="B964" s="635"/>
      <c r="C964" s="632"/>
      <c r="D964" s="720"/>
      <c r="G964" s="678"/>
      <c r="H964" s="678"/>
      <c r="I964" s="678"/>
      <c r="J964" s="679"/>
      <c r="K964" s="702"/>
      <c r="L964" s="620"/>
      <c r="M964" s="620"/>
      <c r="N964" s="635"/>
      <c r="O964" s="620"/>
    </row>
    <row r="965" spans="1:15" x14ac:dyDescent="0.35">
      <c r="A965" s="620"/>
      <c r="B965" s="635"/>
      <c r="C965" s="632"/>
      <c r="D965" s="720"/>
      <c r="G965" s="678"/>
      <c r="H965" s="678"/>
      <c r="I965" s="678"/>
      <c r="J965" s="679"/>
      <c r="K965" s="702"/>
      <c r="L965" s="620"/>
      <c r="M965" s="620"/>
      <c r="N965" s="635"/>
      <c r="O965" s="620"/>
    </row>
    <row r="966" spans="1:15" x14ac:dyDescent="0.35">
      <c r="A966" s="620"/>
      <c r="B966" s="635"/>
      <c r="C966" s="632"/>
      <c r="D966" s="720"/>
      <c r="E966" s="1788"/>
      <c r="F966" s="620"/>
      <c r="G966" s="620"/>
      <c r="H966" s="620"/>
      <c r="I966" s="620"/>
      <c r="J966" s="620"/>
      <c r="K966" s="702"/>
      <c r="L966" s="620"/>
      <c r="M966" s="620"/>
      <c r="N966" s="635"/>
      <c r="O966" s="620"/>
    </row>
    <row r="967" spans="1:15" ht="25" x14ac:dyDescent="0.35">
      <c r="A967" s="2095" t="s">
        <v>1199</v>
      </c>
      <c r="B967" s="2095"/>
      <c r="C967" s="2095"/>
      <c r="D967" s="2095"/>
      <c r="E967" s="2095"/>
      <c r="F967" s="2095"/>
      <c r="G967" s="2095"/>
      <c r="H967" s="2095"/>
      <c r="I967" s="2095"/>
      <c r="J967" s="2095"/>
      <c r="K967" s="2095"/>
      <c r="L967" s="2095"/>
      <c r="M967" s="2095"/>
      <c r="N967" s="2095"/>
      <c r="O967" s="756" t="str">
        <f>$O$6</f>
        <v>Month December-2022</v>
      </c>
    </row>
    <row r="968" spans="1:15" ht="15.5" x14ac:dyDescent="0.35">
      <c r="A968" s="2096" t="s">
        <v>0</v>
      </c>
      <c r="B968" s="2098" t="s">
        <v>1</v>
      </c>
      <c r="C968" s="2100" t="s">
        <v>2</v>
      </c>
      <c r="D968" s="2101"/>
      <c r="E968" s="2102"/>
      <c r="F968" s="2103" t="s">
        <v>3</v>
      </c>
      <c r="G968" s="2100" t="s">
        <v>4</v>
      </c>
      <c r="H968" s="2102"/>
      <c r="I968" s="2085"/>
      <c r="J968" s="2103" t="s">
        <v>5</v>
      </c>
      <c r="K968" s="2100" t="s">
        <v>6</v>
      </c>
      <c r="L968" s="2085"/>
      <c r="M968" s="97" t="s">
        <v>32</v>
      </c>
      <c r="N968" s="98"/>
      <c r="O968" s="2084" t="s">
        <v>7</v>
      </c>
    </row>
    <row r="969" spans="1:15" ht="15.5" x14ac:dyDescent="0.35">
      <c r="A969" s="2111"/>
      <c r="B969" s="2112"/>
      <c r="C969" s="2086" t="s">
        <v>1108</v>
      </c>
      <c r="D969" s="2087"/>
      <c r="E969" s="1838" t="s">
        <v>9</v>
      </c>
      <c r="F969" s="2111"/>
      <c r="G969" s="2">
        <f>'NORTH-1'!$G$8</f>
        <v>44774</v>
      </c>
      <c r="H969" s="2">
        <f>'NORTH-1'!$H$8</f>
        <v>44805</v>
      </c>
      <c r="I969" s="676" t="s">
        <v>10</v>
      </c>
      <c r="J969" s="2111"/>
      <c r="K969" s="676" t="s">
        <v>11</v>
      </c>
      <c r="L969" s="676" t="s">
        <v>12</v>
      </c>
      <c r="M969" s="715" t="s">
        <v>33</v>
      </c>
      <c r="N969" s="716" t="s">
        <v>47</v>
      </c>
      <c r="O969" s="2104"/>
    </row>
    <row r="970" spans="1:15" ht="15.5" x14ac:dyDescent="0.35">
      <c r="A970" s="717">
        <v>1</v>
      </c>
      <c r="B970" s="673">
        <v>2</v>
      </c>
      <c r="C970" s="2088">
        <v>4</v>
      </c>
      <c r="D970" s="2089"/>
      <c r="E970" s="1839">
        <v>5</v>
      </c>
      <c r="F970" s="717">
        <v>7</v>
      </c>
      <c r="G970" s="717">
        <v>8</v>
      </c>
      <c r="H970" s="717">
        <v>9</v>
      </c>
      <c r="I970" s="717" t="s">
        <v>13</v>
      </c>
      <c r="J970" s="717">
        <v>11</v>
      </c>
      <c r="K970" s="717" t="s">
        <v>19</v>
      </c>
      <c r="L970" s="717" t="s">
        <v>20</v>
      </c>
      <c r="M970" s="717">
        <v>14</v>
      </c>
      <c r="N970" s="673">
        <v>15</v>
      </c>
      <c r="O970" s="717">
        <v>16</v>
      </c>
    </row>
    <row r="971" spans="1:15" ht="15.5" x14ac:dyDescent="0.35">
      <c r="A971" s="11"/>
      <c r="B971" s="624" t="s">
        <v>1100</v>
      </c>
      <c r="C971" s="625"/>
      <c r="D971" s="625"/>
      <c r="E971" s="1794"/>
      <c r="F971" s="625"/>
      <c r="G971" s="625"/>
      <c r="H971" s="625"/>
      <c r="I971" s="625"/>
      <c r="J971" s="625"/>
      <c r="K971" s="695"/>
      <c r="L971" s="625"/>
      <c r="M971" s="626"/>
      <c r="N971" s="1972"/>
      <c r="O971" s="8"/>
    </row>
    <row r="972" spans="1:15" ht="15.5" x14ac:dyDescent="0.35">
      <c r="A972" s="631">
        <v>11</v>
      </c>
      <c r="B972" s="100" t="s">
        <v>1894</v>
      </c>
      <c r="C972" s="52">
        <v>33</v>
      </c>
      <c r="D972" s="735" t="s">
        <v>527</v>
      </c>
      <c r="E972" s="1801" t="s">
        <v>2193</v>
      </c>
      <c r="F972" s="4">
        <v>1.5</v>
      </c>
      <c r="G972" s="5">
        <v>41439.599000000002</v>
      </c>
      <c r="H972" s="5">
        <v>50983.578999999998</v>
      </c>
      <c r="I972" s="5">
        <f>SUM(H972-G972)</f>
        <v>9543.9799999999959</v>
      </c>
      <c r="J972" s="616">
        <v>1000</v>
      </c>
      <c r="K972" s="696">
        <f>F972*I972*J972</f>
        <v>14315969.999999994</v>
      </c>
      <c r="L972" s="7"/>
      <c r="M972" s="7"/>
      <c r="N972" s="1428"/>
      <c r="O972" s="616"/>
    </row>
    <row r="973" spans="1:15" ht="15.5" x14ac:dyDescent="0.35">
      <c r="A973" s="631"/>
      <c r="B973" s="100"/>
      <c r="C973" s="52">
        <v>33</v>
      </c>
      <c r="D973" s="735" t="s">
        <v>1652</v>
      </c>
      <c r="E973" s="1801" t="s">
        <v>2194</v>
      </c>
      <c r="F973" s="4">
        <v>1</v>
      </c>
      <c r="G973" s="5">
        <v>5208.4520000000002</v>
      </c>
      <c r="H973" s="5">
        <v>5208.4520000000002</v>
      </c>
      <c r="I973" s="5">
        <f>SUM(H973-G973)</f>
        <v>0</v>
      </c>
      <c r="J973" s="616">
        <v>480000</v>
      </c>
      <c r="K973" s="696">
        <f>F973*I973*J973</f>
        <v>0</v>
      </c>
      <c r="L973" s="7"/>
      <c r="M973" s="7"/>
      <c r="N973" s="1428"/>
      <c r="O973" s="616"/>
    </row>
    <row r="974" spans="1:15" ht="15.5" x14ac:dyDescent="0.35">
      <c r="A974" s="631">
        <v>15</v>
      </c>
      <c r="B974" s="100" t="s">
        <v>1905</v>
      </c>
      <c r="C974" s="52">
        <v>33</v>
      </c>
      <c r="D974" s="735" t="s">
        <v>1652</v>
      </c>
      <c r="E974" s="1801" t="s">
        <v>2204</v>
      </c>
      <c r="F974" s="4">
        <v>1</v>
      </c>
      <c r="G974" s="5">
        <v>4480.3019999999997</v>
      </c>
      <c r="H974" s="5">
        <v>4480.3019999999997</v>
      </c>
      <c r="I974" s="5">
        <f>SUM(H974-G974)</f>
        <v>0</v>
      </c>
      <c r="J974" s="616">
        <v>480000</v>
      </c>
      <c r="K974" s="696">
        <f>F974*I974*J974</f>
        <v>0</v>
      </c>
      <c r="L974" s="7"/>
      <c r="M974" s="7"/>
      <c r="N974" s="1428"/>
      <c r="O974" s="616"/>
    </row>
    <row r="975" spans="1:15" ht="15.5" x14ac:dyDescent="0.35">
      <c r="A975" s="631"/>
      <c r="B975" s="100"/>
      <c r="C975" s="52">
        <v>33</v>
      </c>
      <c r="D975" s="735" t="s">
        <v>527</v>
      </c>
      <c r="E975" s="1801" t="s">
        <v>2205</v>
      </c>
      <c r="F975" s="4">
        <v>1</v>
      </c>
      <c r="G975" s="5">
        <v>1446.2433000000001</v>
      </c>
      <c r="H975" s="5">
        <v>1476.0319</v>
      </c>
      <c r="I975" s="5">
        <f>SUM(H975-G975)</f>
        <v>29.78859999999986</v>
      </c>
      <c r="J975" s="616">
        <v>480000</v>
      </c>
      <c r="K975" s="696">
        <f>F975*I975*J975</f>
        <v>14298527.999999933</v>
      </c>
      <c r="L975" s="7"/>
      <c r="M975" s="7"/>
      <c r="N975" s="1428"/>
      <c r="O975" s="616"/>
    </row>
    <row r="976" spans="1:15" ht="15.5" x14ac:dyDescent="0.35">
      <c r="A976" s="631">
        <v>18</v>
      </c>
      <c r="B976" s="100" t="s">
        <v>2210</v>
      </c>
      <c r="C976" s="52">
        <v>33</v>
      </c>
      <c r="D976" s="735" t="s">
        <v>527</v>
      </c>
      <c r="E976" s="1801" t="s">
        <v>2211</v>
      </c>
      <c r="F976" s="4">
        <v>1</v>
      </c>
      <c r="G976" s="5">
        <v>2514.3942000000002</v>
      </c>
      <c r="H976" s="5">
        <v>2545.9942999999998</v>
      </c>
      <c r="I976" s="5">
        <f>SUM(H976-G976)</f>
        <v>31.600099999999657</v>
      </c>
      <c r="J976" s="616">
        <v>480000</v>
      </c>
      <c r="K976" s="696">
        <f>F976*I976*J976</f>
        <v>15168047.999999836</v>
      </c>
      <c r="L976" s="7"/>
      <c r="M976" s="7"/>
      <c r="N976" s="1428"/>
      <c r="O976" s="616"/>
    </row>
    <row r="977" spans="1:15" ht="15.5" x14ac:dyDescent="0.35">
      <c r="A977" s="631"/>
      <c r="B977" s="95"/>
      <c r="C977" s="89"/>
      <c r="D977" s="89"/>
      <c r="E977" s="1784"/>
      <c r="F977" s="37"/>
      <c r="G977" s="37"/>
      <c r="H977" s="37"/>
      <c r="I977" s="37"/>
      <c r="J977" s="95" t="s">
        <v>30</v>
      </c>
      <c r="K977" s="1908">
        <f>SUM(K972:K976)</f>
        <v>43782545.999999762</v>
      </c>
      <c r="L977" s="40"/>
      <c r="M977" s="40">
        <f>SUM(M972:M976)</f>
        <v>0</v>
      </c>
      <c r="N977" s="1428"/>
      <c r="O977" s="616"/>
    </row>
    <row r="978" spans="1:15" ht="15.5" x14ac:dyDescent="0.35">
      <c r="A978" s="631"/>
      <c r="B978" s="647" t="s">
        <v>1103</v>
      </c>
      <c r="C978" s="648"/>
      <c r="D978" s="648"/>
      <c r="E978" s="1800"/>
      <c r="F978" s="648"/>
      <c r="G978" s="648"/>
      <c r="H978" s="648"/>
      <c r="I978" s="648"/>
      <c r="J978" s="648"/>
      <c r="K978" s="700"/>
      <c r="L978" s="648"/>
      <c r="M978" s="651"/>
      <c r="N978" s="1971"/>
      <c r="O978" s="616"/>
    </row>
    <row r="979" spans="1:15" ht="15.5" x14ac:dyDescent="0.35">
      <c r="A979" s="631"/>
      <c r="B979" s="662" t="s">
        <v>1106</v>
      </c>
      <c r="C979" s="52"/>
      <c r="D979" s="1777" t="s">
        <v>1083</v>
      </c>
      <c r="E979" s="1801"/>
      <c r="F979" s="4"/>
      <c r="G979" s="5"/>
      <c r="H979" s="5"/>
      <c r="I979" s="6"/>
      <c r="J979" s="616"/>
      <c r="K979" s="696"/>
      <c r="L979" s="7"/>
      <c r="M979" s="7"/>
      <c r="N979" s="1428"/>
      <c r="O979" s="616"/>
    </row>
    <row r="980" spans="1:15" ht="15.5" x14ac:dyDescent="0.35">
      <c r="A980" s="11">
        <v>9</v>
      </c>
      <c r="B980" s="100" t="s">
        <v>2187</v>
      </c>
      <c r="C980" s="661">
        <v>33</v>
      </c>
      <c r="D980" s="1748" t="s">
        <v>527</v>
      </c>
      <c r="E980" s="1840" t="s">
        <v>2188</v>
      </c>
      <c r="F980" s="4">
        <v>1</v>
      </c>
      <c r="G980" s="21">
        <v>4294.9790000000003</v>
      </c>
      <c r="H980" s="21">
        <v>11498.384</v>
      </c>
      <c r="I980" s="21">
        <f>SUM(H980-G980)</f>
        <v>7203.4049999999997</v>
      </c>
      <c r="J980" s="616">
        <v>1000</v>
      </c>
      <c r="K980" s="696"/>
      <c r="L980" s="22">
        <f>F980*I980*J980</f>
        <v>7203405</v>
      </c>
      <c r="M980" s="22"/>
      <c r="N980" s="72"/>
      <c r="O980" s="9"/>
    </row>
    <row r="981" spans="1:15" ht="15.5" x14ac:dyDescent="0.35">
      <c r="A981" s="631"/>
      <c r="B981" s="100"/>
      <c r="C981" s="661">
        <v>33</v>
      </c>
      <c r="D981" s="1748" t="s">
        <v>1652</v>
      </c>
      <c r="E981" s="1840" t="s">
        <v>2189</v>
      </c>
      <c r="F981" s="4">
        <v>1</v>
      </c>
      <c r="G981" s="21">
        <v>5592.049</v>
      </c>
      <c r="H981" s="21">
        <v>5622.0190000000002</v>
      </c>
      <c r="I981" s="21">
        <f>SUM(H981-G981)</f>
        <v>29.970000000000255</v>
      </c>
      <c r="J981" s="616">
        <v>240000</v>
      </c>
      <c r="K981" s="696"/>
      <c r="L981" s="22">
        <f>F981*I981*J981</f>
        <v>7192800.0000000615</v>
      </c>
      <c r="M981" s="22"/>
      <c r="N981" s="72"/>
      <c r="O981" s="616"/>
    </row>
    <row r="982" spans="1:15" ht="15.5" x14ac:dyDescent="0.35">
      <c r="A982" s="616">
        <v>13</v>
      </c>
      <c r="B982" s="100" t="s">
        <v>2198</v>
      </c>
      <c r="C982" s="661">
        <v>33</v>
      </c>
      <c r="D982" s="1748" t="s">
        <v>527</v>
      </c>
      <c r="E982" s="1840" t="s">
        <v>2199</v>
      </c>
      <c r="F982" s="4">
        <v>1</v>
      </c>
      <c r="G982" s="21">
        <v>35168.743000000002</v>
      </c>
      <c r="H982" s="21">
        <v>39643.534</v>
      </c>
      <c r="I982" s="21">
        <f>SUM(H982-G982)</f>
        <v>4474.7909999999974</v>
      </c>
      <c r="J982" s="616">
        <v>1000</v>
      </c>
      <c r="K982" s="696"/>
      <c r="L982" s="22">
        <f>F982*I982*J982</f>
        <v>4474790.9999999972</v>
      </c>
      <c r="M982" s="22"/>
      <c r="N982" s="72"/>
      <c r="O982" s="616"/>
    </row>
    <row r="983" spans="1:15" ht="15.5" x14ac:dyDescent="0.35">
      <c r="A983" s="616"/>
      <c r="B983" s="100"/>
      <c r="C983" s="661">
        <v>33</v>
      </c>
      <c r="D983" s="1748" t="s">
        <v>1652</v>
      </c>
      <c r="E983" s="1840" t="s">
        <v>2200</v>
      </c>
      <c r="F983" s="4">
        <v>1</v>
      </c>
      <c r="G983" s="21">
        <v>5456.5709999999999</v>
      </c>
      <c r="H983" s="21">
        <v>5481.4269999999997</v>
      </c>
      <c r="I983" s="21">
        <f>SUM(H983-G983)</f>
        <v>24.855999999999767</v>
      </c>
      <c r="J983" s="616">
        <v>180000</v>
      </c>
      <c r="K983" s="696"/>
      <c r="L983" s="22">
        <f>F983*I983*J983</f>
        <v>4474079.9999999581</v>
      </c>
      <c r="M983" s="22"/>
      <c r="N983" s="72"/>
      <c r="O983" s="12"/>
    </row>
    <row r="984" spans="1:15" ht="15.5" x14ac:dyDescent="0.35">
      <c r="A984" s="616"/>
      <c r="B984" s="662" t="s">
        <v>1107</v>
      </c>
      <c r="C984" s="89"/>
      <c r="D984" s="1773"/>
      <c r="E984" s="1784"/>
      <c r="F984" s="37"/>
      <c r="G984" s="37"/>
      <c r="H984" s="37"/>
      <c r="I984" s="37"/>
      <c r="J984" s="95" t="s">
        <v>30</v>
      </c>
      <c r="K984" s="696"/>
      <c r="L984" s="43">
        <f>L982+L980</f>
        <v>11678195.999999996</v>
      </c>
      <c r="M984" s="43">
        <f>SUM(M980:M983)</f>
        <v>0</v>
      </c>
      <c r="N984" s="99"/>
      <c r="O984" s="12"/>
    </row>
    <row r="985" spans="1:15" ht="15.5" x14ac:dyDescent="0.35">
      <c r="A985" s="636">
        <v>10</v>
      </c>
      <c r="B985" s="100" t="s">
        <v>2190</v>
      </c>
      <c r="C985" s="661">
        <v>33</v>
      </c>
      <c r="D985" s="1748" t="s">
        <v>527</v>
      </c>
      <c r="E985" s="1840" t="s">
        <v>2191</v>
      </c>
      <c r="F985" s="4">
        <v>1</v>
      </c>
      <c r="G985" s="6">
        <v>42622.659</v>
      </c>
      <c r="H985" s="6">
        <v>42622.661</v>
      </c>
      <c r="I985" s="20">
        <f t="shared" ref="I985:I997" si="35">SUM(H985-G985)</f>
        <v>2.0000000004074536E-3</v>
      </c>
      <c r="J985" s="616">
        <v>1000</v>
      </c>
      <c r="K985" s="703"/>
      <c r="L985" s="22">
        <f t="shared" ref="L985:L995" si="36">F985*I985*J985</f>
        <v>2.0000000004074536</v>
      </c>
      <c r="M985" s="22"/>
      <c r="N985" s="72"/>
      <c r="O985" s="15"/>
    </row>
    <row r="986" spans="1:15" ht="15.5" x14ac:dyDescent="0.35">
      <c r="A986" s="636"/>
      <c r="B986" s="100"/>
      <c r="C986" s="661">
        <v>33</v>
      </c>
      <c r="D986" s="1748" t="s">
        <v>1652</v>
      </c>
      <c r="E986" s="1841" t="s">
        <v>2192</v>
      </c>
      <c r="F986" s="4">
        <v>1</v>
      </c>
      <c r="G986" s="6">
        <v>2186.7069999999999</v>
      </c>
      <c r="H986" s="6">
        <v>2186.7600000000002</v>
      </c>
      <c r="I986" s="20">
        <f t="shared" si="35"/>
        <v>5.3000000000338332E-2</v>
      </c>
      <c r="J986" s="616">
        <v>180000</v>
      </c>
      <c r="K986" s="704"/>
      <c r="L986" s="22">
        <f t="shared" si="36"/>
        <v>9540.0000000608998</v>
      </c>
      <c r="M986" s="22"/>
      <c r="N986" s="72"/>
      <c r="O986" s="14"/>
    </row>
    <row r="987" spans="1:15" ht="15.5" x14ac:dyDescent="0.35">
      <c r="A987" s="636">
        <v>12</v>
      </c>
      <c r="B987" s="100" t="s">
        <v>2195</v>
      </c>
      <c r="C987" s="661">
        <v>33</v>
      </c>
      <c r="D987" s="1748" t="s">
        <v>527</v>
      </c>
      <c r="E987" s="1841" t="s">
        <v>2196</v>
      </c>
      <c r="F987" s="4">
        <v>1</v>
      </c>
      <c r="G987" s="6">
        <v>42319.116000000002</v>
      </c>
      <c r="H987" s="6">
        <v>51019.374000000003</v>
      </c>
      <c r="I987" s="20">
        <f t="shared" si="35"/>
        <v>8700.2580000000016</v>
      </c>
      <c r="J987" s="616">
        <v>1000</v>
      </c>
      <c r="K987" s="704"/>
      <c r="L987" s="22">
        <f t="shared" si="36"/>
        <v>8700258.0000000019</v>
      </c>
      <c r="M987" s="22"/>
      <c r="N987" s="72"/>
      <c r="O987" s="14"/>
    </row>
    <row r="988" spans="1:15" ht="15.5" x14ac:dyDescent="0.35">
      <c r="A988" s="636"/>
      <c r="B988" s="100"/>
      <c r="C988" s="661">
        <v>33</v>
      </c>
      <c r="D988" s="1748" t="s">
        <v>1652</v>
      </c>
      <c r="E988" s="1840" t="s">
        <v>2197</v>
      </c>
      <c r="F988" s="4">
        <v>1</v>
      </c>
      <c r="G988" s="6">
        <v>9304.518</v>
      </c>
      <c r="H988" s="6">
        <v>9352.8410000000003</v>
      </c>
      <c r="I988" s="20">
        <f t="shared" si="35"/>
        <v>48.32300000000032</v>
      </c>
      <c r="J988" s="616">
        <v>180000</v>
      </c>
      <c r="K988" s="704"/>
      <c r="L988" s="22">
        <f t="shared" si="36"/>
        <v>8698140.0000000577</v>
      </c>
      <c r="M988" s="22"/>
      <c r="N988" s="72"/>
      <c r="O988" s="14"/>
    </row>
    <row r="989" spans="1:15" ht="15.5" x14ac:dyDescent="0.35">
      <c r="A989" s="636">
        <v>14</v>
      </c>
      <c r="B989" s="100" t="s">
        <v>2201</v>
      </c>
      <c r="C989" s="661">
        <v>33</v>
      </c>
      <c r="D989" s="1748" t="s">
        <v>527</v>
      </c>
      <c r="E989" s="1840" t="s">
        <v>2202</v>
      </c>
      <c r="F989" s="4">
        <v>1</v>
      </c>
      <c r="G989" s="6">
        <v>19344.453000000001</v>
      </c>
      <c r="H989" s="6">
        <v>21409.804</v>
      </c>
      <c r="I989" s="20">
        <f t="shared" si="35"/>
        <v>2065.3509999999987</v>
      </c>
      <c r="J989" s="616">
        <v>1000</v>
      </c>
      <c r="K989" s="703"/>
      <c r="L989" s="22">
        <f t="shared" si="36"/>
        <v>2065350.9999999988</v>
      </c>
      <c r="M989" s="22"/>
      <c r="N989" s="72"/>
      <c r="O989" s="15"/>
    </row>
    <row r="990" spans="1:15" ht="15.5" x14ac:dyDescent="0.35">
      <c r="A990" s="636"/>
      <c r="B990" s="100"/>
      <c r="C990" s="661">
        <v>33</v>
      </c>
      <c r="D990" s="1748" t="s">
        <v>1652</v>
      </c>
      <c r="E990" s="1840" t="s">
        <v>2203</v>
      </c>
      <c r="F990" s="4">
        <v>1</v>
      </c>
      <c r="G990" s="6">
        <v>2183.0189999999998</v>
      </c>
      <c r="H990" s="6">
        <v>2194.4850000000001</v>
      </c>
      <c r="I990" s="20">
        <f t="shared" si="35"/>
        <v>11.466000000000349</v>
      </c>
      <c r="J990" s="616">
        <v>180000</v>
      </c>
      <c r="K990" s="704"/>
      <c r="L990" s="22">
        <f t="shared" si="36"/>
        <v>2063880.0000000629</v>
      </c>
      <c r="M990" s="22"/>
      <c r="N990" s="72"/>
      <c r="O990" s="10"/>
    </row>
    <row r="991" spans="1:15" ht="15.5" x14ac:dyDescent="0.35">
      <c r="A991" s="636">
        <v>16</v>
      </c>
      <c r="B991" s="100" t="s">
        <v>2206</v>
      </c>
      <c r="C991" s="661">
        <v>33</v>
      </c>
      <c r="D991" s="1748" t="s">
        <v>527</v>
      </c>
      <c r="E991" s="1840" t="s">
        <v>2207</v>
      </c>
      <c r="F991" s="4">
        <v>1</v>
      </c>
      <c r="G991" s="6">
        <v>53150.714999999997</v>
      </c>
      <c r="H991" s="6">
        <v>59532.082000000002</v>
      </c>
      <c r="I991" s="20">
        <f t="shared" si="35"/>
        <v>6381.3670000000056</v>
      </c>
      <c r="J991" s="616">
        <v>1000</v>
      </c>
      <c r="K991" s="703"/>
      <c r="L991" s="22">
        <f t="shared" si="36"/>
        <v>6381367.0000000056</v>
      </c>
      <c r="M991" s="22"/>
      <c r="N991" s="72"/>
      <c r="O991" s="13"/>
    </row>
    <row r="992" spans="1:15" ht="15.5" x14ac:dyDescent="0.35">
      <c r="A992" s="636"/>
      <c r="B992" s="100"/>
      <c r="C992" s="661">
        <v>33</v>
      </c>
      <c r="D992" s="1748" t="s">
        <v>1652</v>
      </c>
      <c r="E992" s="1840" t="s">
        <v>1811</v>
      </c>
      <c r="F992" s="4">
        <v>1</v>
      </c>
      <c r="G992" s="6">
        <v>4817.0609999999997</v>
      </c>
      <c r="H992" s="6">
        <v>4852.4750000000004</v>
      </c>
      <c r="I992" s="20">
        <f t="shared" si="35"/>
        <v>35.414000000000669</v>
      </c>
      <c r="J992" s="616">
        <v>180000</v>
      </c>
      <c r="K992" s="703"/>
      <c r="L992" s="22">
        <f t="shared" si="36"/>
        <v>6374520.0000001201</v>
      </c>
      <c r="M992" s="22"/>
      <c r="N992" s="72"/>
      <c r="O992" s="13"/>
    </row>
    <row r="993" spans="1:15" ht="15.5" x14ac:dyDescent="0.35">
      <c r="A993" s="636">
        <v>17</v>
      </c>
      <c r="B993" s="100" t="s">
        <v>2208</v>
      </c>
      <c r="C993" s="661">
        <v>33</v>
      </c>
      <c r="D993" s="1748" t="s">
        <v>527</v>
      </c>
      <c r="E993" s="1840" t="s">
        <v>2209</v>
      </c>
      <c r="F993" s="4">
        <v>1</v>
      </c>
      <c r="G993" s="6">
        <v>1282.0274999999999</v>
      </c>
      <c r="H993" s="6">
        <v>1308.6393</v>
      </c>
      <c r="I993" s="20">
        <f t="shared" si="35"/>
        <v>26.61180000000013</v>
      </c>
      <c r="J993" s="616">
        <v>180000</v>
      </c>
      <c r="K993" s="703"/>
      <c r="L993" s="22">
        <f t="shared" si="36"/>
        <v>4790124.0000000233</v>
      </c>
      <c r="M993" s="22"/>
      <c r="N993" s="72"/>
      <c r="O993" s="13"/>
    </row>
    <row r="994" spans="1:15" ht="15.5" x14ac:dyDescent="0.35">
      <c r="A994" s="636">
        <v>19</v>
      </c>
      <c r="B994" s="101" t="s">
        <v>2212</v>
      </c>
      <c r="C994" s="661">
        <v>33</v>
      </c>
      <c r="D994" s="1748" t="s">
        <v>527</v>
      </c>
      <c r="E994" s="1840" t="s">
        <v>1808</v>
      </c>
      <c r="F994" s="4">
        <v>1</v>
      </c>
      <c r="G994" s="6">
        <v>177.69300000000001</v>
      </c>
      <c r="H994" s="6">
        <v>201.5898</v>
      </c>
      <c r="I994" s="20">
        <f t="shared" si="35"/>
        <v>23.896799999999985</v>
      </c>
      <c r="J994" s="616">
        <v>240000</v>
      </c>
      <c r="K994" s="705"/>
      <c r="L994" s="22">
        <f t="shared" si="36"/>
        <v>5735231.9999999963</v>
      </c>
      <c r="M994" s="22"/>
      <c r="N994" s="72"/>
      <c r="O994" s="30"/>
    </row>
    <row r="995" spans="1:15" ht="15.5" x14ac:dyDescent="0.35">
      <c r="A995" s="636">
        <v>20</v>
      </c>
      <c r="B995" s="100" t="s">
        <v>2213</v>
      </c>
      <c r="C995" s="661">
        <v>33</v>
      </c>
      <c r="D995" s="1748" t="s">
        <v>527</v>
      </c>
      <c r="E995" s="1840" t="s">
        <v>2214</v>
      </c>
      <c r="F995" s="4">
        <v>1</v>
      </c>
      <c r="G995" s="6">
        <v>1070.9473</v>
      </c>
      <c r="H995" s="6">
        <v>1089.5875000000001</v>
      </c>
      <c r="I995" s="20">
        <f t="shared" si="35"/>
        <v>18.64020000000005</v>
      </c>
      <c r="J995" s="616">
        <v>240000</v>
      </c>
      <c r="K995" s="696"/>
      <c r="L995" s="22">
        <f t="shared" si="36"/>
        <v>4473648.0000000121</v>
      </c>
      <c r="M995" s="22"/>
      <c r="N995" s="72"/>
      <c r="O995" s="616"/>
    </row>
    <row r="996" spans="1:15" ht="15.5" x14ac:dyDescent="0.35">
      <c r="A996" s="636">
        <v>21</v>
      </c>
      <c r="B996" s="101" t="s">
        <v>2215</v>
      </c>
      <c r="C996" s="661">
        <v>0.41499999999999998</v>
      </c>
      <c r="D996" s="1748" t="s">
        <v>527</v>
      </c>
      <c r="E996" s="1840">
        <v>2001123043108</v>
      </c>
      <c r="F996" s="4">
        <v>1</v>
      </c>
      <c r="G996" s="6">
        <v>6519.9</v>
      </c>
      <c r="H996" s="6">
        <v>6552.9</v>
      </c>
      <c r="I996" s="20">
        <f t="shared" si="35"/>
        <v>33</v>
      </c>
      <c r="J996" s="616">
        <v>160</v>
      </c>
      <c r="K996" s="705"/>
      <c r="L996" s="22">
        <f>SUM(I996*J996)</f>
        <v>5280</v>
      </c>
      <c r="M996" s="22"/>
      <c r="N996" s="72"/>
      <c r="O996" s="13"/>
    </row>
    <row r="997" spans="1:15" ht="29.5" customHeight="1" x14ac:dyDescent="0.35">
      <c r="A997" s="636">
        <v>22</v>
      </c>
      <c r="B997" s="100" t="s">
        <v>2216</v>
      </c>
      <c r="C997" s="661">
        <v>0.41499999999999998</v>
      </c>
      <c r="D997" s="1748" t="s">
        <v>527</v>
      </c>
      <c r="E997" s="1840">
        <v>2001123043171</v>
      </c>
      <c r="F997" s="4">
        <v>1</v>
      </c>
      <c r="G997" s="6">
        <v>4517.7</v>
      </c>
      <c r="H997" s="6">
        <v>4517.7</v>
      </c>
      <c r="I997" s="20">
        <f t="shared" si="35"/>
        <v>0</v>
      </c>
      <c r="J997" s="616">
        <v>160</v>
      </c>
      <c r="K997" s="696"/>
      <c r="L997" s="22">
        <f>SUM(I997*J997)</f>
        <v>0</v>
      </c>
      <c r="M997" s="22"/>
      <c r="N997" s="72"/>
      <c r="O997" s="616"/>
    </row>
    <row r="998" spans="1:15" ht="15.5" x14ac:dyDescent="0.35">
      <c r="A998" s="636"/>
      <c r="B998" s="96"/>
      <c r="C998" s="90"/>
      <c r="D998" s="90"/>
      <c r="E998" s="1785"/>
      <c r="F998" s="38"/>
      <c r="G998" s="38"/>
      <c r="H998" s="38"/>
      <c r="I998" s="38"/>
      <c r="J998" s="95" t="s">
        <v>30</v>
      </c>
      <c r="K998" s="696"/>
      <c r="L998" s="43">
        <f>L986+L987+L989+L991+L993+L994+L995+L996+L997</f>
        <v>32160800.000000097</v>
      </c>
      <c r="M998" s="43">
        <f>SUM(M985:M997)</f>
        <v>0</v>
      </c>
      <c r="N998" s="99"/>
      <c r="O998" s="13"/>
    </row>
    <row r="999" spans="1:15" ht="20" x14ac:dyDescent="0.35">
      <c r="A999" s="636"/>
      <c r="B999" s="96"/>
      <c r="C999" s="90"/>
      <c r="D999" s="90"/>
      <c r="E999" s="1785"/>
      <c r="F999" s="38"/>
      <c r="G999" s="38"/>
      <c r="H999" s="38"/>
      <c r="I999" s="2107" t="s">
        <v>44</v>
      </c>
      <c r="J999" s="2108"/>
      <c r="K999" s="698">
        <f>K977</f>
        <v>43782545.999999762</v>
      </c>
      <c r="L999" s="44">
        <f>L984+L998</f>
        <v>43838996.000000089</v>
      </c>
      <c r="M999" s="44">
        <f>M998+M984</f>
        <v>0</v>
      </c>
      <c r="N999" s="84">
        <f>(M999-L999)/L999*100</f>
        <v>-100</v>
      </c>
      <c r="O999" s="29"/>
    </row>
    <row r="1000" spans="1:15" x14ac:dyDescent="0.35">
      <c r="A1000" s="620"/>
      <c r="B1000" s="635"/>
      <c r="C1000" s="632"/>
      <c r="D1000" s="720"/>
      <c r="K1000" s="702"/>
      <c r="L1000" s="620"/>
      <c r="M1000" s="620"/>
      <c r="N1000" s="635"/>
      <c r="O1000" s="620"/>
    </row>
    <row r="1001" spans="1:15" ht="15" x14ac:dyDescent="0.35">
      <c r="A1001" s="620"/>
      <c r="D1001" s="725"/>
      <c r="G1001" s="2092" t="s">
        <v>1096</v>
      </c>
      <c r="H1001" s="2092"/>
      <c r="I1001" s="2092"/>
      <c r="J1001" s="677" t="s">
        <v>14</v>
      </c>
      <c r="K1001" s="69" t="s">
        <v>1098</v>
      </c>
      <c r="L1001" s="620"/>
      <c r="M1001" s="620"/>
      <c r="N1001" s="635"/>
      <c r="O1001" s="620"/>
    </row>
    <row r="1002" spans="1:15" ht="17.5" x14ac:dyDescent="0.35">
      <c r="A1002" s="620"/>
      <c r="D1002" s="725"/>
      <c r="G1002" s="2093" t="s">
        <v>1071</v>
      </c>
      <c r="H1002" s="2093"/>
      <c r="I1002" s="2093"/>
      <c r="J1002" s="692">
        <f>M984</f>
        <v>0</v>
      </c>
      <c r="K1002" s="70">
        <v>6.933634163553025</v>
      </c>
      <c r="L1002" s="620"/>
      <c r="M1002" s="620"/>
      <c r="N1002" s="635"/>
      <c r="O1002" s="620"/>
    </row>
    <row r="1003" spans="1:15" ht="17.5" x14ac:dyDescent="0.35">
      <c r="A1003" s="620"/>
      <c r="D1003" s="725"/>
      <c r="G1003" s="2093" t="s">
        <v>206</v>
      </c>
      <c r="H1003" s="2093"/>
      <c r="I1003" s="2093"/>
      <c r="J1003" s="692">
        <f>M985+M986+M987</f>
        <v>0</v>
      </c>
      <c r="K1003" s="70">
        <v>-0.33769527905653496</v>
      </c>
      <c r="L1003" s="620"/>
      <c r="M1003" s="620"/>
      <c r="N1003" s="635"/>
      <c r="O1003" s="620"/>
    </row>
    <row r="1004" spans="1:15" ht="17.5" x14ac:dyDescent="0.35">
      <c r="A1004" s="620"/>
      <c r="D1004" s="725"/>
      <c r="G1004" s="2093" t="s">
        <v>207</v>
      </c>
      <c r="H1004" s="2093"/>
      <c r="I1004" s="2093"/>
      <c r="J1004" s="692">
        <f>M988+M989</f>
        <v>0</v>
      </c>
      <c r="K1004" s="70"/>
      <c r="L1004" s="620"/>
      <c r="M1004" s="620"/>
      <c r="N1004" s="635"/>
      <c r="O1004" s="620"/>
    </row>
    <row r="1005" spans="1:15" ht="17.5" x14ac:dyDescent="0.35">
      <c r="A1005" s="620"/>
      <c r="D1005" s="725"/>
      <c r="G1005" s="2093" t="s">
        <v>208</v>
      </c>
      <c r="H1005" s="2093"/>
      <c r="I1005" s="2093"/>
      <c r="J1005" s="692">
        <f>M990</f>
        <v>0</v>
      </c>
      <c r="K1005" s="70">
        <v>0.58957194954853154</v>
      </c>
      <c r="L1005" s="620"/>
      <c r="M1005" s="620"/>
      <c r="N1005" s="635"/>
      <c r="O1005" s="620"/>
    </row>
    <row r="1006" spans="1:15" ht="17.5" x14ac:dyDescent="0.35">
      <c r="A1006" s="620"/>
      <c r="B1006" s="635"/>
      <c r="C1006" s="632"/>
      <c r="D1006" s="720"/>
      <c r="G1006" s="2093" t="s">
        <v>209</v>
      </c>
      <c r="H1006" s="2093"/>
      <c r="I1006" s="2093"/>
      <c r="J1006" s="692">
        <f>M991</f>
        <v>0</v>
      </c>
      <c r="K1006" s="70"/>
      <c r="L1006" s="620"/>
      <c r="M1006" s="620"/>
      <c r="N1006" s="635"/>
      <c r="O1006" s="620"/>
    </row>
    <row r="1007" spans="1:15" ht="17.5" x14ac:dyDescent="0.35">
      <c r="A1007" s="620"/>
      <c r="B1007" s="635"/>
      <c r="C1007" s="632"/>
      <c r="D1007" s="720"/>
      <c r="G1007" s="2093" t="s">
        <v>40</v>
      </c>
      <c r="H1007" s="2093"/>
      <c r="I1007" s="2093"/>
      <c r="J1007" s="692">
        <f>M994+M995</f>
        <v>0</v>
      </c>
      <c r="K1007" s="70">
        <v>2.4391608198671739</v>
      </c>
      <c r="L1007" s="620"/>
      <c r="M1007" s="620"/>
      <c r="N1007" s="635"/>
      <c r="O1007" s="620"/>
    </row>
    <row r="1008" spans="1:15" x14ac:dyDescent="0.35">
      <c r="A1008" s="620"/>
      <c r="B1008" s="635"/>
      <c r="C1008" s="632"/>
      <c r="D1008" s="720"/>
      <c r="G1008" s="2094" t="s">
        <v>42</v>
      </c>
      <c r="H1008" s="2094"/>
      <c r="I1008" s="2094"/>
      <c r="J1008" s="693">
        <f>M996</f>
        <v>0</v>
      </c>
      <c r="K1008" s="694" t="s">
        <v>1097</v>
      </c>
      <c r="L1008" s="620"/>
      <c r="M1008" s="620"/>
      <c r="N1008" s="635"/>
      <c r="O1008" s="620"/>
    </row>
    <row r="1009" spans="1:15" ht="18" thickBot="1" x14ac:dyDescent="0.4">
      <c r="A1009" s="620"/>
      <c r="B1009" s="635"/>
      <c r="C1009" s="632"/>
      <c r="D1009" s="720"/>
      <c r="E1009" s="1788"/>
      <c r="F1009" s="620"/>
      <c r="G1009" s="2093" t="s">
        <v>41</v>
      </c>
      <c r="H1009" s="2093"/>
      <c r="I1009" s="2093"/>
      <c r="J1009" s="692">
        <f>M997</f>
        <v>0</v>
      </c>
      <c r="K1009" s="681">
        <v>1.4463055987403735</v>
      </c>
      <c r="L1009" s="620"/>
      <c r="M1009" s="620"/>
      <c r="N1009" s="635"/>
      <c r="O1009" s="620"/>
    </row>
    <row r="1010" spans="1:15" ht="20.5" thickBot="1" x14ac:dyDescent="0.4">
      <c r="A1010" s="620"/>
      <c r="B1010" s="635"/>
      <c r="C1010" s="632"/>
      <c r="D1010" s="720"/>
      <c r="E1010" s="1788"/>
      <c r="F1010" s="620"/>
      <c r="G1010" s="620"/>
      <c r="H1010" s="620"/>
      <c r="I1010" s="642" t="s">
        <v>210</v>
      </c>
      <c r="J1010" s="680">
        <f>SUM(J1002:J1009)</f>
        <v>0</v>
      </c>
      <c r="K1010" s="682">
        <f>J1010-M999</f>
        <v>0</v>
      </c>
      <c r="L1010" s="620"/>
      <c r="M1010" s="620"/>
      <c r="N1010" s="635"/>
      <c r="O1010" s="620"/>
    </row>
    <row r="1011" spans="1:15" x14ac:dyDescent="0.35">
      <c r="A1011" s="620"/>
      <c r="B1011" s="635"/>
      <c r="C1011" s="632"/>
      <c r="D1011" s="720"/>
      <c r="E1011" s="1788"/>
      <c r="F1011" s="620"/>
      <c r="G1011" s="620"/>
      <c r="H1011" s="620"/>
      <c r="I1011" s="620"/>
      <c r="J1011" s="620"/>
      <c r="K1011" s="702"/>
      <c r="L1011" s="620"/>
      <c r="M1011" s="620"/>
      <c r="N1011" s="635"/>
      <c r="O1011" s="620"/>
    </row>
    <row r="1012" spans="1:15" ht="25" x14ac:dyDescent="0.35">
      <c r="A1012" s="2095" t="s">
        <v>1200</v>
      </c>
      <c r="B1012" s="2095"/>
      <c r="C1012" s="2095"/>
      <c r="D1012" s="2095"/>
      <c r="E1012" s="2095"/>
      <c r="F1012" s="2095"/>
      <c r="G1012" s="2095"/>
      <c r="H1012" s="2095"/>
      <c r="I1012" s="2095"/>
      <c r="J1012" s="2095"/>
      <c r="K1012" s="2095"/>
      <c r="L1012" s="2095"/>
      <c r="M1012" s="2095"/>
      <c r="N1012" s="2095"/>
      <c r="O1012" s="756" t="str">
        <f>$O$6</f>
        <v>Month December-2022</v>
      </c>
    </row>
    <row r="1013" spans="1:15" ht="15.5" x14ac:dyDescent="0.35">
      <c r="A1013" s="2096" t="s">
        <v>0</v>
      </c>
      <c r="B1013" s="2098" t="s">
        <v>1</v>
      </c>
      <c r="C1013" s="2100" t="s">
        <v>2</v>
      </c>
      <c r="D1013" s="2101"/>
      <c r="E1013" s="2102"/>
      <c r="F1013" s="2103" t="s">
        <v>3</v>
      </c>
      <c r="G1013" s="2100" t="s">
        <v>4</v>
      </c>
      <c r="H1013" s="2102"/>
      <c r="I1013" s="2085"/>
      <c r="J1013" s="2103" t="s">
        <v>5</v>
      </c>
      <c r="K1013" s="2100" t="s">
        <v>6</v>
      </c>
      <c r="L1013" s="2085"/>
      <c r="M1013" s="97" t="s">
        <v>32</v>
      </c>
      <c r="N1013" s="98"/>
      <c r="O1013" s="2084" t="s">
        <v>7</v>
      </c>
    </row>
    <row r="1014" spans="1:15" ht="15.5" x14ac:dyDescent="0.35">
      <c r="A1014" s="2097"/>
      <c r="B1014" s="2099"/>
      <c r="C1014" s="2086" t="s">
        <v>1108</v>
      </c>
      <c r="D1014" s="2087"/>
      <c r="E1014" s="1810" t="s">
        <v>9</v>
      </c>
      <c r="F1014" s="2097"/>
      <c r="G1014" s="2">
        <f>'NORTH-1'!$G$8</f>
        <v>44774</v>
      </c>
      <c r="H1014" s="2">
        <f>'NORTH-1'!$H$8</f>
        <v>44805</v>
      </c>
      <c r="I1014" s="1" t="s">
        <v>10</v>
      </c>
      <c r="J1014" s="2097"/>
      <c r="K1014" s="1" t="s">
        <v>11</v>
      </c>
      <c r="L1014" s="1" t="s">
        <v>12</v>
      </c>
      <c r="M1014" s="617" t="s">
        <v>33</v>
      </c>
      <c r="N1014" s="76" t="s">
        <v>47</v>
      </c>
      <c r="O1014" s="2085"/>
    </row>
    <row r="1015" spans="1:15" ht="15.5" x14ac:dyDescent="0.35">
      <c r="A1015" s="3">
        <v>1</v>
      </c>
      <c r="B1015" s="88">
        <v>2</v>
      </c>
      <c r="C1015" s="2088">
        <v>4</v>
      </c>
      <c r="D1015" s="2089"/>
      <c r="E1015" s="1811">
        <v>5</v>
      </c>
      <c r="F1015" s="3">
        <v>7</v>
      </c>
      <c r="G1015" s="3">
        <v>8</v>
      </c>
      <c r="H1015" s="3">
        <v>9</v>
      </c>
      <c r="I1015" s="3" t="s">
        <v>13</v>
      </c>
      <c r="J1015" s="3">
        <v>11</v>
      </c>
      <c r="K1015" s="3" t="s">
        <v>19</v>
      </c>
      <c r="L1015" s="3" t="s">
        <v>20</v>
      </c>
      <c r="M1015" s="3">
        <v>14</v>
      </c>
      <c r="N1015" s="77">
        <v>15</v>
      </c>
      <c r="O1015" s="3">
        <v>16</v>
      </c>
    </row>
    <row r="1016" spans="1:15" ht="15" x14ac:dyDescent="0.35">
      <c r="A1016" s="636"/>
      <c r="B1016" s="624" t="s">
        <v>1104</v>
      </c>
      <c r="C1016" s="625"/>
      <c r="D1016" s="625"/>
      <c r="E1016" s="1794"/>
      <c r="F1016" s="625"/>
      <c r="G1016" s="625"/>
      <c r="H1016" s="625"/>
      <c r="I1016" s="625"/>
      <c r="J1016" s="625"/>
      <c r="K1016" s="695"/>
      <c r="L1016" s="625"/>
      <c r="M1016" s="626"/>
      <c r="N1016" s="1972"/>
      <c r="O1016" s="12"/>
    </row>
    <row r="1017" spans="1:15" ht="15.5" x14ac:dyDescent="0.35">
      <c r="A1017" s="616">
        <v>9</v>
      </c>
      <c r="B1017" s="100" t="s">
        <v>1928</v>
      </c>
      <c r="C1017" s="73">
        <v>11</v>
      </c>
      <c r="D1017" s="1779"/>
      <c r="E1017" s="1801" t="s">
        <v>2229</v>
      </c>
      <c r="F1017" s="32">
        <v>1</v>
      </c>
      <c r="G1017" s="5">
        <v>3294.2584999999999</v>
      </c>
      <c r="H1017" s="5">
        <v>43257.930099999998</v>
      </c>
      <c r="I1017" s="21">
        <f>H1017-G1017</f>
        <v>39963.671600000001</v>
      </c>
      <c r="J1017" s="616">
        <v>180</v>
      </c>
      <c r="K1017" s="707">
        <f>F1017*I1017*J1017</f>
        <v>7193460.8880000003</v>
      </c>
      <c r="L1017" s="22"/>
      <c r="M1017" s="22"/>
      <c r="N1017" s="99"/>
      <c r="O1017" s="12"/>
    </row>
    <row r="1018" spans="1:15" ht="15.5" x14ac:dyDescent="0.35">
      <c r="A1018" s="616">
        <v>10</v>
      </c>
      <c r="B1018" s="100" t="s">
        <v>1929</v>
      </c>
      <c r="C1018" s="73">
        <v>11</v>
      </c>
      <c r="D1018" s="1780"/>
      <c r="E1018" s="1801" t="s">
        <v>2230</v>
      </c>
      <c r="F1018" s="32">
        <v>1</v>
      </c>
      <c r="G1018" s="5">
        <v>88555.653399999996</v>
      </c>
      <c r="H1018" s="5">
        <v>113357.2162</v>
      </c>
      <c r="I1018" s="21">
        <f>H1018-G1018</f>
        <v>24801.5628</v>
      </c>
      <c r="J1018" s="616">
        <v>180</v>
      </c>
      <c r="K1018" s="707">
        <f>F1018*I1018*J1018</f>
        <v>4464281.3039999995</v>
      </c>
      <c r="L1018" s="22"/>
      <c r="M1018" s="22"/>
      <c r="N1018" s="99"/>
      <c r="O1018" s="12"/>
    </row>
    <row r="1019" spans="1:15" ht="15" x14ac:dyDescent="0.35">
      <c r="A1019" s="636"/>
      <c r="B1019" s="96"/>
      <c r="C1019" s="90"/>
      <c r="D1019" s="90"/>
      <c r="E1019" s="1785"/>
      <c r="F1019" s="38"/>
      <c r="G1019" s="38"/>
      <c r="H1019" s="38"/>
      <c r="I1019" s="38"/>
      <c r="J1019" s="96" t="s">
        <v>30</v>
      </c>
      <c r="K1019" s="708">
        <f>SUM(K1017:K1018)</f>
        <v>11657742.192</v>
      </c>
      <c r="L1019" s="43"/>
      <c r="M1019" s="43">
        <f>SUM(M1017:M1018)</f>
        <v>0</v>
      </c>
      <c r="N1019" s="99"/>
      <c r="O1019" s="12"/>
    </row>
    <row r="1020" spans="1:15" ht="15.5" x14ac:dyDescent="0.35">
      <c r="A1020" s="631"/>
      <c r="B1020" s="647" t="s">
        <v>1105</v>
      </c>
      <c r="C1020" s="648"/>
      <c r="D1020" s="648"/>
      <c r="E1020" s="1800"/>
      <c r="F1020" s="648"/>
      <c r="G1020" s="648"/>
      <c r="H1020" s="648"/>
      <c r="I1020" s="648"/>
      <c r="J1020" s="648"/>
      <c r="K1020" s="700"/>
      <c r="L1020" s="648"/>
      <c r="M1020" s="651"/>
      <c r="N1020" s="1971"/>
      <c r="O1020" s="616"/>
    </row>
    <row r="1021" spans="1:15" ht="22.5" customHeight="1" x14ac:dyDescent="0.35">
      <c r="A1021" s="631">
        <v>3</v>
      </c>
      <c r="B1021" s="100" t="s">
        <v>2217</v>
      </c>
      <c r="C1021" s="73">
        <v>11</v>
      </c>
      <c r="D1021" s="1845"/>
      <c r="E1021" s="1801" t="s">
        <v>2218</v>
      </c>
      <c r="F1021" s="32">
        <v>1</v>
      </c>
      <c r="G1021" s="6">
        <v>3258.1502999999998</v>
      </c>
      <c r="H1021" s="6">
        <v>39770.640800000001</v>
      </c>
      <c r="I1021" s="20">
        <f t="shared" ref="I1021:I1028" si="37">H1021-G1021</f>
        <v>36512.4905</v>
      </c>
      <c r="J1021" s="616">
        <v>60</v>
      </c>
      <c r="K1021" s="703"/>
      <c r="L1021" s="22">
        <f t="shared" ref="L1021:L1026" si="38">I1021*J1021</f>
        <v>2190749.4300000002</v>
      </c>
      <c r="M1021" s="22"/>
      <c r="N1021" s="72" t="s">
        <v>117</v>
      </c>
      <c r="O1021" s="15"/>
    </row>
    <row r="1022" spans="1:15" ht="22.5" customHeight="1" x14ac:dyDescent="0.35">
      <c r="A1022" s="631">
        <v>4</v>
      </c>
      <c r="B1022" s="100" t="s">
        <v>2219</v>
      </c>
      <c r="C1022" s="73">
        <v>11</v>
      </c>
      <c r="D1022" s="1845"/>
      <c r="E1022" s="1801" t="s">
        <v>2220</v>
      </c>
      <c r="F1022" s="32">
        <v>1</v>
      </c>
      <c r="G1022" s="6">
        <v>97119.275699999998</v>
      </c>
      <c r="H1022" s="6">
        <v>115401.2613</v>
      </c>
      <c r="I1022" s="20">
        <f t="shared" si="37"/>
        <v>18281.9856</v>
      </c>
      <c r="J1022" s="616">
        <v>60</v>
      </c>
      <c r="K1022" s="703"/>
      <c r="L1022" s="22">
        <f t="shared" si="38"/>
        <v>1096919.1359999999</v>
      </c>
      <c r="M1022" s="22"/>
      <c r="N1022" s="72" t="s">
        <v>117</v>
      </c>
      <c r="O1022" s="15"/>
    </row>
    <row r="1023" spans="1:15" ht="22.5" customHeight="1" x14ac:dyDescent="0.35">
      <c r="A1023" s="631">
        <v>5</v>
      </c>
      <c r="B1023" s="100" t="s">
        <v>2221</v>
      </c>
      <c r="C1023" s="73">
        <v>11</v>
      </c>
      <c r="D1023" s="1845"/>
      <c r="E1023" s="1801" t="s">
        <v>2222</v>
      </c>
      <c r="F1023" s="32">
        <v>1</v>
      </c>
      <c r="G1023" s="6">
        <v>61963.138700000003</v>
      </c>
      <c r="H1023" s="6">
        <v>81361.567999999999</v>
      </c>
      <c r="I1023" s="20">
        <f t="shared" si="37"/>
        <v>19398.429299999996</v>
      </c>
      <c r="J1023" s="616">
        <v>60</v>
      </c>
      <c r="K1023" s="703"/>
      <c r="L1023" s="22">
        <f t="shared" si="38"/>
        <v>1163905.7579999997</v>
      </c>
      <c r="M1023" s="22"/>
      <c r="N1023" s="72" t="s">
        <v>94</v>
      </c>
      <c r="O1023" s="15"/>
    </row>
    <row r="1024" spans="1:15" ht="22.5" customHeight="1" x14ac:dyDescent="0.35">
      <c r="A1024" s="631">
        <v>6</v>
      </c>
      <c r="B1024" s="100" t="s">
        <v>2223</v>
      </c>
      <c r="C1024" s="73">
        <v>11</v>
      </c>
      <c r="D1024" s="1845"/>
      <c r="E1024" s="1801" t="s">
        <v>2224</v>
      </c>
      <c r="F1024" s="32">
        <v>1</v>
      </c>
      <c r="G1024" s="6">
        <v>67283.998699999996</v>
      </c>
      <c r="H1024" s="6">
        <v>81163.167400000006</v>
      </c>
      <c r="I1024" s="20">
        <f t="shared" si="37"/>
        <v>13879.168700000009</v>
      </c>
      <c r="J1024" s="616">
        <v>60</v>
      </c>
      <c r="K1024" s="703"/>
      <c r="L1024" s="22">
        <f t="shared" si="38"/>
        <v>832750.12200000056</v>
      </c>
      <c r="M1024" s="22"/>
      <c r="N1024" s="72" t="s">
        <v>117</v>
      </c>
      <c r="O1024" s="15"/>
    </row>
    <row r="1025" spans="1:15" ht="22.5" customHeight="1" x14ac:dyDescent="0.35">
      <c r="A1025" s="631">
        <v>7</v>
      </c>
      <c r="B1025" s="100" t="s">
        <v>2225</v>
      </c>
      <c r="C1025" s="73">
        <v>11</v>
      </c>
      <c r="D1025" s="1845"/>
      <c r="E1025" s="1801" t="s">
        <v>2226</v>
      </c>
      <c r="F1025" s="32">
        <v>1</v>
      </c>
      <c r="G1025" s="6">
        <v>15573.881100000001</v>
      </c>
      <c r="H1025" s="6">
        <v>34999.56</v>
      </c>
      <c r="I1025" s="20">
        <f t="shared" si="37"/>
        <v>19425.678899999999</v>
      </c>
      <c r="J1025" s="616">
        <v>60</v>
      </c>
      <c r="K1025" s="703"/>
      <c r="L1025" s="22">
        <f t="shared" si="38"/>
        <v>1165540.7339999999</v>
      </c>
      <c r="M1025" s="22"/>
      <c r="N1025" s="72" t="s">
        <v>117</v>
      </c>
      <c r="O1025" s="15"/>
    </row>
    <row r="1026" spans="1:15" ht="22.5" customHeight="1" x14ac:dyDescent="0.35">
      <c r="A1026" s="631">
        <v>8</v>
      </c>
      <c r="B1026" s="100" t="s">
        <v>2227</v>
      </c>
      <c r="C1026" s="73">
        <v>11</v>
      </c>
      <c r="D1026" s="1845"/>
      <c r="E1026" s="1801" t="s">
        <v>2228</v>
      </c>
      <c r="F1026" s="32">
        <v>1</v>
      </c>
      <c r="G1026" s="6">
        <v>19269.5651</v>
      </c>
      <c r="H1026" s="6">
        <v>31522.394799999998</v>
      </c>
      <c r="I1026" s="20">
        <f t="shared" si="37"/>
        <v>12252.829699999998</v>
      </c>
      <c r="J1026" s="616">
        <v>60</v>
      </c>
      <c r="K1026" s="703"/>
      <c r="L1026" s="22">
        <f t="shared" si="38"/>
        <v>735169.78199999989</v>
      </c>
      <c r="M1026" s="22"/>
      <c r="N1026" s="72" t="s">
        <v>117</v>
      </c>
      <c r="O1026" s="15"/>
    </row>
    <row r="1027" spans="1:15" ht="22.5" customHeight="1" x14ac:dyDescent="0.35">
      <c r="A1027" s="631">
        <v>11</v>
      </c>
      <c r="B1027" s="100" t="s">
        <v>2231</v>
      </c>
      <c r="C1027" s="73">
        <v>11</v>
      </c>
      <c r="D1027" s="1845"/>
      <c r="E1027" s="1801" t="s">
        <v>2232</v>
      </c>
      <c r="F1027" s="32">
        <v>1</v>
      </c>
      <c r="G1027" s="6">
        <v>69939.634000000005</v>
      </c>
      <c r="H1027" s="6">
        <v>70720.618000000002</v>
      </c>
      <c r="I1027" s="20">
        <f t="shared" si="37"/>
        <v>780.98399999999674</v>
      </c>
      <c r="J1027" s="616">
        <v>1000</v>
      </c>
      <c r="K1027" s="703"/>
      <c r="L1027" s="22">
        <f>I1027*J1027</f>
        <v>780983.99999999674</v>
      </c>
      <c r="M1027" s="22"/>
      <c r="N1027" s="72" t="s">
        <v>103</v>
      </c>
      <c r="O1027" s="15"/>
    </row>
    <row r="1028" spans="1:15" ht="22.5" customHeight="1" x14ac:dyDescent="0.35">
      <c r="A1028" s="631">
        <v>12</v>
      </c>
      <c r="B1028" s="100" t="s">
        <v>2233</v>
      </c>
      <c r="C1028" s="73">
        <v>11</v>
      </c>
      <c r="D1028" s="1845"/>
      <c r="E1028" s="1801" t="s">
        <v>2234</v>
      </c>
      <c r="F1028" s="32">
        <v>1</v>
      </c>
      <c r="G1028" s="6">
        <v>23410.699000000001</v>
      </c>
      <c r="H1028" s="6">
        <v>24514.578000000001</v>
      </c>
      <c r="I1028" s="20">
        <f t="shared" si="37"/>
        <v>1103.8790000000008</v>
      </c>
      <c r="J1028" s="616">
        <v>1000</v>
      </c>
      <c r="K1028" s="703"/>
      <c r="L1028" s="22">
        <f>I1028*J1028</f>
        <v>1103879.0000000009</v>
      </c>
      <c r="M1028" s="22"/>
      <c r="N1028" s="72" t="s">
        <v>117</v>
      </c>
      <c r="O1028" s="15"/>
    </row>
    <row r="1029" spans="1:15" ht="22.5" customHeight="1" x14ac:dyDescent="0.35">
      <c r="A1029" s="631">
        <v>13</v>
      </c>
      <c r="B1029" s="100" t="s">
        <v>2235</v>
      </c>
      <c r="C1029" s="73">
        <v>11</v>
      </c>
      <c r="D1029" s="1845"/>
      <c r="E1029" s="1801"/>
      <c r="F1029" s="32">
        <v>1</v>
      </c>
      <c r="G1029" s="6"/>
      <c r="H1029" s="6"/>
      <c r="I1029" s="20"/>
      <c r="J1029" s="616">
        <v>1000</v>
      </c>
      <c r="K1029" s="703"/>
      <c r="L1029" s="22"/>
      <c r="M1029" s="22"/>
      <c r="N1029" s="72" t="s">
        <v>94</v>
      </c>
      <c r="O1029" s="15"/>
    </row>
    <row r="1030" spans="1:15" ht="22.5" customHeight="1" x14ac:dyDescent="0.35">
      <c r="A1030" s="631">
        <v>14</v>
      </c>
      <c r="B1030" s="100" t="s">
        <v>2236</v>
      </c>
      <c r="C1030" s="73">
        <v>11</v>
      </c>
      <c r="D1030" s="1845"/>
      <c r="E1030" s="1801" t="s">
        <v>2237</v>
      </c>
      <c r="F1030" s="32">
        <v>1</v>
      </c>
      <c r="G1030" s="6">
        <v>70895.194000000003</v>
      </c>
      <c r="H1030" s="6">
        <v>71580.244999999995</v>
      </c>
      <c r="I1030" s="20">
        <f>H1030-G1030</f>
        <v>685.0509999999922</v>
      </c>
      <c r="J1030" s="616">
        <v>1000</v>
      </c>
      <c r="K1030" s="703"/>
      <c r="L1030" s="22">
        <f>I1030*J1030</f>
        <v>685050.9999999922</v>
      </c>
      <c r="M1030" s="22"/>
      <c r="N1030" s="72" t="s">
        <v>94</v>
      </c>
      <c r="O1030" s="15"/>
    </row>
    <row r="1031" spans="1:15" ht="22.5" customHeight="1" x14ac:dyDescent="0.35">
      <c r="A1031" s="631">
        <v>15</v>
      </c>
      <c r="B1031" s="100" t="s">
        <v>2238</v>
      </c>
      <c r="C1031" s="73">
        <v>11</v>
      </c>
      <c r="D1031" s="1845"/>
      <c r="E1031" s="1801" t="s">
        <v>2239</v>
      </c>
      <c r="F1031" s="32">
        <v>1</v>
      </c>
      <c r="G1031" s="6">
        <v>87152.851999999999</v>
      </c>
      <c r="H1031" s="6">
        <v>88497.274000000005</v>
      </c>
      <c r="I1031" s="20">
        <f>H1031-G1031</f>
        <v>1344.4220000000059</v>
      </c>
      <c r="J1031" s="616">
        <v>1000</v>
      </c>
      <c r="K1031" s="703"/>
      <c r="L1031" s="22">
        <f>I1031*J1031</f>
        <v>1344422.0000000061</v>
      </c>
      <c r="M1031" s="22"/>
      <c r="N1031" s="72" t="s">
        <v>103</v>
      </c>
      <c r="O1031" s="15"/>
    </row>
    <row r="1032" spans="1:15" ht="22.5" customHeight="1" x14ac:dyDescent="0.35">
      <c r="A1032" s="631">
        <v>16</v>
      </c>
      <c r="B1032" s="100" t="s">
        <v>2240</v>
      </c>
      <c r="C1032" s="73">
        <v>11</v>
      </c>
      <c r="D1032" s="1845"/>
      <c r="E1032" s="1801" t="s">
        <v>2241</v>
      </c>
      <c r="F1032" s="32">
        <v>1</v>
      </c>
      <c r="G1032" s="6">
        <v>46536.430999999997</v>
      </c>
      <c r="H1032" s="6">
        <v>47095.307999999997</v>
      </c>
      <c r="I1032" s="20">
        <f>H1032-G1032</f>
        <v>558.87700000000041</v>
      </c>
      <c r="J1032" s="616">
        <v>1000</v>
      </c>
      <c r="K1032" s="703"/>
      <c r="L1032" s="22">
        <f>I1032*J1032</f>
        <v>558877.00000000047</v>
      </c>
      <c r="M1032" s="22"/>
      <c r="N1032" s="72" t="s">
        <v>117</v>
      </c>
      <c r="O1032" s="15"/>
    </row>
    <row r="1033" spans="1:15" ht="20" x14ac:dyDescent="0.35">
      <c r="A1033" s="636"/>
      <c r="B1033" s="96"/>
      <c r="C1033" s="90"/>
      <c r="D1033" s="90"/>
      <c r="E1033" s="1785"/>
      <c r="F1033" s="38"/>
      <c r="G1033" s="38"/>
      <c r="H1033" s="38"/>
      <c r="I1033" s="38"/>
      <c r="J1033" s="96" t="s">
        <v>30</v>
      </c>
      <c r="K1033" s="708">
        <f>K1019</f>
        <v>11657742.192</v>
      </c>
      <c r="L1033" s="43">
        <f>SUM(L1021:L1032)</f>
        <v>11658247.961999996</v>
      </c>
      <c r="M1033" s="43">
        <f>SUM(M1021:M1032)</f>
        <v>0</v>
      </c>
      <c r="N1033" s="84">
        <f>(M1033-L1033)/L1033*100</f>
        <v>-100</v>
      </c>
      <c r="O1033" s="13"/>
    </row>
    <row r="1034" spans="1:15" x14ac:dyDescent="0.35">
      <c r="D1034" s="725"/>
      <c r="K1034" s="34"/>
    </row>
    <row r="1035" spans="1:15" ht="15" x14ac:dyDescent="0.35">
      <c r="A1035" s="620"/>
      <c r="B1035" s="635"/>
      <c r="C1035" s="632"/>
      <c r="D1035" s="720"/>
      <c r="G1035" s="2092" t="s">
        <v>1099</v>
      </c>
      <c r="H1035" s="2092"/>
      <c r="I1035" s="2092"/>
      <c r="J1035" s="677" t="s">
        <v>14</v>
      </c>
      <c r="K1035" s="702"/>
      <c r="L1035" s="620"/>
      <c r="M1035" s="620"/>
      <c r="N1035" s="635"/>
      <c r="O1035" s="620"/>
    </row>
    <row r="1036" spans="1:15" ht="15.5" x14ac:dyDescent="0.35">
      <c r="A1036" s="620"/>
      <c r="B1036" s="635"/>
      <c r="C1036" s="632"/>
      <c r="D1036" s="720"/>
      <c r="G1036" s="2082" t="s">
        <v>232</v>
      </c>
      <c r="H1036" s="2082"/>
      <c r="I1036" s="2082"/>
      <c r="J1036" s="643" t="e">
        <f>M1027+M1031+#REF!+#REF!+#REF!+#REF!+#REF!+#REF!+#REF!</f>
        <v>#REF!</v>
      </c>
      <c r="K1036" s="702"/>
      <c r="L1036" s="620"/>
      <c r="M1036" s="620"/>
      <c r="N1036" s="635"/>
      <c r="O1036" s="620" t="s">
        <v>237</v>
      </c>
    </row>
    <row r="1037" spans="1:15" ht="15.5" x14ac:dyDescent="0.35">
      <c r="A1037" s="620"/>
      <c r="B1037" s="635"/>
      <c r="C1037" s="632"/>
      <c r="D1037" s="720"/>
      <c r="G1037" s="2082" t="s">
        <v>233</v>
      </c>
      <c r="H1037" s="2082"/>
      <c r="I1037" s="2082"/>
      <c r="J1037" s="643" t="e">
        <f>M1022+M1023+M1024+M1028+M1029+M1030+#REF!+#REF!+#REF!</f>
        <v>#REF!</v>
      </c>
      <c r="K1037" s="702"/>
      <c r="L1037" s="620"/>
      <c r="M1037" s="620"/>
      <c r="N1037" s="635"/>
      <c r="O1037" s="620"/>
    </row>
    <row r="1038" spans="1:15" ht="15.5" x14ac:dyDescent="0.35">
      <c r="A1038" s="620"/>
      <c r="B1038" s="635"/>
      <c r="C1038" s="632"/>
      <c r="D1038" s="720"/>
      <c r="G1038" s="2082" t="s">
        <v>234</v>
      </c>
      <c r="H1038" s="2082"/>
      <c r="I1038" s="2082"/>
      <c r="J1038" s="643" t="e">
        <f>#REF!</f>
        <v>#REF!</v>
      </c>
      <c r="K1038" s="702"/>
      <c r="L1038" s="620"/>
      <c r="M1038" s="620"/>
      <c r="N1038" s="635"/>
      <c r="O1038" s="620"/>
    </row>
    <row r="1039" spans="1:15" ht="16" thickBot="1" x14ac:dyDescent="0.4">
      <c r="A1039" s="620"/>
      <c r="B1039" s="635"/>
      <c r="C1039" s="632"/>
      <c r="D1039" s="720"/>
      <c r="G1039" s="2082" t="s">
        <v>235</v>
      </c>
      <c r="H1039" s="2082"/>
      <c r="I1039" s="2082"/>
      <c r="J1039" s="643" t="e">
        <f>M1021+M1025+M1026+M1032+#REF!+#REF!+#REF!+#REF!+#REF!</f>
        <v>#REF!</v>
      </c>
      <c r="K1039" s="702"/>
      <c r="L1039" s="620"/>
      <c r="M1039" s="620"/>
      <c r="N1039" s="635"/>
      <c r="O1039" s="620"/>
    </row>
    <row r="1040" spans="1:15" ht="20.5" thickBot="1" x14ac:dyDescent="0.4">
      <c r="A1040" s="620"/>
      <c r="B1040" s="635"/>
      <c r="C1040" s="632"/>
      <c r="D1040" s="720"/>
      <c r="G1040" s="2083" t="s">
        <v>210</v>
      </c>
      <c r="H1040" s="2083"/>
      <c r="I1040" s="2083"/>
      <c r="J1040" s="714" t="e">
        <f>SUM(J1036:J1039)</f>
        <v>#REF!</v>
      </c>
      <c r="K1040" s="682" t="e">
        <f>J1040-M1033</f>
        <v>#REF!</v>
      </c>
      <c r="L1040" s="620"/>
      <c r="M1040" s="620"/>
      <c r="N1040" s="635"/>
      <c r="O1040" s="620"/>
    </row>
    <row r="1053" spans="1:15" x14ac:dyDescent="0.35">
      <c r="A1053" s="620"/>
      <c r="B1053" s="635"/>
      <c r="C1053" s="632"/>
      <c r="D1053" s="720"/>
      <c r="E1053" s="1788"/>
      <c r="F1053" s="620"/>
      <c r="G1053" s="620"/>
      <c r="H1053" s="620"/>
      <c r="I1053" s="620"/>
      <c r="J1053" s="620"/>
      <c r="K1053" s="702"/>
      <c r="L1053" s="620"/>
      <c r="M1053" s="620"/>
      <c r="N1053" s="635"/>
      <c r="O1053" s="620"/>
    </row>
    <row r="1054" spans="1:15" x14ac:dyDescent="0.35">
      <c r="A1054" s="620"/>
      <c r="B1054" s="635"/>
      <c r="C1054" s="632"/>
      <c r="D1054" s="720"/>
      <c r="E1054" s="1788"/>
      <c r="F1054" s="620"/>
      <c r="G1054" s="620"/>
      <c r="H1054" s="620"/>
      <c r="I1054" s="620"/>
      <c r="J1054" s="620"/>
      <c r="K1054" s="702"/>
      <c r="L1054" s="620"/>
      <c r="M1054" s="620"/>
      <c r="N1054" s="635"/>
      <c r="O1054" s="620"/>
    </row>
    <row r="1055" spans="1:15" ht="25" x14ac:dyDescent="0.35">
      <c r="A1055" s="46"/>
      <c r="B1055" s="2152"/>
      <c r="C1055" s="2152"/>
      <c r="D1055" s="2152"/>
      <c r="E1055" s="2152"/>
      <c r="F1055" s="2152"/>
      <c r="G1055" s="2152"/>
      <c r="H1055" s="2152"/>
      <c r="I1055" s="2152"/>
      <c r="J1055" s="2152"/>
      <c r="K1055" s="2152"/>
      <c r="L1055" s="2152"/>
      <c r="M1055" s="2152"/>
      <c r="N1055" s="1967"/>
      <c r="O1055" s="28"/>
    </row>
    <row r="1056" spans="1:15" x14ac:dyDescent="0.35">
      <c r="A1056" s="620"/>
      <c r="B1056" s="635"/>
      <c r="C1056" s="632"/>
      <c r="D1056" s="720"/>
      <c r="E1056" s="1788"/>
      <c r="F1056" s="620"/>
      <c r="G1056" s="620"/>
      <c r="H1056" s="620"/>
      <c r="I1056" s="620"/>
      <c r="J1056" s="620"/>
      <c r="K1056" s="702"/>
      <c r="L1056" s="620"/>
      <c r="M1056" s="620"/>
      <c r="N1056" s="635"/>
      <c r="O1056" s="620"/>
    </row>
    <row r="1057" spans="1:15" x14ac:dyDescent="0.35">
      <c r="A1057" s="620"/>
      <c r="B1057" s="635"/>
      <c r="C1057" s="632"/>
      <c r="D1057" s="720"/>
      <c r="E1057" s="1788"/>
      <c r="F1057" s="620"/>
      <c r="G1057" s="620"/>
      <c r="H1057" s="620"/>
      <c r="I1057" s="620"/>
      <c r="J1057" s="620"/>
      <c r="K1057" s="702"/>
      <c r="L1057" s="620"/>
      <c r="M1057" s="620"/>
      <c r="N1057" s="635"/>
      <c r="O1057" s="620"/>
    </row>
    <row r="1058" spans="1:15" ht="25" x14ac:dyDescent="0.35">
      <c r="A1058" s="2095" t="s">
        <v>2497</v>
      </c>
      <c r="B1058" s="2095"/>
      <c r="C1058" s="2095"/>
      <c r="D1058" s="2095"/>
      <c r="E1058" s="2095"/>
      <c r="F1058" s="2095"/>
      <c r="G1058" s="2095"/>
      <c r="H1058" s="2095"/>
      <c r="I1058" s="2095"/>
      <c r="J1058" s="2095"/>
      <c r="K1058" s="2095"/>
      <c r="L1058" s="2095"/>
      <c r="M1058" s="2095"/>
      <c r="N1058" s="2095"/>
      <c r="O1058" s="756" t="e">
        <f>#REF!</f>
        <v>#REF!</v>
      </c>
    </row>
    <row r="1059" spans="1:15" ht="15.5" x14ac:dyDescent="0.35">
      <c r="A1059" s="2096" t="s">
        <v>0</v>
      </c>
      <c r="B1059" s="2098" t="s">
        <v>1</v>
      </c>
      <c r="C1059" s="2100" t="s">
        <v>2</v>
      </c>
      <c r="D1059" s="2101"/>
      <c r="E1059" s="2102"/>
      <c r="F1059" s="2103" t="s">
        <v>3</v>
      </c>
      <c r="G1059" s="2100" t="s">
        <v>4</v>
      </c>
      <c r="H1059" s="2102"/>
      <c r="I1059" s="2085"/>
      <c r="J1059" s="2103" t="s">
        <v>5</v>
      </c>
      <c r="K1059" s="2100" t="s">
        <v>6</v>
      </c>
      <c r="L1059" s="2102"/>
      <c r="M1059" s="97" t="s">
        <v>1088</v>
      </c>
      <c r="N1059" s="98"/>
      <c r="O1059" s="2084" t="s">
        <v>7</v>
      </c>
    </row>
    <row r="1060" spans="1:15" ht="15.5" x14ac:dyDescent="0.35">
      <c r="A1060" s="2097"/>
      <c r="B1060" s="2099"/>
      <c r="C1060" s="2086" t="s">
        <v>1108</v>
      </c>
      <c r="D1060" s="2087"/>
      <c r="E1060" s="1810" t="s">
        <v>9</v>
      </c>
      <c r="F1060" s="2097"/>
      <c r="G1060" s="2">
        <f>'NORTH-1'!$G$8</f>
        <v>44774</v>
      </c>
      <c r="H1060" s="2">
        <f>'NORTH-1'!$H$8</f>
        <v>44805</v>
      </c>
      <c r="I1060" s="1" t="s">
        <v>10</v>
      </c>
      <c r="J1060" s="2097"/>
      <c r="K1060" s="1" t="s">
        <v>11</v>
      </c>
      <c r="L1060" s="1" t="s">
        <v>12</v>
      </c>
      <c r="M1060" s="617" t="s">
        <v>33</v>
      </c>
      <c r="N1060" s="76" t="s">
        <v>47</v>
      </c>
      <c r="O1060" s="2085"/>
    </row>
    <row r="1061" spans="1:15" ht="15.5" x14ac:dyDescent="0.35">
      <c r="A1061" s="3">
        <v>1</v>
      </c>
      <c r="B1061" s="88">
        <v>2</v>
      </c>
      <c r="C1061" s="2088">
        <v>4</v>
      </c>
      <c r="D1061" s="2089"/>
      <c r="E1061" s="1811">
        <v>5</v>
      </c>
      <c r="F1061" s="3">
        <v>7</v>
      </c>
      <c r="G1061" s="3">
        <v>8</v>
      </c>
      <c r="H1061" s="3">
        <v>9</v>
      </c>
      <c r="I1061" s="3" t="s">
        <v>13</v>
      </c>
      <c r="J1061" s="3">
        <v>11</v>
      </c>
      <c r="K1061" s="3" t="s">
        <v>19</v>
      </c>
      <c r="L1061" s="3" t="s">
        <v>20</v>
      </c>
      <c r="M1061" s="3">
        <v>14</v>
      </c>
      <c r="N1061" s="77">
        <v>15</v>
      </c>
      <c r="O1061" s="3">
        <v>16</v>
      </c>
    </row>
    <row r="1062" spans="1:15" ht="15.5" x14ac:dyDescent="0.35">
      <c r="A1062" s="11"/>
      <c r="B1062" s="624"/>
      <c r="C1062" s="625"/>
      <c r="D1062" s="625"/>
      <c r="E1062" s="1834"/>
      <c r="F1062" s="625"/>
      <c r="G1062" s="625"/>
      <c r="H1062" s="625"/>
      <c r="I1062" s="625"/>
      <c r="J1062" s="625"/>
      <c r="K1062" s="695"/>
      <c r="L1062" s="625"/>
      <c r="M1062" s="626"/>
      <c r="N1062" s="1972"/>
      <c r="O1062" s="8"/>
    </row>
    <row r="1063" spans="1:15" ht="15.5" x14ac:dyDescent="0.35">
      <c r="A1063" s="631">
        <v>1</v>
      </c>
      <c r="B1063" s="100" t="s">
        <v>2185</v>
      </c>
      <c r="C1063" s="52">
        <v>132</v>
      </c>
      <c r="D1063" s="735" t="s">
        <v>1652</v>
      </c>
      <c r="E1063" s="2165" t="s">
        <v>2186</v>
      </c>
      <c r="F1063" s="4">
        <v>1</v>
      </c>
      <c r="G1063" s="5">
        <v>99.251999999999995</v>
      </c>
      <c r="H1063" s="5">
        <v>122.09099999999999</v>
      </c>
      <c r="I1063" s="5">
        <f>SUM(H1063-G1063)</f>
        <v>22.838999999999999</v>
      </c>
      <c r="J1063" s="616">
        <v>480000</v>
      </c>
      <c r="K1063" s="696">
        <f>SUM(I1063*J1063)</f>
        <v>10962720</v>
      </c>
      <c r="L1063" s="7"/>
      <c r="M1063" s="7"/>
      <c r="N1063" s="1428"/>
      <c r="O1063" s="616"/>
    </row>
    <row r="1064" spans="1:15" ht="15.5" x14ac:dyDescent="0.35">
      <c r="A1064" s="631"/>
      <c r="B1064" s="100"/>
      <c r="C1064" s="52">
        <v>132</v>
      </c>
      <c r="D1064" s="735" t="s">
        <v>527</v>
      </c>
      <c r="E1064" s="2166">
        <v>16402670</v>
      </c>
      <c r="F1064" s="4">
        <v>1</v>
      </c>
      <c r="G1064" s="5">
        <v>1624.43</v>
      </c>
      <c r="H1064" s="5">
        <v>1647.26</v>
      </c>
      <c r="I1064" s="5">
        <f>H1064-G1064</f>
        <v>22.829999999999927</v>
      </c>
      <c r="J1064" s="616">
        <v>480000</v>
      </c>
      <c r="K1064" s="696">
        <f>SUM(I1064*J1064)</f>
        <v>10958399.999999965</v>
      </c>
      <c r="L1064" s="16"/>
      <c r="M1064" s="16"/>
      <c r="N1064" s="711"/>
      <c r="O1064" s="616"/>
    </row>
    <row r="1065" spans="1:15" ht="15.5" x14ac:dyDescent="0.35">
      <c r="A1065" s="631">
        <v>2</v>
      </c>
      <c r="B1065" s="100" t="s">
        <v>2242</v>
      </c>
      <c r="C1065" s="52">
        <v>132</v>
      </c>
      <c r="D1065" s="735"/>
      <c r="E1065" s="1818" t="s">
        <v>2243</v>
      </c>
      <c r="F1065" s="4">
        <v>1</v>
      </c>
      <c r="G1065" s="5">
        <v>3226.8879999999999</v>
      </c>
      <c r="H1065" s="5">
        <v>3272.8090000000002</v>
      </c>
      <c r="I1065" s="5">
        <f>SUM(H1065-G1065)</f>
        <v>45.921000000000276</v>
      </c>
      <c r="J1065" s="616">
        <v>240000</v>
      </c>
      <c r="K1065" s="696"/>
      <c r="L1065" s="7">
        <f>F1065*I1065*J1065</f>
        <v>11021040.000000067</v>
      </c>
      <c r="M1065" s="7"/>
      <c r="N1065" s="1428"/>
      <c r="O1065" s="616"/>
    </row>
    <row r="1066" spans="1:15" ht="15.5" x14ac:dyDescent="0.35">
      <c r="A1066" s="631"/>
      <c r="B1066" s="95"/>
      <c r="C1066" s="89"/>
      <c r="D1066" s="89"/>
      <c r="E1066" s="1784"/>
      <c r="F1066" s="37"/>
      <c r="G1066" s="37"/>
      <c r="H1066" s="37"/>
      <c r="I1066" s="2136" t="s">
        <v>236</v>
      </c>
      <c r="J1066" s="2137"/>
      <c r="K1066" s="698">
        <f>K1064</f>
        <v>10958399.999999965</v>
      </c>
      <c r="L1066" s="94">
        <f>SUM(L1063:L1065)</f>
        <v>11021040.000000067</v>
      </c>
      <c r="M1066" s="18"/>
      <c r="N1066" s="1978"/>
      <c r="O1066" s="616"/>
    </row>
    <row r="1067" spans="1:15" ht="15.5" x14ac:dyDescent="0.35">
      <c r="A1067" s="631"/>
      <c r="B1067" s="95"/>
      <c r="C1067" s="89"/>
      <c r="D1067" s="89"/>
      <c r="E1067" s="1784"/>
      <c r="F1067" s="37"/>
      <c r="G1067" s="37"/>
      <c r="H1067" s="37"/>
      <c r="I1067" s="665"/>
      <c r="J1067" s="665" t="s">
        <v>31</v>
      </c>
      <c r="K1067" s="699"/>
      <c r="L1067" s="40"/>
      <c r="M1067" s="41"/>
      <c r="N1067" s="635"/>
      <c r="O1067" s="616"/>
    </row>
    <row r="1068" spans="1:15" ht="15.5" x14ac:dyDescent="0.35">
      <c r="A1068" s="631"/>
      <c r="B1068" s="624"/>
      <c r="C1068" s="625"/>
      <c r="D1068" s="625"/>
      <c r="E1068" s="1794"/>
      <c r="F1068" s="625"/>
      <c r="G1068" s="625"/>
      <c r="H1068" s="625"/>
      <c r="I1068" s="625"/>
      <c r="J1068" s="625"/>
      <c r="K1068" s="695"/>
      <c r="L1068" s="625"/>
      <c r="M1068" s="626"/>
      <c r="N1068" s="1972"/>
      <c r="O1068" s="616"/>
    </row>
    <row r="1069" spans="1:15" ht="15.5" x14ac:dyDescent="0.35">
      <c r="A1069" s="631">
        <v>3</v>
      </c>
      <c r="B1069" s="100" t="s">
        <v>2244</v>
      </c>
      <c r="C1069" s="52">
        <v>33</v>
      </c>
      <c r="D1069" s="2105"/>
      <c r="E1069" s="2165">
        <v>14718815</v>
      </c>
      <c r="F1069" s="4">
        <v>1</v>
      </c>
      <c r="G1069" s="5">
        <v>6366.6620000000003</v>
      </c>
      <c r="H1069" s="5">
        <v>6457.4260000000004</v>
      </c>
      <c r="I1069" s="5">
        <f>H1069-G1069</f>
        <v>90.764000000000124</v>
      </c>
      <c r="J1069" s="616">
        <v>120000</v>
      </c>
      <c r="K1069" s="696">
        <f>F1069*I1069*J1069</f>
        <v>10891680.000000015</v>
      </c>
      <c r="L1069" s="16"/>
      <c r="M1069" s="16"/>
      <c r="N1069" s="711"/>
      <c r="O1069" s="616"/>
    </row>
    <row r="1070" spans="1:15" ht="15.5" x14ac:dyDescent="0.35">
      <c r="A1070" s="631">
        <v>4</v>
      </c>
      <c r="B1070" s="100" t="s">
        <v>2245</v>
      </c>
      <c r="C1070" s="52">
        <v>33</v>
      </c>
      <c r="D1070" s="2106"/>
      <c r="E1070" s="2166">
        <v>11745824</v>
      </c>
      <c r="F1070" s="4">
        <v>1</v>
      </c>
      <c r="G1070" s="5">
        <v>3404.9760000000001</v>
      </c>
      <c r="H1070" s="5">
        <v>3437.471</v>
      </c>
      <c r="I1070" s="5">
        <f>H1070-G1070</f>
        <v>32.494999999999891</v>
      </c>
      <c r="J1070" s="616">
        <v>120000</v>
      </c>
      <c r="K1070" s="696"/>
      <c r="L1070" s="16">
        <f>F1070*I1070*J1070</f>
        <v>3899399.999999987</v>
      </c>
      <c r="M1070" s="16"/>
      <c r="N1070" s="711"/>
      <c r="O1070" s="616"/>
    </row>
    <row r="1071" spans="1:15" ht="15.5" x14ac:dyDescent="0.35">
      <c r="A1071" s="631">
        <v>5</v>
      </c>
      <c r="B1071" s="100" t="s">
        <v>2246</v>
      </c>
      <c r="C1071" s="52">
        <v>33</v>
      </c>
      <c r="D1071" s="2106"/>
      <c r="E1071" s="1818"/>
      <c r="F1071" s="4">
        <v>1</v>
      </c>
      <c r="G1071" s="5"/>
      <c r="H1071" s="5"/>
      <c r="I1071" s="5">
        <f>H1071-G1071</f>
        <v>0</v>
      </c>
      <c r="J1071" s="616">
        <v>120000</v>
      </c>
      <c r="K1071" s="696"/>
      <c r="L1071" s="16">
        <f>K1069-L1070</f>
        <v>6992280.0000000279</v>
      </c>
      <c r="M1071" s="16"/>
      <c r="N1071" s="711"/>
      <c r="O1071" s="616"/>
    </row>
    <row r="1072" spans="1:15" ht="15.5" x14ac:dyDescent="0.35">
      <c r="A1072" s="631"/>
      <c r="B1072" s="95"/>
      <c r="C1072" s="89"/>
      <c r="D1072" s="89"/>
      <c r="E1072" s="1784"/>
      <c r="F1072" s="37"/>
      <c r="G1072" s="37"/>
      <c r="H1072" s="37"/>
      <c r="I1072" s="2136" t="s">
        <v>303</v>
      </c>
      <c r="J1072" s="2137"/>
      <c r="K1072" s="698">
        <f>SUM(K1069:K1071)</f>
        <v>10891680.000000015</v>
      </c>
      <c r="L1072" s="94">
        <f>SUM(L1069:L1071)</f>
        <v>10891680.000000015</v>
      </c>
      <c r="M1072" s="18"/>
      <c r="N1072" s="1978"/>
      <c r="O1072" s="633"/>
    </row>
    <row r="1073" spans="1:15" ht="15.5" x14ac:dyDescent="0.35">
      <c r="A1073" s="631"/>
      <c r="B1073" s="95"/>
      <c r="C1073" s="89"/>
      <c r="D1073" s="89"/>
      <c r="E1073" s="1784"/>
      <c r="F1073" s="37"/>
      <c r="G1073" s="37"/>
      <c r="H1073" s="37"/>
      <c r="I1073" s="2136" t="s">
        <v>31</v>
      </c>
      <c r="J1073" s="2137"/>
      <c r="K1073" s="699">
        <f>K1072-L1072</f>
        <v>0</v>
      </c>
      <c r="L1073" s="40"/>
      <c r="M1073" s="42"/>
      <c r="N1073" s="1921"/>
      <c r="O1073" s="633"/>
    </row>
    <row r="1074" spans="1:15" ht="15.5" x14ac:dyDescent="0.35">
      <c r="A1074" s="11"/>
      <c r="B1074" s="647" t="s">
        <v>1115</v>
      </c>
      <c r="C1074" s="648"/>
      <c r="D1074" s="648"/>
      <c r="E1074" s="1800"/>
      <c r="F1074" s="648"/>
      <c r="G1074" s="648"/>
      <c r="H1074" s="648"/>
      <c r="I1074" s="648"/>
      <c r="J1074" s="648"/>
      <c r="K1074" s="700"/>
      <c r="L1074" s="648"/>
      <c r="M1074" s="651"/>
      <c r="N1074" s="1971"/>
      <c r="O1074" s="8"/>
    </row>
    <row r="1075" spans="1:15" ht="15.5" x14ac:dyDescent="0.35">
      <c r="A1075" s="631"/>
      <c r="B1075" s="100" t="s">
        <v>1079</v>
      </c>
      <c r="C1075" s="52">
        <v>132</v>
      </c>
      <c r="D1075" s="2138" t="s">
        <v>1083</v>
      </c>
      <c r="E1075" s="1818"/>
      <c r="F1075" s="4"/>
      <c r="G1075" s="5"/>
      <c r="H1075" s="5"/>
      <c r="I1075" s="5"/>
      <c r="J1075" s="616"/>
      <c r="K1075" s="696"/>
      <c r="L1075" s="16">
        <f>J1075*I1075*F1075</f>
        <v>0</v>
      </c>
      <c r="M1075" s="7"/>
      <c r="N1075" s="1428"/>
      <c r="O1075" s="616"/>
    </row>
    <row r="1076" spans="1:15" ht="15.5" x14ac:dyDescent="0.35">
      <c r="A1076" s="631"/>
      <c r="B1076" s="100" t="s">
        <v>1078</v>
      </c>
      <c r="C1076" s="52">
        <v>132</v>
      </c>
      <c r="D1076" s="2139"/>
      <c r="E1076" s="1818"/>
      <c r="F1076" s="4"/>
      <c r="G1076" s="5"/>
      <c r="H1076" s="5"/>
      <c r="I1076" s="5"/>
      <c r="J1076" s="616"/>
      <c r="K1076" s="696"/>
      <c r="L1076" s="16">
        <f>J1076*I1076*F1076</f>
        <v>0</v>
      </c>
      <c r="M1076" s="16"/>
      <c r="N1076" s="711"/>
      <c r="O1076" s="616"/>
    </row>
    <row r="1077" spans="1:15" ht="15.5" x14ac:dyDescent="0.35">
      <c r="A1077" s="631"/>
      <c r="B1077" s="95"/>
      <c r="C1077" s="89"/>
      <c r="D1077" s="89"/>
      <c r="E1077" s="1784"/>
      <c r="F1077" s="37"/>
      <c r="G1077" s="37"/>
      <c r="H1077" s="37"/>
      <c r="I1077" s="37"/>
      <c r="J1077" s="95" t="s">
        <v>279</v>
      </c>
      <c r="K1077" s="699"/>
      <c r="L1077" s="55">
        <f>SUM(L1075:L1076)</f>
        <v>0</v>
      </c>
      <c r="M1077" s="633"/>
      <c r="N1077" s="1921"/>
      <c r="O1077" s="616"/>
    </row>
    <row r="1078" spans="1:15" ht="15.5" x14ac:dyDescent="0.35">
      <c r="A1078" s="11"/>
      <c r="B1078" s="647" t="s">
        <v>1101</v>
      </c>
      <c r="C1078" s="648"/>
      <c r="D1078" s="648"/>
      <c r="E1078" s="1800"/>
      <c r="F1078" s="648"/>
      <c r="G1078" s="648"/>
      <c r="H1078" s="648"/>
      <c r="I1078" s="648"/>
      <c r="J1078" s="648"/>
      <c r="K1078" s="700"/>
      <c r="L1078" s="648"/>
      <c r="M1078" s="651"/>
      <c r="N1078" s="1971"/>
      <c r="O1078" s="8"/>
    </row>
    <row r="1079" spans="1:15" ht="15.5" x14ac:dyDescent="0.35">
      <c r="A1079" s="631"/>
      <c r="B1079" s="100" t="s">
        <v>1075</v>
      </c>
      <c r="C1079" s="52">
        <v>132</v>
      </c>
      <c r="D1079" s="2140" t="s">
        <v>1085</v>
      </c>
      <c r="E1079" s="1842"/>
      <c r="F1079" s="59"/>
      <c r="G1079" s="60"/>
      <c r="H1079" s="60"/>
      <c r="I1079" s="60"/>
      <c r="J1079" s="58"/>
      <c r="K1079" s="4"/>
      <c r="L1079" s="16">
        <f>J1079*I1079*F1079</f>
        <v>0</v>
      </c>
      <c r="M1079" s="16"/>
      <c r="N1079" s="1428"/>
      <c r="O1079" s="616"/>
    </row>
    <row r="1080" spans="1:15" ht="15.5" x14ac:dyDescent="0.35">
      <c r="A1080" s="631"/>
      <c r="B1080" s="100" t="s">
        <v>1076</v>
      </c>
      <c r="C1080" s="52">
        <v>132</v>
      </c>
      <c r="D1080" s="2141"/>
      <c r="E1080" s="1842"/>
      <c r="F1080" s="59"/>
      <c r="G1080" s="60"/>
      <c r="H1080" s="60"/>
      <c r="I1080" s="60"/>
      <c r="J1080" s="58"/>
      <c r="K1080" s="4"/>
      <c r="L1080" s="16">
        <f>J1080*I1080*F1080</f>
        <v>0</v>
      </c>
      <c r="M1080" s="16"/>
      <c r="N1080" s="1428"/>
      <c r="O1080" s="616"/>
    </row>
    <row r="1081" spans="1:15" ht="15.5" x14ac:dyDescent="0.35">
      <c r="A1081" s="631"/>
      <c r="B1081" s="100" t="s">
        <v>1077</v>
      </c>
      <c r="C1081" s="52">
        <v>132</v>
      </c>
      <c r="D1081" s="2157"/>
      <c r="E1081" s="1842"/>
      <c r="F1081" s="59"/>
      <c r="G1081" s="60"/>
      <c r="H1081" s="60"/>
      <c r="I1081" s="60"/>
      <c r="J1081" s="58"/>
      <c r="K1081" s="4"/>
      <c r="L1081" s="16">
        <f>J1081*I1081*F1081</f>
        <v>0</v>
      </c>
      <c r="M1081" s="16"/>
      <c r="N1081" s="1428"/>
      <c r="O1081" s="616"/>
    </row>
    <row r="1082" spans="1:15" ht="15.5" x14ac:dyDescent="0.35">
      <c r="A1082" s="631"/>
      <c r="B1082" s="95"/>
      <c r="C1082" s="89"/>
      <c r="D1082" s="89"/>
      <c r="E1082" s="1787"/>
      <c r="F1082" s="65"/>
      <c r="G1082" s="65"/>
      <c r="H1082" s="65"/>
      <c r="I1082" s="65"/>
      <c r="J1082" s="95" t="s">
        <v>30</v>
      </c>
      <c r="K1082" s="701"/>
      <c r="L1082" s="55">
        <f>K1073-L1077</f>
        <v>0</v>
      </c>
      <c r="M1082" s="55"/>
      <c r="N1082" s="1428"/>
      <c r="O1082" s="616"/>
    </row>
    <row r="1083" spans="1:15" ht="15" thickBot="1" x14ac:dyDescent="0.4">
      <c r="A1083" s="620"/>
      <c r="B1083" s="635"/>
      <c r="C1083" s="632"/>
      <c r="D1083" s="720"/>
      <c r="K1083" s="702"/>
      <c r="L1083" s="620"/>
      <c r="M1083" s="620"/>
      <c r="N1083" s="635"/>
      <c r="O1083" s="620"/>
    </row>
    <row r="1084" spans="1:15" x14ac:dyDescent="0.35">
      <c r="A1084" s="620"/>
      <c r="B1084" s="2142" t="s">
        <v>1090</v>
      </c>
      <c r="C1084" s="2143"/>
      <c r="D1084" s="683" t="s">
        <v>14</v>
      </c>
      <c r="F1084" s="2144" t="s">
        <v>1091</v>
      </c>
      <c r="G1084" s="2145"/>
      <c r="H1084" s="2146"/>
      <c r="I1084" s="683" t="s">
        <v>14</v>
      </c>
      <c r="J1084" s="620"/>
      <c r="K1084" s="2147" t="s">
        <v>1092</v>
      </c>
      <c r="L1084" s="2148"/>
      <c r="M1084" s="684" t="s">
        <v>14</v>
      </c>
      <c r="N1084" s="635"/>
      <c r="O1084" s="620"/>
    </row>
    <row r="1085" spans="1:15" x14ac:dyDescent="0.35">
      <c r="A1085" s="620"/>
      <c r="B1085" s="2122">
        <f>B1062</f>
        <v>0</v>
      </c>
      <c r="C1085" s="2123"/>
      <c r="D1085" s="689">
        <f>K1067</f>
        <v>0</v>
      </c>
      <c r="F1085" s="2124" t="s">
        <v>1093</v>
      </c>
      <c r="G1085" s="2125"/>
      <c r="H1085" s="2126"/>
      <c r="I1085" s="685">
        <f>L1077</f>
        <v>0</v>
      </c>
      <c r="J1085" s="620"/>
      <c r="K1085" s="2189" t="s">
        <v>1094</v>
      </c>
      <c r="L1085" s="2190"/>
      <c r="M1085" s="687">
        <f>I1086</f>
        <v>0</v>
      </c>
      <c r="N1085" s="635"/>
      <c r="O1085" s="620"/>
    </row>
    <row r="1086" spans="1:15" x14ac:dyDescent="0.35">
      <c r="A1086" s="620"/>
      <c r="B1086" s="2122" t="s">
        <v>1116</v>
      </c>
      <c r="C1086" s="2123"/>
      <c r="D1086" s="721"/>
      <c r="F1086" s="2124" t="s">
        <v>1094</v>
      </c>
      <c r="G1086" s="2125"/>
      <c r="H1086" s="2126"/>
      <c r="I1086" s="685">
        <f>D1089-I1085</f>
        <v>0</v>
      </c>
      <c r="J1086" s="620"/>
      <c r="K1086" s="2191" t="s">
        <v>1095</v>
      </c>
      <c r="L1086" s="2192"/>
      <c r="M1086" s="685">
        <f>M1120</f>
        <v>0</v>
      </c>
      <c r="N1086" s="635"/>
      <c r="O1086" s="620"/>
    </row>
    <row r="1087" spans="1:15" x14ac:dyDescent="0.35">
      <c r="A1087" s="620"/>
      <c r="B1087" s="2122" t="s">
        <v>1117</v>
      </c>
      <c r="C1087" s="2123"/>
      <c r="D1087" s="721"/>
      <c r="F1087" s="2124" t="s">
        <v>1089</v>
      </c>
      <c r="G1087" s="2125"/>
      <c r="H1087" s="2126"/>
      <c r="I1087" s="685">
        <f>I1085+I1086</f>
        <v>0</v>
      </c>
      <c r="J1087" s="620"/>
      <c r="K1087" s="2191" t="s">
        <v>284</v>
      </c>
      <c r="L1087" s="2192"/>
      <c r="M1087" s="685">
        <f>M1085-M1086</f>
        <v>0</v>
      </c>
      <c r="N1087" s="635"/>
      <c r="O1087" s="620"/>
    </row>
    <row r="1088" spans="1:15" ht="16" thickBot="1" x14ac:dyDescent="0.4">
      <c r="A1088" s="620"/>
      <c r="B1088" s="2122" t="s">
        <v>1118</v>
      </c>
      <c r="C1088" s="2123"/>
      <c r="D1088" s="722"/>
      <c r="F1088" s="2113" t="s">
        <v>1102</v>
      </c>
      <c r="G1088" s="2114"/>
      <c r="H1088" s="2115"/>
      <c r="I1088" s="690" t="e">
        <f>(D1089-I1087)/I1087</f>
        <v>#DIV/0!</v>
      </c>
      <c r="J1088" s="620"/>
      <c r="K1088" s="2193" t="s">
        <v>285</v>
      </c>
      <c r="L1088" s="2194"/>
      <c r="M1088" s="688" t="e">
        <f>M1087/M1085</f>
        <v>#DIV/0!</v>
      </c>
      <c r="N1088" s="635"/>
      <c r="O1088" s="620"/>
    </row>
    <row r="1089" spans="1:15" ht="15" thickBot="1" x14ac:dyDescent="0.4">
      <c r="A1089" s="620"/>
      <c r="B1089" s="2195" t="s">
        <v>1082</v>
      </c>
      <c r="C1089" s="2196"/>
      <c r="D1089" s="686">
        <f>SUM(D1085:D1087)</f>
        <v>0</v>
      </c>
      <c r="F1089" s="620"/>
      <c r="G1089" s="620"/>
      <c r="H1089" s="620"/>
      <c r="I1089" s="620"/>
      <c r="J1089" s="620"/>
      <c r="K1089" s="702"/>
      <c r="L1089" s="620"/>
      <c r="M1089" s="620"/>
      <c r="N1089" s="635"/>
      <c r="O1089" s="620"/>
    </row>
    <row r="1092" spans="1:15" x14ac:dyDescent="0.35">
      <c r="A1092" s="620"/>
      <c r="B1092" s="635"/>
      <c r="C1092" s="632"/>
      <c r="D1092" s="720"/>
      <c r="E1092" s="1788"/>
      <c r="F1092" s="620"/>
      <c r="G1092" s="620"/>
      <c r="H1092" s="620"/>
      <c r="I1092" s="620"/>
      <c r="J1092" s="620"/>
      <c r="K1092" s="702"/>
      <c r="L1092" s="620"/>
      <c r="M1092" s="620"/>
      <c r="N1092" s="635"/>
      <c r="O1092" s="620"/>
    </row>
    <row r="1093" spans="1:15" x14ac:dyDescent="0.35">
      <c r="A1093" s="620"/>
      <c r="B1093" s="635"/>
      <c r="C1093" s="632"/>
      <c r="D1093" s="720"/>
      <c r="E1093" s="1788"/>
      <c r="F1093" s="620"/>
      <c r="G1093" s="620"/>
      <c r="H1093" s="620"/>
      <c r="I1093" s="620"/>
      <c r="J1093" s="620"/>
      <c r="K1093" s="702"/>
      <c r="L1093" s="620"/>
      <c r="M1093" s="620"/>
      <c r="N1093" s="635"/>
      <c r="O1093" s="620"/>
    </row>
    <row r="1094" spans="1:15" x14ac:dyDescent="0.35">
      <c r="A1094" s="620"/>
      <c r="B1094" s="635"/>
      <c r="C1094" s="632"/>
      <c r="D1094" s="720"/>
      <c r="E1094" s="1788"/>
      <c r="F1094" s="620"/>
      <c r="G1094" s="620"/>
      <c r="H1094" s="620"/>
      <c r="I1094" s="620"/>
      <c r="J1094" s="620"/>
      <c r="K1094" s="702"/>
      <c r="L1094" s="620"/>
      <c r="M1094" s="620"/>
      <c r="N1094" s="635"/>
      <c r="O1094" s="620"/>
    </row>
    <row r="1095" spans="1:15" x14ac:dyDescent="0.35">
      <c r="A1095" s="620"/>
      <c r="B1095" s="635"/>
      <c r="C1095" s="632"/>
      <c r="D1095" s="720"/>
      <c r="E1095" s="1788"/>
      <c r="F1095" s="620"/>
      <c r="G1095" s="620"/>
      <c r="H1095" s="620"/>
      <c r="I1095" s="620"/>
      <c r="J1095" s="620"/>
      <c r="K1095" s="702"/>
      <c r="L1095" s="620"/>
      <c r="M1095" s="620"/>
      <c r="N1095" s="635"/>
      <c r="O1095" s="620"/>
    </row>
    <row r="1096" spans="1:15" x14ac:dyDescent="0.35">
      <c r="A1096" s="620"/>
      <c r="B1096" s="635"/>
      <c r="C1096" s="632"/>
      <c r="D1096" s="720"/>
      <c r="E1096" s="1788"/>
      <c r="F1096" s="620"/>
      <c r="G1096" s="620"/>
      <c r="H1096" s="620"/>
      <c r="I1096" s="620"/>
      <c r="J1096" s="620"/>
      <c r="K1096" s="702"/>
      <c r="L1096" s="620"/>
      <c r="M1096" s="620"/>
      <c r="N1096" s="635"/>
      <c r="O1096" s="620"/>
    </row>
    <row r="1097" spans="1:15" x14ac:dyDescent="0.35">
      <c r="A1097" s="620"/>
      <c r="B1097" s="632"/>
      <c r="C1097" s="632"/>
      <c r="D1097" s="720"/>
      <c r="E1097" s="1788"/>
      <c r="F1097" s="620"/>
      <c r="G1097" s="620"/>
      <c r="H1097" s="620"/>
      <c r="I1097" s="620"/>
      <c r="J1097" s="620"/>
      <c r="K1097" s="702"/>
      <c r="L1097" s="620"/>
      <c r="M1097" s="620"/>
      <c r="N1097" s="635"/>
      <c r="O1097" s="620"/>
    </row>
    <row r="1098" spans="1:15" x14ac:dyDescent="0.35">
      <c r="A1098" s="620"/>
      <c r="B1098" s="632"/>
      <c r="C1098" s="632"/>
      <c r="D1098" s="720"/>
      <c r="E1098" s="1788"/>
      <c r="F1098" s="620"/>
      <c r="G1098" s="620"/>
      <c r="H1098" s="620"/>
      <c r="I1098" s="620"/>
      <c r="J1098" s="620"/>
      <c r="K1098" s="702"/>
      <c r="L1098" s="620"/>
      <c r="M1098" s="620"/>
      <c r="N1098" s="635"/>
      <c r="O1098" s="620"/>
    </row>
    <row r="1099" spans="1:15" x14ac:dyDescent="0.35">
      <c r="A1099" s="620"/>
      <c r="B1099" s="635"/>
      <c r="C1099" s="632"/>
      <c r="D1099" s="720"/>
      <c r="E1099" s="1788"/>
      <c r="F1099" s="620"/>
      <c r="G1099" s="620"/>
      <c r="H1099" s="620"/>
      <c r="I1099" s="620"/>
      <c r="J1099" s="620"/>
      <c r="K1099" s="702"/>
      <c r="L1099" s="620"/>
      <c r="M1099" s="620"/>
      <c r="N1099" s="635"/>
      <c r="O1099" s="620"/>
    </row>
    <row r="1100" spans="1:15" x14ac:dyDescent="0.35">
      <c r="A1100" s="620"/>
      <c r="B1100" s="635"/>
      <c r="C1100" s="632"/>
      <c r="D1100" s="720"/>
      <c r="E1100" s="1788"/>
      <c r="F1100" s="620">
        <v>192</v>
      </c>
      <c r="G1100" s="620"/>
      <c r="H1100" s="620"/>
      <c r="I1100" s="620"/>
      <c r="J1100" s="620"/>
      <c r="K1100" s="702"/>
      <c r="L1100" s="620"/>
      <c r="M1100" s="620"/>
      <c r="N1100" s="635"/>
      <c r="O1100" s="620"/>
    </row>
    <row r="1101" spans="1:15" x14ac:dyDescent="0.35">
      <c r="A1101" s="620"/>
      <c r="B1101" s="635"/>
      <c r="C1101" s="632"/>
      <c r="D1101" s="720"/>
      <c r="E1101" s="1788"/>
      <c r="F1101" s="620"/>
      <c r="G1101" s="620"/>
      <c r="H1101" s="620"/>
      <c r="I1101" s="620"/>
      <c r="J1101" s="620"/>
      <c r="K1101" s="702"/>
      <c r="L1101" s="620"/>
      <c r="M1101" s="620"/>
      <c r="N1101" s="635"/>
      <c r="O1101" s="620"/>
    </row>
    <row r="1102" spans="1:15" ht="25" x14ac:dyDescent="0.35">
      <c r="A1102" s="28"/>
      <c r="B1102" s="2152"/>
      <c r="C1102" s="2152"/>
      <c r="D1102" s="2152"/>
      <c r="E1102" s="2152"/>
      <c r="F1102" s="2152"/>
      <c r="G1102" s="2152"/>
      <c r="H1102" s="2152"/>
      <c r="I1102" s="2152"/>
      <c r="J1102" s="2152"/>
      <c r="K1102" s="2152"/>
      <c r="L1102" s="2152"/>
      <c r="M1102" s="2152"/>
      <c r="N1102" s="635"/>
      <c r="O1102" s="620"/>
    </row>
    <row r="1103" spans="1:15" x14ac:dyDescent="0.35">
      <c r="A1103" s="620"/>
      <c r="B1103" s="635"/>
      <c r="C1103" s="632"/>
      <c r="D1103" s="720"/>
      <c r="E1103" s="1788"/>
      <c r="F1103" s="620"/>
      <c r="G1103" s="620"/>
      <c r="H1103" s="620"/>
      <c r="I1103" s="620"/>
      <c r="J1103" s="620"/>
      <c r="K1103" s="702"/>
      <c r="L1103" s="620"/>
      <c r="M1103" s="620"/>
      <c r="N1103" s="635"/>
      <c r="O1103" s="620"/>
    </row>
    <row r="1104" spans="1:15" x14ac:dyDescent="0.35">
      <c r="A1104" s="620"/>
      <c r="B1104" s="635"/>
      <c r="C1104" s="632"/>
      <c r="D1104" s="720"/>
      <c r="E1104" s="1788"/>
      <c r="F1104" s="620"/>
      <c r="G1104" s="620"/>
      <c r="H1104" s="620"/>
      <c r="I1104" s="620"/>
      <c r="J1104" s="620"/>
      <c r="K1104" s="702"/>
      <c r="L1104" s="620"/>
      <c r="M1104" s="620"/>
      <c r="N1104" s="635"/>
      <c r="O1104" s="620"/>
    </row>
    <row r="1105" spans="1:15" ht="25" x14ac:dyDescent="0.35">
      <c r="A1105" s="2095" t="s">
        <v>1201</v>
      </c>
      <c r="B1105" s="2095"/>
      <c r="C1105" s="2095"/>
      <c r="D1105" s="2095"/>
      <c r="E1105" s="2095"/>
      <c r="F1105" s="2095"/>
      <c r="G1105" s="2095"/>
      <c r="H1105" s="2095"/>
      <c r="I1105" s="2095"/>
      <c r="J1105" s="2095"/>
      <c r="K1105" s="2095"/>
      <c r="L1105" s="2095"/>
      <c r="M1105" s="2095"/>
      <c r="N1105" s="2095"/>
      <c r="O1105" s="756" t="str">
        <f>$O$6</f>
        <v>Month December-2022</v>
      </c>
    </row>
    <row r="1106" spans="1:15" ht="15.5" x14ac:dyDescent="0.35">
      <c r="A1106" s="2096" t="s">
        <v>0</v>
      </c>
      <c r="B1106" s="2098" t="s">
        <v>1</v>
      </c>
      <c r="C1106" s="2100" t="s">
        <v>2</v>
      </c>
      <c r="D1106" s="2101"/>
      <c r="E1106" s="2102"/>
      <c r="F1106" s="2103" t="s">
        <v>3</v>
      </c>
      <c r="G1106" s="2100" t="s">
        <v>4</v>
      </c>
      <c r="H1106" s="2102"/>
      <c r="I1106" s="2085"/>
      <c r="J1106" s="2103" t="s">
        <v>5</v>
      </c>
      <c r="K1106" s="2100" t="s">
        <v>6</v>
      </c>
      <c r="L1106" s="2085"/>
      <c r="M1106" s="97" t="s">
        <v>32</v>
      </c>
      <c r="N1106" s="98"/>
      <c r="O1106" s="2084" t="s">
        <v>7</v>
      </c>
    </row>
    <row r="1107" spans="1:15" ht="15.5" x14ac:dyDescent="0.35">
      <c r="A1107" s="2097"/>
      <c r="B1107" s="2099"/>
      <c r="C1107" s="2086" t="s">
        <v>1108</v>
      </c>
      <c r="D1107" s="2087"/>
      <c r="E1107" s="1810" t="s">
        <v>9</v>
      </c>
      <c r="F1107" s="2097"/>
      <c r="G1107" s="2">
        <f>'NORTH-1'!$G$8</f>
        <v>44774</v>
      </c>
      <c r="H1107" s="2">
        <f>'NORTH-1'!$H$8</f>
        <v>44805</v>
      </c>
      <c r="I1107" s="1" t="s">
        <v>10</v>
      </c>
      <c r="J1107" s="2097"/>
      <c r="K1107" s="1" t="s">
        <v>11</v>
      </c>
      <c r="L1107" s="1" t="s">
        <v>12</v>
      </c>
      <c r="M1107" s="617" t="s">
        <v>33</v>
      </c>
      <c r="N1107" s="76" t="s">
        <v>47</v>
      </c>
      <c r="O1107" s="2085"/>
    </row>
    <row r="1108" spans="1:15" ht="15.5" x14ac:dyDescent="0.35">
      <c r="A1108" s="3">
        <v>1</v>
      </c>
      <c r="B1108" s="88">
        <v>2</v>
      </c>
      <c r="C1108" s="2088">
        <v>4</v>
      </c>
      <c r="D1108" s="2089"/>
      <c r="E1108" s="1811">
        <v>5</v>
      </c>
      <c r="F1108" s="3">
        <v>7</v>
      </c>
      <c r="G1108" s="3">
        <v>8</v>
      </c>
      <c r="H1108" s="3">
        <v>9</v>
      </c>
      <c r="I1108" s="3" t="s">
        <v>13</v>
      </c>
      <c r="J1108" s="3">
        <v>11</v>
      </c>
      <c r="K1108" s="3" t="s">
        <v>19</v>
      </c>
      <c r="L1108" s="3" t="s">
        <v>20</v>
      </c>
      <c r="M1108" s="3">
        <v>14</v>
      </c>
      <c r="N1108" s="77">
        <v>15</v>
      </c>
      <c r="O1108" s="3">
        <v>16</v>
      </c>
    </row>
    <row r="1109" spans="1:15" ht="15.5" x14ac:dyDescent="0.35">
      <c r="A1109" s="631"/>
      <c r="B1109" s="624" t="s">
        <v>1100</v>
      </c>
      <c r="C1109" s="625"/>
      <c r="D1109" s="625"/>
      <c r="E1109" s="1794"/>
      <c r="F1109" s="625"/>
      <c r="G1109" s="625"/>
      <c r="H1109" s="625"/>
      <c r="I1109" s="625"/>
      <c r="J1109" s="625"/>
      <c r="K1109" s="695"/>
      <c r="L1109" s="625"/>
      <c r="M1109" s="626"/>
      <c r="N1109" s="1972"/>
      <c r="O1109" s="616"/>
    </row>
    <row r="1110" spans="1:15" ht="15.5" x14ac:dyDescent="0.35">
      <c r="A1110" s="11">
        <v>1</v>
      </c>
      <c r="B1110" s="100" t="s">
        <v>2247</v>
      </c>
      <c r="C1110" s="52">
        <v>33</v>
      </c>
      <c r="D1110" s="1770" t="s">
        <v>527</v>
      </c>
      <c r="E1110" s="1801" t="s">
        <v>2214</v>
      </c>
      <c r="F1110" s="4">
        <v>1</v>
      </c>
      <c r="G1110" s="21">
        <v>1070.9473</v>
      </c>
      <c r="H1110" s="21">
        <v>1089.5875000000001</v>
      </c>
      <c r="I1110" s="21">
        <f>SUM(H1110-G1110)</f>
        <v>18.64020000000005</v>
      </c>
      <c r="J1110" s="616">
        <v>240000</v>
      </c>
      <c r="K1110" s="696">
        <f>F1110*I1110*J1110</f>
        <v>4473648.0000000121</v>
      </c>
      <c r="L1110" s="22"/>
      <c r="M1110" s="22"/>
      <c r="N1110" s="72"/>
      <c r="O1110" s="9"/>
    </row>
    <row r="1111" spans="1:15" ht="15.5" x14ac:dyDescent="0.35">
      <c r="A1111" s="631">
        <v>2</v>
      </c>
      <c r="B1111" s="100" t="s">
        <v>2248</v>
      </c>
      <c r="C1111" s="52">
        <v>33</v>
      </c>
      <c r="D1111" s="1772" t="s">
        <v>527</v>
      </c>
      <c r="E1111" s="1801" t="s">
        <v>2209</v>
      </c>
      <c r="F1111" s="4">
        <v>1</v>
      </c>
      <c r="G1111" s="21">
        <v>1282.0274999999999</v>
      </c>
      <c r="H1111" s="21">
        <v>1308.6393</v>
      </c>
      <c r="I1111" s="21">
        <f>SUM(H1111-G1111)</f>
        <v>26.61180000000013</v>
      </c>
      <c r="J1111" s="616">
        <v>180000</v>
      </c>
      <c r="K1111" s="696">
        <f>F1111*I1111*J1111</f>
        <v>4790124.0000000233</v>
      </c>
      <c r="L1111" s="22"/>
      <c r="M1111" s="22"/>
      <c r="N1111" s="72"/>
      <c r="O1111" s="616"/>
    </row>
    <row r="1112" spans="1:15" ht="15.5" x14ac:dyDescent="0.35">
      <c r="A1112" s="631"/>
      <c r="B1112" s="102"/>
      <c r="C1112" s="91"/>
      <c r="D1112" s="726"/>
      <c r="E1112" s="1814"/>
      <c r="F1112" s="47"/>
      <c r="G1112" s="48"/>
      <c r="H1112" s="48"/>
      <c r="I1112" s="48"/>
      <c r="J1112" s="96" t="s">
        <v>30</v>
      </c>
      <c r="K1112" s="43">
        <f>SUM(K1110:K1111)</f>
        <v>9263772.0000000354</v>
      </c>
      <c r="L1112" s="43">
        <f>SUM(L1110:L1111)</f>
        <v>0</v>
      </c>
      <c r="M1112" s="43">
        <f>SUM(M1110:M1111)</f>
        <v>0</v>
      </c>
      <c r="N1112" s="646"/>
      <c r="O1112" s="616"/>
    </row>
    <row r="1113" spans="1:15" ht="15.5" x14ac:dyDescent="0.35">
      <c r="A1113" s="616"/>
      <c r="B1113" s="624" t="s">
        <v>1113</v>
      </c>
      <c r="C1113" s="625"/>
      <c r="D1113" s="625"/>
      <c r="E1113" s="1794"/>
      <c r="F1113" s="625"/>
      <c r="G1113" s="625"/>
      <c r="H1113" s="625"/>
      <c r="I1113" s="625"/>
      <c r="J1113" s="732"/>
      <c r="K1113" s="733"/>
      <c r="L1113" s="734"/>
      <c r="M1113" s="734"/>
      <c r="N1113" s="1972"/>
      <c r="O1113" s="12"/>
    </row>
    <row r="1114" spans="1:15" ht="15.5" x14ac:dyDescent="0.35">
      <c r="A1114" s="616">
        <v>3</v>
      </c>
      <c r="B1114" s="100" t="s">
        <v>2249</v>
      </c>
      <c r="C1114" s="52">
        <v>33</v>
      </c>
      <c r="D1114" s="1770"/>
      <c r="E1114" s="1801" t="s">
        <v>2250</v>
      </c>
      <c r="F1114" s="4">
        <v>1</v>
      </c>
      <c r="G1114" s="21">
        <v>262186736</v>
      </c>
      <c r="H1114" s="21">
        <v>266976816</v>
      </c>
      <c r="I1114" s="20">
        <f>H1114-G1114</f>
        <v>4790080</v>
      </c>
      <c r="J1114" s="616">
        <v>1</v>
      </c>
      <c r="K1114" s="696">
        <f>F1114*I1114*J1114</f>
        <v>4790080</v>
      </c>
      <c r="L1114" s="22"/>
      <c r="M1114" s="22"/>
      <c r="N1114" s="72"/>
      <c r="O1114" s="12"/>
    </row>
    <row r="1115" spans="1:15" ht="15.5" x14ac:dyDescent="0.35">
      <c r="A1115" s="616">
        <v>7</v>
      </c>
      <c r="B1115" s="100" t="s">
        <v>2252</v>
      </c>
      <c r="C1115" s="52">
        <v>33</v>
      </c>
      <c r="D1115" s="1771"/>
      <c r="E1115" s="1801" t="s">
        <v>2253</v>
      </c>
      <c r="F1115" s="4">
        <v>1</v>
      </c>
      <c r="G1115" s="21">
        <v>257383168</v>
      </c>
      <c r="H1115" s="21">
        <v>261862208</v>
      </c>
      <c r="I1115" s="20">
        <f>H1115-G1115</f>
        <v>4479040</v>
      </c>
      <c r="J1115" s="616">
        <v>1</v>
      </c>
      <c r="K1115" s="696">
        <f>F1115*I1115*J1115</f>
        <v>4479040</v>
      </c>
      <c r="L1115" s="22"/>
      <c r="M1115" s="22"/>
      <c r="N1115" s="72"/>
      <c r="O1115" s="12"/>
    </row>
    <row r="1116" spans="1:15" ht="15.5" x14ac:dyDescent="0.35">
      <c r="A1116" s="616"/>
      <c r="B1116" s="102"/>
      <c r="C1116" s="91"/>
      <c r="D1116" s="726"/>
      <c r="E1116" s="1814"/>
      <c r="F1116" s="47"/>
      <c r="G1116" s="48"/>
      <c r="H1116" s="48"/>
      <c r="I1116" s="36"/>
      <c r="J1116" s="96" t="s">
        <v>30</v>
      </c>
      <c r="K1116" s="43">
        <f>SUM(K1114:K1115)</f>
        <v>9269120</v>
      </c>
      <c r="L1116" s="43">
        <f>SUM(L1114:L1115)</f>
        <v>0</v>
      </c>
      <c r="M1116" s="43">
        <f>SUM(M1114:M1115)</f>
        <v>0</v>
      </c>
      <c r="N1116" s="1973"/>
      <c r="O1116" s="12"/>
    </row>
    <row r="1117" spans="1:15" ht="15.5" x14ac:dyDescent="0.35">
      <c r="A1117" s="616"/>
      <c r="B1117" s="647" t="s">
        <v>1114</v>
      </c>
      <c r="C1117" s="648"/>
      <c r="D1117" s="648"/>
      <c r="E1117" s="1800"/>
      <c r="F1117" s="648"/>
      <c r="G1117" s="648"/>
      <c r="H1117" s="648"/>
      <c r="I1117" s="648"/>
      <c r="J1117" s="648"/>
      <c r="K1117" s="700"/>
      <c r="L1117" s="648"/>
      <c r="M1117" s="651"/>
      <c r="N1117" s="1971"/>
      <c r="O1117" s="8"/>
    </row>
    <row r="1118" spans="1:15" ht="15.5" x14ac:dyDescent="0.35">
      <c r="A1118" s="616"/>
      <c r="B1118" s="100" t="s">
        <v>1079</v>
      </c>
      <c r="C1118" s="52">
        <v>132</v>
      </c>
      <c r="D1118" s="2138" t="s">
        <v>1083</v>
      </c>
      <c r="E1118" s="1818"/>
      <c r="F1118" s="4"/>
      <c r="G1118" s="5"/>
      <c r="H1118" s="5"/>
      <c r="I1118" s="5"/>
      <c r="J1118" s="616"/>
      <c r="K1118" s="696"/>
      <c r="L1118" s="16">
        <f>J1118*I1118*F1118</f>
        <v>0</v>
      </c>
      <c r="M1118" s="7"/>
      <c r="N1118" s="1428"/>
      <c r="O1118" s="616"/>
    </row>
    <row r="1119" spans="1:15" ht="15.5" x14ac:dyDescent="0.35">
      <c r="A1119" s="616"/>
      <c r="B1119" s="100" t="s">
        <v>1078</v>
      </c>
      <c r="C1119" s="52">
        <v>132</v>
      </c>
      <c r="D1119" s="2139"/>
      <c r="E1119" s="1818"/>
      <c r="F1119" s="4"/>
      <c r="G1119" s="5"/>
      <c r="H1119" s="5"/>
      <c r="I1119" s="5"/>
      <c r="J1119" s="616"/>
      <c r="K1119" s="696"/>
      <c r="L1119" s="16">
        <f>J1119*I1119*F1119</f>
        <v>0</v>
      </c>
      <c r="M1119" s="16"/>
      <c r="N1119" s="711"/>
      <c r="O1119" s="616"/>
    </row>
    <row r="1120" spans="1:15" ht="15.5" x14ac:dyDescent="0.35">
      <c r="A1120" s="616"/>
      <c r="B1120" s="95"/>
      <c r="C1120" s="89"/>
      <c r="D1120" s="89"/>
      <c r="E1120" s="1784"/>
      <c r="F1120" s="37"/>
      <c r="G1120" s="37"/>
      <c r="H1120" s="37"/>
      <c r="I1120" s="37"/>
      <c r="J1120" s="95" t="s">
        <v>279</v>
      </c>
      <c r="K1120" s="699"/>
      <c r="L1120" s="55">
        <f>SUM(L1118:L1119)</f>
        <v>0</v>
      </c>
      <c r="M1120" s="633"/>
      <c r="N1120" s="1921"/>
      <c r="O1120" s="616"/>
    </row>
    <row r="1121" spans="1:15" ht="15.5" x14ac:dyDescent="0.35">
      <c r="A1121" s="616"/>
      <c r="B1121" s="102"/>
      <c r="C1121" s="91"/>
      <c r="D1121" s="726"/>
      <c r="E1121" s="1814"/>
      <c r="F1121" s="47"/>
      <c r="G1121" s="48"/>
      <c r="H1121" s="48"/>
      <c r="I1121" s="36"/>
      <c r="J1121" s="96"/>
      <c r="K1121" s="706"/>
      <c r="L1121" s="43"/>
      <c r="M1121" s="43"/>
      <c r="N1121" s="1973"/>
      <c r="O1121" s="12"/>
    </row>
    <row r="1122" spans="1:15" ht="15.5" x14ac:dyDescent="0.35">
      <c r="A1122" s="636"/>
      <c r="B1122" s="647" t="s">
        <v>1110</v>
      </c>
      <c r="C1122" s="648"/>
      <c r="D1122" s="648"/>
      <c r="E1122" s="1800"/>
      <c r="F1122" s="648"/>
      <c r="G1122" s="648"/>
      <c r="H1122" s="648"/>
      <c r="I1122" s="648"/>
      <c r="J1122" s="50"/>
      <c r="K1122" s="710"/>
      <c r="L1122" s="51"/>
      <c r="M1122" s="51"/>
      <c r="N1122" s="1971"/>
      <c r="O1122" s="12"/>
    </row>
    <row r="1123" spans="1:15" ht="25.5" customHeight="1" x14ac:dyDescent="0.35">
      <c r="A1123" s="616">
        <v>5</v>
      </c>
      <c r="B1123" s="100" t="s">
        <v>1951</v>
      </c>
      <c r="C1123" s="52">
        <v>33</v>
      </c>
      <c r="D1123" s="1774"/>
      <c r="E1123" s="1801" t="s">
        <v>2251</v>
      </c>
      <c r="F1123" s="4">
        <v>1</v>
      </c>
      <c r="G1123" s="21">
        <v>266818320</v>
      </c>
      <c r="H1123" s="21">
        <v>271607040</v>
      </c>
      <c r="I1123" s="21">
        <f>H1123-G1123</f>
        <v>4788720</v>
      </c>
      <c r="J1123" s="31">
        <v>1</v>
      </c>
      <c r="K1123" s="707"/>
      <c r="L1123" s="22">
        <f>F1123*I1123*J1123</f>
        <v>4788720</v>
      </c>
      <c r="M1123" s="22"/>
      <c r="N1123" s="99"/>
      <c r="O1123" s="12"/>
    </row>
    <row r="1124" spans="1:15" ht="15.5" x14ac:dyDescent="0.35">
      <c r="A1124" s="616">
        <v>8</v>
      </c>
      <c r="B1124" s="100" t="s">
        <v>1955</v>
      </c>
      <c r="C1124" s="52">
        <v>33</v>
      </c>
      <c r="D1124" s="1776"/>
      <c r="E1124" s="1801" t="s">
        <v>2254</v>
      </c>
      <c r="F1124" s="4">
        <v>1</v>
      </c>
      <c r="G1124" s="21">
        <v>252608400</v>
      </c>
      <c r="H1124" s="21">
        <v>257085840</v>
      </c>
      <c r="I1124" s="21">
        <f>H1124-G1124</f>
        <v>4477440</v>
      </c>
      <c r="J1124" s="31">
        <v>1</v>
      </c>
      <c r="K1124" s="707"/>
      <c r="L1124" s="22">
        <f>F1124*I1124*J1124</f>
        <v>4477440</v>
      </c>
      <c r="M1124" s="22"/>
      <c r="N1124" s="99"/>
      <c r="O1124" s="12"/>
    </row>
    <row r="1125" spans="1:15" ht="15" x14ac:dyDescent="0.35">
      <c r="A1125" s="636"/>
      <c r="B1125" s="96"/>
      <c r="C1125" s="90"/>
      <c r="D1125" s="90"/>
      <c r="E1125" s="1785"/>
      <c r="F1125" s="38"/>
      <c r="G1125" s="38"/>
      <c r="H1125" s="38"/>
      <c r="I1125" s="38"/>
      <c r="J1125" s="96" t="s">
        <v>30</v>
      </c>
      <c r="K1125" s="708"/>
      <c r="L1125" s="43">
        <f>SUM(L1123:L1124)</f>
        <v>9266160</v>
      </c>
      <c r="M1125" s="43">
        <f>SUM(M1123:M1124)</f>
        <v>0</v>
      </c>
      <c r="N1125" s="650">
        <f>(M1125-L1125)/L1125*100</f>
        <v>-100</v>
      </c>
      <c r="O1125" s="12"/>
    </row>
    <row r="1126" spans="1:15" ht="15.5" thickBot="1" x14ac:dyDescent="0.4">
      <c r="A1126" s="702"/>
      <c r="B1126" s="736"/>
      <c r="C1126" s="92"/>
      <c r="D1126" s="92"/>
      <c r="E1126" s="1786"/>
      <c r="F1126" s="737"/>
      <c r="G1126" s="737"/>
      <c r="H1126" s="737"/>
      <c r="I1126" s="737"/>
      <c r="J1126" s="736"/>
      <c r="K1126" s="738"/>
      <c r="L1126" s="739"/>
      <c r="M1126" s="739"/>
      <c r="N1126" s="646"/>
      <c r="O1126" s="740"/>
    </row>
    <row r="1127" spans="1:15" ht="15" x14ac:dyDescent="0.35">
      <c r="A1127" s="702"/>
      <c r="B1127" s="2142" t="s">
        <v>1090</v>
      </c>
      <c r="C1127" s="2143"/>
      <c r="D1127" s="683" t="s">
        <v>14</v>
      </c>
      <c r="F1127" s="2144" t="s">
        <v>1091</v>
      </c>
      <c r="G1127" s="2145"/>
      <c r="H1127" s="2146"/>
      <c r="I1127" s="683" t="s">
        <v>14</v>
      </c>
      <c r="J1127" s="620"/>
      <c r="K1127" s="2147" t="s">
        <v>1092</v>
      </c>
      <c r="L1127" s="2148"/>
      <c r="M1127" s="684" t="s">
        <v>14</v>
      </c>
      <c r="N1127" s="646"/>
      <c r="O1127" s="740"/>
    </row>
    <row r="1128" spans="1:15" ht="15" x14ac:dyDescent="0.35">
      <c r="A1128" s="702"/>
      <c r="B1128" s="2122" t="str">
        <f>B1109</f>
        <v>MOGBAZAR 33 KV SIDE</v>
      </c>
      <c r="C1128" s="2123"/>
      <c r="D1128" s="689">
        <f>K1112</f>
        <v>9263772.0000000354</v>
      </c>
      <c r="F1128" s="2124" t="s">
        <v>1093</v>
      </c>
      <c r="G1128" s="2125"/>
      <c r="H1128" s="2126"/>
      <c r="I1128" s="685">
        <f>L1120</f>
        <v>0</v>
      </c>
      <c r="J1128" s="620"/>
      <c r="K1128" s="2160" t="str">
        <f>F1129</f>
        <v>MOGBAZAR T&amp;T 33 KV NET IMPORT</v>
      </c>
      <c r="L1128" s="2161"/>
      <c r="M1128" s="687">
        <f>I1129</f>
        <v>9263772.0000000354</v>
      </c>
      <c r="N1128" s="646"/>
      <c r="O1128" s="740"/>
    </row>
    <row r="1129" spans="1:15" ht="15" x14ac:dyDescent="0.35">
      <c r="A1129" s="702"/>
      <c r="B1129" s="2122" t="s">
        <v>1116</v>
      </c>
      <c r="C1129" s="2123"/>
      <c r="D1129" s="741"/>
      <c r="F1129" s="2124" t="s">
        <v>1119</v>
      </c>
      <c r="G1129" s="2125"/>
      <c r="H1129" s="2126"/>
      <c r="I1129" s="685">
        <f>D1132-I1128</f>
        <v>9263772.0000000354</v>
      </c>
      <c r="J1129" s="620"/>
      <c r="K1129" s="2162" t="s">
        <v>1120</v>
      </c>
      <c r="L1129" s="2163"/>
      <c r="M1129" s="685">
        <f>M1163</f>
        <v>0</v>
      </c>
      <c r="N1129" s="646"/>
      <c r="O1129" s="740"/>
    </row>
    <row r="1130" spans="1:15" ht="15" x14ac:dyDescent="0.35">
      <c r="A1130" s="702"/>
      <c r="B1130" s="2122" t="s">
        <v>1117</v>
      </c>
      <c r="C1130" s="2123"/>
      <c r="D1130" s="721"/>
      <c r="F1130" s="2124" t="s">
        <v>1089</v>
      </c>
      <c r="G1130" s="2125"/>
      <c r="H1130" s="2126"/>
      <c r="I1130" s="685">
        <f>I1128+I1129</f>
        <v>9263772.0000000354</v>
      </c>
      <c r="J1130" s="620"/>
      <c r="K1130" s="2127" t="s">
        <v>284</v>
      </c>
      <c r="L1130" s="2128"/>
      <c r="M1130" s="685">
        <f>M1128-M1129</f>
        <v>9263772.0000000354</v>
      </c>
      <c r="N1130" s="646"/>
      <c r="O1130" s="740"/>
    </row>
    <row r="1131" spans="1:15" ht="16" thickBot="1" x14ac:dyDescent="0.4">
      <c r="A1131" s="702"/>
      <c r="B1131" s="2122" t="s">
        <v>1118</v>
      </c>
      <c r="C1131" s="2123"/>
      <c r="D1131" s="722"/>
      <c r="F1131" s="2113" t="s">
        <v>1102</v>
      </c>
      <c r="G1131" s="2114"/>
      <c r="H1131" s="2115"/>
      <c r="I1131" s="690">
        <f>(D1132-I1130)/I1130</f>
        <v>0</v>
      </c>
      <c r="J1131" s="620"/>
      <c r="K1131" s="2134" t="s">
        <v>285</v>
      </c>
      <c r="L1131" s="2135"/>
      <c r="M1131" s="688">
        <f>M1130/M1128</f>
        <v>1</v>
      </c>
      <c r="N1131" s="646"/>
      <c r="O1131" s="740"/>
    </row>
    <row r="1132" spans="1:15" ht="15.5" thickBot="1" x14ac:dyDescent="0.4">
      <c r="A1132" s="702"/>
      <c r="B1132" s="2158" t="s">
        <v>1082</v>
      </c>
      <c r="C1132" s="2159"/>
      <c r="D1132" s="686">
        <f>SUM(D1128:D1130)</f>
        <v>9263772.0000000354</v>
      </c>
      <c r="F1132" s="620"/>
      <c r="G1132" s="620"/>
      <c r="H1132" s="620"/>
      <c r="I1132" s="620"/>
      <c r="J1132" s="620"/>
      <c r="K1132" s="702"/>
      <c r="L1132" s="620"/>
      <c r="M1132" s="620"/>
      <c r="N1132" s="646"/>
      <c r="O1132" s="740"/>
    </row>
    <row r="1133" spans="1:15" ht="15" x14ac:dyDescent="0.35">
      <c r="A1133" s="702"/>
      <c r="B1133" s="736"/>
      <c r="C1133" s="92"/>
      <c r="D1133" s="92"/>
      <c r="E1133" s="1786"/>
      <c r="F1133" s="737"/>
      <c r="G1133" s="737"/>
      <c r="H1133" s="737"/>
      <c r="I1133" s="737"/>
      <c r="J1133" s="736"/>
      <c r="K1133" s="738"/>
      <c r="L1133" s="739"/>
      <c r="M1133" s="739"/>
      <c r="N1133" s="646"/>
      <c r="O1133" s="740"/>
    </row>
    <row r="1134" spans="1:15" x14ac:dyDescent="0.35">
      <c r="A1134" s="620"/>
      <c r="B1134" s="632"/>
      <c r="C1134" s="620"/>
      <c r="D1134" s="728"/>
      <c r="E1134" s="1820"/>
      <c r="F1134" s="620"/>
      <c r="G1134" s="620"/>
      <c r="H1134" s="620"/>
      <c r="I1134" s="620"/>
      <c r="J1134" s="620"/>
      <c r="K1134" s="702"/>
      <c r="L1134" s="620"/>
      <c r="M1134" s="620"/>
      <c r="N1134" s="702"/>
      <c r="O1134" s="620"/>
    </row>
    <row r="1135" spans="1:15" x14ac:dyDescent="0.35">
      <c r="A1135" s="620"/>
      <c r="B1135" s="632"/>
      <c r="C1135" s="620"/>
      <c r="D1135" s="728"/>
      <c r="E1135" s="1820"/>
      <c r="F1135" s="620"/>
      <c r="G1135" s="620"/>
      <c r="H1135" s="620"/>
      <c r="I1135" s="620"/>
      <c r="J1135" s="620"/>
      <c r="K1135" s="702"/>
      <c r="L1135" s="620"/>
      <c r="M1135" s="620"/>
      <c r="N1135" s="702"/>
      <c r="O1135" s="620"/>
    </row>
    <row r="1136" spans="1:15" ht="25" x14ac:dyDescent="0.35">
      <c r="A1136" s="2095" t="s">
        <v>1202</v>
      </c>
      <c r="B1136" s="2095"/>
      <c r="C1136" s="2095"/>
      <c r="D1136" s="2095"/>
      <c r="E1136" s="2095"/>
      <c r="F1136" s="2095"/>
      <c r="G1136" s="2095"/>
      <c r="H1136" s="2095"/>
      <c r="I1136" s="2095"/>
      <c r="J1136" s="2095"/>
      <c r="K1136" s="2095"/>
      <c r="L1136" s="2095"/>
      <c r="M1136" s="2095"/>
      <c r="N1136" s="2095"/>
      <c r="O1136" s="756" t="str">
        <f>$O$6</f>
        <v>Month December-2022</v>
      </c>
    </row>
    <row r="1137" spans="1:15" ht="15.5" x14ac:dyDescent="0.35">
      <c r="A1137" s="2096" t="s">
        <v>0</v>
      </c>
      <c r="B1137" s="2098" t="s">
        <v>1</v>
      </c>
      <c r="C1137" s="2100" t="s">
        <v>2</v>
      </c>
      <c r="D1137" s="2101"/>
      <c r="E1137" s="2102"/>
      <c r="F1137" s="2103" t="s">
        <v>3</v>
      </c>
      <c r="G1137" s="2100" t="s">
        <v>4</v>
      </c>
      <c r="H1137" s="2102"/>
      <c r="I1137" s="2085"/>
      <c r="J1137" s="2103" t="s">
        <v>5</v>
      </c>
      <c r="K1137" s="2100" t="s">
        <v>6</v>
      </c>
      <c r="L1137" s="2085"/>
      <c r="M1137" s="97" t="s">
        <v>32</v>
      </c>
      <c r="N1137" s="98"/>
      <c r="O1137" s="2084" t="s">
        <v>7</v>
      </c>
    </row>
    <row r="1138" spans="1:15" ht="15.5" x14ac:dyDescent="0.35">
      <c r="A1138" s="2097"/>
      <c r="B1138" s="2099"/>
      <c r="C1138" s="2086" t="s">
        <v>1108</v>
      </c>
      <c r="D1138" s="2087"/>
      <c r="E1138" s="1810" t="s">
        <v>9</v>
      </c>
      <c r="F1138" s="2097"/>
      <c r="G1138" s="2">
        <f>'NORTH-1'!$G$8</f>
        <v>44774</v>
      </c>
      <c r="H1138" s="2">
        <f>'NORTH-1'!$H$8</f>
        <v>44805</v>
      </c>
      <c r="I1138" s="1" t="s">
        <v>10</v>
      </c>
      <c r="J1138" s="2097"/>
      <c r="K1138" s="1" t="s">
        <v>11</v>
      </c>
      <c r="L1138" s="1" t="s">
        <v>12</v>
      </c>
      <c r="M1138" s="617" t="s">
        <v>33</v>
      </c>
      <c r="N1138" s="76" t="s">
        <v>47</v>
      </c>
      <c r="O1138" s="2085"/>
    </row>
    <row r="1139" spans="1:15" ht="15.5" x14ac:dyDescent="0.35">
      <c r="A1139" s="3">
        <v>1</v>
      </c>
      <c r="B1139" s="88">
        <v>2</v>
      </c>
      <c r="C1139" s="2088">
        <v>4</v>
      </c>
      <c r="D1139" s="2089"/>
      <c r="E1139" s="1811">
        <v>5</v>
      </c>
      <c r="F1139" s="3">
        <v>7</v>
      </c>
      <c r="G1139" s="3">
        <v>8</v>
      </c>
      <c r="H1139" s="3">
        <v>9</v>
      </c>
      <c r="I1139" s="3" t="s">
        <v>13</v>
      </c>
      <c r="J1139" s="3">
        <v>11</v>
      </c>
      <c r="K1139" s="3" t="s">
        <v>19</v>
      </c>
      <c r="L1139" s="3" t="s">
        <v>20</v>
      </c>
      <c r="M1139" s="3">
        <v>14</v>
      </c>
      <c r="N1139" s="77">
        <v>15</v>
      </c>
      <c r="O1139" s="3">
        <v>16</v>
      </c>
    </row>
    <row r="1140" spans="1:15" ht="15.5" x14ac:dyDescent="0.35">
      <c r="A1140" s="631"/>
      <c r="B1140" s="624" t="s">
        <v>1121</v>
      </c>
      <c r="C1140" s="625"/>
      <c r="D1140" s="625"/>
      <c r="E1140" s="1794"/>
      <c r="F1140" s="625"/>
      <c r="G1140" s="625"/>
      <c r="H1140" s="625"/>
      <c r="I1140" s="625"/>
      <c r="J1140" s="625"/>
      <c r="K1140" s="695"/>
      <c r="L1140" s="625"/>
      <c r="M1140" s="626"/>
      <c r="N1140" s="1972"/>
      <c r="O1140" s="616"/>
    </row>
    <row r="1141" spans="1:15" ht="15.5" x14ac:dyDescent="0.35">
      <c r="A1141" s="52">
        <v>15</v>
      </c>
      <c r="B1141" s="100" t="s">
        <v>1970</v>
      </c>
      <c r="C1141" s="52">
        <v>11</v>
      </c>
      <c r="D1141" s="2105"/>
      <c r="E1141" s="1801" t="s">
        <v>2265</v>
      </c>
      <c r="F1141" s="4">
        <v>1</v>
      </c>
      <c r="G1141" s="21">
        <v>251386720</v>
      </c>
      <c r="H1141" s="21">
        <v>255839120</v>
      </c>
      <c r="I1141" s="21">
        <f>H1141-G1141</f>
        <v>4452400</v>
      </c>
      <c r="J1141" s="616">
        <v>1</v>
      </c>
      <c r="K1141" s="696">
        <f>F1141*I1141*J1141</f>
        <v>4452400</v>
      </c>
      <c r="L1141" s="22"/>
      <c r="M1141" s="22"/>
      <c r="N1141" s="72"/>
      <c r="O1141" s="616"/>
    </row>
    <row r="1142" spans="1:15" ht="15.5" x14ac:dyDescent="0.35">
      <c r="A1142" s="52">
        <v>19</v>
      </c>
      <c r="B1142" s="100" t="s">
        <v>1969</v>
      </c>
      <c r="C1142" s="52">
        <v>11</v>
      </c>
      <c r="D1142" s="2151"/>
      <c r="E1142" s="1801" t="s">
        <v>2269</v>
      </c>
      <c r="F1142" s="4">
        <v>1</v>
      </c>
      <c r="G1142" s="21">
        <v>265005936</v>
      </c>
      <c r="H1142" s="21">
        <v>269737536</v>
      </c>
      <c r="I1142" s="21">
        <f>H1142-G1142</f>
        <v>4731600</v>
      </c>
      <c r="J1142" s="616">
        <v>1</v>
      </c>
      <c r="K1142" s="696">
        <f>F1142*I1142*J1142</f>
        <v>4731600</v>
      </c>
      <c r="L1142" s="22"/>
      <c r="M1142" s="22"/>
      <c r="N1142" s="72"/>
      <c r="O1142" s="616"/>
    </row>
    <row r="1143" spans="1:15" ht="15.5" x14ac:dyDescent="0.35">
      <c r="A1143" s="631"/>
      <c r="B1143" s="102"/>
      <c r="C1143" s="91"/>
      <c r="D1143" s="726"/>
      <c r="E1143" s="1814"/>
      <c r="F1143" s="47"/>
      <c r="G1143" s="48"/>
      <c r="H1143" s="48"/>
      <c r="I1143" s="48"/>
      <c r="J1143" s="39" t="s">
        <v>30</v>
      </c>
      <c r="K1143" s="708">
        <f>SUM(K1141:K1142)</f>
        <v>9184000</v>
      </c>
      <c r="L1143" s="49"/>
      <c r="M1143" s="43">
        <f>SUM(M1141:M1142)</f>
        <v>0</v>
      </c>
      <c r="N1143" s="1973"/>
      <c r="O1143" s="616"/>
    </row>
    <row r="1144" spans="1:15" ht="15.5" x14ac:dyDescent="0.35">
      <c r="A1144" s="631"/>
      <c r="B1144" s="647" t="s">
        <v>1121</v>
      </c>
      <c r="C1144" s="648"/>
      <c r="D1144" s="648"/>
      <c r="E1144" s="1800"/>
      <c r="F1144" s="648"/>
      <c r="G1144" s="648"/>
      <c r="H1144" s="648"/>
      <c r="I1144" s="648"/>
      <c r="J1144" s="50"/>
      <c r="K1144" s="710"/>
      <c r="L1144" s="51"/>
      <c r="M1144" s="51"/>
      <c r="N1144" s="1971"/>
      <c r="O1144" s="616"/>
    </row>
    <row r="1145" spans="1:15" ht="15.5" x14ac:dyDescent="0.35">
      <c r="A1145" s="631">
        <v>9</v>
      </c>
      <c r="B1145" s="100" t="s">
        <v>2255</v>
      </c>
      <c r="C1145" s="73">
        <v>11</v>
      </c>
      <c r="D1145" s="1781"/>
      <c r="E1145" s="1801" t="s">
        <v>2256</v>
      </c>
      <c r="F1145" s="32">
        <v>1</v>
      </c>
      <c r="G1145" s="6">
        <v>1319640</v>
      </c>
      <c r="H1145" s="6">
        <v>2419496</v>
      </c>
      <c r="I1145" s="20">
        <f>H1145-G1145</f>
        <v>1099856</v>
      </c>
      <c r="J1145" s="616">
        <v>1</v>
      </c>
      <c r="K1145" s="703"/>
      <c r="L1145" s="22">
        <f t="shared" ref="L1145:L1150" si="39">F1145*I1145*J1145</f>
        <v>1099856</v>
      </c>
      <c r="M1145" s="22"/>
      <c r="N1145" s="72" t="s">
        <v>4667</v>
      </c>
      <c r="O1145" s="15"/>
    </row>
    <row r="1146" spans="1:15" ht="15.5" x14ac:dyDescent="0.35">
      <c r="A1146" s="631">
        <v>10</v>
      </c>
      <c r="B1146" s="100" t="s">
        <v>4670</v>
      </c>
      <c r="C1146" s="73">
        <v>11</v>
      </c>
      <c r="D1146" s="1782"/>
      <c r="E1146" s="1801" t="s">
        <v>2257</v>
      </c>
      <c r="F1146" s="32">
        <v>1</v>
      </c>
      <c r="G1146" s="6">
        <v>18853394</v>
      </c>
      <c r="H1146" s="6">
        <v>19617152</v>
      </c>
      <c r="I1146" s="20">
        <f t="shared" ref="I1146:I1162" si="40">H1146-G1146</f>
        <v>763758</v>
      </c>
      <c r="J1146" s="616">
        <v>1</v>
      </c>
      <c r="K1146" s="703"/>
      <c r="L1146" s="22">
        <f t="shared" si="39"/>
        <v>763758</v>
      </c>
      <c r="M1146" s="22"/>
      <c r="N1146" s="72" t="s">
        <v>4667</v>
      </c>
      <c r="O1146" s="15"/>
    </row>
    <row r="1147" spans="1:15" ht="15.5" x14ac:dyDescent="0.35">
      <c r="A1147" s="631">
        <v>11</v>
      </c>
      <c r="B1147" s="100" t="s">
        <v>2258</v>
      </c>
      <c r="C1147" s="73">
        <v>11</v>
      </c>
      <c r="D1147" s="1782"/>
      <c r="E1147" s="1801" t="s">
        <v>2259</v>
      </c>
      <c r="F1147" s="32">
        <v>1</v>
      </c>
      <c r="G1147" s="6">
        <v>119947584</v>
      </c>
      <c r="H1147" s="6">
        <v>121821384</v>
      </c>
      <c r="I1147" s="20">
        <f t="shared" si="40"/>
        <v>1873800</v>
      </c>
      <c r="J1147" s="616">
        <v>1</v>
      </c>
      <c r="K1147" s="703"/>
      <c r="L1147" s="22">
        <f t="shared" si="39"/>
        <v>1873800</v>
      </c>
      <c r="M1147" s="22"/>
      <c r="N1147" s="72" t="s">
        <v>4668</v>
      </c>
      <c r="O1147" s="15"/>
    </row>
    <row r="1148" spans="1:15" ht="15.5" x14ac:dyDescent="0.35">
      <c r="A1148" s="631">
        <v>12</v>
      </c>
      <c r="B1148" s="100" t="s">
        <v>4666</v>
      </c>
      <c r="C1148" s="73">
        <v>11</v>
      </c>
      <c r="D1148" s="1782"/>
      <c r="E1148" s="1801" t="s">
        <v>2261</v>
      </c>
      <c r="F1148" s="32">
        <v>1</v>
      </c>
      <c r="G1148" s="6">
        <v>0</v>
      </c>
      <c r="H1148" s="6">
        <v>370719</v>
      </c>
      <c r="I1148" s="20">
        <f t="shared" si="40"/>
        <v>370719</v>
      </c>
      <c r="J1148" s="616">
        <v>1</v>
      </c>
      <c r="K1148" s="703"/>
      <c r="L1148" s="22">
        <f t="shared" si="39"/>
        <v>370719</v>
      </c>
      <c r="M1148" s="22"/>
      <c r="N1148" s="72" t="s">
        <v>4667</v>
      </c>
      <c r="O1148" s="15"/>
    </row>
    <row r="1149" spans="1:15" ht="15.5" x14ac:dyDescent="0.35">
      <c r="A1149" s="631">
        <v>13</v>
      </c>
      <c r="B1149" s="100" t="s">
        <v>2262</v>
      </c>
      <c r="C1149" s="73">
        <v>11</v>
      </c>
      <c r="D1149" s="1782"/>
      <c r="E1149" s="1801" t="s">
        <v>2263</v>
      </c>
      <c r="F1149" s="32">
        <v>1</v>
      </c>
      <c r="G1149" s="6">
        <v>79598768</v>
      </c>
      <c r="H1149" s="6">
        <v>81757040</v>
      </c>
      <c r="I1149" s="20">
        <f t="shared" si="40"/>
        <v>2158272</v>
      </c>
      <c r="J1149" s="616">
        <v>1</v>
      </c>
      <c r="K1149" s="703"/>
      <c r="L1149" s="22">
        <f t="shared" si="39"/>
        <v>2158272</v>
      </c>
      <c r="M1149" s="22"/>
      <c r="N1149" s="72" t="s">
        <v>4668</v>
      </c>
      <c r="O1149" s="15"/>
    </row>
    <row r="1150" spans="1:15" ht="15.5" x14ac:dyDescent="0.35">
      <c r="A1150" s="631">
        <v>14</v>
      </c>
      <c r="B1150" s="100" t="s">
        <v>2260</v>
      </c>
      <c r="C1150" s="73">
        <v>11</v>
      </c>
      <c r="D1150" s="1782"/>
      <c r="E1150" s="1801" t="s">
        <v>2264</v>
      </c>
      <c r="F1150" s="32">
        <v>1</v>
      </c>
      <c r="G1150" s="6">
        <v>0</v>
      </c>
      <c r="H1150" s="6">
        <v>0</v>
      </c>
      <c r="I1150" s="20">
        <f t="shared" si="40"/>
        <v>0</v>
      </c>
      <c r="J1150" s="616">
        <v>1</v>
      </c>
      <c r="K1150" s="703"/>
      <c r="L1150" s="22">
        <f t="shared" si="39"/>
        <v>0</v>
      </c>
      <c r="M1150" s="22"/>
      <c r="N1150" s="72"/>
      <c r="O1150" s="15"/>
    </row>
    <row r="1151" spans="1:15" ht="15.5" x14ac:dyDescent="0.35">
      <c r="A1151" s="631">
        <v>16</v>
      </c>
      <c r="B1151" s="100" t="s">
        <v>2260</v>
      </c>
      <c r="C1151" s="73">
        <v>11</v>
      </c>
      <c r="D1151" s="1782"/>
      <c r="E1151" s="1801" t="s">
        <v>2266</v>
      </c>
      <c r="F1151" s="32">
        <v>1</v>
      </c>
      <c r="G1151" s="6">
        <v>0</v>
      </c>
      <c r="H1151" s="6">
        <v>0</v>
      </c>
      <c r="I1151" s="20">
        <f t="shared" si="40"/>
        <v>0</v>
      </c>
      <c r="J1151" s="616">
        <v>1</v>
      </c>
      <c r="K1151" s="703"/>
      <c r="L1151" s="22">
        <f>F1151*I1151*J1151</f>
        <v>0</v>
      </c>
      <c r="M1151" s="22"/>
      <c r="N1151" s="72"/>
      <c r="O1151" s="15"/>
    </row>
    <row r="1152" spans="1:15" ht="15.5" x14ac:dyDescent="0.35">
      <c r="A1152" s="631">
        <v>17</v>
      </c>
      <c r="B1152" s="100" t="s">
        <v>2260</v>
      </c>
      <c r="C1152" s="73">
        <v>11</v>
      </c>
      <c r="D1152" s="1782"/>
      <c r="E1152" s="1801" t="s">
        <v>2267</v>
      </c>
      <c r="F1152" s="32">
        <v>1</v>
      </c>
      <c r="G1152" s="6">
        <v>0</v>
      </c>
      <c r="H1152" s="6">
        <v>0</v>
      </c>
      <c r="I1152" s="20">
        <f t="shared" si="40"/>
        <v>0</v>
      </c>
      <c r="J1152" s="616">
        <v>1</v>
      </c>
      <c r="K1152" s="703"/>
      <c r="L1152" s="22">
        <f>F1152*I1152*J1152</f>
        <v>0</v>
      </c>
      <c r="M1152" s="22"/>
      <c r="N1152" s="72"/>
      <c r="O1152" s="15"/>
    </row>
    <row r="1153" spans="1:15" ht="15.5" x14ac:dyDescent="0.35">
      <c r="A1153" s="631">
        <v>18</v>
      </c>
      <c r="B1153" s="100" t="s">
        <v>4671</v>
      </c>
      <c r="C1153" s="73">
        <v>11</v>
      </c>
      <c r="D1153" s="1782"/>
      <c r="E1153" s="1801" t="s">
        <v>2268</v>
      </c>
      <c r="F1153" s="32">
        <v>1</v>
      </c>
      <c r="G1153" s="6">
        <v>0</v>
      </c>
      <c r="H1153" s="6">
        <v>500558</v>
      </c>
      <c r="I1153" s="20">
        <f t="shared" si="40"/>
        <v>500558</v>
      </c>
      <c r="J1153" s="616">
        <v>1</v>
      </c>
      <c r="K1153" s="703"/>
      <c r="L1153" s="22">
        <f>F1153*I1153*J1153</f>
        <v>500558</v>
      </c>
      <c r="M1153" s="22"/>
      <c r="N1153" s="72" t="s">
        <v>4667</v>
      </c>
      <c r="O1153" s="15"/>
    </row>
    <row r="1154" spans="1:15" ht="15.5" x14ac:dyDescent="0.35">
      <c r="A1154" s="631">
        <v>20</v>
      </c>
      <c r="B1154" s="100" t="s">
        <v>2270</v>
      </c>
      <c r="C1154" s="73">
        <v>11</v>
      </c>
      <c r="D1154" s="1782"/>
      <c r="E1154" s="1801" t="s">
        <v>2271</v>
      </c>
      <c r="F1154" s="32">
        <v>1</v>
      </c>
      <c r="G1154" s="6">
        <v>53613148</v>
      </c>
      <c r="H1154" s="6">
        <v>54837108</v>
      </c>
      <c r="I1154" s="20">
        <f t="shared" si="40"/>
        <v>1223960</v>
      </c>
      <c r="J1154" s="616">
        <v>1</v>
      </c>
      <c r="K1154" s="703"/>
      <c r="L1154" s="22">
        <f t="shared" ref="L1154:L1162" si="41">F1154*I1154*J1154</f>
        <v>1223960</v>
      </c>
      <c r="M1154" s="22"/>
      <c r="N1154" s="72" t="s">
        <v>4667</v>
      </c>
      <c r="O1154" s="15"/>
    </row>
    <row r="1155" spans="1:15" ht="15.5" x14ac:dyDescent="0.35">
      <c r="A1155" s="631">
        <v>21</v>
      </c>
      <c r="B1155" s="100" t="s">
        <v>2272</v>
      </c>
      <c r="C1155" s="73">
        <v>11</v>
      </c>
      <c r="D1155" s="1782"/>
      <c r="E1155" s="1801" t="s">
        <v>2273</v>
      </c>
      <c r="F1155" s="32">
        <v>1</v>
      </c>
      <c r="G1155" s="6">
        <v>50010436</v>
      </c>
      <c r="H1155" s="6">
        <v>50846356</v>
      </c>
      <c r="I1155" s="20">
        <f t="shared" si="40"/>
        <v>835920</v>
      </c>
      <c r="J1155" s="616">
        <v>1</v>
      </c>
      <c r="K1155" s="703"/>
      <c r="L1155" s="22">
        <f t="shared" si="41"/>
        <v>835920</v>
      </c>
      <c r="M1155" s="22"/>
      <c r="N1155" s="72" t="s">
        <v>4669</v>
      </c>
      <c r="O1155" s="15"/>
    </row>
    <row r="1156" spans="1:15" ht="15.5" x14ac:dyDescent="0.35">
      <c r="A1156" s="631">
        <v>22</v>
      </c>
      <c r="B1156" s="100" t="s">
        <v>2274</v>
      </c>
      <c r="C1156" s="73">
        <v>11</v>
      </c>
      <c r="D1156" s="1782"/>
      <c r="E1156" s="1801" t="s">
        <v>2275</v>
      </c>
      <c r="F1156" s="32">
        <v>1</v>
      </c>
      <c r="G1156" s="6">
        <v>60430252</v>
      </c>
      <c r="H1156" s="6">
        <v>61453408</v>
      </c>
      <c r="I1156" s="20">
        <f t="shared" si="40"/>
        <v>1023156</v>
      </c>
      <c r="J1156" s="616">
        <v>1</v>
      </c>
      <c r="K1156" s="703"/>
      <c r="L1156" s="22">
        <f t="shared" si="41"/>
        <v>1023156</v>
      </c>
      <c r="M1156" s="22"/>
      <c r="N1156" s="72" t="s">
        <v>4668</v>
      </c>
      <c r="O1156" s="15"/>
    </row>
    <row r="1157" spans="1:15" ht="15.5" x14ac:dyDescent="0.35">
      <c r="A1157" s="631">
        <v>23</v>
      </c>
      <c r="B1157" s="100" t="s">
        <v>4672</v>
      </c>
      <c r="C1157" s="73">
        <v>11</v>
      </c>
      <c r="D1157" s="1782"/>
      <c r="E1157" s="1801" t="s">
        <v>2276</v>
      </c>
      <c r="F1157" s="32">
        <v>1</v>
      </c>
      <c r="G1157" s="6">
        <v>0</v>
      </c>
      <c r="H1157" s="6">
        <v>220959</v>
      </c>
      <c r="I1157" s="20">
        <f t="shared" si="40"/>
        <v>220959</v>
      </c>
      <c r="J1157" s="616">
        <v>1</v>
      </c>
      <c r="K1157" s="703"/>
      <c r="L1157" s="22">
        <f t="shared" si="41"/>
        <v>220959</v>
      </c>
      <c r="M1157" s="22"/>
      <c r="N1157" s="72" t="s">
        <v>4667</v>
      </c>
      <c r="O1157" s="15"/>
    </row>
    <row r="1158" spans="1:15" ht="15.5" x14ac:dyDescent="0.35">
      <c r="A1158" s="631">
        <v>24</v>
      </c>
      <c r="B1158" s="100" t="s">
        <v>2277</v>
      </c>
      <c r="C1158" s="73">
        <v>11</v>
      </c>
      <c r="D1158" s="1782"/>
      <c r="E1158" s="1801" t="s">
        <v>4673</v>
      </c>
      <c r="F1158" s="32">
        <v>1</v>
      </c>
      <c r="G1158" s="6">
        <v>43175496</v>
      </c>
      <c r="H1158" s="6">
        <v>44019652</v>
      </c>
      <c r="I1158" s="20">
        <f t="shared" si="40"/>
        <v>844156</v>
      </c>
      <c r="J1158" s="616">
        <v>1</v>
      </c>
      <c r="K1158" s="703"/>
      <c r="L1158" s="22">
        <f t="shared" si="41"/>
        <v>844156</v>
      </c>
      <c r="M1158" s="22"/>
      <c r="N1158" s="72" t="s">
        <v>4667</v>
      </c>
      <c r="O1158" s="15"/>
    </row>
    <row r="1159" spans="1:15" ht="15.5" x14ac:dyDescent="0.35">
      <c r="A1159" s="631">
        <v>25</v>
      </c>
      <c r="B1159" s="100" t="s">
        <v>2278</v>
      </c>
      <c r="C1159" s="73">
        <v>11</v>
      </c>
      <c r="D1159" s="1782"/>
      <c r="E1159" s="1801" t="s">
        <v>2279</v>
      </c>
      <c r="F1159" s="32">
        <v>1</v>
      </c>
      <c r="G1159" s="6">
        <v>57979700</v>
      </c>
      <c r="H1159" s="6">
        <v>58870056</v>
      </c>
      <c r="I1159" s="20">
        <f t="shared" si="40"/>
        <v>890356</v>
      </c>
      <c r="J1159" s="616">
        <v>1</v>
      </c>
      <c r="K1159" s="703"/>
      <c r="L1159" s="22">
        <f t="shared" si="41"/>
        <v>890356</v>
      </c>
      <c r="M1159" s="22"/>
      <c r="N1159" s="72" t="s">
        <v>4668</v>
      </c>
      <c r="O1159" s="15"/>
    </row>
    <row r="1160" spans="1:15" ht="15.5" x14ac:dyDescent="0.35">
      <c r="A1160" s="631">
        <v>26</v>
      </c>
      <c r="B1160" s="100" t="s">
        <v>2260</v>
      </c>
      <c r="C1160" s="73">
        <v>11</v>
      </c>
      <c r="D1160" s="1782"/>
      <c r="E1160" s="1801" t="s">
        <v>2280</v>
      </c>
      <c r="F1160" s="32">
        <v>1</v>
      </c>
      <c r="G1160" s="6">
        <v>0</v>
      </c>
      <c r="H1160" s="6">
        <v>0</v>
      </c>
      <c r="I1160" s="20">
        <f t="shared" si="40"/>
        <v>0</v>
      </c>
      <c r="J1160" s="616">
        <v>1</v>
      </c>
      <c r="K1160" s="703"/>
      <c r="L1160" s="22">
        <f t="shared" si="41"/>
        <v>0</v>
      </c>
      <c r="M1160" s="22"/>
      <c r="N1160" s="72"/>
      <c r="O1160" s="15"/>
    </row>
    <row r="1161" spans="1:15" ht="15.5" x14ac:dyDescent="0.35">
      <c r="A1161" s="631">
        <v>27</v>
      </c>
      <c r="B1161" s="100" t="s">
        <v>2281</v>
      </c>
      <c r="C1161" s="73">
        <v>0.4</v>
      </c>
      <c r="D1161" s="1782"/>
      <c r="E1161" s="1801"/>
      <c r="F1161" s="32">
        <v>1</v>
      </c>
      <c r="G1161" s="6">
        <v>2075.67</v>
      </c>
      <c r="H1161" s="6">
        <v>2110.84</v>
      </c>
      <c r="I1161" s="20">
        <f t="shared" si="40"/>
        <v>35.170000000000073</v>
      </c>
      <c r="J1161" s="616">
        <v>100</v>
      </c>
      <c r="K1161" s="703"/>
      <c r="L1161" s="22">
        <f t="shared" si="41"/>
        <v>3517.0000000000073</v>
      </c>
      <c r="M1161" s="22"/>
      <c r="N1161" s="72" t="s">
        <v>4668</v>
      </c>
      <c r="O1161" s="15"/>
    </row>
    <row r="1162" spans="1:15" ht="15.5" x14ac:dyDescent="0.35">
      <c r="A1162" s="631">
        <v>28</v>
      </c>
      <c r="B1162" s="100" t="s">
        <v>2282</v>
      </c>
      <c r="C1162" s="73">
        <v>0.41499999999999998</v>
      </c>
      <c r="D1162" s="1783"/>
      <c r="E1162" s="1801"/>
      <c r="F1162" s="32">
        <v>1</v>
      </c>
      <c r="G1162" s="6">
        <v>3.43</v>
      </c>
      <c r="H1162" s="6">
        <v>3.98</v>
      </c>
      <c r="I1162" s="20">
        <f t="shared" si="40"/>
        <v>0.54999999999999982</v>
      </c>
      <c r="J1162" s="616">
        <v>100</v>
      </c>
      <c r="K1162" s="703"/>
      <c r="L1162" s="22">
        <f t="shared" si="41"/>
        <v>54.999999999999986</v>
      </c>
      <c r="M1162" s="22"/>
      <c r="N1162" s="72" t="s">
        <v>4668</v>
      </c>
      <c r="O1162" s="15"/>
    </row>
    <row r="1163" spans="1:15" ht="28" x14ac:dyDescent="0.35">
      <c r="A1163" s="636"/>
      <c r="B1163" s="96"/>
      <c r="C1163" s="90"/>
      <c r="D1163" s="90"/>
      <c r="E1163" s="1785"/>
      <c r="F1163" s="38"/>
      <c r="G1163" s="38"/>
      <c r="H1163" s="38"/>
      <c r="I1163" s="38"/>
      <c r="J1163" s="53" t="s">
        <v>44</v>
      </c>
      <c r="K1163" s="43">
        <f>K1143</f>
        <v>9184000</v>
      </c>
      <c r="L1163" s="43">
        <f>SUM(L1145:L1162)</f>
        <v>11809042</v>
      </c>
      <c r="M1163" s="43">
        <f>SUM(M1145:M1162)</f>
        <v>0</v>
      </c>
      <c r="N1163" s="84">
        <f>(M1163-L1163)/L1163*100</f>
        <v>-100</v>
      </c>
      <c r="O1163" s="29"/>
    </row>
    <row r="1165" spans="1:15" ht="15" x14ac:dyDescent="0.35">
      <c r="A1165" s="620"/>
      <c r="B1165" s="635"/>
      <c r="C1165" s="632"/>
      <c r="D1165" s="720"/>
      <c r="F1165" s="2092" t="s">
        <v>1099</v>
      </c>
      <c r="G1165" s="2092"/>
      <c r="H1165" s="2092"/>
      <c r="I1165" s="677" t="s">
        <v>14</v>
      </c>
      <c r="J1165" s="620"/>
      <c r="K1165" s="702"/>
      <c r="L1165" s="620"/>
      <c r="M1165" s="620"/>
      <c r="N1165" s="635"/>
      <c r="O1165" s="620"/>
    </row>
    <row r="1166" spans="1:15" ht="15.5" x14ac:dyDescent="0.35">
      <c r="A1166" s="620"/>
      <c r="B1166" s="635"/>
      <c r="C1166" s="632"/>
      <c r="D1166" s="720"/>
      <c r="F1166" s="2153" t="s">
        <v>232</v>
      </c>
      <c r="G1166" s="2154"/>
      <c r="H1166" s="2155"/>
      <c r="I1166" s="643">
        <f>SUM(M1145:M1146,M1156)</f>
        <v>0</v>
      </c>
      <c r="J1166" s="620"/>
      <c r="K1166" s="702"/>
      <c r="L1166" s="620"/>
      <c r="M1166" s="620"/>
      <c r="N1166" s="635"/>
      <c r="O1166" s="620" t="s">
        <v>237</v>
      </c>
    </row>
    <row r="1167" spans="1:15" ht="15.5" x14ac:dyDescent="0.35">
      <c r="A1167" s="620"/>
      <c r="B1167" s="635"/>
      <c r="C1167" s="632"/>
      <c r="D1167" s="720"/>
      <c r="F1167" s="2153" t="s">
        <v>268</v>
      </c>
      <c r="G1167" s="2154"/>
      <c r="H1167" s="2155"/>
      <c r="I1167" s="643">
        <f>SUM(M1147:M1155,M1157,M1159,M1160,M1162)</f>
        <v>0</v>
      </c>
      <c r="J1167" s="620"/>
      <c r="K1167" s="702"/>
      <c r="L1167" s="620"/>
      <c r="M1167" s="620"/>
      <c r="N1167" s="635"/>
      <c r="O1167" s="620"/>
    </row>
    <row r="1168" spans="1:15" ht="16" thickBot="1" x14ac:dyDescent="0.4">
      <c r="A1168" s="620"/>
      <c r="B1168" s="635"/>
      <c r="C1168" s="632"/>
      <c r="D1168" s="720"/>
      <c r="F1168" s="2153" t="s">
        <v>269</v>
      </c>
      <c r="G1168" s="2154"/>
      <c r="H1168" s="2155"/>
      <c r="I1168" s="643">
        <f>SUM(M1158,M1161)</f>
        <v>0</v>
      </c>
      <c r="J1168" s="620"/>
      <c r="K1168" s="702"/>
      <c r="L1168" s="620"/>
      <c r="M1168" s="620"/>
      <c r="N1168" s="635"/>
      <c r="O1168" s="620"/>
    </row>
    <row r="1169" spans="1:15" ht="20.5" thickBot="1" x14ac:dyDescent="0.4">
      <c r="A1169" s="620"/>
      <c r="B1169" s="635"/>
      <c r="C1169" s="632"/>
      <c r="D1169" s="720"/>
      <c r="E1169" s="1788"/>
      <c r="F1169" s="2156" t="s">
        <v>210</v>
      </c>
      <c r="G1169" s="2156"/>
      <c r="H1169" s="2156"/>
      <c r="I1169" s="656">
        <f>SUM(I1166:I1168)</f>
        <v>0</v>
      </c>
      <c r="J1169" s="682">
        <f>I1169-M1163</f>
        <v>0</v>
      </c>
      <c r="K1169" s="702"/>
      <c r="L1169" s="620"/>
      <c r="M1169" s="620"/>
      <c r="N1169" s="635"/>
      <c r="O1169" s="620"/>
    </row>
    <row r="1172" spans="1:15" x14ac:dyDescent="0.35">
      <c r="A1172" s="620"/>
      <c r="B1172" s="635"/>
      <c r="C1172" s="632"/>
      <c r="D1172" s="720"/>
      <c r="E1172" s="1788"/>
      <c r="F1172" s="620"/>
      <c r="G1172" s="620"/>
      <c r="H1172" s="620"/>
      <c r="I1172" s="620"/>
      <c r="J1172" s="620"/>
      <c r="K1172" s="702"/>
      <c r="L1172" s="620"/>
      <c r="M1172" s="620"/>
      <c r="N1172" s="635"/>
      <c r="O1172" s="620"/>
    </row>
    <row r="1173" spans="1:15" x14ac:dyDescent="0.35">
      <c r="A1173" s="620"/>
      <c r="B1173" s="635"/>
      <c r="C1173" s="632"/>
      <c r="D1173" s="720"/>
      <c r="E1173" s="1788"/>
      <c r="F1173" s="620"/>
      <c r="G1173" s="620"/>
      <c r="H1173" s="620"/>
      <c r="I1173" s="620"/>
      <c r="J1173" s="620"/>
      <c r="K1173" s="702"/>
      <c r="L1173" s="620"/>
      <c r="M1173" s="620"/>
      <c r="N1173" s="635"/>
      <c r="O1173" s="620"/>
    </row>
    <row r="1174" spans="1:15" x14ac:dyDescent="0.35">
      <c r="A1174" s="620"/>
      <c r="B1174" s="635"/>
      <c r="C1174" s="632"/>
      <c r="D1174" s="720"/>
      <c r="E1174" s="1788"/>
      <c r="F1174" s="620"/>
      <c r="G1174" s="620"/>
      <c r="H1174" s="620"/>
      <c r="I1174" s="620"/>
      <c r="J1174" s="620"/>
      <c r="K1174" s="702"/>
      <c r="L1174" s="620"/>
      <c r="M1174" s="620"/>
      <c r="N1174" s="635"/>
      <c r="O1174" s="620"/>
    </row>
    <row r="1175" spans="1:15" x14ac:dyDescent="0.35">
      <c r="A1175" s="620"/>
      <c r="B1175" s="635"/>
      <c r="C1175" s="632"/>
      <c r="D1175" s="720"/>
      <c r="E1175" s="1788"/>
      <c r="F1175" s="620"/>
      <c r="G1175" s="620"/>
      <c r="H1175" s="620"/>
      <c r="I1175" s="620"/>
      <c r="J1175" s="620"/>
      <c r="K1175" s="702"/>
      <c r="L1175" s="620"/>
      <c r="M1175" s="620"/>
      <c r="N1175" s="635"/>
      <c r="O1175" s="620"/>
    </row>
    <row r="1176" spans="1:15" x14ac:dyDescent="0.35">
      <c r="A1176" s="620"/>
      <c r="B1176" s="635"/>
      <c r="C1176" s="632"/>
      <c r="D1176" s="720"/>
      <c r="E1176" s="1788"/>
      <c r="F1176" s="620"/>
      <c r="G1176" s="620"/>
      <c r="H1176" s="620"/>
      <c r="I1176" s="620"/>
      <c r="J1176" s="620"/>
      <c r="K1176" s="702"/>
      <c r="L1176" s="620"/>
      <c r="M1176" s="620"/>
      <c r="N1176" s="635"/>
      <c r="O1176" s="620"/>
    </row>
    <row r="1177" spans="1:15" x14ac:dyDescent="0.35">
      <c r="A1177" s="620"/>
      <c r="B1177" s="632"/>
      <c r="C1177" s="632"/>
      <c r="D1177" s="720"/>
      <c r="E1177" s="1788"/>
      <c r="F1177" s="620"/>
      <c r="G1177" s="620"/>
      <c r="H1177" s="620"/>
      <c r="I1177" s="620"/>
      <c r="J1177" s="620"/>
      <c r="K1177" s="702"/>
      <c r="L1177" s="620"/>
      <c r="M1177" s="620"/>
      <c r="N1177" s="635"/>
      <c r="O1177" s="620"/>
    </row>
    <row r="1178" spans="1:15" x14ac:dyDescent="0.35">
      <c r="A1178" s="620"/>
      <c r="B1178" s="632"/>
      <c r="C1178" s="632"/>
      <c r="D1178" s="720"/>
      <c r="E1178" s="1788"/>
      <c r="F1178" s="620"/>
      <c r="G1178" s="620"/>
      <c r="H1178" s="620"/>
      <c r="I1178" s="620"/>
      <c r="J1178" s="620"/>
      <c r="K1178" s="702"/>
      <c r="L1178" s="620"/>
      <c r="M1178" s="620"/>
      <c r="N1178" s="635"/>
      <c r="O1178" s="620"/>
    </row>
    <row r="1179" spans="1:15" x14ac:dyDescent="0.35">
      <c r="A1179" s="620"/>
      <c r="B1179" s="635"/>
      <c r="C1179" s="632"/>
      <c r="D1179" s="720"/>
      <c r="E1179" s="1788"/>
      <c r="F1179" s="620"/>
      <c r="G1179" s="620"/>
      <c r="H1179" s="620"/>
      <c r="I1179" s="620"/>
      <c r="J1179" s="620"/>
      <c r="K1179" s="702"/>
      <c r="L1179" s="620"/>
      <c r="M1179" s="620"/>
      <c r="N1179" s="635"/>
      <c r="O1179" s="620"/>
    </row>
    <row r="1180" spans="1:15" x14ac:dyDescent="0.35">
      <c r="A1180" s="620"/>
      <c r="B1180" s="635"/>
      <c r="C1180" s="632"/>
      <c r="D1180" s="720"/>
      <c r="E1180" s="1788"/>
      <c r="F1180" s="620"/>
      <c r="G1180" s="620"/>
      <c r="H1180" s="620"/>
      <c r="I1180" s="620"/>
      <c r="J1180" s="620"/>
      <c r="K1180" s="702"/>
      <c r="L1180" s="620"/>
      <c r="M1180" s="620"/>
      <c r="N1180" s="635"/>
      <c r="O1180" s="620"/>
    </row>
    <row r="1181" spans="1:15" x14ac:dyDescent="0.35">
      <c r="A1181" s="620"/>
      <c r="B1181" s="635"/>
      <c r="C1181" s="632"/>
      <c r="D1181" s="720"/>
      <c r="E1181" s="1788"/>
      <c r="F1181" s="620"/>
      <c r="G1181" s="620"/>
      <c r="H1181" s="620"/>
      <c r="I1181" s="620"/>
      <c r="J1181" s="620"/>
      <c r="K1181" s="702"/>
      <c r="L1181" s="620"/>
      <c r="M1181" s="620"/>
      <c r="N1181" s="635"/>
      <c r="O1181" s="620"/>
    </row>
    <row r="1182" spans="1:15" ht="25" x14ac:dyDescent="0.35">
      <c r="A1182" s="28"/>
      <c r="B1182" s="2152"/>
      <c r="C1182" s="2152"/>
      <c r="D1182" s="2152"/>
      <c r="E1182" s="2152"/>
      <c r="F1182" s="2152"/>
      <c r="G1182" s="2152"/>
      <c r="H1182" s="2152"/>
      <c r="I1182" s="2152"/>
      <c r="J1182" s="2152"/>
      <c r="K1182" s="2152"/>
      <c r="L1182" s="2152"/>
      <c r="M1182" s="2152"/>
      <c r="N1182" s="635"/>
      <c r="O1182" s="620"/>
    </row>
    <row r="1183" spans="1:15" x14ac:dyDescent="0.35">
      <c r="A1183" s="620"/>
      <c r="B1183" s="635"/>
      <c r="C1183" s="632"/>
      <c r="D1183" s="720"/>
      <c r="E1183" s="1788"/>
      <c r="F1183" s="620"/>
      <c r="G1183" s="620"/>
      <c r="H1183" s="620"/>
      <c r="I1183" s="620"/>
      <c r="J1183" s="620"/>
      <c r="K1183" s="702"/>
      <c r="L1183" s="620"/>
      <c r="M1183" s="620"/>
      <c r="N1183" s="635"/>
      <c r="O1183" s="620"/>
    </row>
    <row r="1184" spans="1:15" x14ac:dyDescent="0.35">
      <c r="A1184" s="620"/>
      <c r="B1184" s="635"/>
      <c r="C1184" s="632"/>
      <c r="D1184" s="720"/>
      <c r="E1184" s="1788"/>
      <c r="F1184" s="620"/>
      <c r="G1184" s="620"/>
      <c r="H1184" s="620"/>
      <c r="I1184" s="620"/>
      <c r="J1184" s="620"/>
      <c r="K1184" s="702"/>
      <c r="L1184" s="620"/>
      <c r="M1184" s="620"/>
      <c r="N1184" s="635"/>
      <c r="O1184" s="620"/>
    </row>
    <row r="1185" spans="1:15" ht="25" x14ac:dyDescent="0.35">
      <c r="A1185" s="2095" t="s">
        <v>1203</v>
      </c>
      <c r="B1185" s="2095"/>
      <c r="C1185" s="2095"/>
      <c r="D1185" s="2095"/>
      <c r="E1185" s="2095"/>
      <c r="F1185" s="2095"/>
      <c r="G1185" s="2095"/>
      <c r="H1185" s="2095"/>
      <c r="I1185" s="2095"/>
      <c r="J1185" s="2095"/>
      <c r="K1185" s="2095"/>
      <c r="L1185" s="2095"/>
      <c r="M1185" s="2095"/>
      <c r="N1185" s="2095"/>
      <c r="O1185" s="756" t="str">
        <f>$O$6</f>
        <v>Month December-2022</v>
      </c>
    </row>
    <row r="1186" spans="1:15" ht="15.5" x14ac:dyDescent="0.35">
      <c r="A1186" s="2096" t="s">
        <v>0</v>
      </c>
      <c r="B1186" s="2098" t="s">
        <v>1</v>
      </c>
      <c r="C1186" s="2100" t="s">
        <v>2</v>
      </c>
      <c r="D1186" s="2101"/>
      <c r="E1186" s="2102"/>
      <c r="F1186" s="2103" t="s">
        <v>3</v>
      </c>
      <c r="G1186" s="2100" t="s">
        <v>4</v>
      </c>
      <c r="H1186" s="2102"/>
      <c r="I1186" s="2085"/>
      <c r="J1186" s="2103" t="s">
        <v>5</v>
      </c>
      <c r="K1186" s="2100" t="s">
        <v>6</v>
      </c>
      <c r="L1186" s="2085"/>
      <c r="M1186" s="97" t="s">
        <v>32</v>
      </c>
      <c r="N1186" s="98"/>
      <c r="O1186" s="2084" t="s">
        <v>7</v>
      </c>
    </row>
    <row r="1187" spans="1:15" ht="15.5" x14ac:dyDescent="0.35">
      <c r="A1187" s="2097"/>
      <c r="B1187" s="2099"/>
      <c r="C1187" s="2086" t="s">
        <v>1108</v>
      </c>
      <c r="D1187" s="2087"/>
      <c r="E1187" s="1810" t="s">
        <v>9</v>
      </c>
      <c r="F1187" s="2097"/>
      <c r="G1187" s="2">
        <f>'NORTH-1'!$G$8</f>
        <v>44774</v>
      </c>
      <c r="H1187" s="2">
        <f>'NORTH-1'!$H$8</f>
        <v>44805</v>
      </c>
      <c r="I1187" s="1" t="s">
        <v>10</v>
      </c>
      <c r="J1187" s="2097"/>
      <c r="K1187" s="1" t="s">
        <v>11</v>
      </c>
      <c r="L1187" s="1" t="s">
        <v>12</v>
      </c>
      <c r="M1187" s="617" t="s">
        <v>33</v>
      </c>
      <c r="N1187" s="76" t="s">
        <v>47</v>
      </c>
      <c r="O1187" s="2085"/>
    </row>
    <row r="1188" spans="1:15" ht="15.5" x14ac:dyDescent="0.35">
      <c r="A1188" s="3">
        <v>1</v>
      </c>
      <c r="B1188" s="88">
        <v>2</v>
      </c>
      <c r="C1188" s="2088">
        <v>4</v>
      </c>
      <c r="D1188" s="2089"/>
      <c r="E1188" s="1811">
        <v>5</v>
      </c>
      <c r="F1188" s="3">
        <v>7</v>
      </c>
      <c r="G1188" s="3">
        <v>8</v>
      </c>
      <c r="H1188" s="3">
        <v>9</v>
      </c>
      <c r="I1188" s="3" t="s">
        <v>13</v>
      </c>
      <c r="J1188" s="3">
        <v>11</v>
      </c>
      <c r="K1188" s="3" t="s">
        <v>19</v>
      </c>
      <c r="L1188" s="3" t="s">
        <v>20</v>
      </c>
      <c r="M1188" s="3">
        <v>14</v>
      </c>
      <c r="N1188" s="77">
        <v>15</v>
      </c>
      <c r="O1188" s="3">
        <v>16</v>
      </c>
    </row>
    <row r="1189" spans="1:15" ht="15.5" x14ac:dyDescent="0.35">
      <c r="A1189" s="631"/>
      <c r="B1189" s="624" t="s">
        <v>1100</v>
      </c>
      <c r="C1189" s="625"/>
      <c r="D1189" s="625"/>
      <c r="E1189" s="1794"/>
      <c r="F1189" s="625"/>
      <c r="G1189" s="625"/>
      <c r="H1189" s="625"/>
      <c r="I1189" s="625"/>
      <c r="J1189" s="625"/>
      <c r="K1189" s="695"/>
      <c r="L1189" s="625"/>
      <c r="M1189" s="626"/>
      <c r="N1189" s="1972"/>
      <c r="O1189" s="616"/>
    </row>
    <row r="1190" spans="1:15" ht="15.5" x14ac:dyDescent="0.35">
      <c r="A1190" s="11">
        <v>1</v>
      </c>
      <c r="B1190" s="100" t="s">
        <v>2283</v>
      </c>
      <c r="C1190" s="52">
        <v>33</v>
      </c>
      <c r="D1190" s="735" t="s">
        <v>527</v>
      </c>
      <c r="E1190" s="1801" t="s">
        <v>2284</v>
      </c>
      <c r="F1190" s="4">
        <v>1</v>
      </c>
      <c r="G1190" s="21">
        <v>42319.116000000002</v>
      </c>
      <c r="H1190" s="21">
        <v>51019.374000000003</v>
      </c>
      <c r="I1190" s="21">
        <f>SUM(H1190-G1190)</f>
        <v>8700.2580000000016</v>
      </c>
      <c r="J1190" s="616">
        <v>1000</v>
      </c>
      <c r="K1190" s="696">
        <f>F1190*I1190*J1190</f>
        <v>8700258.0000000019</v>
      </c>
      <c r="L1190" s="22"/>
      <c r="M1190" s="22"/>
      <c r="N1190" s="72"/>
      <c r="O1190" s="9"/>
    </row>
    <row r="1191" spans="1:15" ht="15.5" x14ac:dyDescent="0.35">
      <c r="A1191" s="11"/>
      <c r="B1191" s="100"/>
      <c r="C1191" s="52">
        <v>33</v>
      </c>
      <c r="D1191" s="735" t="s">
        <v>1652</v>
      </c>
      <c r="E1191" s="1801" t="s">
        <v>2197</v>
      </c>
      <c r="F1191" s="4">
        <v>1</v>
      </c>
      <c r="G1191" s="21">
        <v>9304.518</v>
      </c>
      <c r="H1191" s="21">
        <v>9352.8410000000003</v>
      </c>
      <c r="I1191" s="21">
        <f>SUM(H1191-G1191)</f>
        <v>48.32300000000032</v>
      </c>
      <c r="J1191" s="616">
        <v>180000</v>
      </c>
      <c r="K1191" s="696">
        <f>F1191*I1191*J1191</f>
        <v>8698140.0000000577</v>
      </c>
      <c r="L1191" s="22"/>
      <c r="M1191" s="22"/>
      <c r="N1191" s="72"/>
      <c r="O1191" s="9"/>
    </row>
    <row r="1192" spans="1:15" ht="15.5" x14ac:dyDescent="0.35">
      <c r="A1192" s="11">
        <v>2</v>
      </c>
      <c r="B1192" s="100" t="s">
        <v>2285</v>
      </c>
      <c r="C1192" s="52">
        <v>33</v>
      </c>
      <c r="D1192" s="735" t="s">
        <v>527</v>
      </c>
      <c r="E1192" s="1801" t="s">
        <v>2286</v>
      </c>
      <c r="F1192" s="4">
        <v>1</v>
      </c>
      <c r="G1192" s="21">
        <v>28377.61</v>
      </c>
      <c r="H1192" s="21">
        <v>32467.83</v>
      </c>
      <c r="I1192" s="21">
        <f>H1192-G1192</f>
        <v>4090.2200000000012</v>
      </c>
      <c r="J1192" s="616">
        <v>1000</v>
      </c>
      <c r="K1192" s="696">
        <f>F1192*I1192*J1192</f>
        <v>4090220.0000000009</v>
      </c>
      <c r="L1192" s="22"/>
      <c r="M1192" s="22"/>
      <c r="N1192" s="72"/>
      <c r="O1192" s="9"/>
    </row>
    <row r="1193" spans="1:15" ht="15.5" x14ac:dyDescent="0.35">
      <c r="A1193" s="631"/>
      <c r="B1193" s="100"/>
      <c r="C1193" s="52">
        <v>33</v>
      </c>
      <c r="D1193" s="735" t="s">
        <v>1652</v>
      </c>
      <c r="E1193" s="1801" t="s">
        <v>1904</v>
      </c>
      <c r="F1193" s="4">
        <v>1.5</v>
      </c>
      <c r="G1193" s="21">
        <v>1212.885</v>
      </c>
      <c r="H1193" s="21">
        <v>1228.0650000000001</v>
      </c>
      <c r="I1193" s="21">
        <f>H1193-G1193</f>
        <v>15.180000000000064</v>
      </c>
      <c r="J1193" s="616">
        <v>180000</v>
      </c>
      <c r="K1193" s="696">
        <f>F1193*I1193*J1193</f>
        <v>4098600.0000000172</v>
      </c>
      <c r="L1193" s="22"/>
      <c r="M1193" s="22"/>
      <c r="N1193" s="72"/>
      <c r="O1193" s="616"/>
    </row>
    <row r="1194" spans="1:15" ht="15.5" x14ac:dyDescent="0.35">
      <c r="A1194" s="631"/>
      <c r="B1194" s="102"/>
      <c r="C1194" s="91"/>
      <c r="D1194" s="726"/>
      <c r="E1194" s="1814"/>
      <c r="F1194" s="47"/>
      <c r="G1194" s="48"/>
      <c r="H1194" s="48"/>
      <c r="I1194" s="48"/>
      <c r="J1194" s="96" t="s">
        <v>30</v>
      </c>
      <c r="K1194" s="43">
        <f>K1192+K1191</f>
        <v>12788360.00000006</v>
      </c>
      <c r="L1194" s="43">
        <f>SUM(L1190:L1193)</f>
        <v>0</v>
      </c>
      <c r="M1194" s="43">
        <f>SUM(M1190:M1193)</f>
        <v>0</v>
      </c>
      <c r="N1194" s="646"/>
      <c r="O1194" s="616"/>
    </row>
    <row r="1195" spans="1:15" ht="15.5" x14ac:dyDescent="0.35">
      <c r="A1195" s="616"/>
      <c r="B1195" s="624" t="s">
        <v>1113</v>
      </c>
      <c r="C1195" s="625"/>
      <c r="D1195" s="625"/>
      <c r="E1195" s="1794"/>
      <c r="F1195" s="625"/>
      <c r="G1195" s="625"/>
      <c r="H1195" s="625"/>
      <c r="I1195" s="625"/>
      <c r="J1195" s="732"/>
      <c r="K1195" s="733"/>
      <c r="L1195" s="734"/>
      <c r="M1195" s="734"/>
      <c r="N1195" s="1972"/>
      <c r="O1195" s="12"/>
    </row>
    <row r="1196" spans="1:15" ht="15.5" x14ac:dyDescent="0.35">
      <c r="A1196" s="616">
        <v>3</v>
      </c>
      <c r="B1196" s="100" t="s">
        <v>2287</v>
      </c>
      <c r="C1196" s="52">
        <v>33</v>
      </c>
      <c r="D1196" s="1770" t="s">
        <v>324</v>
      </c>
      <c r="E1196" s="1801" t="s">
        <v>2288</v>
      </c>
      <c r="F1196" s="4">
        <v>1</v>
      </c>
      <c r="G1196" s="21">
        <v>73715.577059999996</v>
      </c>
      <c r="H1196" s="21">
        <v>74699.0723</v>
      </c>
      <c r="I1196" s="20">
        <f>H1196-G1196</f>
        <v>983.49524000000383</v>
      </c>
      <c r="J1196" s="616">
        <v>4000</v>
      </c>
      <c r="K1196" s="696">
        <f>F1196*I1196*J1196</f>
        <v>3933980.9600000153</v>
      </c>
      <c r="L1196" s="22"/>
      <c r="M1196" s="22"/>
      <c r="N1196" s="72"/>
      <c r="O1196" s="12"/>
    </row>
    <row r="1197" spans="1:15" ht="15.5" x14ac:dyDescent="0.35">
      <c r="A1197" s="616">
        <v>6</v>
      </c>
      <c r="B1197" s="100" t="s">
        <v>2292</v>
      </c>
      <c r="C1197" s="52">
        <v>33</v>
      </c>
      <c r="D1197" s="1771" t="s">
        <v>2041</v>
      </c>
      <c r="E1197" s="1801" t="s">
        <v>1982</v>
      </c>
      <c r="F1197" s="4">
        <v>1.5</v>
      </c>
      <c r="G1197" s="21">
        <v>75523.827000000005</v>
      </c>
      <c r="H1197" s="21">
        <v>81272.737999999998</v>
      </c>
      <c r="I1197" s="20">
        <f>H1197-G1197</f>
        <v>5748.9109999999928</v>
      </c>
      <c r="J1197" s="616">
        <v>1000</v>
      </c>
      <c r="K1197" s="696">
        <f>F1197*I1197*J1197</f>
        <v>8623366.4999999888</v>
      </c>
      <c r="L1197" s="22"/>
      <c r="M1197" s="22"/>
      <c r="N1197" s="72"/>
      <c r="O1197" s="12"/>
    </row>
    <row r="1198" spans="1:15" ht="15.5" x14ac:dyDescent="0.35">
      <c r="A1198" s="616"/>
      <c r="B1198" s="100"/>
      <c r="C1198" s="52">
        <v>33</v>
      </c>
      <c r="D1198" s="1772" t="s">
        <v>1699</v>
      </c>
      <c r="E1198" s="1801" t="s">
        <v>2293</v>
      </c>
      <c r="F1198" s="4">
        <v>1</v>
      </c>
      <c r="G1198" s="21">
        <v>3745.7808</v>
      </c>
      <c r="H1198" s="21">
        <v>3791.2856000000002</v>
      </c>
      <c r="I1198" s="20">
        <f>H1198-G1198</f>
        <v>45.504800000000159</v>
      </c>
      <c r="J1198" s="616">
        <v>180000</v>
      </c>
      <c r="K1198" s="696">
        <f>F1198*I1198*J1198</f>
        <v>8190864.0000000289</v>
      </c>
      <c r="L1198" s="22"/>
      <c r="M1198" s="22"/>
      <c r="N1198" s="72"/>
      <c r="O1198" s="12"/>
    </row>
    <row r="1199" spans="1:15" ht="15.5" x14ac:dyDescent="0.35">
      <c r="A1199" s="616"/>
      <c r="B1199" s="102"/>
      <c r="C1199" s="91"/>
      <c r="D1199" s="726"/>
      <c r="E1199" s="1814"/>
      <c r="F1199" s="47"/>
      <c r="G1199" s="48"/>
      <c r="H1199" s="48"/>
      <c r="I1199" s="36"/>
      <c r="J1199" s="96" t="s">
        <v>30</v>
      </c>
      <c r="K1199" s="43">
        <f>K1197+K1196</f>
        <v>12557347.460000005</v>
      </c>
      <c r="L1199" s="43">
        <f>SUM(L1196:L1198)</f>
        <v>0</v>
      </c>
      <c r="M1199" s="43">
        <f>SUM(M1196:M1198)</f>
        <v>0</v>
      </c>
      <c r="N1199" s="1973"/>
      <c r="O1199" s="12"/>
    </row>
    <row r="1200" spans="1:15" ht="15.5" x14ac:dyDescent="0.35">
      <c r="A1200" s="616"/>
      <c r="B1200" s="647" t="s">
        <v>1114</v>
      </c>
      <c r="C1200" s="648"/>
      <c r="D1200" s="648"/>
      <c r="E1200" s="1800"/>
      <c r="F1200" s="648"/>
      <c r="G1200" s="648"/>
      <c r="H1200" s="648"/>
      <c r="I1200" s="648"/>
      <c r="J1200" s="648"/>
      <c r="K1200" s="700"/>
      <c r="L1200" s="648"/>
      <c r="M1200" s="651"/>
      <c r="N1200" s="1971"/>
      <c r="O1200" s="8"/>
    </row>
    <row r="1201" spans="1:15" ht="15.5" x14ac:dyDescent="0.35">
      <c r="A1201" s="616"/>
      <c r="B1201" s="100" t="s">
        <v>1079</v>
      </c>
      <c r="C1201" s="52">
        <v>132</v>
      </c>
      <c r="D1201" s="2138" t="s">
        <v>1083</v>
      </c>
      <c r="E1201" s="1818"/>
      <c r="F1201" s="4"/>
      <c r="G1201" s="5"/>
      <c r="H1201" s="5"/>
      <c r="I1201" s="5"/>
      <c r="J1201" s="616"/>
      <c r="K1201" s="696"/>
      <c r="L1201" s="16">
        <f>J1201*I1201*F1201</f>
        <v>0</v>
      </c>
      <c r="M1201" s="7"/>
      <c r="N1201" s="1428"/>
      <c r="O1201" s="616"/>
    </row>
    <row r="1202" spans="1:15" ht="15.5" x14ac:dyDescent="0.35">
      <c r="A1202" s="616"/>
      <c r="B1202" s="100" t="s">
        <v>1078</v>
      </c>
      <c r="C1202" s="52">
        <v>132</v>
      </c>
      <c r="D1202" s="2139"/>
      <c r="E1202" s="1818"/>
      <c r="F1202" s="4"/>
      <c r="G1202" s="5"/>
      <c r="H1202" s="5"/>
      <c r="I1202" s="5"/>
      <c r="J1202" s="616"/>
      <c r="K1202" s="696"/>
      <c r="L1202" s="16">
        <f>J1202*I1202*F1202</f>
        <v>0</v>
      </c>
      <c r="M1202" s="16"/>
      <c r="N1202" s="711"/>
      <c r="O1202" s="616"/>
    </row>
    <row r="1203" spans="1:15" ht="15.5" x14ac:dyDescent="0.35">
      <c r="A1203" s="616"/>
      <c r="B1203" s="95"/>
      <c r="C1203" s="89"/>
      <c r="D1203" s="89"/>
      <c r="E1203" s="1784"/>
      <c r="F1203" s="37"/>
      <c r="G1203" s="37"/>
      <c r="H1203" s="37"/>
      <c r="I1203" s="37"/>
      <c r="J1203" s="95" t="s">
        <v>279</v>
      </c>
      <c r="K1203" s="699"/>
      <c r="L1203" s="55">
        <f>SUM(L1201:L1202)</f>
        <v>0</v>
      </c>
      <c r="M1203" s="633"/>
      <c r="N1203" s="1921"/>
      <c r="O1203" s="616"/>
    </row>
    <row r="1204" spans="1:15" ht="15.5" x14ac:dyDescent="0.35">
      <c r="A1204" s="616"/>
      <c r="B1204" s="102"/>
      <c r="C1204" s="91"/>
      <c r="D1204" s="726"/>
      <c r="E1204" s="1814"/>
      <c r="F1204" s="47"/>
      <c r="G1204" s="48"/>
      <c r="H1204" s="48"/>
      <c r="I1204" s="36"/>
      <c r="J1204" s="96"/>
      <c r="K1204" s="706"/>
      <c r="L1204" s="43"/>
      <c r="M1204" s="43"/>
      <c r="N1204" s="1973"/>
      <c r="O1204" s="12"/>
    </row>
    <row r="1205" spans="1:15" ht="15.5" x14ac:dyDescent="0.35">
      <c r="A1205" s="636"/>
      <c r="B1205" s="647" t="s">
        <v>1110</v>
      </c>
      <c r="C1205" s="648"/>
      <c r="D1205" s="648"/>
      <c r="E1205" s="1800"/>
      <c r="F1205" s="648"/>
      <c r="G1205" s="648"/>
      <c r="H1205" s="648"/>
      <c r="I1205" s="648"/>
      <c r="J1205" s="50"/>
      <c r="K1205" s="710"/>
      <c r="L1205" s="51"/>
      <c r="M1205" s="51"/>
      <c r="N1205" s="1971"/>
      <c r="O1205" s="12"/>
    </row>
    <row r="1206" spans="1:15" ht="25.5" customHeight="1" x14ac:dyDescent="0.35">
      <c r="A1206" s="616">
        <v>5</v>
      </c>
      <c r="B1206" s="100" t="s">
        <v>2289</v>
      </c>
      <c r="C1206" s="52">
        <v>33</v>
      </c>
      <c r="D1206" s="1847" t="s">
        <v>2041</v>
      </c>
      <c r="E1206" s="1801" t="s">
        <v>2290</v>
      </c>
      <c r="F1206" s="4">
        <v>1</v>
      </c>
      <c r="G1206" s="21"/>
      <c r="H1206" s="21"/>
      <c r="I1206" s="21">
        <f>H1206-G1206</f>
        <v>0</v>
      </c>
      <c r="J1206" s="31">
        <v>1000</v>
      </c>
      <c r="K1206" s="707"/>
      <c r="L1206" s="22">
        <f>F1206*I1206*J1206</f>
        <v>0</v>
      </c>
      <c r="M1206" s="22"/>
      <c r="N1206" s="99"/>
      <c r="O1206" s="12"/>
    </row>
    <row r="1207" spans="1:15" ht="25.5" customHeight="1" x14ac:dyDescent="0.35">
      <c r="A1207" s="616"/>
      <c r="B1207" s="100"/>
      <c r="C1207" s="52">
        <v>33</v>
      </c>
      <c r="D1207" s="1847" t="s">
        <v>1699</v>
      </c>
      <c r="E1207" s="1801" t="s">
        <v>2291</v>
      </c>
      <c r="F1207" s="4">
        <v>1</v>
      </c>
      <c r="G1207" s="21">
        <v>4101.1127999999999</v>
      </c>
      <c r="H1207" s="21">
        <v>4123.5929999999998</v>
      </c>
      <c r="I1207" s="21">
        <f>H1207-G1207</f>
        <v>22.480199999999968</v>
      </c>
      <c r="J1207" s="31">
        <v>180000</v>
      </c>
      <c r="K1207" s="707"/>
      <c r="L1207" s="22">
        <f>F1207*I1207*J1207</f>
        <v>4046435.9999999944</v>
      </c>
      <c r="M1207" s="22"/>
      <c r="N1207" s="99"/>
      <c r="O1207" s="12"/>
    </row>
    <row r="1208" spans="1:15" ht="25.5" customHeight="1" x14ac:dyDescent="0.35">
      <c r="A1208" s="616">
        <v>7</v>
      </c>
      <c r="B1208" s="100" t="s">
        <v>2294</v>
      </c>
      <c r="C1208" s="52">
        <v>33</v>
      </c>
      <c r="D1208" s="1847" t="s">
        <v>2041</v>
      </c>
      <c r="E1208" s="1801" t="s">
        <v>2295</v>
      </c>
      <c r="F1208" s="4">
        <v>1</v>
      </c>
      <c r="G1208" s="21">
        <v>1551.028</v>
      </c>
      <c r="H1208" s="21">
        <v>5839.2510000000002</v>
      </c>
      <c r="I1208" s="21">
        <f>H1208-G1208</f>
        <v>4288.223</v>
      </c>
      <c r="J1208" s="31">
        <v>1000</v>
      </c>
      <c r="K1208" s="707"/>
      <c r="L1208" s="22">
        <f>F1208*I1208*J1208</f>
        <v>4288223</v>
      </c>
      <c r="M1208" s="22"/>
      <c r="N1208" s="99"/>
      <c r="O1208" s="12"/>
    </row>
    <row r="1209" spans="1:15" ht="15.5" x14ac:dyDescent="0.35">
      <c r="A1209" s="616"/>
      <c r="B1209" s="100"/>
      <c r="C1209" s="52">
        <v>33</v>
      </c>
      <c r="D1209" s="1847" t="s">
        <v>1699</v>
      </c>
      <c r="E1209" s="1801" t="s">
        <v>2296</v>
      </c>
      <c r="F1209" s="4">
        <v>1</v>
      </c>
      <c r="G1209" s="21">
        <v>4107.0613000000003</v>
      </c>
      <c r="H1209" s="21">
        <v>4149.9129999999996</v>
      </c>
      <c r="I1209" s="21">
        <f>H1209-G1209</f>
        <v>42.851699999999255</v>
      </c>
      <c r="J1209" s="31">
        <v>90000</v>
      </c>
      <c r="K1209" s="707"/>
      <c r="L1209" s="22">
        <f>F1209*I1209*J1209</f>
        <v>3856652.9999999329</v>
      </c>
      <c r="M1209" s="22"/>
      <c r="N1209" s="99"/>
      <c r="O1209" s="12"/>
    </row>
    <row r="1210" spans="1:15" ht="30" x14ac:dyDescent="0.35">
      <c r="A1210" s="616">
        <v>8</v>
      </c>
      <c r="B1210" s="100" t="s">
        <v>2297</v>
      </c>
      <c r="C1210" s="52">
        <v>33</v>
      </c>
      <c r="D1210" s="1847" t="s">
        <v>324</v>
      </c>
      <c r="E1210" s="1801" t="s">
        <v>2298</v>
      </c>
      <c r="F1210" s="4">
        <v>1</v>
      </c>
      <c r="G1210" s="21">
        <v>388073.40549999999</v>
      </c>
      <c r="H1210" s="21">
        <v>392299.26850000001</v>
      </c>
      <c r="I1210" s="21">
        <f>H1210-G1210</f>
        <v>4225.8630000000121</v>
      </c>
      <c r="J1210" s="31">
        <v>1000</v>
      </c>
      <c r="K1210" s="707"/>
      <c r="L1210" s="22">
        <f>F1210*I1210*J1210</f>
        <v>4225863.0000000121</v>
      </c>
      <c r="M1210" s="22"/>
      <c r="N1210" s="99"/>
      <c r="O1210" s="12"/>
    </row>
    <row r="1211" spans="1:15" ht="15" x14ac:dyDescent="0.35">
      <c r="A1211" s="636"/>
      <c r="B1211" s="96"/>
      <c r="C1211" s="90"/>
      <c r="D1211" s="90"/>
      <c r="E1211" s="1785"/>
      <c r="F1211" s="38"/>
      <c r="G1211" s="38"/>
      <c r="H1211" s="38"/>
      <c r="I1211" s="38"/>
      <c r="J1211" s="96" t="s">
        <v>30</v>
      </c>
      <c r="K1211" s="708"/>
      <c r="L1211" s="43">
        <f>L1210+L1208+L1207</f>
        <v>12560522.000000006</v>
      </c>
      <c r="M1211" s="43">
        <f>SUM(M1206:M1210)</f>
        <v>0</v>
      </c>
      <c r="N1211" s="650">
        <f>(M1211-L1211)/L1211*100</f>
        <v>-100</v>
      </c>
      <c r="O1211" s="12"/>
    </row>
    <row r="1212" spans="1:15" ht="15.5" thickBot="1" x14ac:dyDescent="0.4">
      <c r="A1212" s="702"/>
      <c r="B1212" s="736"/>
      <c r="C1212" s="92"/>
      <c r="D1212" s="92"/>
      <c r="E1212" s="1786"/>
      <c r="F1212" s="737"/>
      <c r="G1212" s="737"/>
      <c r="H1212" s="737"/>
      <c r="I1212" s="737"/>
      <c r="J1212" s="736"/>
      <c r="K1212" s="738"/>
      <c r="L1212" s="739"/>
      <c r="M1212" s="739"/>
      <c r="N1212" s="646"/>
      <c r="O1212" s="740"/>
    </row>
    <row r="1213" spans="1:15" ht="15" x14ac:dyDescent="0.35">
      <c r="A1213" s="702"/>
      <c r="B1213" s="2142" t="s">
        <v>1090</v>
      </c>
      <c r="C1213" s="2143"/>
      <c r="D1213" s="683" t="s">
        <v>14</v>
      </c>
      <c r="F1213" s="2144" t="s">
        <v>1091</v>
      </c>
      <c r="G1213" s="2145"/>
      <c r="H1213" s="2146"/>
      <c r="I1213" s="683" t="s">
        <v>14</v>
      </c>
      <c r="J1213" s="620"/>
      <c r="K1213" s="2147" t="s">
        <v>1092</v>
      </c>
      <c r="L1213" s="2148"/>
      <c r="M1213" s="684" t="s">
        <v>14</v>
      </c>
      <c r="N1213" s="646"/>
      <c r="O1213" s="740"/>
    </row>
    <row r="1214" spans="1:15" ht="15" x14ac:dyDescent="0.35">
      <c r="A1214" s="702"/>
      <c r="B1214" s="2122" t="str">
        <f>B1189</f>
        <v>MOGBAZAR 33 KV SIDE</v>
      </c>
      <c r="C1214" s="2123"/>
      <c r="D1214" s="689">
        <f>K1194</f>
        <v>12788360.00000006</v>
      </c>
      <c r="F1214" s="2124" t="s">
        <v>1093</v>
      </c>
      <c r="G1214" s="2125"/>
      <c r="H1214" s="2126"/>
      <c r="I1214" s="685">
        <f>L1203</f>
        <v>0</v>
      </c>
      <c r="J1214" s="620"/>
      <c r="K1214" s="2160" t="str">
        <f>F1215</f>
        <v>MOGBAZAR T&amp;T 33 KV NET IMPORT</v>
      </c>
      <c r="L1214" s="2161"/>
      <c r="M1214" s="687">
        <f>I1215</f>
        <v>12788360.00000006</v>
      </c>
      <c r="N1214" s="646"/>
      <c r="O1214" s="740"/>
    </row>
    <row r="1215" spans="1:15" ht="15" x14ac:dyDescent="0.35">
      <c r="A1215" s="702"/>
      <c r="B1215" s="2122" t="s">
        <v>1116</v>
      </c>
      <c r="C1215" s="2123"/>
      <c r="D1215" s="741"/>
      <c r="F1215" s="2124" t="s">
        <v>1119</v>
      </c>
      <c r="G1215" s="2125"/>
      <c r="H1215" s="2126"/>
      <c r="I1215" s="685">
        <f>D1218-I1214</f>
        <v>12788360.00000006</v>
      </c>
      <c r="J1215" s="620"/>
      <c r="K1215" s="2162" t="s">
        <v>1120</v>
      </c>
      <c r="L1215" s="2163"/>
      <c r="M1215" s="685">
        <f>M1245</f>
        <v>0</v>
      </c>
      <c r="N1215" s="646"/>
      <c r="O1215" s="740"/>
    </row>
    <row r="1216" spans="1:15" ht="15" x14ac:dyDescent="0.35">
      <c r="A1216" s="702"/>
      <c r="B1216" s="2122" t="s">
        <v>1117</v>
      </c>
      <c r="C1216" s="2123"/>
      <c r="D1216" s="721"/>
      <c r="F1216" s="2124" t="s">
        <v>1089</v>
      </c>
      <c r="G1216" s="2125"/>
      <c r="H1216" s="2126"/>
      <c r="I1216" s="685">
        <f>I1214+I1215</f>
        <v>12788360.00000006</v>
      </c>
      <c r="J1216" s="620"/>
      <c r="K1216" s="2127" t="s">
        <v>284</v>
      </c>
      <c r="L1216" s="2128"/>
      <c r="M1216" s="685">
        <f>M1214-M1215</f>
        <v>12788360.00000006</v>
      </c>
      <c r="N1216" s="646"/>
      <c r="O1216" s="740"/>
    </row>
    <row r="1217" spans="1:15" ht="16" thickBot="1" x14ac:dyDescent="0.4">
      <c r="A1217" s="702"/>
      <c r="B1217" s="2122" t="s">
        <v>1118</v>
      </c>
      <c r="C1217" s="2123"/>
      <c r="D1217" s="722"/>
      <c r="F1217" s="2113" t="s">
        <v>1102</v>
      </c>
      <c r="G1217" s="2114"/>
      <c r="H1217" s="2115"/>
      <c r="I1217" s="690">
        <f>(D1218-I1216)/I1216</f>
        <v>0</v>
      </c>
      <c r="J1217" s="620"/>
      <c r="K1217" s="2134" t="s">
        <v>285</v>
      </c>
      <c r="L1217" s="2135"/>
      <c r="M1217" s="688">
        <f>M1216/M1214</f>
        <v>1</v>
      </c>
      <c r="N1217" s="646"/>
      <c r="O1217" s="740"/>
    </row>
    <row r="1218" spans="1:15" ht="15.5" thickBot="1" x14ac:dyDescent="0.4">
      <c r="A1218" s="702"/>
      <c r="B1218" s="2158" t="s">
        <v>1082</v>
      </c>
      <c r="C1218" s="2159"/>
      <c r="D1218" s="686">
        <f>SUM(D1214:D1216)</f>
        <v>12788360.00000006</v>
      </c>
      <c r="F1218" s="620"/>
      <c r="G1218" s="620"/>
      <c r="H1218" s="620"/>
      <c r="I1218" s="620"/>
      <c r="J1218" s="620"/>
      <c r="K1218" s="702"/>
      <c r="L1218" s="620"/>
      <c r="M1218" s="620"/>
      <c r="N1218" s="646"/>
      <c r="O1218" s="740"/>
    </row>
    <row r="1219" spans="1:15" ht="15" x14ac:dyDescent="0.35">
      <c r="A1219" s="702"/>
      <c r="B1219" s="736"/>
      <c r="C1219" s="92"/>
      <c r="D1219" s="92"/>
      <c r="E1219" s="1786"/>
      <c r="F1219" s="737"/>
      <c r="G1219" s="737"/>
      <c r="H1219" s="737"/>
      <c r="I1219" s="737"/>
      <c r="J1219" s="736"/>
      <c r="K1219" s="738"/>
      <c r="L1219" s="739"/>
      <c r="M1219" s="739"/>
      <c r="N1219" s="646"/>
      <c r="O1219" s="740"/>
    </row>
    <row r="1220" spans="1:15" x14ac:dyDescent="0.35">
      <c r="A1220" s="620"/>
      <c r="B1220" s="632"/>
      <c r="C1220" s="620"/>
      <c r="D1220" s="728"/>
      <c r="E1220" s="1820"/>
      <c r="F1220" s="620"/>
      <c r="G1220" s="620"/>
      <c r="H1220" s="620"/>
      <c r="I1220" s="620"/>
      <c r="J1220" s="620"/>
      <c r="K1220" s="702"/>
      <c r="L1220" s="620"/>
      <c r="M1220" s="620"/>
      <c r="N1220" s="702"/>
      <c r="O1220" s="620"/>
    </row>
    <row r="1221" spans="1:15" x14ac:dyDescent="0.35">
      <c r="A1221" s="620"/>
      <c r="B1221" s="632"/>
      <c r="C1221" s="620"/>
      <c r="D1221" s="728"/>
      <c r="E1221" s="1820"/>
      <c r="F1221" s="620"/>
      <c r="G1221" s="620"/>
      <c r="H1221" s="620"/>
      <c r="I1221" s="620"/>
      <c r="J1221" s="620"/>
      <c r="K1221" s="702"/>
      <c r="L1221" s="620"/>
      <c r="M1221" s="620"/>
      <c r="N1221" s="702"/>
      <c r="O1221" s="620"/>
    </row>
    <row r="1222" spans="1:15" ht="25" x14ac:dyDescent="0.35">
      <c r="A1222" s="2095" t="s">
        <v>1204</v>
      </c>
      <c r="B1222" s="2095"/>
      <c r="C1222" s="2095"/>
      <c r="D1222" s="2095"/>
      <c r="E1222" s="2095"/>
      <c r="F1222" s="2095"/>
      <c r="G1222" s="2095"/>
      <c r="H1222" s="2095"/>
      <c r="I1222" s="2095"/>
      <c r="J1222" s="2095"/>
      <c r="K1222" s="2095"/>
      <c r="L1222" s="2095"/>
      <c r="M1222" s="2095"/>
      <c r="N1222" s="2095"/>
      <c r="O1222" s="756" t="str">
        <f>$O$6</f>
        <v>Month December-2022</v>
      </c>
    </row>
    <row r="1223" spans="1:15" ht="15.5" x14ac:dyDescent="0.35">
      <c r="A1223" s="2096" t="s">
        <v>0</v>
      </c>
      <c r="B1223" s="2098" t="s">
        <v>1</v>
      </c>
      <c r="C1223" s="2100" t="s">
        <v>2</v>
      </c>
      <c r="D1223" s="2101"/>
      <c r="E1223" s="2102"/>
      <c r="F1223" s="2103" t="s">
        <v>3</v>
      </c>
      <c r="G1223" s="2100" t="s">
        <v>4</v>
      </c>
      <c r="H1223" s="2102"/>
      <c r="I1223" s="2085"/>
      <c r="J1223" s="2103" t="s">
        <v>5</v>
      </c>
      <c r="K1223" s="2100" t="s">
        <v>6</v>
      </c>
      <c r="L1223" s="2085"/>
      <c r="M1223" s="97" t="s">
        <v>32</v>
      </c>
      <c r="N1223" s="98"/>
      <c r="O1223" s="2084" t="s">
        <v>7</v>
      </c>
    </row>
    <row r="1224" spans="1:15" ht="15.5" x14ac:dyDescent="0.35">
      <c r="A1224" s="2097"/>
      <c r="B1224" s="2099"/>
      <c r="C1224" s="2086" t="s">
        <v>1108</v>
      </c>
      <c r="D1224" s="2087"/>
      <c r="E1224" s="1810" t="s">
        <v>9</v>
      </c>
      <c r="F1224" s="2097"/>
      <c r="G1224" s="2">
        <f>'NORTH-1'!$G$8</f>
        <v>44774</v>
      </c>
      <c r="H1224" s="2">
        <f>'NORTH-1'!$H$8</f>
        <v>44805</v>
      </c>
      <c r="I1224" s="1" t="s">
        <v>10</v>
      </c>
      <c r="J1224" s="2097"/>
      <c r="K1224" s="1" t="s">
        <v>11</v>
      </c>
      <c r="L1224" s="1" t="s">
        <v>12</v>
      </c>
      <c r="M1224" s="617" t="s">
        <v>33</v>
      </c>
      <c r="N1224" s="76" t="s">
        <v>47</v>
      </c>
      <c r="O1224" s="2085"/>
    </row>
    <row r="1225" spans="1:15" ht="15.5" x14ac:dyDescent="0.35">
      <c r="A1225" s="3">
        <v>1</v>
      </c>
      <c r="B1225" s="88">
        <v>2</v>
      </c>
      <c r="C1225" s="2088">
        <v>4</v>
      </c>
      <c r="D1225" s="2089"/>
      <c r="E1225" s="1811">
        <v>5</v>
      </c>
      <c r="F1225" s="3">
        <v>7</v>
      </c>
      <c r="G1225" s="3">
        <v>8</v>
      </c>
      <c r="H1225" s="3">
        <v>9</v>
      </c>
      <c r="I1225" s="3" t="s">
        <v>13</v>
      </c>
      <c r="J1225" s="3">
        <v>11</v>
      </c>
      <c r="K1225" s="3" t="s">
        <v>19</v>
      </c>
      <c r="L1225" s="3" t="s">
        <v>20</v>
      </c>
      <c r="M1225" s="3">
        <v>14</v>
      </c>
      <c r="N1225" s="77">
        <v>15</v>
      </c>
      <c r="O1225" s="3">
        <v>16</v>
      </c>
    </row>
    <row r="1226" spans="1:15" ht="15.5" x14ac:dyDescent="0.35">
      <c r="A1226" s="631"/>
      <c r="B1226" s="624" t="s">
        <v>1121</v>
      </c>
      <c r="C1226" s="625"/>
      <c r="D1226" s="625"/>
      <c r="E1226" s="1794"/>
      <c r="F1226" s="625"/>
      <c r="G1226" s="625"/>
      <c r="H1226" s="625"/>
      <c r="I1226" s="625"/>
      <c r="J1226" s="625"/>
      <c r="K1226" s="695"/>
      <c r="L1226" s="625"/>
      <c r="M1226" s="626"/>
      <c r="N1226" s="1972"/>
      <c r="O1226" s="616"/>
    </row>
    <row r="1227" spans="1:15" ht="15.5" x14ac:dyDescent="0.35">
      <c r="A1227" s="631">
        <v>9</v>
      </c>
      <c r="B1227" s="100" t="s">
        <v>2299</v>
      </c>
      <c r="C1227" s="52">
        <v>11</v>
      </c>
      <c r="D1227" s="1770"/>
      <c r="E1227" s="1801">
        <v>51426632</v>
      </c>
      <c r="F1227" s="4">
        <v>1</v>
      </c>
      <c r="G1227" s="21">
        <v>3308831</v>
      </c>
      <c r="H1227" s="21">
        <v>3356064</v>
      </c>
      <c r="I1227" s="21">
        <f>H1227-G1227</f>
        <v>47233</v>
      </c>
      <c r="J1227" s="616">
        <v>90</v>
      </c>
      <c r="K1227" s="696">
        <f>F1227*I1227*J1227</f>
        <v>4250970</v>
      </c>
      <c r="L1227" s="22"/>
      <c r="M1227" s="22"/>
      <c r="N1227" s="72"/>
      <c r="O1227" s="616"/>
    </row>
    <row r="1228" spans="1:15" ht="15.5" x14ac:dyDescent="0.35">
      <c r="A1228" s="631">
        <v>16</v>
      </c>
      <c r="B1228" s="100" t="s">
        <v>2312</v>
      </c>
      <c r="C1228" s="52">
        <v>11</v>
      </c>
      <c r="D1228" s="1771"/>
      <c r="E1228" s="1801" t="s">
        <v>2313</v>
      </c>
      <c r="F1228" s="4">
        <v>1</v>
      </c>
      <c r="G1228" s="21">
        <v>3423.5717</v>
      </c>
      <c r="H1228" s="21">
        <v>3471.1336999999999</v>
      </c>
      <c r="I1228" s="21">
        <f>H1228-G1228</f>
        <v>47.561999999999898</v>
      </c>
      <c r="J1228" s="616">
        <v>90000</v>
      </c>
      <c r="K1228" s="696">
        <f>F1228*I1228*J1228</f>
        <v>4280579.9999999907</v>
      </c>
      <c r="L1228" s="22"/>
      <c r="M1228" s="22"/>
      <c r="N1228" s="72"/>
      <c r="O1228" s="616"/>
    </row>
    <row r="1229" spans="1:15" ht="15.5" x14ac:dyDescent="0.35">
      <c r="A1229" s="631">
        <v>22</v>
      </c>
      <c r="B1229" s="100" t="s">
        <v>1928</v>
      </c>
      <c r="C1229" s="52">
        <v>11</v>
      </c>
      <c r="D1229" s="1772"/>
      <c r="E1229" s="1801">
        <v>51426630</v>
      </c>
      <c r="F1229" s="4">
        <v>1</v>
      </c>
      <c r="G1229" s="21">
        <v>3632317</v>
      </c>
      <c r="H1229" s="21">
        <v>3677762</v>
      </c>
      <c r="I1229" s="21">
        <f>H1229-G1229</f>
        <v>45445</v>
      </c>
      <c r="J1229" s="616">
        <v>90</v>
      </c>
      <c r="K1229" s="696">
        <f>J1229*F1229*I1229</f>
        <v>4090050</v>
      </c>
      <c r="L1229" s="22"/>
      <c r="M1229" s="22"/>
      <c r="N1229" s="72"/>
      <c r="O1229" s="616"/>
    </row>
    <row r="1230" spans="1:15" ht="15.5" x14ac:dyDescent="0.35">
      <c r="A1230" s="631"/>
      <c r="B1230" s="102"/>
      <c r="C1230" s="91"/>
      <c r="D1230" s="726"/>
      <c r="E1230" s="1814"/>
      <c r="F1230" s="47"/>
      <c r="G1230" s="48"/>
      <c r="H1230" s="48"/>
      <c r="I1230" s="48"/>
      <c r="J1230" s="39" t="s">
        <v>30</v>
      </c>
      <c r="K1230" s="708">
        <f>SUM(K1227:K1229)</f>
        <v>12621599.999999991</v>
      </c>
      <c r="L1230" s="49"/>
      <c r="M1230" s="43">
        <f>SUM(M1227:M1229)</f>
        <v>0</v>
      </c>
      <c r="N1230" s="1973"/>
      <c r="O1230" s="616"/>
    </row>
    <row r="1231" spans="1:15" ht="15.5" x14ac:dyDescent="0.35">
      <c r="A1231" s="631"/>
      <c r="B1231" s="647" t="s">
        <v>1121</v>
      </c>
      <c r="C1231" s="648"/>
      <c r="D1231" s="648"/>
      <c r="E1231" s="1800"/>
      <c r="F1231" s="648"/>
      <c r="G1231" s="648"/>
      <c r="H1231" s="648"/>
      <c r="I1231" s="648"/>
      <c r="J1231" s="50"/>
      <c r="K1231" s="710"/>
      <c r="L1231" s="51"/>
      <c r="M1231" s="51"/>
      <c r="N1231" s="1971"/>
      <c r="O1231" s="616"/>
    </row>
    <row r="1232" spans="1:15" ht="15.5" x14ac:dyDescent="0.35">
      <c r="A1232" s="631">
        <v>10</v>
      </c>
      <c r="B1232" s="100" t="s">
        <v>2300</v>
      </c>
      <c r="C1232" s="73">
        <v>11</v>
      </c>
      <c r="D1232" s="2167"/>
      <c r="E1232" s="1801" t="s">
        <v>2301</v>
      </c>
      <c r="F1232" s="32">
        <v>1</v>
      </c>
      <c r="G1232" s="6">
        <v>191956.6</v>
      </c>
      <c r="H1232" s="6">
        <v>193975.7</v>
      </c>
      <c r="I1232" s="20">
        <f t="shared" ref="I1232:I1244" si="42">H1232-G1232</f>
        <v>2019.1000000000058</v>
      </c>
      <c r="J1232" s="616">
        <v>1000</v>
      </c>
      <c r="K1232" s="703"/>
      <c r="L1232" s="22">
        <f t="shared" ref="L1232:L1237" si="43">F1232*I1232*J1232</f>
        <v>2019100.0000000058</v>
      </c>
      <c r="M1232" s="22"/>
      <c r="N1232" s="72" t="s">
        <v>94</v>
      </c>
      <c r="O1232" s="15"/>
    </row>
    <row r="1233" spans="1:15" ht="15.5" x14ac:dyDescent="0.35">
      <c r="A1233" s="631">
        <v>11</v>
      </c>
      <c r="B1233" s="100" t="s">
        <v>2302</v>
      </c>
      <c r="C1233" s="73">
        <v>11</v>
      </c>
      <c r="D1233" s="2168"/>
      <c r="E1233" s="1801" t="s">
        <v>2303</v>
      </c>
      <c r="F1233" s="32">
        <v>1</v>
      </c>
      <c r="G1233" s="6">
        <v>155070.5</v>
      </c>
      <c r="H1233" s="6">
        <v>156308.4</v>
      </c>
      <c r="I1233" s="20">
        <f t="shared" si="42"/>
        <v>1237.8999999999942</v>
      </c>
      <c r="J1233" s="616">
        <v>1000</v>
      </c>
      <c r="K1233" s="703"/>
      <c r="L1233" s="22">
        <f t="shared" si="43"/>
        <v>1237899.9999999942</v>
      </c>
      <c r="M1233" s="22"/>
      <c r="N1233" s="72" t="s">
        <v>94</v>
      </c>
      <c r="O1233" s="15"/>
    </row>
    <row r="1234" spans="1:15" ht="15.5" x14ac:dyDescent="0.35">
      <c r="A1234" s="631">
        <v>12</v>
      </c>
      <c r="B1234" s="100" t="s">
        <v>2304</v>
      </c>
      <c r="C1234" s="73">
        <v>11</v>
      </c>
      <c r="D1234" s="2168"/>
      <c r="E1234" s="1801" t="s">
        <v>2305</v>
      </c>
      <c r="F1234" s="32">
        <v>1</v>
      </c>
      <c r="G1234" s="6">
        <v>98263.7</v>
      </c>
      <c r="H1234" s="6">
        <v>99204.2</v>
      </c>
      <c r="I1234" s="20">
        <f t="shared" si="42"/>
        <v>940.5</v>
      </c>
      <c r="J1234" s="616">
        <v>1000</v>
      </c>
      <c r="K1234" s="703"/>
      <c r="L1234" s="22">
        <f t="shared" si="43"/>
        <v>940500</v>
      </c>
      <c r="M1234" s="22"/>
      <c r="N1234" s="72" t="s">
        <v>94</v>
      </c>
      <c r="O1234" s="15"/>
    </row>
    <row r="1235" spans="1:15" ht="15.5" x14ac:dyDescent="0.35">
      <c r="A1235" s="631">
        <v>13</v>
      </c>
      <c r="B1235" s="100" t="s">
        <v>2306</v>
      </c>
      <c r="C1235" s="73">
        <v>11</v>
      </c>
      <c r="D1235" s="2168"/>
      <c r="E1235" s="1801" t="s">
        <v>2307</v>
      </c>
      <c r="F1235" s="32">
        <v>1</v>
      </c>
      <c r="G1235" s="6">
        <v>106838.5</v>
      </c>
      <c r="H1235" s="6">
        <v>108040.5</v>
      </c>
      <c r="I1235" s="20">
        <f t="shared" si="42"/>
        <v>1202</v>
      </c>
      <c r="J1235" s="616">
        <v>1000</v>
      </c>
      <c r="K1235" s="703"/>
      <c r="L1235" s="22">
        <f t="shared" si="43"/>
        <v>1202000</v>
      </c>
      <c r="M1235" s="22"/>
      <c r="N1235" s="72" t="s">
        <v>94</v>
      </c>
      <c r="O1235" s="15"/>
    </row>
    <row r="1236" spans="1:15" ht="15.5" x14ac:dyDescent="0.35">
      <c r="A1236" s="631">
        <v>14</v>
      </c>
      <c r="B1236" s="100" t="s">
        <v>2308</v>
      </c>
      <c r="C1236" s="73">
        <v>11</v>
      </c>
      <c r="D1236" s="2168"/>
      <c r="E1236" s="1801" t="s">
        <v>2309</v>
      </c>
      <c r="F1236" s="32">
        <v>1</v>
      </c>
      <c r="G1236" s="6">
        <v>49387</v>
      </c>
      <c r="H1236" s="6">
        <v>49953.9</v>
      </c>
      <c r="I1236" s="20">
        <f t="shared" si="42"/>
        <v>566.90000000000146</v>
      </c>
      <c r="J1236" s="616">
        <v>1000</v>
      </c>
      <c r="K1236" s="703"/>
      <c r="L1236" s="22">
        <f t="shared" si="43"/>
        <v>566900.0000000014</v>
      </c>
      <c r="M1236" s="22"/>
      <c r="N1236" s="72" t="s">
        <v>94</v>
      </c>
      <c r="O1236" s="15"/>
    </row>
    <row r="1237" spans="1:15" ht="15.5" x14ac:dyDescent="0.35">
      <c r="A1237" s="631">
        <v>15</v>
      </c>
      <c r="B1237" s="100" t="s">
        <v>2310</v>
      </c>
      <c r="C1237" s="73">
        <v>11</v>
      </c>
      <c r="D1237" s="2168"/>
      <c r="E1237" s="1801" t="s">
        <v>2311</v>
      </c>
      <c r="F1237" s="32">
        <v>1</v>
      </c>
      <c r="G1237" s="6">
        <v>70.668000000000006</v>
      </c>
      <c r="H1237" s="6">
        <v>86.641900000000007</v>
      </c>
      <c r="I1237" s="20">
        <f t="shared" si="42"/>
        <v>15.9739</v>
      </c>
      <c r="J1237" s="616">
        <v>60000</v>
      </c>
      <c r="K1237" s="703"/>
      <c r="L1237" s="22">
        <f t="shared" si="43"/>
        <v>958434</v>
      </c>
      <c r="M1237" s="22"/>
      <c r="N1237" s="72" t="s">
        <v>94</v>
      </c>
      <c r="O1237" s="15"/>
    </row>
    <row r="1238" spans="1:15" ht="15.5" x14ac:dyDescent="0.35">
      <c r="A1238" s="631">
        <v>17</v>
      </c>
      <c r="B1238" s="100" t="s">
        <v>2314</v>
      </c>
      <c r="C1238" s="73">
        <v>11</v>
      </c>
      <c r="D1238" s="2168"/>
      <c r="E1238" s="1801" t="s">
        <v>2315</v>
      </c>
      <c r="F1238" s="32">
        <v>1</v>
      </c>
      <c r="G1238" s="6">
        <v>224092.3</v>
      </c>
      <c r="H1238" s="6">
        <v>225027.9</v>
      </c>
      <c r="I1238" s="20">
        <f t="shared" si="42"/>
        <v>935.60000000000582</v>
      </c>
      <c r="J1238" s="616">
        <v>1000</v>
      </c>
      <c r="K1238" s="703"/>
      <c r="L1238" s="22">
        <f t="shared" ref="L1238:L1244" si="44">F1238*I1238*J1238</f>
        <v>935600.00000000582</v>
      </c>
      <c r="M1238" s="22"/>
      <c r="N1238" s="72" t="s">
        <v>117</v>
      </c>
      <c r="O1238" s="15"/>
    </row>
    <row r="1239" spans="1:15" ht="15.5" x14ac:dyDescent="0.35">
      <c r="A1239" s="631">
        <v>18</v>
      </c>
      <c r="B1239" s="100" t="s">
        <v>2316</v>
      </c>
      <c r="C1239" s="73">
        <v>11</v>
      </c>
      <c r="D1239" s="2168"/>
      <c r="E1239" s="1801" t="s">
        <v>1708</v>
      </c>
      <c r="F1239" s="32">
        <v>1</v>
      </c>
      <c r="G1239" s="6">
        <v>12867.5</v>
      </c>
      <c r="H1239" s="6">
        <v>13541.2</v>
      </c>
      <c r="I1239" s="20">
        <f t="shared" si="42"/>
        <v>673.70000000000073</v>
      </c>
      <c r="J1239" s="616">
        <v>1000</v>
      </c>
      <c r="K1239" s="703"/>
      <c r="L1239" s="22">
        <f t="shared" si="44"/>
        <v>673700.0000000007</v>
      </c>
      <c r="M1239" s="22"/>
      <c r="N1239" s="72" t="s">
        <v>94</v>
      </c>
      <c r="O1239" s="15"/>
    </row>
    <row r="1240" spans="1:15" ht="15.5" x14ac:dyDescent="0.35">
      <c r="A1240" s="631">
        <v>19</v>
      </c>
      <c r="B1240" s="100" t="s">
        <v>2317</v>
      </c>
      <c r="C1240" s="73">
        <v>11</v>
      </c>
      <c r="D1240" s="2168"/>
      <c r="E1240" s="1801" t="s">
        <v>2318</v>
      </c>
      <c r="F1240" s="32">
        <v>1</v>
      </c>
      <c r="G1240" s="6">
        <v>33388.785000000003</v>
      </c>
      <c r="H1240" s="6">
        <v>33829.565999999999</v>
      </c>
      <c r="I1240" s="20">
        <f t="shared" si="42"/>
        <v>440.7809999999954</v>
      </c>
      <c r="J1240" s="616">
        <v>1000</v>
      </c>
      <c r="K1240" s="703"/>
      <c r="L1240" s="22">
        <f t="shared" si="44"/>
        <v>440780.9999999954</v>
      </c>
      <c r="M1240" s="22"/>
      <c r="N1240" s="72" t="s">
        <v>94</v>
      </c>
      <c r="O1240" s="15"/>
    </row>
    <row r="1241" spans="1:15" ht="15.5" x14ac:dyDescent="0.35">
      <c r="A1241" s="631">
        <v>20</v>
      </c>
      <c r="B1241" s="100" t="s">
        <v>2319</v>
      </c>
      <c r="C1241" s="73">
        <v>11</v>
      </c>
      <c r="D1241" s="2168"/>
      <c r="E1241" s="1801" t="s">
        <v>2320</v>
      </c>
      <c r="F1241" s="32">
        <v>1</v>
      </c>
      <c r="G1241" s="6">
        <v>43300.817999999999</v>
      </c>
      <c r="H1241" s="6">
        <v>45240.771999999997</v>
      </c>
      <c r="I1241" s="20">
        <f t="shared" si="42"/>
        <v>1939.9539999999979</v>
      </c>
      <c r="J1241" s="616">
        <v>1000</v>
      </c>
      <c r="K1241" s="703"/>
      <c r="L1241" s="22">
        <f t="shared" si="44"/>
        <v>1939953.9999999979</v>
      </c>
      <c r="M1241" s="22"/>
      <c r="N1241" s="72" t="s">
        <v>94</v>
      </c>
      <c r="O1241" s="15"/>
    </row>
    <row r="1242" spans="1:15" ht="15.5" x14ac:dyDescent="0.35">
      <c r="A1242" s="631">
        <v>21</v>
      </c>
      <c r="B1242" s="100" t="s">
        <v>2321</v>
      </c>
      <c r="C1242" s="73">
        <v>11</v>
      </c>
      <c r="D1242" s="2168"/>
      <c r="E1242" s="1801" t="s">
        <v>2322</v>
      </c>
      <c r="F1242" s="32">
        <v>1</v>
      </c>
      <c r="G1242" s="6">
        <v>41148.714</v>
      </c>
      <c r="H1242" s="6">
        <v>42881.83</v>
      </c>
      <c r="I1242" s="20">
        <f t="shared" si="42"/>
        <v>1733.1160000000018</v>
      </c>
      <c r="J1242" s="616">
        <v>1000</v>
      </c>
      <c r="K1242" s="703"/>
      <c r="L1242" s="22">
        <f t="shared" si="44"/>
        <v>1733116.0000000019</v>
      </c>
      <c r="M1242" s="22"/>
      <c r="N1242" s="72" t="s">
        <v>94</v>
      </c>
      <c r="O1242" s="15"/>
    </row>
    <row r="1243" spans="1:15" ht="15.5" x14ac:dyDescent="0.35">
      <c r="A1243" s="631">
        <v>23</v>
      </c>
      <c r="B1243" s="100" t="s">
        <v>2323</v>
      </c>
      <c r="C1243" s="73">
        <v>0.41499999999999998</v>
      </c>
      <c r="D1243" s="2168" t="s">
        <v>470</v>
      </c>
      <c r="E1243" s="1801">
        <v>2001123043161</v>
      </c>
      <c r="F1243" s="32">
        <v>1</v>
      </c>
      <c r="G1243" s="6">
        <v>3463.9</v>
      </c>
      <c r="H1243" s="6">
        <v>3501.4</v>
      </c>
      <c r="I1243" s="20">
        <f t="shared" si="42"/>
        <v>37.5</v>
      </c>
      <c r="J1243" s="616">
        <v>160</v>
      </c>
      <c r="K1243" s="703"/>
      <c r="L1243" s="22">
        <f t="shared" si="44"/>
        <v>6000</v>
      </c>
      <c r="M1243" s="22"/>
      <c r="N1243" s="72" t="s">
        <v>94</v>
      </c>
      <c r="O1243" s="15"/>
    </row>
    <row r="1244" spans="1:15" ht="15.5" x14ac:dyDescent="0.35">
      <c r="A1244" s="631">
        <v>24</v>
      </c>
      <c r="B1244" s="100" t="s">
        <v>2324</v>
      </c>
      <c r="C1244" s="73">
        <v>0.41499999999999998</v>
      </c>
      <c r="D1244" s="2169" t="s">
        <v>470</v>
      </c>
      <c r="E1244" s="1801">
        <v>2001123043118</v>
      </c>
      <c r="F1244" s="32">
        <v>1</v>
      </c>
      <c r="G1244" s="6">
        <v>4086.7</v>
      </c>
      <c r="H1244" s="6">
        <v>4089.5</v>
      </c>
      <c r="I1244" s="20">
        <f t="shared" si="42"/>
        <v>2.8000000000001819</v>
      </c>
      <c r="J1244" s="616">
        <v>160</v>
      </c>
      <c r="K1244" s="703"/>
      <c r="L1244" s="22">
        <f t="shared" si="44"/>
        <v>448.0000000000291</v>
      </c>
      <c r="M1244" s="22"/>
      <c r="N1244" s="72" t="s">
        <v>94</v>
      </c>
      <c r="O1244" s="15"/>
    </row>
    <row r="1245" spans="1:15" ht="28" x14ac:dyDescent="0.35">
      <c r="A1245" s="636"/>
      <c r="B1245" s="96"/>
      <c r="C1245" s="90"/>
      <c r="D1245" s="90"/>
      <c r="E1245" s="1785"/>
      <c r="F1245" s="38"/>
      <c r="G1245" s="38"/>
      <c r="H1245" s="38"/>
      <c r="I1245" s="38"/>
      <c r="J1245" s="53" t="s">
        <v>44</v>
      </c>
      <c r="K1245" s="43">
        <f>K1230</f>
        <v>12621599.999999991</v>
      </c>
      <c r="L1245" s="43">
        <f>SUM(L1232:L1244)</f>
        <v>12654433.000000004</v>
      </c>
      <c r="M1245" s="43">
        <f>SUM(M1232:M1244)</f>
        <v>0</v>
      </c>
      <c r="N1245" s="84">
        <f>(M1245-L1245)/L1245*100</f>
        <v>-100</v>
      </c>
      <c r="O1245" s="29"/>
    </row>
    <row r="1247" spans="1:15" ht="15" x14ac:dyDescent="0.35">
      <c r="A1247" s="620"/>
      <c r="B1247" s="635"/>
      <c r="C1247" s="632"/>
      <c r="D1247" s="720"/>
      <c r="F1247" s="2092" t="s">
        <v>1099</v>
      </c>
      <c r="G1247" s="2092"/>
      <c r="H1247" s="2092"/>
      <c r="I1247" s="677" t="s">
        <v>14</v>
      </c>
      <c r="J1247" s="620"/>
      <c r="K1247" s="702"/>
      <c r="L1247" s="620"/>
      <c r="M1247" s="620"/>
      <c r="N1247" s="635"/>
      <c r="O1247" s="620"/>
    </row>
    <row r="1248" spans="1:15" ht="15.5" x14ac:dyDescent="0.35">
      <c r="A1248" s="620"/>
      <c r="B1248" s="635"/>
      <c r="C1248" s="632"/>
      <c r="D1248" s="720"/>
      <c r="F1248" s="2153" t="s">
        <v>232</v>
      </c>
      <c r="G1248" s="2154"/>
      <c r="H1248" s="2155"/>
      <c r="I1248" s="643">
        <f>SUM(M1232:M1233,M1236)</f>
        <v>0</v>
      </c>
      <c r="J1248" s="620"/>
      <c r="K1248" s="702"/>
      <c r="L1248" s="620"/>
      <c r="M1248" s="620"/>
      <c r="N1248" s="635"/>
      <c r="O1248" s="620" t="s">
        <v>237</v>
      </c>
    </row>
    <row r="1249" spans="1:15" ht="15.5" x14ac:dyDescent="0.35">
      <c r="A1249" s="620"/>
      <c r="B1249" s="635"/>
      <c r="C1249" s="632"/>
      <c r="D1249" s="720"/>
      <c r="F1249" s="2153" t="s">
        <v>268</v>
      </c>
      <c r="G1249" s="2154"/>
      <c r="H1249" s="2155"/>
      <c r="I1249" s="643">
        <f>SUM(M1234:M1235,M1237,M1241,M1242,M1244)</f>
        <v>0</v>
      </c>
      <c r="J1249" s="620"/>
      <c r="K1249" s="702"/>
      <c r="L1249" s="620"/>
      <c r="M1249" s="620"/>
      <c r="N1249" s="635"/>
      <c r="O1249" s="620"/>
    </row>
    <row r="1250" spans="1:15" ht="16" thickBot="1" x14ac:dyDescent="0.4">
      <c r="A1250" s="620"/>
      <c r="B1250" s="635"/>
      <c r="C1250" s="632"/>
      <c r="D1250" s="720"/>
      <c r="F1250" s="2153" t="s">
        <v>269</v>
      </c>
      <c r="G1250" s="2154"/>
      <c r="H1250" s="2155"/>
      <c r="I1250" s="643">
        <f>SUM(M1238,M1243)</f>
        <v>0</v>
      </c>
      <c r="J1250" s="620"/>
      <c r="K1250" s="702"/>
      <c r="L1250" s="620"/>
      <c r="M1250" s="620"/>
      <c r="N1250" s="635"/>
      <c r="O1250" s="620"/>
    </row>
    <row r="1251" spans="1:15" ht="20.5" thickBot="1" x14ac:dyDescent="0.4">
      <c r="A1251" s="620"/>
      <c r="B1251" s="635"/>
      <c r="C1251" s="632"/>
      <c r="D1251" s="720"/>
      <c r="E1251" s="1788"/>
      <c r="F1251" s="2156" t="s">
        <v>210</v>
      </c>
      <c r="G1251" s="2156"/>
      <c r="H1251" s="2156"/>
      <c r="I1251" s="656">
        <f>SUM(I1248:I1250)</f>
        <v>0</v>
      </c>
      <c r="J1251" s="682">
        <f>I1251-M1245</f>
        <v>0</v>
      </c>
      <c r="K1251" s="702"/>
      <c r="L1251" s="620"/>
      <c r="M1251" s="620"/>
      <c r="N1251" s="635"/>
      <c r="O1251" s="620"/>
    </row>
    <row r="1263" spans="1:15" x14ac:dyDescent="0.35">
      <c r="A1263" s="620"/>
      <c r="B1263" s="635"/>
      <c r="C1263" s="632"/>
      <c r="D1263" s="720"/>
      <c r="E1263" s="1788"/>
      <c r="F1263" s="620"/>
      <c r="G1263" s="620"/>
      <c r="H1263" s="620"/>
      <c r="I1263" s="620"/>
      <c r="J1263" s="620"/>
      <c r="K1263" s="702"/>
      <c r="L1263" s="620"/>
      <c r="M1263" s="620"/>
      <c r="N1263" s="635"/>
      <c r="O1263" s="620"/>
    </row>
    <row r="1264" spans="1:15" x14ac:dyDescent="0.35">
      <c r="A1264" s="620"/>
      <c r="B1264" s="635"/>
      <c r="C1264" s="632"/>
      <c r="D1264" s="720"/>
      <c r="E1264" s="1788"/>
      <c r="F1264" s="620"/>
      <c r="G1264" s="620"/>
      <c r="H1264" s="620"/>
      <c r="I1264" s="620"/>
      <c r="J1264" s="620"/>
      <c r="K1264" s="702"/>
      <c r="L1264" s="620"/>
      <c r="M1264" s="620"/>
      <c r="N1264" s="635"/>
      <c r="O1264" s="620"/>
    </row>
    <row r="1265" spans="1:15" ht="25" x14ac:dyDescent="0.35">
      <c r="A1265" s="46"/>
      <c r="B1265" s="2152" t="s">
        <v>2498</v>
      </c>
      <c r="C1265" s="2152" t="s">
        <v>2498</v>
      </c>
      <c r="D1265" s="2152" t="s">
        <v>2498</v>
      </c>
      <c r="E1265" s="2152" t="s">
        <v>2498</v>
      </c>
      <c r="F1265" s="2152" t="s">
        <v>2498</v>
      </c>
      <c r="G1265" s="2152" t="s">
        <v>2498</v>
      </c>
      <c r="H1265" s="2152" t="s">
        <v>2498</v>
      </c>
      <c r="I1265" s="2152" t="s">
        <v>2498</v>
      </c>
      <c r="J1265" s="2152" t="s">
        <v>2498</v>
      </c>
      <c r="K1265" s="2152" t="s">
        <v>2498</v>
      </c>
      <c r="L1265" s="2152" t="s">
        <v>2498</v>
      </c>
      <c r="M1265" s="2152" t="s">
        <v>2498</v>
      </c>
      <c r="N1265" s="1967"/>
      <c r="O1265" s="28"/>
    </row>
    <row r="1266" spans="1:15" x14ac:dyDescent="0.35">
      <c r="A1266" s="620"/>
      <c r="B1266" s="635"/>
      <c r="C1266" s="632"/>
      <c r="D1266" s="720"/>
      <c r="E1266" s="1788"/>
      <c r="F1266" s="620"/>
      <c r="G1266" s="620"/>
      <c r="H1266" s="620"/>
      <c r="I1266" s="620"/>
      <c r="J1266" s="620"/>
      <c r="K1266" s="702"/>
      <c r="L1266" s="620"/>
      <c r="M1266" s="620"/>
      <c r="N1266" s="635"/>
      <c r="O1266" s="620"/>
    </row>
    <row r="1267" spans="1:15" x14ac:dyDescent="0.35">
      <c r="A1267" s="620"/>
      <c r="B1267" s="635"/>
      <c r="C1267" s="632"/>
      <c r="D1267" s="720"/>
      <c r="E1267" s="1788"/>
      <c r="F1267" s="620"/>
      <c r="G1267" s="620"/>
      <c r="H1267" s="620"/>
      <c r="I1267" s="620"/>
      <c r="J1267" s="620"/>
      <c r="K1267" s="702"/>
      <c r="L1267" s="620"/>
      <c r="M1267" s="620"/>
      <c r="N1267" s="635"/>
      <c r="O1267" s="620"/>
    </row>
    <row r="1268" spans="1:15" ht="25" x14ac:dyDescent="0.35">
      <c r="A1268" s="2095" t="s">
        <v>1205</v>
      </c>
      <c r="B1268" s="2095"/>
      <c r="C1268" s="2095"/>
      <c r="D1268" s="2095"/>
      <c r="E1268" s="2095"/>
      <c r="F1268" s="2095"/>
      <c r="G1268" s="2095"/>
      <c r="H1268" s="2095"/>
      <c r="I1268" s="2095"/>
      <c r="J1268" s="2095"/>
      <c r="K1268" s="2095"/>
      <c r="L1268" s="2095"/>
      <c r="M1268" s="2095"/>
      <c r="N1268" s="2095"/>
      <c r="O1268" s="756" t="e">
        <f>#REF!</f>
        <v>#REF!</v>
      </c>
    </row>
    <row r="1269" spans="1:15" ht="15.5" x14ac:dyDescent="0.35">
      <c r="A1269" s="2096" t="s">
        <v>0</v>
      </c>
      <c r="B1269" s="2098" t="s">
        <v>1</v>
      </c>
      <c r="C1269" s="2100" t="s">
        <v>2</v>
      </c>
      <c r="D1269" s="2101"/>
      <c r="E1269" s="2102"/>
      <c r="F1269" s="2103" t="s">
        <v>3</v>
      </c>
      <c r="G1269" s="2100" t="s">
        <v>4</v>
      </c>
      <c r="H1269" s="2102"/>
      <c r="I1269" s="2085"/>
      <c r="J1269" s="2103" t="s">
        <v>5</v>
      </c>
      <c r="K1269" s="2100" t="s">
        <v>6</v>
      </c>
      <c r="L1269" s="2102"/>
      <c r="M1269" s="97" t="s">
        <v>1088</v>
      </c>
      <c r="N1269" s="98"/>
      <c r="O1269" s="2084" t="s">
        <v>7</v>
      </c>
    </row>
    <row r="1270" spans="1:15" ht="15.5" x14ac:dyDescent="0.35">
      <c r="A1270" s="2097"/>
      <c r="B1270" s="2099"/>
      <c r="C1270" s="2086" t="s">
        <v>1108</v>
      </c>
      <c r="D1270" s="2087"/>
      <c r="E1270" s="1810" t="s">
        <v>9</v>
      </c>
      <c r="F1270" s="2097"/>
      <c r="G1270" s="2">
        <f>'NORTH-1'!$G$8</f>
        <v>44774</v>
      </c>
      <c r="H1270" s="2">
        <f>'NORTH-1'!$H$8</f>
        <v>44805</v>
      </c>
      <c r="I1270" s="1" t="s">
        <v>10</v>
      </c>
      <c r="J1270" s="2097"/>
      <c r="K1270" s="1" t="s">
        <v>11</v>
      </c>
      <c r="L1270" s="1" t="s">
        <v>12</v>
      </c>
      <c r="M1270" s="617" t="s">
        <v>33</v>
      </c>
      <c r="N1270" s="76" t="s">
        <v>47</v>
      </c>
      <c r="O1270" s="2085"/>
    </row>
    <row r="1271" spans="1:15" ht="15.5" x14ac:dyDescent="0.35">
      <c r="A1271" s="3">
        <v>1</v>
      </c>
      <c r="B1271" s="88">
        <v>2</v>
      </c>
      <c r="C1271" s="2088">
        <v>4</v>
      </c>
      <c r="D1271" s="2089"/>
      <c r="E1271" s="1811">
        <v>5</v>
      </c>
      <c r="F1271" s="3">
        <v>7</v>
      </c>
      <c r="G1271" s="3">
        <v>8</v>
      </c>
      <c r="H1271" s="3">
        <v>9</v>
      </c>
      <c r="I1271" s="3" t="s">
        <v>13</v>
      </c>
      <c r="J1271" s="3">
        <v>11</v>
      </c>
      <c r="K1271" s="3" t="s">
        <v>19</v>
      </c>
      <c r="L1271" s="3" t="s">
        <v>20</v>
      </c>
      <c r="M1271" s="3">
        <v>14</v>
      </c>
      <c r="N1271" s="77">
        <v>15</v>
      </c>
      <c r="O1271" s="3">
        <v>16</v>
      </c>
    </row>
    <row r="1272" spans="1:15" ht="15.5" x14ac:dyDescent="0.35">
      <c r="A1272" s="11"/>
      <c r="B1272" s="624" t="s">
        <v>1112</v>
      </c>
      <c r="C1272" s="625"/>
      <c r="D1272" s="625"/>
      <c r="E1272" s="1834"/>
      <c r="F1272" s="625"/>
      <c r="G1272" s="625"/>
      <c r="H1272" s="625"/>
      <c r="I1272" s="625"/>
      <c r="J1272" s="625"/>
      <c r="K1272" s="695"/>
      <c r="L1272" s="625"/>
      <c r="M1272" s="626"/>
      <c r="N1272" s="1972"/>
      <c r="O1272" s="8"/>
    </row>
    <row r="1273" spans="1:15" ht="15.75" customHeight="1" x14ac:dyDescent="0.35">
      <c r="A1273" s="631">
        <v>1</v>
      </c>
      <c r="B1273" s="100" t="s">
        <v>2325</v>
      </c>
      <c r="C1273" s="52">
        <v>132</v>
      </c>
      <c r="D1273" s="735" t="s">
        <v>326</v>
      </c>
      <c r="E1273" s="1835" t="s">
        <v>2326</v>
      </c>
      <c r="F1273" s="4">
        <v>1</v>
      </c>
      <c r="G1273" s="5">
        <v>0</v>
      </c>
      <c r="H1273" s="5">
        <v>0</v>
      </c>
      <c r="I1273" s="5">
        <f t="shared" ref="I1273:I1288" si="45">H1273-G1273</f>
        <v>0</v>
      </c>
      <c r="J1273" s="616">
        <v>1200000</v>
      </c>
      <c r="K1273" s="696">
        <f>F1273*I1273*J1273</f>
        <v>0</v>
      </c>
      <c r="L1273" s="7"/>
      <c r="M1273" s="7"/>
      <c r="N1273" s="1428"/>
      <c r="O1273" s="616"/>
    </row>
    <row r="1274" spans="1:15" ht="15.5" x14ac:dyDescent="0.35">
      <c r="A1274" s="631"/>
      <c r="B1274" s="100"/>
      <c r="C1274" s="52">
        <v>132</v>
      </c>
      <c r="D1274" s="735"/>
      <c r="E1274" s="1836" t="s">
        <v>2327</v>
      </c>
      <c r="F1274" s="4">
        <v>1</v>
      </c>
      <c r="G1274" s="5">
        <v>0</v>
      </c>
      <c r="H1274" s="5">
        <v>0</v>
      </c>
      <c r="I1274" s="5">
        <f t="shared" si="45"/>
        <v>0</v>
      </c>
      <c r="J1274" s="616">
        <v>1200000</v>
      </c>
      <c r="K1274" s="696">
        <f>F1274*I1274*J1274</f>
        <v>0</v>
      </c>
      <c r="L1274" s="7"/>
      <c r="M1274" s="7"/>
      <c r="N1274" s="1428"/>
      <c r="O1274" s="616"/>
    </row>
    <row r="1275" spans="1:15" ht="15.5" x14ac:dyDescent="0.35">
      <c r="A1275" s="631">
        <v>2</v>
      </c>
      <c r="B1275" s="100" t="s">
        <v>2328</v>
      </c>
      <c r="C1275" s="52">
        <v>132</v>
      </c>
      <c r="D1275" s="735" t="s">
        <v>326</v>
      </c>
      <c r="E1275" s="1836" t="s">
        <v>2329</v>
      </c>
      <c r="F1275" s="4">
        <v>1</v>
      </c>
      <c r="G1275" s="5">
        <v>0</v>
      </c>
      <c r="H1275" s="5">
        <v>0</v>
      </c>
      <c r="I1275" s="5">
        <f t="shared" si="45"/>
        <v>0</v>
      </c>
      <c r="J1275" s="616">
        <v>1200000</v>
      </c>
      <c r="K1275" s="696">
        <f>F1275*I1275*J1275</f>
        <v>0</v>
      </c>
      <c r="L1275" s="7"/>
      <c r="M1275" s="7"/>
      <c r="N1275" s="1428"/>
      <c r="O1275" s="616"/>
    </row>
    <row r="1276" spans="1:15" ht="15.5" x14ac:dyDescent="0.35">
      <c r="A1276" s="631"/>
      <c r="B1276" s="100"/>
      <c r="C1276" s="52">
        <v>132</v>
      </c>
      <c r="D1276" s="735"/>
      <c r="E1276" s="1836" t="s">
        <v>2330</v>
      </c>
      <c r="F1276" s="4">
        <v>1</v>
      </c>
      <c r="G1276" s="5">
        <v>0</v>
      </c>
      <c r="H1276" s="5">
        <v>0</v>
      </c>
      <c r="I1276" s="5">
        <f t="shared" si="45"/>
        <v>0</v>
      </c>
      <c r="J1276" s="616">
        <v>1200000</v>
      </c>
      <c r="K1276" s="696">
        <f>F1276*I1276*J1276</f>
        <v>0</v>
      </c>
      <c r="L1276" s="7"/>
      <c r="M1276" s="7"/>
      <c r="N1276" s="1428"/>
      <c r="O1276" s="616"/>
    </row>
    <row r="1277" spans="1:15" ht="15.5" x14ac:dyDescent="0.35">
      <c r="A1277" s="631">
        <v>3</v>
      </c>
      <c r="B1277" s="100" t="s">
        <v>2331</v>
      </c>
      <c r="C1277" s="52">
        <v>132</v>
      </c>
      <c r="D1277" s="735" t="s">
        <v>339</v>
      </c>
      <c r="E1277" s="1836" t="s">
        <v>2332</v>
      </c>
      <c r="F1277" s="4">
        <v>1</v>
      </c>
      <c r="G1277" s="5">
        <v>129.62</v>
      </c>
      <c r="H1277" s="5">
        <v>145.82</v>
      </c>
      <c r="I1277" s="5">
        <f t="shared" si="45"/>
        <v>16.199999999999989</v>
      </c>
      <c r="J1277" s="616">
        <v>1200000</v>
      </c>
      <c r="K1277" s="696">
        <f>F1277*I1277*J1277</f>
        <v>19439999.999999985</v>
      </c>
      <c r="L1277" s="7"/>
      <c r="M1277" s="7"/>
      <c r="N1277" s="1428"/>
      <c r="O1277" s="616"/>
    </row>
    <row r="1278" spans="1:15" ht="15.5" x14ac:dyDescent="0.35">
      <c r="A1278" s="631"/>
      <c r="B1278" s="100"/>
      <c r="C1278" s="52">
        <v>132</v>
      </c>
      <c r="D1278" s="735"/>
      <c r="E1278" s="1836" t="s">
        <v>2333</v>
      </c>
      <c r="F1278" s="4">
        <v>3</v>
      </c>
      <c r="G1278" s="5">
        <v>42.74</v>
      </c>
      <c r="H1278" s="5">
        <v>48.1</v>
      </c>
      <c r="I1278" s="5">
        <f t="shared" si="45"/>
        <v>5.3599999999999994</v>
      </c>
      <c r="J1278" s="616">
        <v>1200000</v>
      </c>
      <c r="K1278" s="696">
        <f t="shared" ref="K1278:K1288" si="46">F1278*I1278*J1278</f>
        <v>19295999.999999996</v>
      </c>
      <c r="L1278" s="7"/>
      <c r="M1278" s="7"/>
      <c r="N1278" s="1428"/>
      <c r="O1278" s="616"/>
    </row>
    <row r="1279" spans="1:15" ht="15.5" x14ac:dyDescent="0.35">
      <c r="A1279" s="631">
        <v>5</v>
      </c>
      <c r="B1279" s="100" t="s">
        <v>2336</v>
      </c>
      <c r="C1279" s="52">
        <v>132</v>
      </c>
      <c r="D1279" s="735" t="s">
        <v>326</v>
      </c>
      <c r="E1279" s="1836" t="s">
        <v>2337</v>
      </c>
      <c r="F1279" s="4">
        <v>1</v>
      </c>
      <c r="G1279" s="5">
        <v>0.02</v>
      </c>
      <c r="H1279" s="5">
        <v>0.02</v>
      </c>
      <c r="I1279" s="5">
        <f t="shared" si="45"/>
        <v>0</v>
      </c>
      <c r="J1279" s="616">
        <v>1200000</v>
      </c>
      <c r="K1279" s="696">
        <f t="shared" si="46"/>
        <v>0</v>
      </c>
      <c r="L1279" s="7"/>
      <c r="M1279" s="7"/>
      <c r="N1279" s="1428"/>
      <c r="O1279" s="616"/>
    </row>
    <row r="1280" spans="1:15" ht="15.5" x14ac:dyDescent="0.35">
      <c r="A1280" s="631"/>
      <c r="B1280" s="100"/>
      <c r="C1280" s="52">
        <v>132</v>
      </c>
      <c r="D1280" s="735"/>
      <c r="E1280" s="1836" t="s">
        <v>2338</v>
      </c>
      <c r="F1280" s="4">
        <v>1</v>
      </c>
      <c r="G1280" s="5">
        <v>0.02</v>
      </c>
      <c r="H1280" s="5">
        <v>0.02</v>
      </c>
      <c r="I1280" s="5">
        <f t="shared" si="45"/>
        <v>0</v>
      </c>
      <c r="J1280" s="616">
        <v>1200000</v>
      </c>
      <c r="K1280" s="696">
        <f t="shared" si="46"/>
        <v>0</v>
      </c>
      <c r="L1280" s="7"/>
      <c r="M1280" s="7"/>
      <c r="N1280" s="1428"/>
      <c r="O1280" s="616"/>
    </row>
    <row r="1281" spans="1:15" ht="15.5" x14ac:dyDescent="0.35">
      <c r="A1281" s="631">
        <v>6</v>
      </c>
      <c r="B1281" s="100" t="s">
        <v>2339</v>
      </c>
      <c r="C1281" s="52">
        <v>132</v>
      </c>
      <c r="D1281" s="735" t="s">
        <v>339</v>
      </c>
      <c r="E1281" s="1836" t="s">
        <v>2340</v>
      </c>
      <c r="F1281" s="4">
        <v>1</v>
      </c>
      <c r="G1281" s="5">
        <v>63.41</v>
      </c>
      <c r="H1281" s="5">
        <v>63.41</v>
      </c>
      <c r="I1281" s="5">
        <f t="shared" si="45"/>
        <v>0</v>
      </c>
      <c r="J1281" s="616">
        <v>1200000</v>
      </c>
      <c r="K1281" s="696">
        <f t="shared" si="46"/>
        <v>0</v>
      </c>
      <c r="L1281" s="7"/>
      <c r="M1281" s="7"/>
      <c r="N1281" s="1428"/>
      <c r="O1281" s="616"/>
    </row>
    <row r="1282" spans="1:15" ht="15.5" x14ac:dyDescent="0.35">
      <c r="A1282" s="631"/>
      <c r="B1282" s="100"/>
      <c r="C1282" s="52">
        <v>132</v>
      </c>
      <c r="D1282" s="735"/>
      <c r="E1282" s="1836" t="s">
        <v>2341</v>
      </c>
      <c r="F1282" s="4">
        <v>1</v>
      </c>
      <c r="G1282" s="5">
        <v>63.41</v>
      </c>
      <c r="H1282" s="5">
        <v>63.41</v>
      </c>
      <c r="I1282" s="5">
        <f t="shared" si="45"/>
        <v>0</v>
      </c>
      <c r="J1282" s="616">
        <v>1200000</v>
      </c>
      <c r="K1282" s="696">
        <f t="shared" si="46"/>
        <v>0</v>
      </c>
      <c r="L1282" s="7"/>
      <c r="M1282" s="7"/>
      <c r="N1282" s="1428"/>
      <c r="O1282" s="616"/>
    </row>
    <row r="1283" spans="1:15" ht="15.5" x14ac:dyDescent="0.35">
      <c r="A1283" s="631">
        <v>8</v>
      </c>
      <c r="B1283" s="100" t="s">
        <v>2344</v>
      </c>
      <c r="C1283" s="52">
        <v>132</v>
      </c>
      <c r="D1283" s="735" t="s">
        <v>326</v>
      </c>
      <c r="E1283" s="1836" t="s">
        <v>2345</v>
      </c>
      <c r="F1283" s="4">
        <v>1</v>
      </c>
      <c r="G1283" s="5">
        <v>0.02</v>
      </c>
      <c r="H1283" s="5">
        <v>0.02</v>
      </c>
      <c r="I1283" s="5">
        <f t="shared" si="45"/>
        <v>0</v>
      </c>
      <c r="J1283" s="616">
        <v>1200000</v>
      </c>
      <c r="K1283" s="696">
        <f t="shared" si="46"/>
        <v>0</v>
      </c>
      <c r="L1283" s="7"/>
      <c r="M1283" s="7"/>
      <c r="N1283" s="1428"/>
      <c r="O1283" s="616"/>
    </row>
    <row r="1284" spans="1:15" ht="15.5" x14ac:dyDescent="0.35">
      <c r="A1284" s="631"/>
      <c r="B1284" s="100"/>
      <c r="C1284" s="52">
        <v>132</v>
      </c>
      <c r="D1284" s="735"/>
      <c r="E1284" s="1836" t="s">
        <v>2346</v>
      </c>
      <c r="F1284" s="4">
        <v>1</v>
      </c>
      <c r="G1284" s="5">
        <v>0.02</v>
      </c>
      <c r="H1284" s="5">
        <v>0.02</v>
      </c>
      <c r="I1284" s="5">
        <f t="shared" si="45"/>
        <v>0</v>
      </c>
      <c r="J1284" s="616">
        <v>1200000</v>
      </c>
      <c r="K1284" s="696">
        <f t="shared" si="46"/>
        <v>0</v>
      </c>
      <c r="L1284" s="7"/>
      <c r="M1284" s="7"/>
      <c r="N1284" s="1428"/>
      <c r="O1284" s="616"/>
    </row>
    <row r="1285" spans="1:15" ht="15.5" x14ac:dyDescent="0.35">
      <c r="A1285" s="631">
        <v>9</v>
      </c>
      <c r="B1285" s="100" t="s">
        <v>2347</v>
      </c>
      <c r="C1285" s="52">
        <v>132</v>
      </c>
      <c r="D1285" s="735" t="s">
        <v>326</v>
      </c>
      <c r="E1285" s="1836" t="s">
        <v>2348</v>
      </c>
      <c r="F1285" s="4">
        <v>1</v>
      </c>
      <c r="G1285" s="5">
        <v>0.03</v>
      </c>
      <c r="H1285" s="5">
        <v>0.03</v>
      </c>
      <c r="I1285" s="5">
        <f t="shared" si="45"/>
        <v>0</v>
      </c>
      <c r="J1285" s="616">
        <v>1200000</v>
      </c>
      <c r="K1285" s="696">
        <f t="shared" si="46"/>
        <v>0</v>
      </c>
      <c r="L1285" s="7"/>
      <c r="M1285" s="7"/>
      <c r="N1285" s="1428"/>
      <c r="O1285" s="616"/>
    </row>
    <row r="1286" spans="1:15" ht="15.5" x14ac:dyDescent="0.35">
      <c r="A1286" s="631"/>
      <c r="B1286" s="100"/>
      <c r="C1286" s="52">
        <v>132</v>
      </c>
      <c r="D1286" s="735"/>
      <c r="E1286" s="1837" t="s">
        <v>2349</v>
      </c>
      <c r="F1286" s="4">
        <v>1</v>
      </c>
      <c r="G1286" s="5">
        <v>0.03</v>
      </c>
      <c r="H1286" s="5">
        <v>0.03</v>
      </c>
      <c r="I1286" s="5">
        <f t="shared" si="45"/>
        <v>0</v>
      </c>
      <c r="J1286" s="616">
        <v>1200000</v>
      </c>
      <c r="K1286" s="696">
        <f t="shared" si="46"/>
        <v>0</v>
      </c>
      <c r="L1286" s="16"/>
      <c r="M1286" s="16"/>
      <c r="N1286" s="711"/>
      <c r="O1286" s="616"/>
    </row>
    <row r="1287" spans="1:15" ht="27" customHeight="1" x14ac:dyDescent="0.35">
      <c r="A1287" s="631">
        <v>10</v>
      </c>
      <c r="B1287" s="100" t="s">
        <v>2350</v>
      </c>
      <c r="C1287" s="52">
        <v>132</v>
      </c>
      <c r="D1287" s="735" t="s">
        <v>326</v>
      </c>
      <c r="E1287" s="1835" t="s">
        <v>2351</v>
      </c>
      <c r="F1287" s="4">
        <v>1</v>
      </c>
      <c r="G1287" s="5">
        <v>0.03</v>
      </c>
      <c r="H1287" s="5">
        <v>0.03</v>
      </c>
      <c r="I1287" s="5">
        <f t="shared" si="45"/>
        <v>0</v>
      </c>
      <c r="J1287" s="616">
        <v>1200000</v>
      </c>
      <c r="K1287" s="696">
        <f t="shared" si="46"/>
        <v>0</v>
      </c>
      <c r="L1287" s="7"/>
      <c r="M1287" s="7"/>
      <c r="N1287" s="1428"/>
      <c r="O1287" s="616"/>
    </row>
    <row r="1288" spans="1:15" ht="15.5" x14ac:dyDescent="0.35">
      <c r="A1288" s="631"/>
      <c r="B1288" s="100"/>
      <c r="C1288" s="52">
        <v>132</v>
      </c>
      <c r="D1288" s="735"/>
      <c r="E1288" s="1837" t="s">
        <v>2352</v>
      </c>
      <c r="F1288" s="4">
        <v>1</v>
      </c>
      <c r="G1288" s="5">
        <v>0.03</v>
      </c>
      <c r="H1288" s="5">
        <v>0.03</v>
      </c>
      <c r="I1288" s="5">
        <f t="shared" si="45"/>
        <v>0</v>
      </c>
      <c r="J1288" s="616">
        <v>1200000</v>
      </c>
      <c r="K1288" s="696">
        <f t="shared" si="46"/>
        <v>0</v>
      </c>
      <c r="L1288" s="17"/>
      <c r="M1288" s="17"/>
      <c r="N1288" s="1977"/>
      <c r="O1288" s="616"/>
    </row>
    <row r="1289" spans="1:15" ht="15.5" x14ac:dyDescent="0.35">
      <c r="A1289" s="631"/>
      <c r="B1289" s="95"/>
      <c r="C1289" s="89"/>
      <c r="D1289" s="89"/>
      <c r="E1289" s="1784"/>
      <c r="F1289" s="37"/>
      <c r="G1289" s="37"/>
      <c r="H1289" s="37"/>
      <c r="I1289" s="2136" t="s">
        <v>236</v>
      </c>
      <c r="J1289" s="2137"/>
      <c r="K1289" s="698">
        <f>K1277</f>
        <v>19439999.999999985</v>
      </c>
      <c r="L1289" s="94">
        <f>SUM(L1273:L1288)</f>
        <v>0</v>
      </c>
      <c r="M1289" s="94">
        <f>SUM(M1273:M1288)</f>
        <v>0</v>
      </c>
      <c r="N1289" s="1978"/>
      <c r="O1289" s="616"/>
    </row>
    <row r="1290" spans="1:15" ht="15.5" x14ac:dyDescent="0.35">
      <c r="A1290" s="631"/>
      <c r="B1290" s="95"/>
      <c r="C1290" s="89"/>
      <c r="D1290" s="89"/>
      <c r="E1290" s="1784"/>
      <c r="F1290" s="37"/>
      <c r="G1290" s="37"/>
      <c r="H1290" s="37"/>
      <c r="I1290" s="665"/>
      <c r="J1290" s="665" t="s">
        <v>31</v>
      </c>
      <c r="K1290" s="699">
        <f>K1289-L1289</f>
        <v>19439999.999999985</v>
      </c>
      <c r="L1290" s="40"/>
      <c r="M1290" s="41"/>
      <c r="N1290" s="635"/>
      <c r="O1290" s="616"/>
    </row>
    <row r="1291" spans="1:15" ht="15.5" x14ac:dyDescent="0.35">
      <c r="A1291" s="631"/>
      <c r="B1291" s="624" t="s">
        <v>1111</v>
      </c>
      <c r="C1291" s="625"/>
      <c r="D1291" s="625"/>
      <c r="E1291" s="1794"/>
      <c r="F1291" s="625"/>
      <c r="G1291" s="625"/>
      <c r="H1291" s="625"/>
      <c r="I1291" s="625"/>
      <c r="J1291" s="625"/>
      <c r="K1291" s="695"/>
      <c r="L1291" s="625"/>
      <c r="M1291" s="626"/>
      <c r="N1291" s="1972"/>
      <c r="O1291" s="616"/>
    </row>
    <row r="1292" spans="1:15" ht="15.5" x14ac:dyDescent="0.35">
      <c r="A1292" s="631"/>
      <c r="B1292" s="100"/>
      <c r="C1292" s="52"/>
      <c r="D1292" s="2105"/>
      <c r="E1292" s="2165"/>
      <c r="F1292" s="4"/>
      <c r="G1292" s="5"/>
      <c r="H1292" s="5"/>
      <c r="I1292" s="5"/>
      <c r="J1292" s="616"/>
      <c r="K1292" s="696"/>
      <c r="L1292" s="16"/>
      <c r="M1292" s="16"/>
      <c r="N1292" s="711"/>
      <c r="O1292" s="616"/>
    </row>
    <row r="1293" spans="1:15" ht="15.5" x14ac:dyDescent="0.35">
      <c r="A1293" s="631"/>
      <c r="B1293" s="100"/>
      <c r="C1293" s="52"/>
      <c r="D1293" s="2106"/>
      <c r="E1293" s="2166"/>
      <c r="F1293" s="4"/>
      <c r="G1293" s="5"/>
      <c r="H1293" s="5"/>
      <c r="I1293" s="5"/>
      <c r="J1293" s="616"/>
      <c r="K1293" s="696"/>
      <c r="L1293" s="16"/>
      <c r="M1293" s="16"/>
      <c r="N1293" s="711"/>
      <c r="O1293" s="616"/>
    </row>
    <row r="1294" spans="1:15" ht="15.5" x14ac:dyDescent="0.35">
      <c r="A1294" s="631"/>
      <c r="B1294" s="100"/>
      <c r="C1294" s="52"/>
      <c r="D1294" s="2106"/>
      <c r="E1294" s="2165"/>
      <c r="F1294" s="4"/>
      <c r="G1294" s="5"/>
      <c r="H1294" s="5"/>
      <c r="I1294" s="5"/>
      <c r="J1294" s="616"/>
      <c r="K1294" s="696"/>
      <c r="L1294" s="16"/>
      <c r="M1294" s="16"/>
      <c r="N1294" s="711"/>
      <c r="O1294" s="616"/>
    </row>
    <row r="1295" spans="1:15" ht="15.5" x14ac:dyDescent="0.35">
      <c r="A1295" s="631"/>
      <c r="B1295" s="100"/>
      <c r="C1295" s="52"/>
      <c r="D1295" s="2151"/>
      <c r="E1295" s="2166"/>
      <c r="F1295" s="4"/>
      <c r="G1295" s="5"/>
      <c r="H1295" s="5"/>
      <c r="I1295" s="5"/>
      <c r="J1295" s="616"/>
      <c r="K1295" s="696"/>
      <c r="L1295" s="17"/>
      <c r="M1295" s="17"/>
      <c r="N1295" s="1977"/>
      <c r="O1295" s="616"/>
    </row>
    <row r="1296" spans="1:15" ht="15.5" x14ac:dyDescent="0.35">
      <c r="A1296" s="631"/>
      <c r="B1296" s="95"/>
      <c r="C1296" s="89"/>
      <c r="D1296" s="89"/>
      <c r="E1296" s="1784"/>
      <c r="F1296" s="37"/>
      <c r="G1296" s="37"/>
      <c r="H1296" s="37"/>
      <c r="I1296" s="2136" t="s">
        <v>303</v>
      </c>
      <c r="J1296" s="2137"/>
      <c r="K1296" s="698">
        <f>K1294+K1292</f>
        <v>0</v>
      </c>
      <c r="L1296" s="94">
        <f>SUM(L1292:L1295)</f>
        <v>0</v>
      </c>
      <c r="M1296" s="94">
        <f>SUM(M1292:M1295)</f>
        <v>0</v>
      </c>
      <c r="N1296" s="1978"/>
      <c r="O1296" s="633"/>
    </row>
    <row r="1297" spans="1:15" ht="15.5" x14ac:dyDescent="0.35">
      <c r="A1297" s="631"/>
      <c r="B1297" s="95"/>
      <c r="C1297" s="89"/>
      <c r="D1297" s="89"/>
      <c r="E1297" s="1784"/>
      <c r="F1297" s="37"/>
      <c r="G1297" s="37"/>
      <c r="H1297" s="37"/>
      <c r="I1297" s="2136" t="s">
        <v>31</v>
      </c>
      <c r="J1297" s="2137"/>
      <c r="K1297" s="699">
        <f>K1296-L1296</f>
        <v>0</v>
      </c>
      <c r="L1297" s="40"/>
      <c r="M1297" s="42"/>
      <c r="N1297" s="1921"/>
      <c r="O1297" s="633"/>
    </row>
    <row r="1298" spans="1:15" ht="15.5" x14ac:dyDescent="0.35">
      <c r="A1298" s="11"/>
      <c r="B1298" s="647" t="s">
        <v>1115</v>
      </c>
      <c r="C1298" s="648"/>
      <c r="D1298" s="648"/>
      <c r="E1298" s="1800"/>
      <c r="F1298" s="648"/>
      <c r="G1298" s="648"/>
      <c r="H1298" s="648"/>
      <c r="I1298" s="648"/>
      <c r="J1298" s="648"/>
      <c r="K1298" s="700"/>
      <c r="L1298" s="648"/>
      <c r="M1298" s="651"/>
      <c r="N1298" s="1971"/>
      <c r="O1298" s="8"/>
    </row>
    <row r="1299" spans="1:15" ht="15.5" x14ac:dyDescent="0.35">
      <c r="A1299" s="631"/>
      <c r="B1299" s="100" t="s">
        <v>1079</v>
      </c>
      <c r="C1299" s="52">
        <v>132</v>
      </c>
      <c r="D1299" s="2138" t="s">
        <v>1083</v>
      </c>
      <c r="E1299" s="1818"/>
      <c r="F1299" s="4"/>
      <c r="G1299" s="5"/>
      <c r="H1299" s="5"/>
      <c r="I1299" s="5"/>
      <c r="J1299" s="616"/>
      <c r="K1299" s="696"/>
      <c r="L1299" s="16">
        <f>J1299*I1299*F1299</f>
        <v>0</v>
      </c>
      <c r="M1299" s="7"/>
      <c r="N1299" s="1428"/>
      <c r="O1299" s="616"/>
    </row>
    <row r="1300" spans="1:15" ht="15.5" x14ac:dyDescent="0.35">
      <c r="A1300" s="631"/>
      <c r="B1300" s="100" t="s">
        <v>1078</v>
      </c>
      <c r="C1300" s="52">
        <v>132</v>
      </c>
      <c r="D1300" s="2139"/>
      <c r="E1300" s="1818"/>
      <c r="F1300" s="4"/>
      <c r="G1300" s="5"/>
      <c r="H1300" s="5"/>
      <c r="I1300" s="5"/>
      <c r="J1300" s="616"/>
      <c r="K1300" s="696"/>
      <c r="L1300" s="16">
        <f>J1300*I1300*F1300</f>
        <v>0</v>
      </c>
      <c r="M1300" s="16"/>
      <c r="N1300" s="711"/>
      <c r="O1300" s="616"/>
    </row>
    <row r="1301" spans="1:15" ht="15.5" x14ac:dyDescent="0.35">
      <c r="A1301" s="631"/>
      <c r="B1301" s="95"/>
      <c r="C1301" s="89"/>
      <c r="D1301" s="89"/>
      <c r="E1301" s="1784"/>
      <c r="F1301" s="37"/>
      <c r="G1301" s="37"/>
      <c r="H1301" s="37"/>
      <c r="I1301" s="37"/>
      <c r="J1301" s="95" t="s">
        <v>279</v>
      </c>
      <c r="K1301" s="699"/>
      <c r="L1301" s="55">
        <f>SUM(L1299:L1300)</f>
        <v>0</v>
      </c>
      <c r="M1301" s="633"/>
      <c r="N1301" s="1921"/>
      <c r="O1301" s="616"/>
    </row>
    <row r="1302" spans="1:15" ht="15.5" x14ac:dyDescent="0.35">
      <c r="A1302" s="11"/>
      <c r="B1302" s="647" t="s">
        <v>1101</v>
      </c>
      <c r="C1302" s="648"/>
      <c r="D1302" s="648"/>
      <c r="E1302" s="1800"/>
      <c r="F1302" s="648"/>
      <c r="G1302" s="648"/>
      <c r="H1302" s="648"/>
      <c r="I1302" s="648"/>
      <c r="J1302" s="648"/>
      <c r="K1302" s="700"/>
      <c r="L1302" s="648"/>
      <c r="M1302" s="651"/>
      <c r="N1302" s="1971"/>
      <c r="O1302" s="8"/>
    </row>
    <row r="1303" spans="1:15" ht="15.5" x14ac:dyDescent="0.35">
      <c r="A1303" s="631">
        <v>4</v>
      </c>
      <c r="B1303" s="100" t="s">
        <v>2052</v>
      </c>
      <c r="C1303" s="52">
        <v>132</v>
      </c>
      <c r="D1303" s="2105" t="s">
        <v>326</v>
      </c>
      <c r="E1303" s="2165" t="s">
        <v>2334</v>
      </c>
      <c r="F1303" s="4">
        <v>1</v>
      </c>
      <c r="G1303" s="5">
        <v>87.73</v>
      </c>
      <c r="H1303" s="5">
        <v>96.44</v>
      </c>
      <c r="I1303" s="5">
        <f>H1303-G1303</f>
        <v>8.7099999999999937</v>
      </c>
      <c r="J1303" s="616">
        <v>1200000</v>
      </c>
      <c r="K1303" s="696">
        <f>F1303*I1303*J1303</f>
        <v>10451999.999999993</v>
      </c>
      <c r="L1303" s="22">
        <f>J1303*I1303*F1303</f>
        <v>10451999.999999993</v>
      </c>
      <c r="M1303" s="16"/>
      <c r="N1303" s="711"/>
      <c r="O1303" s="616"/>
    </row>
    <row r="1304" spans="1:15" ht="15.5" x14ac:dyDescent="0.35">
      <c r="A1304" s="631"/>
      <c r="B1304" s="100"/>
      <c r="C1304" s="52">
        <v>132</v>
      </c>
      <c r="D1304" s="2106"/>
      <c r="E1304" s="2166" t="s">
        <v>2335</v>
      </c>
      <c r="F1304" s="4">
        <v>1</v>
      </c>
      <c r="G1304" s="5">
        <v>87.66</v>
      </c>
      <c r="H1304" s="5">
        <v>96.37</v>
      </c>
      <c r="I1304" s="5">
        <f>H1304-G1304</f>
        <v>8.710000000000008</v>
      </c>
      <c r="J1304" s="616">
        <v>1200000</v>
      </c>
      <c r="K1304" s="696">
        <f>F1304*I1304*J1304</f>
        <v>10452000.000000009</v>
      </c>
      <c r="L1304" s="22">
        <f>J1304*I1304*F1304</f>
        <v>10452000.000000009</v>
      </c>
      <c r="M1304" s="16"/>
      <c r="N1304" s="711"/>
      <c r="O1304" s="616"/>
    </row>
    <row r="1305" spans="1:15" ht="15.5" x14ac:dyDescent="0.35">
      <c r="A1305" s="631">
        <v>7</v>
      </c>
      <c r="B1305" s="100" t="s">
        <v>2061</v>
      </c>
      <c r="C1305" s="52">
        <v>132</v>
      </c>
      <c r="D1305" s="2106" t="s">
        <v>326</v>
      </c>
      <c r="E1305" s="2165" t="s">
        <v>2342</v>
      </c>
      <c r="F1305" s="4">
        <v>1</v>
      </c>
      <c r="G1305" s="5">
        <v>105.28</v>
      </c>
      <c r="H1305" s="5">
        <v>112.76</v>
      </c>
      <c r="I1305" s="5">
        <f>H1305-G1305</f>
        <v>7.480000000000004</v>
      </c>
      <c r="J1305" s="616">
        <v>1200000</v>
      </c>
      <c r="K1305" s="696">
        <f>F1305*I1305*J1305</f>
        <v>8976000.0000000056</v>
      </c>
      <c r="L1305" s="22">
        <f>J1305*I1305*F1305</f>
        <v>8976000.0000000056</v>
      </c>
      <c r="M1305" s="16"/>
      <c r="N1305" s="711"/>
      <c r="O1305" s="616"/>
    </row>
    <row r="1306" spans="1:15" ht="15.5" x14ac:dyDescent="0.35">
      <c r="A1306" s="631"/>
      <c r="B1306" s="100"/>
      <c r="C1306" s="52">
        <v>132</v>
      </c>
      <c r="D1306" s="2151"/>
      <c r="E1306" s="2166" t="s">
        <v>2343</v>
      </c>
      <c r="F1306" s="4">
        <v>1</v>
      </c>
      <c r="G1306" s="5">
        <v>105.33</v>
      </c>
      <c r="H1306" s="5">
        <v>112.81</v>
      </c>
      <c r="I1306" s="5">
        <f>H1306-G1306</f>
        <v>7.480000000000004</v>
      </c>
      <c r="J1306" s="616">
        <v>1200000</v>
      </c>
      <c r="K1306" s="696">
        <f>F1306*I1306*J1306</f>
        <v>8976000.0000000056</v>
      </c>
      <c r="L1306" s="22">
        <f>J1306*I1306*F1306</f>
        <v>8976000.0000000056</v>
      </c>
      <c r="M1306" s="17"/>
      <c r="N1306" s="1977"/>
      <c r="O1306" s="616"/>
    </row>
    <row r="1307" spans="1:15" ht="15.5" x14ac:dyDescent="0.35">
      <c r="A1307" s="631"/>
      <c r="B1307" s="95"/>
      <c r="C1307" s="89"/>
      <c r="D1307" s="89"/>
      <c r="E1307" s="1787"/>
      <c r="F1307" s="65"/>
      <c r="G1307" s="65"/>
      <c r="H1307" s="65"/>
      <c r="I1307" s="65"/>
      <c r="J1307" s="95" t="s">
        <v>30</v>
      </c>
      <c r="K1307" s="701"/>
      <c r="L1307" s="699">
        <f>L1305+L1303</f>
        <v>19428000</v>
      </c>
      <c r="M1307" s="55"/>
      <c r="N1307" s="1428"/>
      <c r="O1307" s="616"/>
    </row>
    <row r="1308" spans="1:15" ht="15" thickBot="1" x14ac:dyDescent="0.4">
      <c r="A1308" s="620"/>
      <c r="B1308" s="635"/>
      <c r="C1308" s="632"/>
      <c r="D1308" s="720"/>
      <c r="K1308" s="702"/>
      <c r="L1308" s="620"/>
      <c r="M1308" s="620"/>
      <c r="N1308" s="635"/>
      <c r="O1308" s="620"/>
    </row>
    <row r="1309" spans="1:15" s="620" customFormat="1" x14ac:dyDescent="0.35">
      <c r="B1309" s="2142" t="s">
        <v>1090</v>
      </c>
      <c r="C1309" s="2143"/>
      <c r="D1309" s="683" t="s">
        <v>14</v>
      </c>
      <c r="E1309"/>
      <c r="F1309" s="2144" t="s">
        <v>1091</v>
      </c>
      <c r="G1309" s="2145"/>
      <c r="H1309" s="2146"/>
      <c r="I1309" s="683" t="s">
        <v>14</v>
      </c>
      <c r="K1309" s="2147" t="s">
        <v>1092</v>
      </c>
      <c r="L1309" s="2148"/>
      <c r="M1309" s="684" t="s">
        <v>14</v>
      </c>
      <c r="N1309" s="635"/>
    </row>
    <row r="1310" spans="1:15" s="620" customFormat="1" x14ac:dyDescent="0.35">
      <c r="B1310" s="2122" t="str">
        <f>B1272</f>
        <v>RAMPURA 132 KV SIDE (TARIFF POINT)</v>
      </c>
      <c r="C1310" s="2123"/>
      <c r="D1310" s="689">
        <f>K1290</f>
        <v>19439999.999999985</v>
      </c>
      <c r="E1310"/>
      <c r="F1310" s="2124" t="s">
        <v>1093</v>
      </c>
      <c r="G1310" s="2125"/>
      <c r="H1310" s="2126"/>
      <c r="I1310" s="689">
        <f>L1301</f>
        <v>0</v>
      </c>
      <c r="K1310" s="2129" t="s">
        <v>4625</v>
      </c>
      <c r="L1310" s="2130"/>
      <c r="M1310" s="687">
        <f>I1311</f>
        <v>19428000</v>
      </c>
      <c r="N1310" s="635"/>
    </row>
    <row r="1311" spans="1:15" s="620" customFormat="1" x14ac:dyDescent="0.35">
      <c r="B1311" s="2122" t="s">
        <v>1116</v>
      </c>
      <c r="C1311" s="2123"/>
      <c r="D1311" s="689"/>
      <c r="E1311"/>
      <c r="F1311" s="2124" t="s">
        <v>4625</v>
      </c>
      <c r="G1311" s="2125"/>
      <c r="H1311" s="2126"/>
      <c r="I1311" s="687">
        <f>L1307</f>
        <v>19428000</v>
      </c>
      <c r="K1311" s="2127" t="s">
        <v>2455</v>
      </c>
      <c r="L1311" s="2128"/>
      <c r="M1311" s="1908">
        <f>D1315</f>
        <v>19310400.000000015</v>
      </c>
      <c r="N1311" s="635"/>
    </row>
    <row r="1312" spans="1:15" s="620" customFormat="1" x14ac:dyDescent="0.35">
      <c r="B1312" s="2122" t="s">
        <v>1117</v>
      </c>
      <c r="C1312" s="2123"/>
      <c r="D1312" s="689"/>
      <c r="E1312"/>
      <c r="F1312" s="2124" t="s">
        <v>1089</v>
      </c>
      <c r="G1312" s="2125"/>
      <c r="H1312" s="2126"/>
      <c r="I1312" s="689">
        <f>I1310+I1311</f>
        <v>19428000</v>
      </c>
      <c r="K1312" s="2129" t="s">
        <v>4622</v>
      </c>
      <c r="L1312" s="2130"/>
      <c r="M1312" s="689">
        <f>M1310-M1311</f>
        <v>117599.9999999851</v>
      </c>
      <c r="N1312" s="635"/>
    </row>
    <row r="1313" spans="1:15" s="620" customFormat="1" ht="15" thickBot="1" x14ac:dyDescent="0.4">
      <c r="B1313" s="2122" t="s">
        <v>1118</v>
      </c>
      <c r="C1313" s="2123"/>
      <c r="D1313" s="722"/>
      <c r="E1313"/>
      <c r="F1313" s="2131" t="s">
        <v>4626</v>
      </c>
      <c r="G1313" s="2132"/>
      <c r="H1313" s="2133"/>
      <c r="I1313" s="689">
        <f>D1314-I1312</f>
        <v>11999.999999985099</v>
      </c>
      <c r="K1313" s="2134" t="s">
        <v>285</v>
      </c>
      <c r="L1313" s="2135"/>
      <c r="M1313" s="1905">
        <f>M1312/M1310</f>
        <v>6.0531192093877442E-3</v>
      </c>
      <c r="N1313" s="635"/>
    </row>
    <row r="1314" spans="1:15" s="620" customFormat="1" ht="15" thickBot="1" x14ac:dyDescent="0.4">
      <c r="B1314" s="2109" t="s">
        <v>4620</v>
      </c>
      <c r="C1314" s="2110"/>
      <c r="D1314" s="1435">
        <f>SUM(D1310:D1313)</f>
        <v>19439999.999999985</v>
      </c>
      <c r="E1314"/>
      <c r="F1314" s="2113" t="s">
        <v>2454</v>
      </c>
      <c r="G1314" s="2114"/>
      <c r="H1314" s="2115"/>
      <c r="I1314" s="1904">
        <f>I1313/I1312</f>
        <v>6.1766522544704026E-4</v>
      </c>
      <c r="K1314" s="702"/>
      <c r="N1314" s="635"/>
    </row>
    <row r="1315" spans="1:15" s="620" customFormat="1" x14ac:dyDescent="0.35">
      <c r="B1315" s="2116" t="s">
        <v>4624</v>
      </c>
      <c r="C1315" s="2117"/>
      <c r="D1315" s="1908">
        <f>K1330</f>
        <v>19310400.000000015</v>
      </c>
      <c r="E1315"/>
      <c r="F1315" s="791"/>
      <c r="G1315"/>
      <c r="H1315"/>
      <c r="I1315"/>
      <c r="J1315"/>
      <c r="K1315" s="702"/>
      <c r="N1315" s="635"/>
    </row>
    <row r="1316" spans="1:15" s="620" customFormat="1" x14ac:dyDescent="0.35">
      <c r="B1316" s="2118" t="s">
        <v>4627</v>
      </c>
      <c r="C1316" s="2119"/>
      <c r="D1316" s="1436">
        <f>D1314-D1315</f>
        <v>129599.9999999702</v>
      </c>
      <c r="E1316"/>
      <c r="F1316" s="791"/>
      <c r="G1316"/>
      <c r="H1316"/>
      <c r="I1316"/>
      <c r="J1316"/>
      <c r="K1316" s="702"/>
      <c r="N1316" s="635"/>
    </row>
    <row r="1317" spans="1:15" s="620" customFormat="1" ht="15" thickBot="1" x14ac:dyDescent="0.4">
      <c r="B1317" s="2120" t="str">
        <f>K1313</f>
        <v>LOSS % IN =&gt;</v>
      </c>
      <c r="C1317" s="2121"/>
      <c r="D1317" s="1899">
        <f>D1316/D1310</f>
        <v>6.6666666666651388E-3</v>
      </c>
      <c r="E1317"/>
      <c r="F1317" s="791"/>
      <c r="G1317" s="678"/>
      <c r="H1317" s="678"/>
      <c r="I1317" s="678"/>
      <c r="J1317" s="679"/>
      <c r="K1317" s="702"/>
      <c r="N1317" s="635"/>
    </row>
    <row r="1318" spans="1:15" x14ac:dyDescent="0.35">
      <c r="A1318" s="620"/>
      <c r="B1318" s="635"/>
      <c r="C1318" s="632"/>
      <c r="D1318" s="720"/>
      <c r="G1318" s="678"/>
      <c r="H1318" s="678"/>
      <c r="I1318" s="678"/>
      <c r="J1318" s="679"/>
      <c r="K1318" s="702"/>
      <c r="L1318" s="620"/>
      <c r="M1318" s="620"/>
      <c r="N1318" s="635"/>
      <c r="O1318" s="620"/>
    </row>
    <row r="1319" spans="1:15" x14ac:dyDescent="0.35">
      <c r="A1319" s="620"/>
      <c r="B1319" s="635"/>
      <c r="C1319" s="632"/>
      <c r="D1319" s="720"/>
      <c r="G1319" s="678"/>
      <c r="H1319" s="678"/>
      <c r="I1319" s="678"/>
      <c r="J1319" s="679"/>
      <c r="K1319" s="702"/>
      <c r="L1319" s="620"/>
      <c r="M1319" s="620"/>
      <c r="N1319" s="635"/>
      <c r="O1319" s="620"/>
    </row>
    <row r="1320" spans="1:15" x14ac:dyDescent="0.35">
      <c r="A1320" s="620"/>
      <c r="B1320" s="635"/>
      <c r="C1320" s="632"/>
      <c r="D1320" s="720"/>
      <c r="E1320" s="1788"/>
      <c r="F1320" s="620"/>
      <c r="G1320" s="620"/>
      <c r="H1320" s="620"/>
      <c r="I1320" s="620"/>
      <c r="J1320" s="620"/>
      <c r="K1320" s="702"/>
      <c r="L1320" s="620"/>
      <c r="M1320" s="620"/>
      <c r="N1320" s="635"/>
      <c r="O1320" s="620"/>
    </row>
    <row r="1321" spans="1:15" ht="25" x14ac:dyDescent="0.35">
      <c r="A1321" s="2095" t="s">
        <v>1206</v>
      </c>
      <c r="B1321" s="2095"/>
      <c r="C1321" s="2095"/>
      <c r="D1321" s="2095"/>
      <c r="E1321" s="2095"/>
      <c r="F1321" s="2095"/>
      <c r="G1321" s="2095"/>
      <c r="H1321" s="2095"/>
      <c r="I1321" s="2095"/>
      <c r="J1321" s="2095"/>
      <c r="K1321" s="2095"/>
      <c r="L1321" s="2095"/>
      <c r="M1321" s="2095"/>
      <c r="N1321" s="2095"/>
      <c r="O1321" s="756" t="str">
        <f>$O$6</f>
        <v>Month December-2022</v>
      </c>
    </row>
    <row r="1322" spans="1:15" ht="15.5" x14ac:dyDescent="0.35">
      <c r="A1322" s="2096" t="s">
        <v>0</v>
      </c>
      <c r="B1322" s="2098" t="s">
        <v>1</v>
      </c>
      <c r="C1322" s="2100" t="s">
        <v>2</v>
      </c>
      <c r="D1322" s="2101"/>
      <c r="E1322" s="2102"/>
      <c r="F1322" s="2103" t="s">
        <v>3</v>
      </c>
      <c r="G1322" s="2100" t="s">
        <v>4</v>
      </c>
      <c r="H1322" s="2102"/>
      <c r="I1322" s="2085"/>
      <c r="J1322" s="2103" t="s">
        <v>5</v>
      </c>
      <c r="K1322" s="2100" t="s">
        <v>6</v>
      </c>
      <c r="L1322" s="2085"/>
      <c r="M1322" s="97" t="s">
        <v>32</v>
      </c>
      <c r="N1322" s="98"/>
      <c r="O1322" s="2084" t="s">
        <v>7</v>
      </c>
    </row>
    <row r="1323" spans="1:15" ht="15.5" x14ac:dyDescent="0.35">
      <c r="A1323" s="2111"/>
      <c r="B1323" s="2112"/>
      <c r="C1323" s="2086" t="s">
        <v>1108</v>
      </c>
      <c r="D1323" s="2087"/>
      <c r="E1323" s="1838" t="s">
        <v>9</v>
      </c>
      <c r="F1323" s="2111"/>
      <c r="G1323" s="2">
        <f>'NORTH-1'!$G$8</f>
        <v>44774</v>
      </c>
      <c r="H1323" s="2">
        <f>'NORTH-1'!$H$8</f>
        <v>44805</v>
      </c>
      <c r="I1323" s="676" t="s">
        <v>10</v>
      </c>
      <c r="J1323" s="2111"/>
      <c r="K1323" s="676" t="s">
        <v>11</v>
      </c>
      <c r="L1323" s="676" t="s">
        <v>12</v>
      </c>
      <c r="M1323" s="715" t="s">
        <v>33</v>
      </c>
      <c r="N1323" s="716" t="s">
        <v>47</v>
      </c>
      <c r="O1323" s="2104"/>
    </row>
    <row r="1324" spans="1:15" ht="15.5" x14ac:dyDescent="0.35">
      <c r="A1324" s="717">
        <v>1</v>
      </c>
      <c r="B1324" s="673">
        <v>2</v>
      </c>
      <c r="C1324" s="2088">
        <v>4</v>
      </c>
      <c r="D1324" s="2089"/>
      <c r="E1324" s="1839">
        <v>5</v>
      </c>
      <c r="F1324" s="717">
        <v>7</v>
      </c>
      <c r="G1324" s="717">
        <v>8</v>
      </c>
      <c r="H1324" s="717">
        <v>9</v>
      </c>
      <c r="I1324" s="717" t="s">
        <v>13</v>
      </c>
      <c r="J1324" s="717">
        <v>11</v>
      </c>
      <c r="K1324" s="717" t="s">
        <v>19</v>
      </c>
      <c r="L1324" s="717" t="s">
        <v>20</v>
      </c>
      <c r="M1324" s="717">
        <v>14</v>
      </c>
      <c r="N1324" s="673">
        <v>15</v>
      </c>
      <c r="O1324" s="717">
        <v>16</v>
      </c>
    </row>
    <row r="1325" spans="1:15" ht="15.5" x14ac:dyDescent="0.35">
      <c r="A1325" s="11"/>
      <c r="B1325" s="624" t="s">
        <v>1100</v>
      </c>
      <c r="C1325" s="625"/>
      <c r="D1325" s="625"/>
      <c r="E1325" s="1794"/>
      <c r="F1325" s="625"/>
      <c r="G1325" s="625"/>
      <c r="H1325" s="625"/>
      <c r="I1325" s="625"/>
      <c r="J1325" s="625"/>
      <c r="K1325" s="695"/>
      <c r="L1325" s="625"/>
      <c r="M1325" s="626"/>
      <c r="N1325" s="1972"/>
      <c r="O1325" s="8"/>
    </row>
    <row r="1326" spans="1:15" ht="15.5" x14ac:dyDescent="0.35">
      <c r="A1326" s="631">
        <v>14</v>
      </c>
      <c r="B1326" s="100" t="s">
        <v>2080</v>
      </c>
      <c r="C1326" s="52">
        <v>33</v>
      </c>
      <c r="D1326" s="735" t="s">
        <v>1650</v>
      </c>
      <c r="E1326" s="1801" t="s">
        <v>2366</v>
      </c>
      <c r="F1326" s="4">
        <v>1</v>
      </c>
      <c r="G1326" s="5">
        <v>145.22999999999999</v>
      </c>
      <c r="H1326" s="5">
        <v>159.66</v>
      </c>
      <c r="I1326" s="5">
        <f>SUM(H1326-G1326)</f>
        <v>14.430000000000007</v>
      </c>
      <c r="J1326" s="616">
        <v>720000</v>
      </c>
      <c r="K1326" s="696">
        <f>F1326*I1326*J1326</f>
        <v>10389600.000000006</v>
      </c>
      <c r="L1326" s="7"/>
      <c r="M1326" s="7"/>
      <c r="N1326" s="1428"/>
      <c r="O1326" s="616"/>
    </row>
    <row r="1327" spans="1:15" ht="15.5" x14ac:dyDescent="0.35">
      <c r="A1327" s="631"/>
      <c r="B1327" s="100"/>
      <c r="C1327" s="52">
        <v>33</v>
      </c>
      <c r="D1327" s="735" t="s">
        <v>1651</v>
      </c>
      <c r="E1327" s="1801" t="s">
        <v>2367</v>
      </c>
      <c r="F1327" s="4">
        <v>1</v>
      </c>
      <c r="G1327" s="5">
        <v>145.22999999999999</v>
      </c>
      <c r="H1327" s="5">
        <v>159.66</v>
      </c>
      <c r="I1327" s="5">
        <f>SUM(H1327-G1327)</f>
        <v>14.430000000000007</v>
      </c>
      <c r="J1327" s="616">
        <v>720000</v>
      </c>
      <c r="K1327" s="696">
        <f>F1327*I1327*J1327</f>
        <v>10389600.000000006</v>
      </c>
      <c r="L1327" s="7"/>
      <c r="M1327" s="7"/>
      <c r="N1327" s="1428"/>
      <c r="O1327" s="616"/>
    </row>
    <row r="1328" spans="1:15" ht="15.5" x14ac:dyDescent="0.35">
      <c r="A1328" s="631">
        <v>15</v>
      </c>
      <c r="B1328" s="100" t="s">
        <v>2083</v>
      </c>
      <c r="C1328" s="52">
        <v>33</v>
      </c>
      <c r="D1328" s="735" t="s">
        <v>1650</v>
      </c>
      <c r="E1328" s="1801" t="s">
        <v>2368</v>
      </c>
      <c r="F1328" s="4">
        <v>1</v>
      </c>
      <c r="G1328" s="5">
        <v>174.64</v>
      </c>
      <c r="H1328" s="5">
        <v>187.03</v>
      </c>
      <c r="I1328" s="5">
        <f>SUM(H1328-G1328)</f>
        <v>12.390000000000015</v>
      </c>
      <c r="J1328" s="616">
        <v>720000</v>
      </c>
      <c r="K1328" s="696">
        <f>F1328*I1328*J1328</f>
        <v>8920800.0000000112</v>
      </c>
      <c r="L1328" s="7"/>
      <c r="M1328" s="7"/>
      <c r="N1328" s="1428"/>
      <c r="O1328" s="616"/>
    </row>
    <row r="1329" spans="1:15" ht="15.5" x14ac:dyDescent="0.35">
      <c r="A1329" s="631"/>
      <c r="B1329" s="100"/>
      <c r="C1329" s="52">
        <v>33</v>
      </c>
      <c r="D1329" s="735" t="s">
        <v>1651</v>
      </c>
      <c r="E1329" s="1801" t="s">
        <v>2369</v>
      </c>
      <c r="F1329" s="4">
        <v>1</v>
      </c>
      <c r="G1329" s="5">
        <v>174.65</v>
      </c>
      <c r="H1329" s="5">
        <v>187.04</v>
      </c>
      <c r="I1329" s="5">
        <f>SUM(H1329-G1329)</f>
        <v>12.389999999999986</v>
      </c>
      <c r="J1329" s="616">
        <v>720000</v>
      </c>
      <c r="K1329" s="696">
        <f>F1329*I1329*J1329</f>
        <v>8920799.9999999907</v>
      </c>
      <c r="L1329" s="7"/>
      <c r="M1329" s="7"/>
      <c r="N1329" s="1428"/>
      <c r="O1329" s="616"/>
    </row>
    <row r="1330" spans="1:15" ht="15.5" x14ac:dyDescent="0.35">
      <c r="A1330" s="631"/>
      <c r="B1330" s="95"/>
      <c r="C1330" s="89"/>
      <c r="D1330" s="89"/>
      <c r="E1330" s="1784"/>
      <c r="F1330" s="37"/>
      <c r="G1330" s="37"/>
      <c r="H1330" s="37"/>
      <c r="I1330" s="37"/>
      <c r="J1330" s="95" t="s">
        <v>30</v>
      </c>
      <c r="K1330" s="699">
        <f>K1328+K1326</f>
        <v>19310400.000000015</v>
      </c>
      <c r="L1330" s="40"/>
      <c r="M1330" s="40">
        <f>SUM(M1326:M1329)</f>
        <v>0</v>
      </c>
      <c r="N1330" s="1428"/>
      <c r="O1330" s="616"/>
    </row>
    <row r="1331" spans="1:15" ht="15.5" x14ac:dyDescent="0.35">
      <c r="A1331" s="631"/>
      <c r="B1331" s="647" t="s">
        <v>1103</v>
      </c>
      <c r="C1331" s="648"/>
      <c r="D1331" s="648"/>
      <c r="E1331" s="1800"/>
      <c r="F1331" s="648"/>
      <c r="G1331" s="648"/>
      <c r="H1331" s="648"/>
      <c r="I1331" s="648"/>
      <c r="J1331" s="648"/>
      <c r="K1331" s="700"/>
      <c r="L1331" s="648"/>
      <c r="M1331" s="651"/>
      <c r="N1331" s="1971"/>
      <c r="O1331" s="616"/>
    </row>
    <row r="1332" spans="1:15" ht="15.5" x14ac:dyDescent="0.35">
      <c r="A1332" s="631"/>
      <c r="B1332" s="662" t="s">
        <v>1106</v>
      </c>
      <c r="C1332" s="52"/>
      <c r="D1332" s="1777" t="s">
        <v>1083</v>
      </c>
      <c r="E1332" s="1801"/>
      <c r="F1332" s="4"/>
      <c r="G1332" s="5"/>
      <c r="H1332" s="5"/>
      <c r="I1332" s="6"/>
      <c r="J1332" s="616"/>
      <c r="K1332" s="696"/>
      <c r="L1332" s="7"/>
      <c r="M1332" s="7"/>
      <c r="N1332" s="1428"/>
      <c r="O1332" s="616"/>
    </row>
    <row r="1333" spans="1:15" ht="15.5" x14ac:dyDescent="0.35">
      <c r="A1333" s="2197">
        <v>13</v>
      </c>
      <c r="B1333" s="100" t="s">
        <v>2077</v>
      </c>
      <c r="C1333" s="661">
        <v>33</v>
      </c>
      <c r="D1333" s="1748" t="s">
        <v>1650</v>
      </c>
      <c r="E1333" s="1840" t="s">
        <v>2364</v>
      </c>
      <c r="F1333" s="4">
        <v>1</v>
      </c>
      <c r="G1333" s="21">
        <v>123.83</v>
      </c>
      <c r="H1333" s="21">
        <v>134.1</v>
      </c>
      <c r="I1333" s="21">
        <f>SUM(H1333-G1333)</f>
        <v>10.269999999999996</v>
      </c>
      <c r="J1333" s="616">
        <v>240000</v>
      </c>
      <c r="K1333" s="696"/>
      <c r="L1333" s="22">
        <f>F1333*I1333*J1333</f>
        <v>2464799.9999999991</v>
      </c>
      <c r="M1333" s="22"/>
      <c r="N1333" s="72"/>
      <c r="O1333" s="9"/>
    </row>
    <row r="1334" spans="1:15" ht="15.5" x14ac:dyDescent="0.35">
      <c r="A1334" s="2198"/>
      <c r="B1334" s="100"/>
      <c r="C1334" s="661">
        <v>33</v>
      </c>
      <c r="D1334" s="1748" t="s">
        <v>1651</v>
      </c>
      <c r="E1334" s="1840" t="s">
        <v>2365</v>
      </c>
      <c r="F1334" s="4">
        <v>1</v>
      </c>
      <c r="G1334" s="21">
        <v>123.79</v>
      </c>
      <c r="H1334" s="21">
        <v>134.06</v>
      </c>
      <c r="I1334" s="21">
        <f>SUM(H1334-G1334)</f>
        <v>10.269999999999996</v>
      </c>
      <c r="J1334" s="616">
        <v>240000</v>
      </c>
      <c r="K1334" s="696"/>
      <c r="L1334" s="22">
        <f>F1334*I1334*J1334</f>
        <v>2464799.9999999991</v>
      </c>
      <c r="M1334" s="22"/>
      <c r="N1334" s="72"/>
      <c r="O1334" s="616"/>
    </row>
    <row r="1335" spans="1:15" ht="15.5" x14ac:dyDescent="0.35">
      <c r="A1335" s="616">
        <v>16</v>
      </c>
      <c r="B1335" s="100" t="s">
        <v>2086</v>
      </c>
      <c r="C1335" s="661">
        <v>33</v>
      </c>
      <c r="D1335" s="1748" t="s">
        <v>1650</v>
      </c>
      <c r="E1335" s="1840" t="s">
        <v>2370</v>
      </c>
      <c r="F1335" s="4">
        <v>3</v>
      </c>
      <c r="G1335" s="21">
        <v>37.229999999999997</v>
      </c>
      <c r="H1335" s="21">
        <v>39.93</v>
      </c>
      <c r="I1335" s="21">
        <f>SUM(H1335-G1335)</f>
        <v>2.7000000000000028</v>
      </c>
      <c r="J1335" s="616">
        <v>240000</v>
      </c>
      <c r="K1335" s="696"/>
      <c r="L1335" s="22">
        <f>F1335*I1335*J1335</f>
        <v>1944000.0000000021</v>
      </c>
      <c r="M1335" s="22"/>
      <c r="N1335" s="72"/>
      <c r="O1335" s="616"/>
    </row>
    <row r="1336" spans="1:15" ht="15.5" x14ac:dyDescent="0.35">
      <c r="A1336" s="616"/>
      <c r="B1336" s="100"/>
      <c r="C1336" s="661">
        <v>33</v>
      </c>
      <c r="D1336" s="1748" t="s">
        <v>1651</v>
      </c>
      <c r="E1336" s="1840" t="s">
        <v>2371</v>
      </c>
      <c r="F1336" s="4">
        <v>3</v>
      </c>
      <c r="G1336" s="21">
        <v>37.22</v>
      </c>
      <c r="H1336" s="21">
        <v>39.92</v>
      </c>
      <c r="I1336" s="21">
        <f>SUM(H1336-G1336)</f>
        <v>2.7000000000000028</v>
      </c>
      <c r="J1336" s="616">
        <v>240000</v>
      </c>
      <c r="K1336" s="696"/>
      <c r="L1336" s="22">
        <f>F1336*I1336*J1336</f>
        <v>1944000.0000000021</v>
      </c>
      <c r="M1336" s="22"/>
      <c r="N1336" s="72"/>
      <c r="O1336" s="12"/>
    </row>
    <row r="1337" spans="1:15" ht="15.5" x14ac:dyDescent="0.35">
      <c r="A1337" s="616"/>
      <c r="B1337" s="662" t="s">
        <v>1107</v>
      </c>
      <c r="C1337" s="89"/>
      <c r="D1337" s="1773"/>
      <c r="E1337" s="1784"/>
      <c r="F1337" s="37"/>
      <c r="G1337" s="37"/>
      <c r="H1337" s="37"/>
      <c r="I1337" s="37"/>
      <c r="J1337" s="95" t="s">
        <v>30</v>
      </c>
      <c r="K1337" s="696"/>
      <c r="L1337" s="43">
        <f>L1335+L1333</f>
        <v>4408800.0000000009</v>
      </c>
      <c r="M1337" s="43">
        <f>SUM(M1333:M1336)</f>
        <v>0</v>
      </c>
      <c r="N1337" s="99"/>
      <c r="O1337" s="12"/>
    </row>
    <row r="1338" spans="1:15" ht="15.5" x14ac:dyDescent="0.35">
      <c r="A1338" s="636">
        <v>9</v>
      </c>
      <c r="B1338" s="100" t="s">
        <v>2353</v>
      </c>
      <c r="C1338" s="661">
        <v>33</v>
      </c>
      <c r="D1338" s="1748" t="s">
        <v>1650</v>
      </c>
      <c r="E1338" s="1840" t="s">
        <v>2354</v>
      </c>
      <c r="F1338" s="4">
        <v>1</v>
      </c>
      <c r="G1338" s="6">
        <v>157.94</v>
      </c>
      <c r="H1338" s="6">
        <v>176.47</v>
      </c>
      <c r="I1338" s="20">
        <f t="shared" ref="I1338:I1353" si="47">SUM(H1338-G1338)</f>
        <v>18.53</v>
      </c>
      <c r="J1338" s="616">
        <v>360000</v>
      </c>
      <c r="K1338" s="703"/>
      <c r="L1338" s="22">
        <f t="shared" ref="L1338:L1353" si="48">F1338*I1338*J1338</f>
        <v>6670800</v>
      </c>
      <c r="M1338" s="22"/>
      <c r="N1338" s="72"/>
      <c r="O1338" s="15"/>
    </row>
    <row r="1339" spans="1:15" ht="15.5" x14ac:dyDescent="0.35">
      <c r="A1339" s="636"/>
      <c r="B1339" s="100"/>
      <c r="C1339" s="661">
        <v>33</v>
      </c>
      <c r="D1339" s="1748" t="s">
        <v>1651</v>
      </c>
      <c r="E1339" s="1840" t="s">
        <v>2355</v>
      </c>
      <c r="F1339" s="4">
        <v>1</v>
      </c>
      <c r="G1339" s="6">
        <v>158.02000000000001</v>
      </c>
      <c r="H1339" s="6">
        <v>176.55</v>
      </c>
      <c r="I1339" s="20">
        <f t="shared" si="47"/>
        <v>18.53</v>
      </c>
      <c r="J1339" s="616">
        <v>360000</v>
      </c>
      <c r="K1339" s="703"/>
      <c r="L1339" s="22">
        <f t="shared" si="48"/>
        <v>6670800</v>
      </c>
      <c r="M1339" s="22"/>
      <c r="N1339" s="72"/>
      <c r="O1339" s="15"/>
    </row>
    <row r="1340" spans="1:15" ht="15.5" x14ac:dyDescent="0.35">
      <c r="A1340" s="636">
        <v>10</v>
      </c>
      <c r="B1340" s="100" t="s">
        <v>2356</v>
      </c>
      <c r="C1340" s="661">
        <v>33</v>
      </c>
      <c r="D1340" s="1748" t="s">
        <v>1650</v>
      </c>
      <c r="E1340" s="1840" t="s">
        <v>2357</v>
      </c>
      <c r="F1340" s="4">
        <v>1</v>
      </c>
      <c r="G1340" s="6">
        <v>49.94</v>
      </c>
      <c r="H1340" s="6">
        <v>53.45</v>
      </c>
      <c r="I1340" s="20">
        <f t="shared" si="47"/>
        <v>3.5100000000000051</v>
      </c>
      <c r="J1340" s="616">
        <v>360000</v>
      </c>
      <c r="K1340" s="703"/>
      <c r="L1340" s="22">
        <f t="shared" si="48"/>
        <v>1263600.0000000019</v>
      </c>
      <c r="M1340" s="22"/>
      <c r="N1340" s="72"/>
      <c r="O1340" s="15"/>
    </row>
    <row r="1341" spans="1:15" ht="15.5" x14ac:dyDescent="0.35">
      <c r="A1341" s="636"/>
      <c r="B1341" s="100"/>
      <c r="C1341" s="661">
        <v>33</v>
      </c>
      <c r="D1341" s="1748" t="s">
        <v>1651</v>
      </c>
      <c r="E1341" s="1840" t="s">
        <v>2358</v>
      </c>
      <c r="F1341" s="4">
        <v>1</v>
      </c>
      <c r="G1341" s="6">
        <v>49.9</v>
      </c>
      <c r="H1341" s="6">
        <v>53.4</v>
      </c>
      <c r="I1341" s="20">
        <f t="shared" si="47"/>
        <v>3.5</v>
      </c>
      <c r="J1341" s="616">
        <v>360000</v>
      </c>
      <c r="K1341" s="703"/>
      <c r="L1341" s="22">
        <f t="shared" si="48"/>
        <v>1260000</v>
      </c>
      <c r="M1341" s="22"/>
      <c r="N1341" s="72"/>
      <c r="O1341" s="15"/>
    </row>
    <row r="1342" spans="1:15" ht="15.5" x14ac:dyDescent="0.35">
      <c r="A1342" s="636">
        <v>11</v>
      </c>
      <c r="B1342" s="100" t="s">
        <v>2359</v>
      </c>
      <c r="C1342" s="661">
        <v>33</v>
      </c>
      <c r="D1342" s="1748" t="s">
        <v>1650</v>
      </c>
      <c r="E1342" s="1840" t="s">
        <v>2360</v>
      </c>
      <c r="F1342" s="4">
        <v>1</v>
      </c>
      <c r="G1342" s="6">
        <v>0.09</v>
      </c>
      <c r="H1342" s="6">
        <v>0.09</v>
      </c>
      <c r="I1342" s="20">
        <f t="shared" si="47"/>
        <v>0</v>
      </c>
      <c r="J1342" s="616">
        <v>360000</v>
      </c>
      <c r="K1342" s="703"/>
      <c r="L1342" s="22">
        <f t="shared" si="48"/>
        <v>0</v>
      </c>
      <c r="M1342" s="22"/>
      <c r="N1342" s="72"/>
      <c r="O1342" s="15"/>
    </row>
    <row r="1343" spans="1:15" ht="15.5" x14ac:dyDescent="0.35">
      <c r="A1343" s="636"/>
      <c r="B1343" s="100"/>
      <c r="C1343" s="661">
        <v>33</v>
      </c>
      <c r="D1343" s="1748" t="s">
        <v>1651</v>
      </c>
      <c r="E1343" s="1840" t="s">
        <v>2361</v>
      </c>
      <c r="F1343" s="4">
        <v>1</v>
      </c>
      <c r="G1343" s="6">
        <v>0.06</v>
      </c>
      <c r="H1343" s="6">
        <v>0.06</v>
      </c>
      <c r="I1343" s="20">
        <f t="shared" si="47"/>
        <v>0</v>
      </c>
      <c r="J1343" s="616">
        <v>360000</v>
      </c>
      <c r="K1343" s="703"/>
      <c r="L1343" s="22">
        <f t="shared" si="48"/>
        <v>0</v>
      </c>
      <c r="M1343" s="22"/>
      <c r="N1343" s="72"/>
      <c r="O1343" s="15"/>
    </row>
    <row r="1344" spans="1:15" ht="15.5" x14ac:dyDescent="0.35">
      <c r="A1344" s="636">
        <v>12</v>
      </c>
      <c r="B1344" s="100" t="s">
        <v>2074</v>
      </c>
      <c r="C1344" s="661">
        <v>33</v>
      </c>
      <c r="D1344" s="1748" t="s">
        <v>1650</v>
      </c>
      <c r="E1344" s="1840" t="s">
        <v>2362</v>
      </c>
      <c r="F1344" s="4">
        <v>1</v>
      </c>
      <c r="G1344" s="6">
        <v>0.03</v>
      </c>
      <c r="H1344" s="6">
        <v>0.03</v>
      </c>
      <c r="I1344" s="20">
        <f t="shared" si="47"/>
        <v>0</v>
      </c>
      <c r="J1344" s="616">
        <v>360000</v>
      </c>
      <c r="K1344" s="703"/>
      <c r="L1344" s="22">
        <f t="shared" si="48"/>
        <v>0</v>
      </c>
      <c r="M1344" s="22"/>
      <c r="N1344" s="72"/>
      <c r="O1344" s="15"/>
    </row>
    <row r="1345" spans="1:15" ht="15.5" x14ac:dyDescent="0.35">
      <c r="A1345" s="636"/>
      <c r="B1345" s="100"/>
      <c r="C1345" s="661">
        <v>33</v>
      </c>
      <c r="D1345" s="1748" t="s">
        <v>1651</v>
      </c>
      <c r="E1345" s="1840" t="s">
        <v>2363</v>
      </c>
      <c r="F1345" s="4">
        <v>1</v>
      </c>
      <c r="G1345" s="6">
        <v>0.05</v>
      </c>
      <c r="H1345" s="6">
        <v>0.05</v>
      </c>
      <c r="I1345" s="20">
        <f t="shared" si="47"/>
        <v>0</v>
      </c>
      <c r="J1345" s="616">
        <v>360000</v>
      </c>
      <c r="K1345" s="703"/>
      <c r="L1345" s="22">
        <f t="shared" si="48"/>
        <v>0</v>
      </c>
      <c r="M1345" s="22"/>
      <c r="N1345" s="72"/>
      <c r="O1345" s="15"/>
    </row>
    <row r="1346" spans="1:15" ht="15.5" x14ac:dyDescent="0.35">
      <c r="A1346" s="636">
        <v>17</v>
      </c>
      <c r="B1346" s="100" t="s">
        <v>2372</v>
      </c>
      <c r="C1346" s="661">
        <v>33</v>
      </c>
      <c r="D1346" s="1748" t="s">
        <v>1650</v>
      </c>
      <c r="E1346" s="1840" t="s">
        <v>2373</v>
      </c>
      <c r="F1346" s="4">
        <v>1</v>
      </c>
      <c r="G1346" s="6">
        <v>22.17</v>
      </c>
      <c r="H1346" s="6">
        <v>25.06</v>
      </c>
      <c r="I1346" s="20">
        <f t="shared" si="47"/>
        <v>2.889999999999997</v>
      </c>
      <c r="J1346" s="616">
        <v>360000</v>
      </c>
      <c r="K1346" s="703"/>
      <c r="L1346" s="22">
        <f t="shared" si="48"/>
        <v>1040399.999999999</v>
      </c>
      <c r="M1346" s="22"/>
      <c r="N1346" s="72"/>
      <c r="O1346" s="15"/>
    </row>
    <row r="1347" spans="1:15" ht="15.5" x14ac:dyDescent="0.35">
      <c r="A1347" s="636"/>
      <c r="B1347" s="100"/>
      <c r="C1347" s="661">
        <v>33</v>
      </c>
      <c r="D1347" s="1748" t="s">
        <v>1651</v>
      </c>
      <c r="E1347" s="1840" t="s">
        <v>2374</v>
      </c>
      <c r="F1347" s="4">
        <v>1</v>
      </c>
      <c r="G1347" s="6">
        <v>22.19</v>
      </c>
      <c r="H1347" s="6">
        <v>25.07</v>
      </c>
      <c r="I1347" s="20">
        <f t="shared" si="47"/>
        <v>2.879999999999999</v>
      </c>
      <c r="J1347" s="616">
        <v>360000</v>
      </c>
      <c r="K1347" s="703"/>
      <c r="L1347" s="22">
        <f t="shared" si="48"/>
        <v>1036799.9999999997</v>
      </c>
      <c r="M1347" s="22"/>
      <c r="N1347" s="72"/>
      <c r="O1347" s="15"/>
    </row>
    <row r="1348" spans="1:15" ht="15.5" x14ac:dyDescent="0.35">
      <c r="A1348" s="636">
        <v>18</v>
      </c>
      <c r="B1348" s="100" t="s">
        <v>2375</v>
      </c>
      <c r="C1348" s="661">
        <v>33</v>
      </c>
      <c r="D1348" s="1748" t="s">
        <v>1650</v>
      </c>
      <c r="E1348" s="1841" t="s">
        <v>2376</v>
      </c>
      <c r="F1348" s="4">
        <v>1</v>
      </c>
      <c r="G1348" s="6">
        <v>0.03</v>
      </c>
      <c r="H1348" s="6">
        <v>0.03</v>
      </c>
      <c r="I1348" s="20">
        <f t="shared" si="47"/>
        <v>0</v>
      </c>
      <c r="J1348" s="616">
        <v>360000</v>
      </c>
      <c r="K1348" s="704"/>
      <c r="L1348" s="22">
        <f t="shared" si="48"/>
        <v>0</v>
      </c>
      <c r="M1348" s="22"/>
      <c r="N1348" s="72"/>
      <c r="O1348" s="14"/>
    </row>
    <row r="1349" spans="1:15" ht="15.5" x14ac:dyDescent="0.35">
      <c r="A1349" s="636"/>
      <c r="B1349" s="100"/>
      <c r="C1349" s="661">
        <v>33</v>
      </c>
      <c r="D1349" s="1748" t="s">
        <v>1651</v>
      </c>
      <c r="E1349" s="1841" t="s">
        <v>2377</v>
      </c>
      <c r="F1349" s="4">
        <v>1</v>
      </c>
      <c r="G1349" s="6">
        <v>0.08</v>
      </c>
      <c r="H1349" s="6">
        <v>0.08</v>
      </c>
      <c r="I1349" s="20">
        <f t="shared" si="47"/>
        <v>0</v>
      </c>
      <c r="J1349" s="616">
        <v>360000</v>
      </c>
      <c r="K1349" s="704"/>
      <c r="L1349" s="22">
        <f t="shared" si="48"/>
        <v>0</v>
      </c>
      <c r="M1349" s="22"/>
      <c r="N1349" s="72"/>
      <c r="O1349" s="14"/>
    </row>
    <row r="1350" spans="1:15" ht="15.5" x14ac:dyDescent="0.35">
      <c r="A1350" s="636">
        <v>19</v>
      </c>
      <c r="B1350" s="100" t="s">
        <v>2092</v>
      </c>
      <c r="C1350" s="661">
        <v>33</v>
      </c>
      <c r="D1350" s="1748" t="s">
        <v>1650</v>
      </c>
      <c r="E1350" s="1840" t="s">
        <v>2378</v>
      </c>
      <c r="F1350" s="4">
        <v>1</v>
      </c>
      <c r="G1350" s="6">
        <v>0.03</v>
      </c>
      <c r="H1350" s="6">
        <v>0.03</v>
      </c>
      <c r="I1350" s="20">
        <f t="shared" si="47"/>
        <v>0</v>
      </c>
      <c r="J1350" s="616">
        <v>360000</v>
      </c>
      <c r="K1350" s="704"/>
      <c r="L1350" s="22">
        <f t="shared" si="48"/>
        <v>0</v>
      </c>
      <c r="M1350" s="22"/>
      <c r="N1350" s="72"/>
      <c r="O1350" s="14"/>
    </row>
    <row r="1351" spans="1:15" ht="15.5" x14ac:dyDescent="0.35">
      <c r="A1351" s="636"/>
      <c r="B1351" s="100"/>
      <c r="C1351" s="661">
        <v>33</v>
      </c>
      <c r="D1351" s="1748" t="s">
        <v>1651</v>
      </c>
      <c r="E1351" s="1840" t="s">
        <v>2379</v>
      </c>
      <c r="F1351" s="4">
        <v>1</v>
      </c>
      <c r="G1351" s="6">
        <v>0.06</v>
      </c>
      <c r="H1351" s="6">
        <v>0.06</v>
      </c>
      <c r="I1351" s="20">
        <f t="shared" si="47"/>
        <v>0</v>
      </c>
      <c r="J1351" s="616">
        <v>360000</v>
      </c>
      <c r="K1351" s="703"/>
      <c r="L1351" s="22">
        <f t="shared" si="48"/>
        <v>0</v>
      </c>
      <c r="M1351" s="22"/>
      <c r="N1351" s="72"/>
      <c r="O1351" s="15"/>
    </row>
    <row r="1352" spans="1:15" ht="15.5" x14ac:dyDescent="0.35">
      <c r="A1352" s="636">
        <v>20</v>
      </c>
      <c r="B1352" s="100" t="s">
        <v>2380</v>
      </c>
      <c r="C1352" s="661">
        <v>33</v>
      </c>
      <c r="D1352" s="1748" t="s">
        <v>1650</v>
      </c>
      <c r="E1352" s="1840" t="s">
        <v>2381</v>
      </c>
      <c r="F1352" s="4">
        <v>1</v>
      </c>
      <c r="G1352" s="6">
        <v>255.39</v>
      </c>
      <c r="H1352" s="6">
        <v>272.08</v>
      </c>
      <c r="I1352" s="20">
        <f t="shared" si="47"/>
        <v>16.689999999999998</v>
      </c>
      <c r="J1352" s="616">
        <v>360000</v>
      </c>
      <c r="K1352" s="704"/>
      <c r="L1352" s="22">
        <f t="shared" si="48"/>
        <v>6008399.9999999991</v>
      </c>
      <c r="M1352" s="22"/>
      <c r="N1352" s="72"/>
      <c r="O1352" s="10"/>
    </row>
    <row r="1353" spans="1:15" ht="15.5" x14ac:dyDescent="0.35">
      <c r="A1353" s="636"/>
      <c r="B1353" s="100"/>
      <c r="C1353" s="661">
        <v>33</v>
      </c>
      <c r="D1353" s="1748" t="s">
        <v>1651</v>
      </c>
      <c r="E1353" s="1840" t="s">
        <v>2382</v>
      </c>
      <c r="F1353" s="4">
        <v>1</v>
      </c>
      <c r="G1353" s="6">
        <v>255.41</v>
      </c>
      <c r="H1353" s="6">
        <v>272.10000000000002</v>
      </c>
      <c r="I1353" s="20">
        <f t="shared" si="47"/>
        <v>16.690000000000026</v>
      </c>
      <c r="J1353" s="616">
        <v>360000</v>
      </c>
      <c r="K1353" s="703"/>
      <c r="L1353" s="22">
        <f t="shared" si="48"/>
        <v>6008400.0000000093</v>
      </c>
      <c r="M1353" s="22"/>
      <c r="N1353" s="72"/>
      <c r="O1353" s="13"/>
    </row>
    <row r="1354" spans="1:15" ht="15.5" x14ac:dyDescent="0.35">
      <c r="A1354" s="636"/>
      <c r="B1354" s="96"/>
      <c r="C1354" s="90"/>
      <c r="D1354" s="90"/>
      <c r="E1354" s="1785"/>
      <c r="F1354" s="38"/>
      <c r="G1354" s="38"/>
      <c r="H1354" s="38"/>
      <c r="I1354" s="38"/>
      <c r="J1354" s="95" t="s">
        <v>30</v>
      </c>
      <c r="K1354" s="696"/>
      <c r="L1354" s="43">
        <f>L1352+L1350+L1348+L1346+L1344+L1342+L1340+L1338</f>
        <v>14983200</v>
      </c>
      <c r="M1354" s="43">
        <f>SUM(M1338:M1353)</f>
        <v>0</v>
      </c>
      <c r="N1354" s="99"/>
      <c r="O1354" s="13"/>
    </row>
    <row r="1355" spans="1:15" ht="20" x14ac:dyDescent="0.35">
      <c r="A1355" s="636"/>
      <c r="B1355" s="96"/>
      <c r="C1355" s="90"/>
      <c r="D1355" s="90"/>
      <c r="E1355" s="1785"/>
      <c r="F1355" s="38"/>
      <c r="G1355" s="38"/>
      <c r="H1355" s="38"/>
      <c r="I1355" s="2107" t="s">
        <v>44</v>
      </c>
      <c r="J1355" s="2108"/>
      <c r="K1355" s="698">
        <f>K1330</f>
        <v>19310400.000000015</v>
      </c>
      <c r="L1355" s="44">
        <f>L1337+L1354</f>
        <v>19392000</v>
      </c>
      <c r="M1355" s="44">
        <f>M1354+M1337</f>
        <v>0</v>
      </c>
      <c r="N1355" s="84">
        <f>(M1355-L1355)/L1355*100</f>
        <v>-100</v>
      </c>
      <c r="O1355" s="29"/>
    </row>
    <row r="1356" spans="1:15" x14ac:dyDescent="0.35">
      <c r="A1356" s="620"/>
      <c r="B1356" s="635"/>
      <c r="C1356" s="632"/>
      <c r="D1356" s="720"/>
      <c r="K1356" s="702"/>
      <c r="L1356" s="620"/>
      <c r="M1356" s="620"/>
      <c r="N1356" s="635"/>
      <c r="O1356" s="620"/>
    </row>
    <row r="1357" spans="1:15" ht="15" x14ac:dyDescent="0.35">
      <c r="A1357" s="620"/>
      <c r="D1357" s="725"/>
      <c r="G1357" s="2092" t="s">
        <v>1096</v>
      </c>
      <c r="H1357" s="2092"/>
      <c r="I1357" s="2092"/>
      <c r="J1357" s="677" t="s">
        <v>14</v>
      </c>
      <c r="K1357" s="69" t="s">
        <v>1098</v>
      </c>
      <c r="L1357" s="620"/>
      <c r="M1357" s="620"/>
      <c r="N1357" s="635"/>
      <c r="O1357" s="620"/>
    </row>
    <row r="1358" spans="1:15" ht="17.5" x14ac:dyDescent="0.35">
      <c r="A1358" s="620"/>
      <c r="D1358" s="725"/>
      <c r="G1358" s="2093" t="s">
        <v>1071</v>
      </c>
      <c r="H1358" s="2093"/>
      <c r="I1358" s="2093"/>
      <c r="J1358" s="692">
        <f>M1337</f>
        <v>0</v>
      </c>
      <c r="K1358" s="70">
        <v>6.933634163553025</v>
      </c>
      <c r="L1358" s="620"/>
      <c r="M1358" s="620"/>
      <c r="N1358" s="635"/>
      <c r="O1358" s="620"/>
    </row>
    <row r="1359" spans="1:15" ht="17.5" x14ac:dyDescent="0.35">
      <c r="A1359" s="620"/>
      <c r="D1359" s="725"/>
      <c r="G1359" s="2093" t="s">
        <v>206</v>
      </c>
      <c r="H1359" s="2093"/>
      <c r="I1359" s="2093"/>
      <c r="J1359" s="692">
        <f>M1338+M1348+M1349</f>
        <v>0</v>
      </c>
      <c r="K1359" s="70">
        <v>-0.33769527905653496</v>
      </c>
      <c r="L1359" s="620"/>
      <c r="M1359" s="620"/>
      <c r="N1359" s="635"/>
      <c r="O1359" s="620"/>
    </row>
    <row r="1360" spans="1:15" ht="17.5" x14ac:dyDescent="0.35">
      <c r="A1360" s="620"/>
      <c r="D1360" s="725"/>
      <c r="G1360" s="2093" t="s">
        <v>207</v>
      </c>
      <c r="H1360" s="2093"/>
      <c r="I1360" s="2093"/>
      <c r="J1360" s="692">
        <f>M1350+M1351</f>
        <v>0</v>
      </c>
      <c r="K1360" s="70"/>
      <c r="L1360" s="620"/>
      <c r="M1360" s="620"/>
      <c r="N1360" s="635"/>
      <c r="O1360" s="620"/>
    </row>
    <row r="1361" spans="1:15" ht="17.5" x14ac:dyDescent="0.35">
      <c r="A1361" s="620"/>
      <c r="D1361" s="725"/>
      <c r="G1361" s="2093" t="s">
        <v>208</v>
      </c>
      <c r="H1361" s="2093"/>
      <c r="I1361" s="2093"/>
      <c r="J1361" s="692">
        <f>M1352</f>
        <v>0</v>
      </c>
      <c r="K1361" s="70">
        <v>0.58957194954853154</v>
      </c>
      <c r="L1361" s="620"/>
      <c r="M1361" s="620"/>
      <c r="N1361" s="635"/>
      <c r="O1361" s="620"/>
    </row>
    <row r="1362" spans="1:15" ht="17.5" x14ac:dyDescent="0.35">
      <c r="A1362" s="620"/>
      <c r="B1362" s="635"/>
      <c r="C1362" s="632"/>
      <c r="D1362" s="720"/>
      <c r="G1362" s="2093" t="s">
        <v>209</v>
      </c>
      <c r="H1362" s="2093"/>
      <c r="I1362" s="2093"/>
      <c r="J1362" s="692">
        <f>M1353</f>
        <v>0</v>
      </c>
      <c r="K1362" s="70"/>
      <c r="L1362" s="620"/>
      <c r="M1362" s="620"/>
      <c r="N1362" s="635"/>
      <c r="O1362" s="620"/>
    </row>
    <row r="1363" spans="1:15" ht="17.5" x14ac:dyDescent="0.35">
      <c r="A1363" s="620"/>
      <c r="B1363" s="635"/>
      <c r="C1363" s="632"/>
      <c r="D1363" s="720"/>
      <c r="G1363" s="2093" t="s">
        <v>40</v>
      </c>
      <c r="H1363" s="2093"/>
      <c r="I1363" s="2093"/>
      <c r="J1363" s="692" t="e">
        <f>#REF!+#REF!</f>
        <v>#REF!</v>
      </c>
      <c r="K1363" s="70">
        <v>2.4391608198671739</v>
      </c>
      <c r="L1363" s="620"/>
      <c r="M1363" s="620"/>
      <c r="N1363" s="635"/>
      <c r="O1363" s="620"/>
    </row>
    <row r="1364" spans="1:15" x14ac:dyDescent="0.35">
      <c r="A1364" s="620"/>
      <c r="B1364" s="635"/>
      <c r="C1364" s="632"/>
      <c r="D1364" s="720"/>
      <c r="G1364" s="2094" t="s">
        <v>42</v>
      </c>
      <c r="H1364" s="2094"/>
      <c r="I1364" s="2094"/>
      <c r="J1364" s="693" t="e">
        <f>#REF!</f>
        <v>#REF!</v>
      </c>
      <c r="K1364" s="694" t="s">
        <v>1097</v>
      </c>
      <c r="L1364" s="620"/>
      <c r="M1364" s="620"/>
      <c r="N1364" s="635"/>
      <c r="O1364" s="620"/>
    </row>
    <row r="1365" spans="1:15" ht="18" thickBot="1" x14ac:dyDescent="0.4">
      <c r="A1365" s="620"/>
      <c r="B1365" s="635"/>
      <c r="C1365" s="632"/>
      <c r="D1365" s="720"/>
      <c r="E1365" s="1788"/>
      <c r="F1365" s="620"/>
      <c r="G1365" s="2093" t="s">
        <v>41</v>
      </c>
      <c r="H1365" s="2093"/>
      <c r="I1365" s="2093"/>
      <c r="J1365" s="692" t="e">
        <f>#REF!</f>
        <v>#REF!</v>
      </c>
      <c r="K1365" s="681">
        <v>1.4463055987403735</v>
      </c>
      <c r="L1365" s="620"/>
      <c r="M1365" s="620"/>
      <c r="N1365" s="635"/>
      <c r="O1365" s="620"/>
    </row>
    <row r="1366" spans="1:15" ht="20.5" thickBot="1" x14ac:dyDescent="0.4">
      <c r="A1366" s="620"/>
      <c r="B1366" s="635"/>
      <c r="C1366" s="632"/>
      <c r="D1366" s="720"/>
      <c r="E1366" s="1788"/>
      <c r="F1366" s="620"/>
      <c r="G1366" s="620"/>
      <c r="H1366" s="620"/>
      <c r="I1366" s="642" t="s">
        <v>210</v>
      </c>
      <c r="J1366" s="680" t="e">
        <f>SUM(J1358:J1365)</f>
        <v>#REF!</v>
      </c>
      <c r="K1366" s="682" t="e">
        <f>J1366-M1355</f>
        <v>#REF!</v>
      </c>
      <c r="L1366" s="620"/>
      <c r="M1366" s="620"/>
      <c r="N1366" s="635"/>
      <c r="O1366" s="620"/>
    </row>
    <row r="1367" spans="1:15" x14ac:dyDescent="0.35">
      <c r="A1367" s="620"/>
      <c r="B1367" s="635"/>
      <c r="C1367" s="632"/>
      <c r="D1367" s="720"/>
      <c r="E1367" s="1788"/>
      <c r="F1367" s="620"/>
      <c r="G1367" s="620"/>
      <c r="H1367" s="620"/>
      <c r="I1367" s="620"/>
      <c r="J1367" s="620"/>
      <c r="K1367" s="702"/>
      <c r="L1367" s="620"/>
      <c r="M1367" s="620"/>
      <c r="N1367" s="635"/>
      <c r="O1367" s="620"/>
    </row>
    <row r="1368" spans="1:15" ht="25" x14ac:dyDescent="0.35">
      <c r="A1368" s="2095" t="s">
        <v>1207</v>
      </c>
      <c r="B1368" s="2095"/>
      <c r="C1368" s="2095"/>
      <c r="D1368" s="2095"/>
      <c r="E1368" s="2095"/>
      <c r="F1368" s="2095"/>
      <c r="G1368" s="2095"/>
      <c r="H1368" s="2095"/>
      <c r="I1368" s="2095"/>
      <c r="J1368" s="2095"/>
      <c r="K1368" s="2095"/>
      <c r="L1368" s="2095"/>
      <c r="M1368" s="2095"/>
      <c r="N1368" s="2095"/>
      <c r="O1368" s="756" t="str">
        <f>$O$6</f>
        <v>Month December-2022</v>
      </c>
    </row>
    <row r="1369" spans="1:15" ht="15.5" x14ac:dyDescent="0.35">
      <c r="A1369" s="2096" t="s">
        <v>0</v>
      </c>
      <c r="B1369" s="2098" t="s">
        <v>1</v>
      </c>
      <c r="C1369" s="2100" t="s">
        <v>2</v>
      </c>
      <c r="D1369" s="2101"/>
      <c r="E1369" s="2102"/>
      <c r="F1369" s="2103" t="s">
        <v>3</v>
      </c>
      <c r="G1369" s="2100" t="s">
        <v>4</v>
      </c>
      <c r="H1369" s="2102"/>
      <c r="I1369" s="2085"/>
      <c r="J1369" s="2103" t="s">
        <v>5</v>
      </c>
      <c r="K1369" s="2100" t="s">
        <v>6</v>
      </c>
      <c r="L1369" s="2085"/>
      <c r="M1369" s="97" t="s">
        <v>32</v>
      </c>
      <c r="N1369" s="98"/>
      <c r="O1369" s="2084" t="s">
        <v>7</v>
      </c>
    </row>
    <row r="1370" spans="1:15" ht="15.5" x14ac:dyDescent="0.35">
      <c r="A1370" s="2097"/>
      <c r="B1370" s="2099"/>
      <c r="C1370" s="2086" t="s">
        <v>1108</v>
      </c>
      <c r="D1370" s="2087"/>
      <c r="E1370" s="1810" t="s">
        <v>9</v>
      </c>
      <c r="F1370" s="2097"/>
      <c r="G1370" s="2">
        <f>'NORTH-1'!$G$8</f>
        <v>44774</v>
      </c>
      <c r="H1370" s="2">
        <f>'NORTH-1'!$H$8</f>
        <v>44805</v>
      </c>
      <c r="I1370" s="1" t="s">
        <v>10</v>
      </c>
      <c r="J1370" s="2097"/>
      <c r="K1370" s="1" t="s">
        <v>11</v>
      </c>
      <c r="L1370" s="1" t="s">
        <v>12</v>
      </c>
      <c r="M1370" s="617" t="s">
        <v>33</v>
      </c>
      <c r="N1370" s="76" t="s">
        <v>47</v>
      </c>
      <c r="O1370" s="2085"/>
    </row>
    <row r="1371" spans="1:15" ht="15.5" x14ac:dyDescent="0.35">
      <c r="A1371" s="3">
        <v>1</v>
      </c>
      <c r="B1371" s="88">
        <v>2</v>
      </c>
      <c r="C1371" s="2088">
        <v>4</v>
      </c>
      <c r="D1371" s="2089"/>
      <c r="E1371" s="1811">
        <v>5</v>
      </c>
      <c r="F1371" s="3">
        <v>7</v>
      </c>
      <c r="G1371" s="3">
        <v>8</v>
      </c>
      <c r="H1371" s="3">
        <v>9</v>
      </c>
      <c r="I1371" s="3" t="s">
        <v>13</v>
      </c>
      <c r="J1371" s="3">
        <v>11</v>
      </c>
      <c r="K1371" s="3" t="s">
        <v>19</v>
      </c>
      <c r="L1371" s="3" t="s">
        <v>20</v>
      </c>
      <c r="M1371" s="3">
        <v>14</v>
      </c>
      <c r="N1371" s="77">
        <v>15</v>
      </c>
      <c r="O1371" s="3">
        <v>16</v>
      </c>
    </row>
    <row r="1372" spans="1:15" ht="15" x14ac:dyDescent="0.35">
      <c r="A1372" s="636"/>
      <c r="B1372" s="624" t="s">
        <v>1104</v>
      </c>
      <c r="C1372" s="625"/>
      <c r="D1372" s="625"/>
      <c r="E1372" s="1794"/>
      <c r="F1372" s="625"/>
      <c r="G1372" s="625"/>
      <c r="H1372" s="625"/>
      <c r="I1372" s="625"/>
      <c r="J1372" s="625"/>
      <c r="K1372" s="695"/>
      <c r="L1372" s="625"/>
      <c r="M1372" s="626"/>
      <c r="N1372" s="1972"/>
      <c r="O1372" s="12"/>
    </row>
    <row r="1373" spans="1:15" ht="15.5" x14ac:dyDescent="0.35">
      <c r="A1373" s="616">
        <v>3</v>
      </c>
      <c r="B1373" s="100" t="s">
        <v>2102</v>
      </c>
      <c r="C1373" s="73">
        <v>11</v>
      </c>
      <c r="D1373" s="1779"/>
      <c r="E1373" s="1801" t="s">
        <v>2384</v>
      </c>
      <c r="F1373" s="32">
        <v>1</v>
      </c>
      <c r="G1373" s="5">
        <v>118.34</v>
      </c>
      <c r="H1373" s="5">
        <v>128.13999999999999</v>
      </c>
      <c r="I1373" s="21">
        <f>H1373-G1373</f>
        <v>9.7999999999999829</v>
      </c>
      <c r="J1373" s="616">
        <v>250000</v>
      </c>
      <c r="K1373" s="707">
        <f>F1373*I1373*J1373</f>
        <v>2449999.9999999958</v>
      </c>
      <c r="L1373" s="22"/>
      <c r="M1373" s="22"/>
      <c r="N1373" s="99"/>
      <c r="O1373" s="12"/>
    </row>
    <row r="1374" spans="1:15" ht="15.5" x14ac:dyDescent="0.35">
      <c r="A1374" s="616">
        <v>20</v>
      </c>
      <c r="B1374" s="100" t="s">
        <v>2137</v>
      </c>
      <c r="C1374" s="73">
        <v>11</v>
      </c>
      <c r="D1374" s="1780"/>
      <c r="E1374" s="1801" t="s">
        <v>2412</v>
      </c>
      <c r="F1374" s="32">
        <v>1.05</v>
      </c>
      <c r="G1374" s="5">
        <v>88.3</v>
      </c>
      <c r="H1374" s="5">
        <v>95.73</v>
      </c>
      <c r="I1374" s="21">
        <f>H1374-G1374</f>
        <v>7.4300000000000068</v>
      </c>
      <c r="J1374" s="616">
        <v>250000</v>
      </c>
      <c r="K1374" s="707">
        <f>F1374*I1374*J1374</f>
        <v>1950375.0000000019</v>
      </c>
      <c r="L1374" s="22"/>
      <c r="M1374" s="22"/>
      <c r="N1374" s="99"/>
      <c r="O1374" s="12"/>
    </row>
    <row r="1375" spans="1:15" ht="15" x14ac:dyDescent="0.35">
      <c r="A1375" s="636"/>
      <c r="B1375" s="96"/>
      <c r="C1375" s="90"/>
      <c r="D1375" s="90"/>
      <c r="E1375" s="1785"/>
      <c r="F1375" s="38"/>
      <c r="G1375" s="38"/>
      <c r="H1375" s="38"/>
      <c r="I1375" s="38"/>
      <c r="J1375" s="96" t="s">
        <v>30</v>
      </c>
      <c r="K1375" s="708">
        <f>SUM(K1373:K1374)</f>
        <v>4400374.9999999981</v>
      </c>
      <c r="L1375" s="43"/>
      <c r="M1375" s="43">
        <f>SUM(M1373:M1374)</f>
        <v>0</v>
      </c>
      <c r="N1375" s="99"/>
      <c r="O1375" s="12"/>
    </row>
    <row r="1376" spans="1:15" ht="15.5" x14ac:dyDescent="0.35">
      <c r="A1376" s="631"/>
      <c r="B1376" s="647" t="s">
        <v>1105</v>
      </c>
      <c r="C1376" s="648"/>
      <c r="D1376" s="648"/>
      <c r="E1376" s="1800"/>
      <c r="F1376" s="648"/>
      <c r="G1376" s="648"/>
      <c r="H1376" s="648"/>
      <c r="I1376" s="648"/>
      <c r="J1376" s="648"/>
      <c r="K1376" s="700"/>
      <c r="L1376" s="648"/>
      <c r="M1376" s="651"/>
      <c r="N1376" s="1971"/>
      <c r="O1376" s="616"/>
    </row>
    <row r="1377" spans="1:15" ht="16.5" customHeight="1" x14ac:dyDescent="0.35">
      <c r="A1377" s="631">
        <v>4</v>
      </c>
      <c r="B1377" s="100" t="s">
        <v>2104</v>
      </c>
      <c r="C1377" s="73">
        <v>11</v>
      </c>
      <c r="D1377" s="1845"/>
      <c r="E1377" s="1801" t="s">
        <v>2385</v>
      </c>
      <c r="F1377" s="32">
        <v>1</v>
      </c>
      <c r="G1377" s="6">
        <v>0.03</v>
      </c>
      <c r="H1377" s="6">
        <v>0.03</v>
      </c>
      <c r="I1377" s="20">
        <f t="shared" ref="I1377:I1392" si="49">H1377-G1377</f>
        <v>0</v>
      </c>
      <c r="J1377" s="616">
        <v>60000</v>
      </c>
      <c r="K1377" s="703"/>
      <c r="L1377" s="22">
        <f t="shared" ref="L1377:L1385" si="50">I1377*J1377</f>
        <v>0</v>
      </c>
      <c r="M1377" s="22"/>
      <c r="N1377" s="72"/>
      <c r="O1377" s="15"/>
    </row>
    <row r="1378" spans="1:15" ht="16.5" customHeight="1" x14ac:dyDescent="0.35">
      <c r="A1378" s="631">
        <v>5</v>
      </c>
      <c r="B1378" s="100" t="s">
        <v>2386</v>
      </c>
      <c r="C1378" s="73">
        <v>11</v>
      </c>
      <c r="D1378" s="1845"/>
      <c r="E1378" s="1801" t="s">
        <v>2387</v>
      </c>
      <c r="F1378" s="32">
        <v>1</v>
      </c>
      <c r="G1378" s="6">
        <v>241.2</v>
      </c>
      <c r="H1378" s="6">
        <v>260.56</v>
      </c>
      <c r="I1378" s="20">
        <f t="shared" si="49"/>
        <v>19.360000000000014</v>
      </c>
      <c r="J1378" s="616">
        <v>60000</v>
      </c>
      <c r="K1378" s="703"/>
      <c r="L1378" s="22">
        <f t="shared" si="50"/>
        <v>1161600.0000000009</v>
      </c>
      <c r="M1378" s="22"/>
      <c r="N1378" s="72" t="s">
        <v>117</v>
      </c>
      <c r="O1378" s="15"/>
    </row>
    <row r="1379" spans="1:15" ht="16.5" customHeight="1" x14ac:dyDescent="0.35">
      <c r="A1379" s="631">
        <v>6</v>
      </c>
      <c r="B1379" s="100" t="s">
        <v>2388</v>
      </c>
      <c r="C1379" s="73">
        <v>11</v>
      </c>
      <c r="D1379" s="1845"/>
      <c r="E1379" s="1801" t="s">
        <v>2389</v>
      </c>
      <c r="F1379" s="32">
        <v>1</v>
      </c>
      <c r="G1379" s="6">
        <v>252.04</v>
      </c>
      <c r="H1379" s="6">
        <v>273.52999999999997</v>
      </c>
      <c r="I1379" s="20">
        <f t="shared" si="49"/>
        <v>21.489999999999981</v>
      </c>
      <c r="J1379" s="616">
        <v>60000</v>
      </c>
      <c r="K1379" s="703"/>
      <c r="L1379" s="22">
        <f t="shared" si="50"/>
        <v>1289399.9999999988</v>
      </c>
      <c r="M1379" s="22"/>
      <c r="N1379" s="72" t="s">
        <v>117</v>
      </c>
      <c r="O1379" s="15"/>
    </row>
    <row r="1380" spans="1:15" ht="16.5" customHeight="1" x14ac:dyDescent="0.35">
      <c r="A1380" s="631">
        <v>7</v>
      </c>
      <c r="B1380" s="101" t="s">
        <v>2390</v>
      </c>
      <c r="C1380" s="73">
        <v>11</v>
      </c>
      <c r="D1380" s="1845"/>
      <c r="E1380" s="1801" t="s">
        <v>2391</v>
      </c>
      <c r="F1380" s="32">
        <v>1</v>
      </c>
      <c r="G1380" s="6">
        <v>0.02</v>
      </c>
      <c r="H1380" s="6">
        <v>0.02</v>
      </c>
      <c r="I1380" s="20">
        <f t="shared" si="49"/>
        <v>0</v>
      </c>
      <c r="J1380" s="616">
        <v>60000</v>
      </c>
      <c r="K1380" s="703"/>
      <c r="L1380" s="22">
        <f t="shared" si="50"/>
        <v>0</v>
      </c>
      <c r="M1380" s="22"/>
      <c r="N1380" s="72"/>
      <c r="O1380" s="15"/>
    </row>
    <row r="1381" spans="1:15" ht="16.5" customHeight="1" x14ac:dyDescent="0.35">
      <c r="A1381" s="631">
        <v>8</v>
      </c>
      <c r="B1381" s="100" t="s">
        <v>2392</v>
      </c>
      <c r="C1381" s="73">
        <v>11</v>
      </c>
      <c r="D1381" s="1845"/>
      <c r="E1381" s="1801" t="s">
        <v>2393</v>
      </c>
      <c r="F1381" s="32">
        <v>1</v>
      </c>
      <c r="G1381" s="6">
        <v>0.02</v>
      </c>
      <c r="H1381" s="6">
        <v>0.02</v>
      </c>
      <c r="I1381" s="20">
        <f t="shared" si="49"/>
        <v>0</v>
      </c>
      <c r="J1381" s="616">
        <v>60000</v>
      </c>
      <c r="K1381" s="703"/>
      <c r="L1381" s="22">
        <f t="shared" si="50"/>
        <v>0</v>
      </c>
      <c r="M1381" s="22"/>
      <c r="N1381" s="72"/>
      <c r="O1381" s="15"/>
    </row>
    <row r="1382" spans="1:15" ht="16.5" customHeight="1" x14ac:dyDescent="0.35">
      <c r="A1382" s="631">
        <v>9</v>
      </c>
      <c r="B1382" s="100" t="s">
        <v>2394</v>
      </c>
      <c r="C1382" s="73">
        <v>11</v>
      </c>
      <c r="D1382" s="1845"/>
      <c r="E1382" s="1801" t="s">
        <v>2395</v>
      </c>
      <c r="F1382" s="32">
        <v>1</v>
      </c>
      <c r="G1382" s="6">
        <v>0.02</v>
      </c>
      <c r="H1382" s="6">
        <v>0.02</v>
      </c>
      <c r="I1382" s="20">
        <f t="shared" si="49"/>
        <v>0</v>
      </c>
      <c r="J1382" s="616">
        <v>60000</v>
      </c>
      <c r="K1382" s="703"/>
      <c r="L1382" s="22">
        <f t="shared" si="50"/>
        <v>0</v>
      </c>
      <c r="M1382" s="22"/>
      <c r="N1382" s="72"/>
      <c r="O1382" s="15"/>
    </row>
    <row r="1383" spans="1:15" ht="16.5" customHeight="1" x14ac:dyDescent="0.35">
      <c r="A1383" s="631">
        <v>10</v>
      </c>
      <c r="B1383" s="100" t="s">
        <v>2117</v>
      </c>
      <c r="C1383" s="73">
        <v>11</v>
      </c>
      <c r="D1383" s="1845"/>
      <c r="E1383" s="1801" t="s">
        <v>2396</v>
      </c>
      <c r="F1383" s="32">
        <v>1</v>
      </c>
      <c r="G1383" s="6">
        <v>0.02</v>
      </c>
      <c r="H1383" s="6">
        <v>0.02</v>
      </c>
      <c r="I1383" s="20">
        <f t="shared" si="49"/>
        <v>0</v>
      </c>
      <c r="J1383" s="616">
        <v>60000</v>
      </c>
      <c r="K1383" s="703"/>
      <c r="L1383" s="22">
        <f t="shared" si="50"/>
        <v>0</v>
      </c>
      <c r="M1383" s="22"/>
      <c r="N1383" s="72"/>
      <c r="O1383" s="15"/>
    </row>
    <row r="1384" spans="1:15" ht="16.5" customHeight="1" x14ac:dyDescent="0.35">
      <c r="A1384" s="631">
        <v>11</v>
      </c>
      <c r="B1384" s="100" t="s">
        <v>2119</v>
      </c>
      <c r="C1384" s="73">
        <v>11</v>
      </c>
      <c r="D1384" s="1845"/>
      <c r="E1384" s="1801" t="s">
        <v>2397</v>
      </c>
      <c r="F1384" s="32">
        <v>1</v>
      </c>
      <c r="G1384" s="6">
        <v>0.03</v>
      </c>
      <c r="H1384" s="6">
        <v>0.03</v>
      </c>
      <c r="I1384" s="20">
        <f t="shared" si="49"/>
        <v>0</v>
      </c>
      <c r="J1384" s="616">
        <v>60000</v>
      </c>
      <c r="K1384" s="703"/>
      <c r="L1384" s="22">
        <f t="shared" si="50"/>
        <v>0</v>
      </c>
      <c r="M1384" s="22"/>
      <c r="N1384" s="72"/>
      <c r="O1384" s="15"/>
    </row>
    <row r="1385" spans="1:15" ht="16.5" customHeight="1" x14ac:dyDescent="0.35">
      <c r="A1385" s="633">
        <v>12</v>
      </c>
      <c r="B1385" s="100" t="s">
        <v>2121</v>
      </c>
      <c r="C1385" s="73">
        <v>11</v>
      </c>
      <c r="D1385" s="1845"/>
      <c r="E1385" s="1801" t="s">
        <v>2398</v>
      </c>
      <c r="F1385" s="32">
        <v>1</v>
      </c>
      <c r="G1385" s="6">
        <v>0.03</v>
      </c>
      <c r="H1385" s="6">
        <v>0.03</v>
      </c>
      <c r="I1385" s="20">
        <f t="shared" si="49"/>
        <v>0</v>
      </c>
      <c r="J1385" s="616">
        <v>60000</v>
      </c>
      <c r="K1385" s="704"/>
      <c r="L1385" s="22">
        <f t="shared" si="50"/>
        <v>0</v>
      </c>
      <c r="M1385" s="22"/>
      <c r="N1385" s="72"/>
      <c r="O1385" s="14"/>
    </row>
    <row r="1386" spans="1:15" ht="16.5" customHeight="1" x14ac:dyDescent="0.35">
      <c r="A1386" s="633">
        <v>13</v>
      </c>
      <c r="B1386" s="100" t="s">
        <v>2399</v>
      </c>
      <c r="C1386" s="73">
        <v>11</v>
      </c>
      <c r="D1386" s="1845"/>
      <c r="E1386" s="1801" t="s">
        <v>2400</v>
      </c>
      <c r="F1386" s="32">
        <v>1.82</v>
      </c>
      <c r="G1386" s="6">
        <v>135.26</v>
      </c>
      <c r="H1386" s="6">
        <v>148.84</v>
      </c>
      <c r="I1386" s="20">
        <f t="shared" si="49"/>
        <v>13.580000000000013</v>
      </c>
      <c r="J1386" s="616">
        <v>60000</v>
      </c>
      <c r="K1386" s="704"/>
      <c r="L1386" s="22">
        <f>I1386*J1386*F1386</f>
        <v>1482936.0000000014</v>
      </c>
      <c r="M1386" s="22"/>
      <c r="N1386" s="72" t="s">
        <v>117</v>
      </c>
      <c r="O1386" s="14"/>
    </row>
    <row r="1387" spans="1:15" ht="16.5" customHeight="1" x14ac:dyDescent="0.35">
      <c r="A1387" s="633">
        <v>14</v>
      </c>
      <c r="B1387" s="100" t="s">
        <v>2401</v>
      </c>
      <c r="C1387" s="73">
        <v>11</v>
      </c>
      <c r="D1387" s="1845"/>
      <c r="E1387" s="1801" t="s">
        <v>2402</v>
      </c>
      <c r="F1387" s="32">
        <v>1.82</v>
      </c>
      <c r="G1387" s="6">
        <v>98.84</v>
      </c>
      <c r="H1387" s="6">
        <v>102.85</v>
      </c>
      <c r="I1387" s="20">
        <f t="shared" si="49"/>
        <v>4.0099999999999909</v>
      </c>
      <c r="J1387" s="616">
        <v>60000</v>
      </c>
      <c r="K1387" s="704"/>
      <c r="L1387" s="22">
        <f>I1387*J1387*F1387</f>
        <v>437891.99999999901</v>
      </c>
      <c r="M1387" s="22"/>
      <c r="N1387" s="72" t="s">
        <v>117</v>
      </c>
      <c r="O1387" s="14"/>
    </row>
    <row r="1388" spans="1:15" ht="16.5" customHeight="1" x14ac:dyDescent="0.35">
      <c r="A1388" s="633">
        <v>15</v>
      </c>
      <c r="B1388" s="100" t="s">
        <v>2403</v>
      </c>
      <c r="C1388" s="73">
        <v>11</v>
      </c>
      <c r="D1388" s="1845"/>
      <c r="E1388" s="1801" t="s">
        <v>2404</v>
      </c>
      <c r="F1388" s="32">
        <v>1</v>
      </c>
      <c r="G1388" s="6">
        <v>0.03</v>
      </c>
      <c r="H1388" s="6">
        <v>0.03</v>
      </c>
      <c r="I1388" s="20">
        <f t="shared" si="49"/>
        <v>0</v>
      </c>
      <c r="J1388" s="616">
        <v>60000</v>
      </c>
      <c r="K1388" s="703"/>
      <c r="L1388" s="22">
        <f>I1388*J1388</f>
        <v>0</v>
      </c>
      <c r="M1388" s="22"/>
      <c r="N1388" s="72"/>
      <c r="O1388" s="15"/>
    </row>
    <row r="1389" spans="1:15" ht="16.5" customHeight="1" x14ac:dyDescent="0.35">
      <c r="A1389" s="633">
        <v>16</v>
      </c>
      <c r="B1389" s="100" t="s">
        <v>2405</v>
      </c>
      <c r="C1389" s="73">
        <v>11</v>
      </c>
      <c r="D1389" s="1845"/>
      <c r="E1389" s="1801" t="s">
        <v>2406</v>
      </c>
      <c r="F1389" s="32">
        <v>1</v>
      </c>
      <c r="G1389" s="6">
        <v>0.03</v>
      </c>
      <c r="H1389" s="6">
        <v>0.03</v>
      </c>
      <c r="I1389" s="20">
        <f t="shared" si="49"/>
        <v>0</v>
      </c>
      <c r="J1389" s="616">
        <v>60000</v>
      </c>
      <c r="K1389" s="704"/>
      <c r="L1389" s="22">
        <f>I1389*J1389</f>
        <v>0</v>
      </c>
      <c r="M1389" s="22"/>
      <c r="N1389" s="72"/>
      <c r="O1389" s="10"/>
    </row>
    <row r="1390" spans="1:15" ht="16.5" customHeight="1" x14ac:dyDescent="0.35">
      <c r="A1390" s="633">
        <v>17</v>
      </c>
      <c r="B1390" s="101" t="s">
        <v>2407</v>
      </c>
      <c r="C1390" s="73">
        <v>11</v>
      </c>
      <c r="D1390" s="1845"/>
      <c r="E1390" s="1801" t="s">
        <v>2408</v>
      </c>
      <c r="F1390" s="32">
        <v>1</v>
      </c>
      <c r="G1390" s="6">
        <v>0.03</v>
      </c>
      <c r="H1390" s="6">
        <v>0.03</v>
      </c>
      <c r="I1390" s="20">
        <f t="shared" si="49"/>
        <v>0</v>
      </c>
      <c r="J1390" s="616">
        <v>60000</v>
      </c>
      <c r="K1390" s="703"/>
      <c r="L1390" s="22">
        <f>I1390*J1390</f>
        <v>0</v>
      </c>
      <c r="M1390" s="22"/>
      <c r="N1390" s="72"/>
      <c r="O1390" s="13"/>
    </row>
    <row r="1391" spans="1:15" ht="16.5" customHeight="1" x14ac:dyDescent="0.35">
      <c r="A1391" s="633">
        <v>18</v>
      </c>
      <c r="B1391" s="100" t="s">
        <v>2409</v>
      </c>
      <c r="C1391" s="73">
        <v>11</v>
      </c>
      <c r="D1391" s="1845"/>
      <c r="E1391" s="1801" t="s">
        <v>2410</v>
      </c>
      <c r="F1391" s="32">
        <v>1</v>
      </c>
      <c r="G1391" s="6">
        <v>0.03</v>
      </c>
      <c r="H1391" s="6">
        <v>0.03</v>
      </c>
      <c r="I1391" s="20">
        <f t="shared" si="49"/>
        <v>0</v>
      </c>
      <c r="J1391" s="616">
        <v>60000</v>
      </c>
      <c r="K1391" s="705"/>
      <c r="L1391" s="22">
        <f>I1391*J1391</f>
        <v>0</v>
      </c>
      <c r="M1391" s="22"/>
      <c r="N1391" s="72"/>
      <c r="O1391" s="30"/>
    </row>
    <row r="1392" spans="1:15" ht="16.5" customHeight="1" x14ac:dyDescent="0.35">
      <c r="A1392" s="633">
        <v>19</v>
      </c>
      <c r="B1392" s="101" t="s">
        <v>2135</v>
      </c>
      <c r="C1392" s="73">
        <v>11</v>
      </c>
      <c r="D1392" s="1845"/>
      <c r="E1392" s="1801" t="s">
        <v>2411</v>
      </c>
      <c r="F1392" s="32">
        <v>1</v>
      </c>
      <c r="G1392" s="6">
        <v>0.03</v>
      </c>
      <c r="H1392" s="6">
        <v>0.03</v>
      </c>
      <c r="I1392" s="20">
        <f t="shared" si="49"/>
        <v>0</v>
      </c>
      <c r="J1392" s="616">
        <v>60000</v>
      </c>
      <c r="K1392" s="696"/>
      <c r="L1392" s="22">
        <f>I1392*J1392</f>
        <v>0</v>
      </c>
      <c r="M1392" s="22"/>
      <c r="N1392" s="72"/>
      <c r="O1392" s="616"/>
    </row>
    <row r="1393" spans="1:15" ht="16.5" customHeight="1" x14ac:dyDescent="0.35">
      <c r="A1393" s="633">
        <v>21</v>
      </c>
      <c r="B1393" s="101" t="s">
        <v>2098</v>
      </c>
      <c r="C1393" s="73">
        <v>0.41499999999999998</v>
      </c>
      <c r="D1393" s="1845"/>
      <c r="E1393" s="1801" t="s">
        <v>2383</v>
      </c>
      <c r="F1393" s="32">
        <v>1</v>
      </c>
      <c r="G1393" s="6">
        <v>926.37</v>
      </c>
      <c r="H1393" s="6">
        <v>988.12</v>
      </c>
      <c r="I1393" s="20">
        <f>SUM(H1393-G1393)</f>
        <v>61.75</v>
      </c>
      <c r="J1393" s="616">
        <v>1</v>
      </c>
      <c r="K1393" s="705"/>
      <c r="L1393" s="22">
        <f>F1393*I1393*J1393</f>
        <v>61.75</v>
      </c>
      <c r="M1393" s="22"/>
      <c r="N1393" s="72"/>
      <c r="O1393" s="13"/>
    </row>
    <row r="1394" spans="1:15" ht="16.5" customHeight="1" x14ac:dyDescent="0.35">
      <c r="A1394" s="633">
        <v>22</v>
      </c>
      <c r="B1394" s="100" t="s">
        <v>2100</v>
      </c>
      <c r="C1394" s="74">
        <v>0.41499999999999998</v>
      </c>
      <c r="D1394" s="1845"/>
      <c r="E1394" s="1801"/>
      <c r="F1394" s="32">
        <v>1</v>
      </c>
      <c r="G1394" s="6"/>
      <c r="H1394" s="6"/>
      <c r="I1394" s="20">
        <f>SUM(H1394-G1394)</f>
        <v>0</v>
      </c>
      <c r="J1394" s="616">
        <v>1</v>
      </c>
      <c r="K1394" s="705"/>
      <c r="L1394" s="22">
        <f>F1394*I1394*J1394</f>
        <v>0</v>
      </c>
      <c r="M1394" s="22"/>
      <c r="N1394" s="72"/>
      <c r="O1394" s="13"/>
    </row>
    <row r="1395" spans="1:15" ht="20" x14ac:dyDescent="0.35">
      <c r="A1395" s="636"/>
      <c r="B1395" s="96"/>
      <c r="C1395" s="90"/>
      <c r="D1395" s="90"/>
      <c r="E1395" s="1785"/>
      <c r="F1395" s="38"/>
      <c r="G1395" s="38"/>
      <c r="H1395" s="38"/>
      <c r="I1395" s="38"/>
      <c r="J1395" s="96" t="s">
        <v>30</v>
      </c>
      <c r="K1395" s="708">
        <f>K1375</f>
        <v>4400374.9999999981</v>
      </c>
      <c r="L1395" s="43">
        <f>SUM(L1377:L1394)</f>
        <v>4371889.75</v>
      </c>
      <c r="M1395" s="43">
        <f>SUM(M1377:M1394)</f>
        <v>0</v>
      </c>
      <c r="N1395" s="84">
        <f>(M1395-L1395)/L1395*100</f>
        <v>-100</v>
      </c>
      <c r="O1395" s="13"/>
    </row>
    <row r="1396" spans="1:15" x14ac:dyDescent="0.35">
      <c r="D1396" s="725"/>
      <c r="K1396" s="34"/>
    </row>
    <row r="1397" spans="1:15" ht="15" x14ac:dyDescent="0.35">
      <c r="A1397" s="620"/>
      <c r="B1397" s="635"/>
      <c r="C1397" s="632"/>
      <c r="D1397" s="720"/>
      <c r="G1397" s="2092" t="s">
        <v>1099</v>
      </c>
      <c r="H1397" s="2092"/>
      <c r="I1397" s="2092"/>
      <c r="J1397" s="677" t="s">
        <v>14</v>
      </c>
      <c r="K1397" s="702"/>
      <c r="L1397" s="620"/>
      <c r="M1397" s="620"/>
      <c r="N1397" s="635"/>
      <c r="O1397" s="620"/>
    </row>
    <row r="1398" spans="1:15" ht="15.5" x14ac:dyDescent="0.35">
      <c r="A1398" s="620"/>
      <c r="B1398" s="635"/>
      <c r="C1398" s="632"/>
      <c r="D1398" s="720"/>
      <c r="G1398" s="2082" t="s">
        <v>232</v>
      </c>
      <c r="H1398" s="2082"/>
      <c r="I1398" s="2082"/>
      <c r="J1398" s="643" t="e">
        <f>#REF!+#REF!+M1378+M1379+M1380+M1385+M1386+M1387+M1391</f>
        <v>#REF!</v>
      </c>
      <c r="K1398" s="702"/>
      <c r="L1398" s="620"/>
      <c r="M1398" s="620"/>
      <c r="N1398" s="635"/>
      <c r="O1398" s="620" t="s">
        <v>237</v>
      </c>
    </row>
    <row r="1399" spans="1:15" ht="15.5" x14ac:dyDescent="0.35">
      <c r="A1399" s="620"/>
      <c r="B1399" s="635"/>
      <c r="C1399" s="632"/>
      <c r="D1399" s="720"/>
      <c r="G1399" s="2082" t="s">
        <v>233</v>
      </c>
      <c r="H1399" s="2082"/>
      <c r="I1399" s="2082"/>
      <c r="J1399" s="643" t="e">
        <f>#REF!+#REF!+#REF!+#REF!+#REF!+#REF!+M1383+M1388+M1390</f>
        <v>#REF!</v>
      </c>
      <c r="K1399" s="702"/>
      <c r="L1399" s="620"/>
      <c r="M1399" s="620"/>
      <c r="N1399" s="635"/>
      <c r="O1399" s="620"/>
    </row>
    <row r="1400" spans="1:15" ht="15.5" x14ac:dyDescent="0.35">
      <c r="A1400" s="620"/>
      <c r="B1400" s="635"/>
      <c r="C1400" s="632"/>
      <c r="D1400" s="720"/>
      <c r="G1400" s="2082" t="s">
        <v>234</v>
      </c>
      <c r="H1400" s="2082"/>
      <c r="I1400" s="2082"/>
      <c r="J1400" s="643">
        <f>M1389</f>
        <v>0</v>
      </c>
      <c r="K1400" s="702"/>
      <c r="L1400" s="620"/>
      <c r="M1400" s="620"/>
      <c r="N1400" s="635"/>
      <c r="O1400" s="620"/>
    </row>
    <row r="1401" spans="1:15" ht="16" thickBot="1" x14ac:dyDescent="0.4">
      <c r="A1401" s="620"/>
      <c r="B1401" s="635"/>
      <c r="C1401" s="632"/>
      <c r="D1401" s="720"/>
      <c r="G1401" s="2082" t="s">
        <v>235</v>
      </c>
      <c r="H1401" s="2082"/>
      <c r="I1401" s="2082"/>
      <c r="J1401" s="643" t="e">
        <f>#REF!+#REF!+#REF!+M1377+M1381+M1382+M1392+M1393+M1394</f>
        <v>#REF!</v>
      </c>
      <c r="K1401" s="702"/>
      <c r="L1401" s="620"/>
      <c r="M1401" s="620"/>
      <c r="N1401" s="635"/>
      <c r="O1401" s="620"/>
    </row>
    <row r="1402" spans="1:15" ht="20.5" thickBot="1" x14ac:dyDescent="0.4">
      <c r="A1402" s="620"/>
      <c r="B1402" s="635"/>
      <c r="C1402" s="632"/>
      <c r="D1402" s="720"/>
      <c r="G1402" s="2083" t="s">
        <v>210</v>
      </c>
      <c r="H1402" s="2083"/>
      <c r="I1402" s="2083"/>
      <c r="J1402" s="714" t="e">
        <f>SUM(J1398:J1401)</f>
        <v>#REF!</v>
      </c>
      <c r="K1402" s="682" t="e">
        <f>J1402-M1395</f>
        <v>#REF!</v>
      </c>
      <c r="L1402" s="620"/>
      <c r="M1402" s="620"/>
      <c r="N1402" s="635"/>
      <c r="O1402" s="620"/>
    </row>
    <row r="1406" spans="1:15" x14ac:dyDescent="0.35">
      <c r="A1406" s="620"/>
      <c r="B1406" s="635"/>
      <c r="C1406" s="632"/>
      <c r="D1406" s="720"/>
      <c r="E1406" s="1788"/>
      <c r="F1406" s="620"/>
      <c r="G1406" s="620"/>
      <c r="H1406" s="620"/>
      <c r="I1406" s="620"/>
      <c r="J1406" s="620"/>
      <c r="K1406" s="702"/>
      <c r="L1406" s="620"/>
      <c r="M1406" s="620"/>
      <c r="N1406" s="635"/>
      <c r="O1406" s="620"/>
    </row>
    <row r="1407" spans="1:15" x14ac:dyDescent="0.35">
      <c r="A1407" s="620"/>
      <c r="B1407" s="635"/>
      <c r="C1407" s="632"/>
      <c r="D1407" s="720"/>
      <c r="E1407" s="1788"/>
      <c r="F1407" s="620"/>
      <c r="G1407" s="620"/>
      <c r="H1407" s="620"/>
      <c r="I1407" s="620"/>
      <c r="J1407" s="620"/>
      <c r="K1407" s="702"/>
      <c r="L1407" s="620"/>
      <c r="M1407" s="620"/>
      <c r="N1407" s="635"/>
      <c r="O1407" s="620"/>
    </row>
    <row r="1408" spans="1:15" x14ac:dyDescent="0.35">
      <c r="A1408" s="620"/>
      <c r="B1408" s="635"/>
      <c r="C1408" s="632"/>
      <c r="D1408" s="720"/>
      <c r="E1408" s="1788"/>
      <c r="F1408" s="620"/>
      <c r="G1408" s="620"/>
      <c r="H1408" s="620"/>
      <c r="I1408" s="620"/>
      <c r="J1408" s="620"/>
      <c r="K1408" s="702"/>
      <c r="L1408" s="620"/>
      <c r="M1408" s="620"/>
      <c r="N1408" s="635"/>
      <c r="O1408" s="620"/>
    </row>
    <row r="1409" spans="1:15" x14ac:dyDescent="0.35">
      <c r="A1409" s="620"/>
      <c r="B1409" s="635"/>
      <c r="C1409" s="632"/>
      <c r="D1409" s="720"/>
      <c r="E1409" s="1788"/>
      <c r="F1409" s="620"/>
      <c r="G1409" s="620"/>
      <c r="H1409" s="620"/>
      <c r="I1409" s="620"/>
      <c r="J1409" s="620"/>
      <c r="K1409" s="702"/>
      <c r="L1409" s="620"/>
      <c r="M1409" s="620"/>
      <c r="N1409" s="635"/>
      <c r="O1409" s="620"/>
    </row>
    <row r="1410" spans="1:15" x14ac:dyDescent="0.35">
      <c r="A1410" s="620"/>
      <c r="B1410" s="635"/>
      <c r="C1410" s="632"/>
      <c r="D1410" s="720"/>
      <c r="E1410" s="1788"/>
      <c r="F1410" s="620"/>
      <c r="G1410" s="620"/>
      <c r="H1410" s="620"/>
      <c r="I1410" s="620"/>
      <c r="J1410" s="620"/>
      <c r="K1410" s="702"/>
      <c r="L1410" s="620"/>
      <c r="M1410" s="620"/>
      <c r="N1410" s="635"/>
      <c r="O1410" s="620"/>
    </row>
    <row r="1411" spans="1:15" x14ac:dyDescent="0.35">
      <c r="A1411" s="620"/>
      <c r="B1411" s="632"/>
      <c r="C1411" s="632"/>
      <c r="D1411" s="720"/>
      <c r="E1411" s="1788"/>
      <c r="F1411" s="620"/>
      <c r="G1411" s="620"/>
      <c r="H1411" s="620"/>
      <c r="I1411" s="620"/>
      <c r="J1411" s="620"/>
      <c r="K1411" s="702"/>
      <c r="L1411" s="620"/>
      <c r="M1411" s="620"/>
      <c r="N1411" s="635"/>
      <c r="O1411" s="620"/>
    </row>
    <row r="1412" spans="1:15" x14ac:dyDescent="0.35">
      <c r="A1412" s="620"/>
      <c r="B1412" s="632"/>
      <c r="C1412" s="632"/>
      <c r="D1412" s="720"/>
      <c r="E1412" s="1788"/>
      <c r="F1412" s="620"/>
      <c r="G1412" s="620"/>
      <c r="H1412" s="620"/>
      <c r="I1412" s="620"/>
      <c r="J1412" s="620"/>
      <c r="K1412" s="702"/>
      <c r="L1412" s="620"/>
      <c r="M1412" s="620"/>
      <c r="N1412" s="635"/>
      <c r="O1412" s="620"/>
    </row>
    <row r="1413" spans="1:15" x14ac:dyDescent="0.35">
      <c r="A1413" s="620"/>
      <c r="B1413" s="635"/>
      <c r="C1413" s="632"/>
      <c r="D1413" s="720"/>
      <c r="E1413" s="1788"/>
      <c r="F1413" s="620"/>
      <c r="G1413" s="620"/>
      <c r="H1413" s="620"/>
      <c r="I1413" s="620"/>
      <c r="J1413" s="620"/>
      <c r="K1413" s="702"/>
      <c r="L1413" s="620"/>
      <c r="M1413" s="620"/>
      <c r="N1413" s="635"/>
      <c r="O1413" s="620"/>
    </row>
    <row r="1414" spans="1:15" x14ac:dyDescent="0.35">
      <c r="A1414" s="620"/>
      <c r="B1414" s="635"/>
      <c r="C1414" s="632"/>
      <c r="D1414" s="720"/>
      <c r="E1414" s="1788"/>
      <c r="F1414" s="620"/>
      <c r="G1414" s="620"/>
      <c r="H1414" s="620"/>
      <c r="I1414" s="620"/>
      <c r="J1414" s="620"/>
      <c r="K1414" s="702"/>
      <c r="L1414" s="620"/>
      <c r="M1414" s="620"/>
      <c r="N1414" s="635"/>
      <c r="O1414" s="620"/>
    </row>
    <row r="1415" spans="1:15" x14ac:dyDescent="0.35">
      <c r="A1415" s="620"/>
      <c r="B1415" s="635"/>
      <c r="C1415" s="632"/>
      <c r="D1415" s="720"/>
      <c r="E1415" s="1788"/>
      <c r="F1415" s="620"/>
      <c r="G1415" s="620"/>
      <c r="H1415" s="620"/>
      <c r="I1415" s="620"/>
      <c r="J1415" s="620"/>
      <c r="K1415" s="702"/>
      <c r="L1415" s="620"/>
      <c r="M1415" s="620"/>
      <c r="N1415" s="635"/>
      <c r="O1415" s="620"/>
    </row>
    <row r="1416" spans="1:15" ht="25" x14ac:dyDescent="0.35">
      <c r="A1416" s="28"/>
      <c r="B1416" s="2152"/>
      <c r="C1416" s="2152"/>
      <c r="D1416" s="2152"/>
      <c r="E1416" s="2152"/>
      <c r="F1416" s="2152"/>
      <c r="G1416" s="2152"/>
      <c r="H1416" s="2152"/>
      <c r="I1416" s="2152"/>
      <c r="J1416" s="2152"/>
      <c r="K1416" s="2152"/>
      <c r="L1416" s="2152"/>
      <c r="M1416" s="2152"/>
      <c r="N1416" s="635"/>
      <c r="O1416" s="620"/>
    </row>
    <row r="1417" spans="1:15" x14ac:dyDescent="0.35">
      <c r="A1417" s="620"/>
      <c r="B1417" s="635"/>
      <c r="C1417" s="632"/>
      <c r="D1417" s="720"/>
      <c r="E1417" s="1788"/>
      <c r="F1417" s="620"/>
      <c r="G1417" s="620"/>
      <c r="H1417" s="620"/>
      <c r="I1417" s="620"/>
      <c r="J1417" s="620"/>
      <c r="K1417" s="702"/>
      <c r="L1417" s="620"/>
      <c r="M1417" s="620"/>
      <c r="N1417" s="635"/>
      <c r="O1417" s="620"/>
    </row>
    <row r="1418" spans="1:15" x14ac:dyDescent="0.35">
      <c r="A1418" s="620"/>
      <c r="B1418" s="635"/>
      <c r="C1418" s="632"/>
      <c r="D1418" s="720"/>
      <c r="E1418" s="1788"/>
      <c r="F1418" s="620"/>
      <c r="G1418" s="620"/>
      <c r="H1418" s="620"/>
      <c r="I1418" s="620"/>
      <c r="J1418" s="620"/>
      <c r="K1418" s="702"/>
      <c r="L1418" s="620"/>
      <c r="M1418" s="620"/>
      <c r="N1418" s="635"/>
      <c r="O1418" s="620"/>
    </row>
    <row r="1419" spans="1:15" ht="25" x14ac:dyDescent="0.35">
      <c r="A1419" s="2095" t="s">
        <v>1208</v>
      </c>
      <c r="B1419" s="2095"/>
      <c r="C1419" s="2095"/>
      <c r="D1419" s="2095"/>
      <c r="E1419" s="2095"/>
      <c r="F1419" s="2095"/>
      <c r="G1419" s="2095"/>
      <c r="H1419" s="2095"/>
      <c r="I1419" s="2095"/>
      <c r="J1419" s="2095"/>
      <c r="K1419" s="2095"/>
      <c r="L1419" s="2095"/>
      <c r="M1419" s="2095"/>
      <c r="N1419" s="2095"/>
      <c r="O1419" s="756" t="str">
        <f>$O$6</f>
        <v>Month December-2022</v>
      </c>
    </row>
    <row r="1420" spans="1:15" ht="15.5" x14ac:dyDescent="0.35">
      <c r="A1420" s="2096" t="s">
        <v>0</v>
      </c>
      <c r="B1420" s="2098" t="s">
        <v>1</v>
      </c>
      <c r="C1420" s="2100" t="s">
        <v>2</v>
      </c>
      <c r="D1420" s="2101"/>
      <c r="E1420" s="2102"/>
      <c r="F1420" s="2103" t="s">
        <v>3</v>
      </c>
      <c r="G1420" s="2100" t="s">
        <v>4</v>
      </c>
      <c r="H1420" s="2102"/>
      <c r="I1420" s="2085"/>
      <c r="J1420" s="2103" t="s">
        <v>5</v>
      </c>
      <c r="K1420" s="2100" t="s">
        <v>6</v>
      </c>
      <c r="L1420" s="2085"/>
      <c r="M1420" s="97" t="s">
        <v>32</v>
      </c>
      <c r="N1420" s="98"/>
      <c r="O1420" s="2084" t="s">
        <v>7</v>
      </c>
    </row>
    <row r="1421" spans="1:15" ht="15.5" x14ac:dyDescent="0.35">
      <c r="A1421" s="2097"/>
      <c r="B1421" s="2099"/>
      <c r="C1421" s="2086" t="s">
        <v>1108</v>
      </c>
      <c r="D1421" s="2087"/>
      <c r="E1421" s="1810" t="s">
        <v>9</v>
      </c>
      <c r="F1421" s="2097"/>
      <c r="G1421" s="2">
        <f>'NORTH-1'!$G$8</f>
        <v>44774</v>
      </c>
      <c r="H1421" s="2">
        <f>'NORTH-1'!$H$8</f>
        <v>44805</v>
      </c>
      <c r="I1421" s="1" t="s">
        <v>10</v>
      </c>
      <c r="J1421" s="2097"/>
      <c r="K1421" s="1" t="s">
        <v>11</v>
      </c>
      <c r="L1421" s="1" t="s">
        <v>12</v>
      </c>
      <c r="M1421" s="617" t="s">
        <v>33</v>
      </c>
      <c r="N1421" s="76" t="s">
        <v>47</v>
      </c>
      <c r="O1421" s="2085"/>
    </row>
    <row r="1422" spans="1:15" ht="15.5" x14ac:dyDescent="0.35">
      <c r="A1422" s="3">
        <v>1</v>
      </c>
      <c r="B1422" s="88">
        <v>2</v>
      </c>
      <c r="C1422" s="2088">
        <v>4</v>
      </c>
      <c r="D1422" s="2089"/>
      <c r="E1422" s="1811">
        <v>5</v>
      </c>
      <c r="F1422" s="3">
        <v>7</v>
      </c>
      <c r="G1422" s="3">
        <v>8</v>
      </c>
      <c r="H1422" s="3">
        <v>9</v>
      </c>
      <c r="I1422" s="3" t="s">
        <v>13</v>
      </c>
      <c r="J1422" s="3">
        <v>11</v>
      </c>
      <c r="K1422" s="3" t="s">
        <v>19</v>
      </c>
      <c r="L1422" s="3" t="s">
        <v>20</v>
      </c>
      <c r="M1422" s="3">
        <v>14</v>
      </c>
      <c r="N1422" s="77">
        <v>15</v>
      </c>
      <c r="O1422" s="3">
        <v>16</v>
      </c>
    </row>
    <row r="1423" spans="1:15" ht="15.5" x14ac:dyDescent="0.35">
      <c r="A1423" s="631"/>
      <c r="B1423" s="624" t="s">
        <v>1100</v>
      </c>
      <c r="C1423" s="625"/>
      <c r="D1423" s="625"/>
      <c r="E1423" s="1794"/>
      <c r="F1423" s="625"/>
      <c r="G1423" s="625"/>
      <c r="H1423" s="625"/>
      <c r="I1423" s="625"/>
      <c r="J1423" s="625"/>
      <c r="K1423" s="695"/>
      <c r="L1423" s="625"/>
      <c r="M1423" s="626"/>
      <c r="N1423" s="1972"/>
      <c r="O1423" s="616"/>
    </row>
    <row r="1424" spans="1:15" ht="25.5" customHeight="1" x14ac:dyDescent="0.35">
      <c r="A1424" s="11">
        <v>1</v>
      </c>
      <c r="B1424" s="100" t="s">
        <v>2416</v>
      </c>
      <c r="C1424" s="52">
        <v>33</v>
      </c>
      <c r="D1424" s="1770" t="s">
        <v>527</v>
      </c>
      <c r="E1424" s="1801" t="s">
        <v>2417</v>
      </c>
      <c r="F1424" s="4">
        <v>1</v>
      </c>
      <c r="G1424" s="21">
        <v>28689</v>
      </c>
      <c r="H1424" s="21">
        <v>29311</v>
      </c>
      <c r="I1424" s="21">
        <f>H1424-G1424</f>
        <v>622</v>
      </c>
      <c r="J1424" s="616">
        <v>6000</v>
      </c>
      <c r="K1424" s="696">
        <f>F1424*I1424*J1424</f>
        <v>3732000</v>
      </c>
      <c r="L1424" s="22"/>
      <c r="M1424" s="22"/>
      <c r="N1424" s="72"/>
      <c r="O1424" s="9"/>
    </row>
    <row r="1425" spans="1:15" ht="15.5" x14ac:dyDescent="0.35">
      <c r="A1425" s="631">
        <v>2</v>
      </c>
      <c r="B1425" s="100" t="s">
        <v>2418</v>
      </c>
      <c r="C1425" s="52">
        <v>33</v>
      </c>
      <c r="D1425" s="1772"/>
      <c r="E1425" s="1801">
        <v>30799095</v>
      </c>
      <c r="F1425" s="4">
        <v>1</v>
      </c>
      <c r="G1425" s="21">
        <v>1037.28</v>
      </c>
      <c r="H1425" s="21">
        <v>1057.98</v>
      </c>
      <c r="I1425" s="21">
        <f>H1425-G1425</f>
        <v>20.700000000000045</v>
      </c>
      <c r="J1425" s="616">
        <v>180000</v>
      </c>
      <c r="K1425" s="696">
        <f>F1425*I1425*J1425</f>
        <v>3726000.0000000084</v>
      </c>
      <c r="L1425" s="22"/>
      <c r="M1425" s="22"/>
      <c r="N1425" s="72"/>
      <c r="O1425" s="616"/>
    </row>
    <row r="1426" spans="1:15" ht="15.5" x14ac:dyDescent="0.35">
      <c r="A1426" s="631"/>
      <c r="B1426" s="102"/>
      <c r="C1426" s="91"/>
      <c r="D1426" s="726"/>
      <c r="E1426" s="1814"/>
      <c r="F1426" s="47"/>
      <c r="G1426" s="48"/>
      <c r="H1426" s="48"/>
      <c r="I1426" s="48"/>
      <c r="J1426" s="96" t="s">
        <v>30</v>
      </c>
      <c r="K1426" s="43">
        <f>K1425</f>
        <v>3726000.0000000084</v>
      </c>
      <c r="L1426" s="43">
        <f>SUM(L1424:L1425)</f>
        <v>0</v>
      </c>
      <c r="M1426" s="43">
        <f>SUM(M1424:M1425)</f>
        <v>0</v>
      </c>
      <c r="N1426" s="646"/>
      <c r="O1426" s="616"/>
    </row>
    <row r="1427" spans="1:15" ht="15.5" x14ac:dyDescent="0.35">
      <c r="A1427" s="616"/>
      <c r="B1427" s="624" t="s">
        <v>1113</v>
      </c>
      <c r="C1427" s="625"/>
      <c r="D1427" s="625"/>
      <c r="E1427" s="1794"/>
      <c r="F1427" s="625"/>
      <c r="G1427" s="625"/>
      <c r="H1427" s="625"/>
      <c r="I1427" s="625"/>
      <c r="J1427" s="732"/>
      <c r="K1427" s="733"/>
      <c r="L1427" s="734"/>
      <c r="M1427" s="734"/>
      <c r="N1427" s="1972"/>
      <c r="O1427" s="12"/>
    </row>
    <row r="1428" spans="1:15" ht="15.5" x14ac:dyDescent="0.35">
      <c r="A1428" s="616"/>
      <c r="B1428" s="100"/>
      <c r="C1428" s="52"/>
      <c r="D1428" s="2105"/>
      <c r="E1428" s="1801"/>
      <c r="F1428" s="4"/>
      <c r="G1428" s="21"/>
      <c r="H1428" s="21"/>
      <c r="I1428" s="20"/>
      <c r="J1428" s="616"/>
      <c r="K1428" s="696"/>
      <c r="L1428" s="22"/>
      <c r="M1428" s="22"/>
      <c r="N1428" s="72"/>
      <c r="O1428" s="12"/>
    </row>
    <row r="1429" spans="1:15" ht="15.5" x14ac:dyDescent="0.35">
      <c r="A1429" s="616"/>
      <c r="B1429" s="100"/>
      <c r="C1429" s="52"/>
      <c r="D1429" s="2106"/>
      <c r="E1429" s="1801"/>
      <c r="F1429" s="4"/>
      <c r="G1429" s="21"/>
      <c r="H1429" s="21"/>
      <c r="I1429" s="20"/>
      <c r="J1429" s="616"/>
      <c r="K1429" s="696"/>
      <c r="L1429" s="22"/>
      <c r="M1429" s="22"/>
      <c r="N1429" s="72"/>
      <c r="O1429" s="12"/>
    </row>
    <row r="1430" spans="1:15" ht="15.5" x14ac:dyDescent="0.35">
      <c r="A1430" s="616"/>
      <c r="B1430" s="100"/>
      <c r="C1430" s="52"/>
      <c r="D1430" s="2151"/>
      <c r="E1430" s="1801"/>
      <c r="F1430" s="4"/>
      <c r="G1430" s="21"/>
      <c r="H1430" s="21"/>
      <c r="I1430" s="20"/>
      <c r="J1430" s="616"/>
      <c r="K1430" s="696"/>
      <c r="L1430" s="22"/>
      <c r="M1430" s="22"/>
      <c r="N1430" s="72"/>
      <c r="O1430" s="12"/>
    </row>
    <row r="1431" spans="1:15" ht="15.5" x14ac:dyDescent="0.35">
      <c r="A1431" s="616"/>
      <c r="B1431" s="102"/>
      <c r="C1431" s="91"/>
      <c r="D1431" s="726"/>
      <c r="E1431" s="1814"/>
      <c r="F1431" s="47"/>
      <c r="G1431" s="48"/>
      <c r="H1431" s="48"/>
      <c r="I1431" s="36"/>
      <c r="J1431" s="96" t="s">
        <v>30</v>
      </c>
      <c r="K1431" s="706"/>
      <c r="L1431" s="43">
        <f>SUM(L1428:L1430)</f>
        <v>0</v>
      </c>
      <c r="M1431" s="43">
        <f>SUM(M1428:M1430)</f>
        <v>0</v>
      </c>
      <c r="N1431" s="1973"/>
      <c r="O1431" s="12"/>
    </row>
    <row r="1432" spans="1:15" ht="15.5" x14ac:dyDescent="0.35">
      <c r="A1432" s="616"/>
      <c r="B1432" s="647" t="s">
        <v>1114</v>
      </c>
      <c r="C1432" s="648"/>
      <c r="D1432" s="648"/>
      <c r="E1432" s="1800"/>
      <c r="F1432" s="648"/>
      <c r="G1432" s="648"/>
      <c r="H1432" s="648"/>
      <c r="I1432" s="648"/>
      <c r="J1432" s="648"/>
      <c r="K1432" s="700"/>
      <c r="L1432" s="648"/>
      <c r="M1432" s="651"/>
      <c r="N1432" s="1971"/>
      <c r="O1432" s="8"/>
    </row>
    <row r="1433" spans="1:15" ht="15.5" x14ac:dyDescent="0.35">
      <c r="A1433" s="616"/>
      <c r="B1433" s="100" t="s">
        <v>1079</v>
      </c>
      <c r="C1433" s="52">
        <v>132</v>
      </c>
      <c r="D1433" s="2138" t="s">
        <v>1083</v>
      </c>
      <c r="E1433" s="1818"/>
      <c r="F1433" s="4"/>
      <c r="G1433" s="5"/>
      <c r="H1433" s="5"/>
      <c r="I1433" s="5"/>
      <c r="J1433" s="616"/>
      <c r="K1433" s="696"/>
      <c r="L1433" s="16">
        <f>J1433*I1433*F1433</f>
        <v>0</v>
      </c>
      <c r="M1433" s="7"/>
      <c r="N1433" s="1428"/>
      <c r="O1433" s="616"/>
    </row>
    <row r="1434" spans="1:15" ht="15.5" x14ac:dyDescent="0.35">
      <c r="A1434" s="616"/>
      <c r="B1434" s="100" t="s">
        <v>1078</v>
      </c>
      <c r="C1434" s="52">
        <v>132</v>
      </c>
      <c r="D1434" s="2139"/>
      <c r="E1434" s="1818"/>
      <c r="F1434" s="4"/>
      <c r="G1434" s="5"/>
      <c r="H1434" s="5"/>
      <c r="I1434" s="5"/>
      <c r="J1434" s="616"/>
      <c r="K1434" s="696"/>
      <c r="L1434" s="16">
        <f>J1434*I1434*F1434</f>
        <v>0</v>
      </c>
      <c r="M1434" s="16"/>
      <c r="N1434" s="711"/>
      <c r="O1434" s="616"/>
    </row>
    <row r="1435" spans="1:15" ht="15.5" x14ac:dyDescent="0.35">
      <c r="A1435" s="616"/>
      <c r="B1435" s="95"/>
      <c r="C1435" s="89"/>
      <c r="D1435" s="89"/>
      <c r="E1435" s="1784"/>
      <c r="F1435" s="37"/>
      <c r="G1435" s="37"/>
      <c r="H1435" s="37"/>
      <c r="I1435" s="37"/>
      <c r="J1435" s="95" t="s">
        <v>279</v>
      </c>
      <c r="K1435" s="699"/>
      <c r="L1435" s="55">
        <f>SUM(L1433:L1434)</f>
        <v>0</v>
      </c>
      <c r="M1435" s="633"/>
      <c r="N1435" s="1921"/>
      <c r="O1435" s="616"/>
    </row>
    <row r="1436" spans="1:15" ht="15.5" x14ac:dyDescent="0.35">
      <c r="A1436" s="616"/>
      <c r="B1436" s="102"/>
      <c r="C1436" s="91"/>
      <c r="D1436" s="726"/>
      <c r="E1436" s="1814"/>
      <c r="F1436" s="47"/>
      <c r="G1436" s="48"/>
      <c r="H1436" s="48"/>
      <c r="I1436" s="36"/>
      <c r="J1436" s="96"/>
      <c r="K1436" s="706"/>
      <c r="L1436" s="43"/>
      <c r="M1436" s="43"/>
      <c r="N1436" s="1973"/>
      <c r="O1436" s="12"/>
    </row>
    <row r="1437" spans="1:15" ht="15.5" x14ac:dyDescent="0.35">
      <c r="A1437" s="636"/>
      <c r="B1437" s="647" t="s">
        <v>1110</v>
      </c>
      <c r="C1437" s="648"/>
      <c r="D1437" s="648"/>
      <c r="E1437" s="1800"/>
      <c r="F1437" s="648"/>
      <c r="G1437" s="648"/>
      <c r="H1437" s="648"/>
      <c r="I1437" s="648"/>
      <c r="J1437" s="50"/>
      <c r="K1437" s="710"/>
      <c r="L1437" s="51"/>
      <c r="M1437" s="51"/>
      <c r="N1437" s="1971"/>
      <c r="O1437" s="12"/>
    </row>
    <row r="1438" spans="1:15" ht="25.5" customHeight="1" x14ac:dyDescent="0.35">
      <c r="A1438" s="616">
        <v>3</v>
      </c>
      <c r="B1438" s="100" t="s">
        <v>2413</v>
      </c>
      <c r="C1438" s="52">
        <v>33</v>
      </c>
      <c r="D1438" s="1774"/>
      <c r="E1438" s="1801" t="s">
        <v>2419</v>
      </c>
      <c r="F1438" s="4">
        <v>1</v>
      </c>
      <c r="G1438" s="21">
        <v>261.90410000000003</v>
      </c>
      <c r="H1438" s="21">
        <v>269.60879999999997</v>
      </c>
      <c r="I1438" s="21">
        <f>H1438-G1438</f>
        <v>7.7046999999999457</v>
      </c>
      <c r="J1438" s="31">
        <v>240000</v>
      </c>
      <c r="K1438" s="707"/>
      <c r="L1438" s="22">
        <f>F1438*I1438*J1438</f>
        <v>1849127.999999987</v>
      </c>
      <c r="M1438" s="22"/>
      <c r="N1438" s="99"/>
      <c r="O1438" s="12"/>
    </row>
    <row r="1439" spans="1:15" ht="15.5" x14ac:dyDescent="0.35">
      <c r="A1439" s="616">
        <v>4</v>
      </c>
      <c r="B1439" s="100" t="s">
        <v>2414</v>
      </c>
      <c r="C1439" s="52">
        <v>33</v>
      </c>
      <c r="D1439" s="1776"/>
      <c r="E1439" s="1801" t="s">
        <v>2420</v>
      </c>
      <c r="F1439" s="4">
        <v>1</v>
      </c>
      <c r="G1439" s="21">
        <v>434.18310000000002</v>
      </c>
      <c r="H1439" s="21">
        <v>441.94900000000001</v>
      </c>
      <c r="I1439" s="21">
        <f>H1439-G1439</f>
        <v>7.7658999999999878</v>
      </c>
      <c r="J1439" s="31">
        <v>240000</v>
      </c>
      <c r="K1439" s="707"/>
      <c r="L1439" s="22">
        <f>F1439*I1439*J1439</f>
        <v>1863815.999999997</v>
      </c>
      <c r="M1439" s="22"/>
      <c r="N1439" s="99"/>
      <c r="O1439" s="12"/>
    </row>
    <row r="1440" spans="1:15" ht="15" x14ac:dyDescent="0.35">
      <c r="A1440" s="636"/>
      <c r="B1440" s="96"/>
      <c r="C1440" s="90"/>
      <c r="D1440" s="90"/>
      <c r="E1440" s="1785"/>
      <c r="F1440" s="38"/>
      <c r="G1440" s="38"/>
      <c r="H1440" s="38"/>
      <c r="I1440" s="38"/>
      <c r="J1440" s="96" t="s">
        <v>30</v>
      </c>
      <c r="K1440" s="708"/>
      <c r="L1440" s="43">
        <f>SUM(L1438:L1439)</f>
        <v>3712943.9999999842</v>
      </c>
      <c r="M1440" s="43">
        <f>SUM(M1438:M1439)</f>
        <v>0</v>
      </c>
      <c r="N1440" s="650"/>
      <c r="O1440" s="12"/>
    </row>
    <row r="1441" spans="1:15" ht="15.5" thickBot="1" x14ac:dyDescent="0.4">
      <c r="A1441" s="702"/>
      <c r="B1441" s="736"/>
      <c r="C1441" s="92"/>
      <c r="D1441" s="92"/>
      <c r="E1441" s="1786"/>
      <c r="F1441" s="737"/>
      <c r="G1441" s="737"/>
      <c r="H1441" s="737"/>
      <c r="I1441" s="737"/>
      <c r="J1441" s="736"/>
      <c r="K1441" s="738"/>
      <c r="L1441" s="739"/>
      <c r="M1441" s="739"/>
      <c r="N1441" s="646"/>
      <c r="O1441" s="740"/>
    </row>
    <row r="1442" spans="1:15" ht="15" x14ac:dyDescent="0.35">
      <c r="A1442" s="702"/>
      <c r="B1442" s="2142" t="s">
        <v>1090</v>
      </c>
      <c r="C1442" s="2143"/>
      <c r="D1442" s="683" t="s">
        <v>14</v>
      </c>
      <c r="F1442" s="2144" t="s">
        <v>1091</v>
      </c>
      <c r="G1442" s="2145"/>
      <c r="H1442" s="2146"/>
      <c r="I1442" s="683" t="s">
        <v>14</v>
      </c>
      <c r="J1442" s="620"/>
      <c r="K1442" s="2147" t="s">
        <v>1092</v>
      </c>
      <c r="L1442" s="2148"/>
      <c r="M1442" s="684" t="s">
        <v>14</v>
      </c>
      <c r="N1442" s="646"/>
      <c r="O1442" s="740"/>
    </row>
    <row r="1443" spans="1:15" ht="15" x14ac:dyDescent="0.35">
      <c r="A1443" s="702"/>
      <c r="B1443" s="2122" t="str">
        <f>B1423</f>
        <v>MOGBAZAR 33 KV SIDE</v>
      </c>
      <c r="C1443" s="2123"/>
      <c r="D1443" s="689">
        <f>K1426</f>
        <v>3726000.0000000084</v>
      </c>
      <c r="F1443" s="2124" t="s">
        <v>1093</v>
      </c>
      <c r="G1443" s="2125"/>
      <c r="H1443" s="2126"/>
      <c r="I1443" s="685">
        <f>L1435</f>
        <v>0</v>
      </c>
      <c r="J1443" s="620"/>
      <c r="K1443" s="2160" t="str">
        <f>F1444</f>
        <v>MOGBAZAR T&amp;T 33 KV NET IMPORT</v>
      </c>
      <c r="L1443" s="2161"/>
      <c r="M1443" s="687">
        <f>I1444</f>
        <v>3726000.0000000084</v>
      </c>
      <c r="N1443" s="646"/>
      <c r="O1443" s="740"/>
    </row>
    <row r="1444" spans="1:15" ht="15" x14ac:dyDescent="0.35">
      <c r="A1444" s="702"/>
      <c r="B1444" s="2122" t="s">
        <v>1116</v>
      </c>
      <c r="C1444" s="2123"/>
      <c r="D1444" s="741"/>
      <c r="F1444" s="2124" t="s">
        <v>1119</v>
      </c>
      <c r="G1444" s="2125"/>
      <c r="H1444" s="2126"/>
      <c r="I1444" s="685">
        <f>D1447-I1443</f>
        <v>3726000.0000000084</v>
      </c>
      <c r="J1444" s="620"/>
      <c r="K1444" s="2162" t="s">
        <v>1120</v>
      </c>
      <c r="L1444" s="2163"/>
      <c r="M1444" s="685">
        <f>M1471</f>
        <v>0</v>
      </c>
      <c r="N1444" s="646"/>
      <c r="O1444" s="740"/>
    </row>
    <row r="1445" spans="1:15" ht="15" x14ac:dyDescent="0.35">
      <c r="A1445" s="702"/>
      <c r="B1445" s="2122" t="s">
        <v>1117</v>
      </c>
      <c r="C1445" s="2123"/>
      <c r="D1445" s="721"/>
      <c r="F1445" s="2124" t="s">
        <v>1089</v>
      </c>
      <c r="G1445" s="2125"/>
      <c r="H1445" s="2126"/>
      <c r="I1445" s="685">
        <f>I1443+I1444</f>
        <v>3726000.0000000084</v>
      </c>
      <c r="J1445" s="620"/>
      <c r="K1445" s="2127" t="s">
        <v>284</v>
      </c>
      <c r="L1445" s="2128"/>
      <c r="M1445" s="685">
        <f>M1443-M1444</f>
        <v>3726000.0000000084</v>
      </c>
      <c r="N1445" s="646"/>
      <c r="O1445" s="740"/>
    </row>
    <row r="1446" spans="1:15" ht="16" thickBot="1" x14ac:dyDescent="0.4">
      <c r="A1446" s="702"/>
      <c r="B1446" s="2122" t="s">
        <v>1118</v>
      </c>
      <c r="C1446" s="2123"/>
      <c r="D1446" s="722"/>
      <c r="F1446" s="2113" t="s">
        <v>1102</v>
      </c>
      <c r="G1446" s="2114"/>
      <c r="H1446" s="2115"/>
      <c r="I1446" s="690">
        <f>(D1447-I1445)/I1445</f>
        <v>0</v>
      </c>
      <c r="J1446" s="620"/>
      <c r="K1446" s="2134" t="s">
        <v>285</v>
      </c>
      <c r="L1446" s="2135"/>
      <c r="M1446" s="688">
        <f>M1445/M1443</f>
        <v>1</v>
      </c>
      <c r="N1446" s="646"/>
      <c r="O1446" s="740"/>
    </row>
    <row r="1447" spans="1:15" ht="15.5" thickBot="1" x14ac:dyDescent="0.4">
      <c r="A1447" s="702"/>
      <c r="B1447" s="2158" t="s">
        <v>1082</v>
      </c>
      <c r="C1447" s="2159"/>
      <c r="D1447" s="686">
        <f>SUM(D1443:D1445)</f>
        <v>3726000.0000000084</v>
      </c>
      <c r="F1447" s="620"/>
      <c r="G1447" s="620"/>
      <c r="H1447" s="620"/>
      <c r="I1447" s="620"/>
      <c r="J1447" s="620"/>
      <c r="K1447" s="702"/>
      <c r="L1447" s="620"/>
      <c r="M1447" s="620"/>
      <c r="N1447" s="646"/>
      <c r="O1447" s="740"/>
    </row>
    <row r="1448" spans="1:15" ht="15" x14ac:dyDescent="0.35">
      <c r="A1448" s="702"/>
      <c r="B1448" s="736"/>
      <c r="C1448" s="92"/>
      <c r="D1448" s="92"/>
      <c r="E1448" s="1786"/>
      <c r="F1448" s="737"/>
      <c r="G1448" s="737"/>
      <c r="H1448" s="737"/>
      <c r="I1448" s="737"/>
      <c r="J1448" s="736"/>
      <c r="K1448" s="738"/>
      <c r="L1448" s="739"/>
      <c r="M1448" s="739"/>
      <c r="N1448" s="646"/>
      <c r="O1448" s="740"/>
    </row>
    <row r="1449" spans="1:15" x14ac:dyDescent="0.35">
      <c r="A1449" s="620"/>
      <c r="B1449" s="632"/>
      <c r="C1449" s="620"/>
      <c r="D1449" s="728"/>
      <c r="E1449" s="1820"/>
      <c r="F1449" s="620"/>
      <c r="G1449" s="620"/>
      <c r="H1449" s="620"/>
      <c r="I1449" s="620"/>
      <c r="J1449" s="620"/>
      <c r="K1449" s="702"/>
      <c r="L1449" s="620"/>
      <c r="M1449" s="620"/>
      <c r="N1449" s="702"/>
      <c r="O1449" s="620"/>
    </row>
    <row r="1450" spans="1:15" x14ac:dyDescent="0.35">
      <c r="A1450" s="620"/>
      <c r="B1450" s="632"/>
      <c r="C1450" s="620"/>
      <c r="D1450" s="728"/>
      <c r="E1450" s="1820"/>
      <c r="F1450" s="620"/>
      <c r="G1450" s="620"/>
      <c r="H1450" s="620"/>
      <c r="I1450" s="620"/>
      <c r="J1450" s="620"/>
      <c r="K1450" s="702"/>
      <c r="L1450" s="620"/>
      <c r="M1450" s="620"/>
      <c r="N1450" s="702"/>
      <c r="O1450" s="620"/>
    </row>
    <row r="1451" spans="1:15" ht="25" x14ac:dyDescent="0.35">
      <c r="A1451" s="2095" t="s">
        <v>1209</v>
      </c>
      <c r="B1451" s="2095"/>
      <c r="C1451" s="2095"/>
      <c r="D1451" s="2095"/>
      <c r="E1451" s="2095"/>
      <c r="F1451" s="2095"/>
      <c r="G1451" s="2095"/>
      <c r="H1451" s="2095"/>
      <c r="I1451" s="2095"/>
      <c r="J1451" s="2095"/>
      <c r="K1451" s="2095"/>
      <c r="L1451" s="2095"/>
      <c r="M1451" s="2095"/>
      <c r="N1451" s="2095"/>
      <c r="O1451" s="756" t="str">
        <f>$O$6</f>
        <v>Month December-2022</v>
      </c>
    </row>
    <row r="1452" spans="1:15" ht="15.5" x14ac:dyDescent="0.35">
      <c r="A1452" s="2096" t="s">
        <v>0</v>
      </c>
      <c r="B1452" s="2098" t="s">
        <v>1</v>
      </c>
      <c r="C1452" s="2100" t="s">
        <v>2</v>
      </c>
      <c r="D1452" s="2101"/>
      <c r="E1452" s="2102"/>
      <c r="F1452" s="2103" t="s">
        <v>3</v>
      </c>
      <c r="G1452" s="2100" t="s">
        <v>4</v>
      </c>
      <c r="H1452" s="2102"/>
      <c r="I1452" s="2085"/>
      <c r="J1452" s="2103" t="s">
        <v>5</v>
      </c>
      <c r="K1452" s="2100" t="s">
        <v>6</v>
      </c>
      <c r="L1452" s="2085"/>
      <c r="M1452" s="97" t="s">
        <v>32</v>
      </c>
      <c r="N1452" s="98"/>
      <c r="O1452" s="2084" t="s">
        <v>7</v>
      </c>
    </row>
    <row r="1453" spans="1:15" ht="15.5" x14ac:dyDescent="0.35">
      <c r="A1453" s="2097"/>
      <c r="B1453" s="2099"/>
      <c r="C1453" s="2086" t="s">
        <v>1108</v>
      </c>
      <c r="D1453" s="2087"/>
      <c r="E1453" s="1810" t="s">
        <v>9</v>
      </c>
      <c r="F1453" s="2097"/>
      <c r="G1453" s="2">
        <f>'NORTH-1'!$G$8</f>
        <v>44774</v>
      </c>
      <c r="H1453" s="2">
        <f>'NORTH-1'!$H$8</f>
        <v>44805</v>
      </c>
      <c r="I1453" s="1" t="s">
        <v>10</v>
      </c>
      <c r="J1453" s="2097"/>
      <c r="K1453" s="1" t="s">
        <v>11</v>
      </c>
      <c r="L1453" s="1" t="s">
        <v>12</v>
      </c>
      <c r="M1453" s="617" t="s">
        <v>33</v>
      </c>
      <c r="N1453" s="76" t="s">
        <v>47</v>
      </c>
      <c r="O1453" s="2085"/>
    </row>
    <row r="1454" spans="1:15" ht="15.5" x14ac:dyDescent="0.35">
      <c r="A1454" s="3">
        <v>1</v>
      </c>
      <c r="B1454" s="88">
        <v>2</v>
      </c>
      <c r="C1454" s="2088">
        <v>4</v>
      </c>
      <c r="D1454" s="2089"/>
      <c r="E1454" s="1811">
        <v>5</v>
      </c>
      <c r="F1454" s="3">
        <v>7</v>
      </c>
      <c r="G1454" s="3">
        <v>8</v>
      </c>
      <c r="H1454" s="3">
        <v>9</v>
      </c>
      <c r="I1454" s="3" t="s">
        <v>13</v>
      </c>
      <c r="J1454" s="3">
        <v>11</v>
      </c>
      <c r="K1454" s="3" t="s">
        <v>19</v>
      </c>
      <c r="L1454" s="3" t="s">
        <v>20</v>
      </c>
      <c r="M1454" s="3">
        <v>14</v>
      </c>
      <c r="N1454" s="77">
        <v>15</v>
      </c>
      <c r="O1454" s="3">
        <v>16</v>
      </c>
    </row>
    <row r="1455" spans="1:15" ht="15.5" x14ac:dyDescent="0.35">
      <c r="A1455" s="631"/>
      <c r="B1455" s="624" t="s">
        <v>1121</v>
      </c>
      <c r="C1455" s="625"/>
      <c r="D1455" s="625"/>
      <c r="E1455" s="1794"/>
      <c r="F1455" s="625"/>
      <c r="G1455" s="625"/>
      <c r="H1455" s="625"/>
      <c r="I1455" s="625"/>
      <c r="J1455" s="625"/>
      <c r="K1455" s="695"/>
      <c r="L1455" s="625"/>
      <c r="M1455" s="626"/>
      <c r="N1455" s="1972"/>
      <c r="O1455" s="616"/>
    </row>
    <row r="1456" spans="1:15" ht="15.5" x14ac:dyDescent="0.35">
      <c r="A1456" s="631">
        <v>10</v>
      </c>
      <c r="B1456" s="100" t="s">
        <v>2299</v>
      </c>
      <c r="C1456" s="52">
        <v>11</v>
      </c>
      <c r="D1456" s="1770"/>
      <c r="E1456" s="1801" t="s">
        <v>2429</v>
      </c>
      <c r="F1456" s="4">
        <v>1.27</v>
      </c>
      <c r="G1456" s="21">
        <v>63050483</v>
      </c>
      <c r="H1456" s="21">
        <v>64548704</v>
      </c>
      <c r="I1456" s="21">
        <f>H1456-G1456</f>
        <v>1498221</v>
      </c>
      <c r="J1456" s="616">
        <v>1</v>
      </c>
      <c r="K1456" s="696">
        <f>F1456*I1456*J1456</f>
        <v>1902740.67</v>
      </c>
      <c r="L1456" s="22"/>
      <c r="M1456" s="22"/>
      <c r="N1456" s="72"/>
      <c r="O1456" s="616"/>
    </row>
    <row r="1457" spans="1:15" ht="15.5" x14ac:dyDescent="0.35">
      <c r="A1457" s="631">
        <v>11</v>
      </c>
      <c r="B1457" s="100" t="s">
        <v>2312</v>
      </c>
      <c r="C1457" s="52">
        <v>11</v>
      </c>
      <c r="D1457" s="1772"/>
      <c r="E1457" s="1801" t="s">
        <v>2430</v>
      </c>
      <c r="F1457" s="4">
        <v>1</v>
      </c>
      <c r="G1457" s="21">
        <v>65315523</v>
      </c>
      <c r="H1457" s="21">
        <v>67133587</v>
      </c>
      <c r="I1457" s="21">
        <f>H1457-G1457</f>
        <v>1818064</v>
      </c>
      <c r="J1457" s="616">
        <v>1</v>
      </c>
      <c r="K1457" s="696">
        <f>F1457*I1457*J1457</f>
        <v>1818064</v>
      </c>
      <c r="L1457" s="22"/>
      <c r="M1457" s="22"/>
      <c r="N1457" s="72"/>
      <c r="O1457" s="616"/>
    </row>
    <row r="1458" spans="1:15" ht="15.5" x14ac:dyDescent="0.35">
      <c r="A1458" s="631"/>
      <c r="B1458" s="102"/>
      <c r="C1458" s="91"/>
      <c r="D1458" s="726"/>
      <c r="E1458" s="1814"/>
      <c r="F1458" s="47"/>
      <c r="G1458" s="48"/>
      <c r="H1458" s="48"/>
      <c r="I1458" s="48"/>
      <c r="J1458" s="39" t="s">
        <v>30</v>
      </c>
      <c r="K1458" s="708">
        <f>SUM(K1456:K1457)</f>
        <v>3720804.67</v>
      </c>
      <c r="L1458" s="49"/>
      <c r="M1458" s="43">
        <f>SUM(M1456:M1457)</f>
        <v>0</v>
      </c>
      <c r="N1458" s="1973"/>
      <c r="O1458" s="616"/>
    </row>
    <row r="1459" spans="1:15" ht="15.5" x14ac:dyDescent="0.35">
      <c r="A1459" s="631"/>
      <c r="B1459" s="647" t="s">
        <v>1121</v>
      </c>
      <c r="C1459" s="648"/>
      <c r="D1459" s="648"/>
      <c r="E1459" s="1800"/>
      <c r="F1459" s="648"/>
      <c r="G1459" s="648"/>
      <c r="H1459" s="648"/>
      <c r="I1459" s="648"/>
      <c r="J1459" s="50"/>
      <c r="K1459" s="710"/>
      <c r="L1459" s="51"/>
      <c r="M1459" s="51"/>
      <c r="N1459" s="1971"/>
      <c r="O1459" s="616"/>
    </row>
    <row r="1460" spans="1:15" ht="23.25" customHeight="1" x14ac:dyDescent="0.35">
      <c r="A1460" s="631">
        <v>5</v>
      </c>
      <c r="B1460" s="100" t="s">
        <v>2421</v>
      </c>
      <c r="C1460" s="73">
        <v>11</v>
      </c>
      <c r="D1460" s="1781" t="s">
        <v>105</v>
      </c>
      <c r="E1460" s="1801" t="s">
        <v>2422</v>
      </c>
      <c r="F1460" s="32">
        <v>1</v>
      </c>
      <c r="G1460" s="6">
        <v>65643846</v>
      </c>
      <c r="H1460" s="6">
        <v>66053239</v>
      </c>
      <c r="I1460" s="20">
        <f t="shared" ref="I1460:I1467" si="51">H1460-G1460</f>
        <v>409393</v>
      </c>
      <c r="J1460" s="616">
        <v>1</v>
      </c>
      <c r="K1460" s="703"/>
      <c r="L1460" s="22">
        <f t="shared" ref="L1460:L1469" si="52">F1460*I1460*J1460</f>
        <v>409393</v>
      </c>
      <c r="M1460" s="22"/>
      <c r="N1460" s="72" t="s">
        <v>105</v>
      </c>
      <c r="O1460" s="15"/>
    </row>
    <row r="1461" spans="1:15" ht="23.25" customHeight="1" x14ac:dyDescent="0.35">
      <c r="A1461" s="631">
        <v>6</v>
      </c>
      <c r="B1461" s="100" t="s">
        <v>2045</v>
      </c>
      <c r="C1461" s="73">
        <v>11</v>
      </c>
      <c r="D1461" s="1782"/>
      <c r="E1461" s="1801"/>
      <c r="F1461" s="32">
        <v>1</v>
      </c>
      <c r="G1461" s="6"/>
      <c r="H1461" s="6"/>
      <c r="I1461" s="20">
        <f t="shared" si="51"/>
        <v>0</v>
      </c>
      <c r="J1461" s="616">
        <v>1</v>
      </c>
      <c r="K1461" s="703"/>
      <c r="L1461" s="22">
        <f t="shared" si="52"/>
        <v>0</v>
      </c>
      <c r="M1461" s="22"/>
      <c r="N1461" s="72"/>
      <c r="O1461" s="15"/>
    </row>
    <row r="1462" spans="1:15" ht="23.25" customHeight="1" x14ac:dyDescent="0.35">
      <c r="A1462" s="631">
        <v>7</v>
      </c>
      <c r="B1462" s="100" t="s">
        <v>2423</v>
      </c>
      <c r="C1462" s="73">
        <v>11</v>
      </c>
      <c r="D1462" s="1782" t="s">
        <v>115</v>
      </c>
      <c r="E1462" s="1801" t="s">
        <v>2424</v>
      </c>
      <c r="F1462" s="32">
        <v>1</v>
      </c>
      <c r="G1462" s="6">
        <v>5418513</v>
      </c>
      <c r="H1462" s="6">
        <v>6253914</v>
      </c>
      <c r="I1462" s="20">
        <f t="shared" si="51"/>
        <v>835401</v>
      </c>
      <c r="J1462" s="616">
        <v>1</v>
      </c>
      <c r="K1462" s="703"/>
      <c r="L1462" s="22">
        <f t="shared" si="52"/>
        <v>835401</v>
      </c>
      <c r="M1462" s="22"/>
      <c r="N1462" s="72" t="s">
        <v>115</v>
      </c>
      <c r="O1462" s="15"/>
    </row>
    <row r="1463" spans="1:15" ht="23.25" customHeight="1" x14ac:dyDescent="0.35">
      <c r="A1463" s="631">
        <v>8</v>
      </c>
      <c r="B1463" s="100" t="s">
        <v>2425</v>
      </c>
      <c r="C1463" s="73">
        <v>11</v>
      </c>
      <c r="D1463" s="1782" t="s">
        <v>115</v>
      </c>
      <c r="E1463" s="1801" t="s">
        <v>2426</v>
      </c>
      <c r="F1463" s="32">
        <v>1</v>
      </c>
      <c r="G1463" s="6">
        <v>65101012</v>
      </c>
      <c r="H1463" s="6">
        <v>65372339</v>
      </c>
      <c r="I1463" s="20">
        <f t="shared" si="51"/>
        <v>271327</v>
      </c>
      <c r="J1463" s="616">
        <v>1</v>
      </c>
      <c r="K1463" s="703"/>
      <c r="L1463" s="22">
        <f t="shared" si="52"/>
        <v>271327</v>
      </c>
      <c r="M1463" s="22"/>
      <c r="N1463" s="72" t="s">
        <v>115</v>
      </c>
      <c r="O1463" s="15"/>
    </row>
    <row r="1464" spans="1:15" ht="23.25" customHeight="1" x14ac:dyDescent="0.35">
      <c r="A1464" s="631">
        <v>9</v>
      </c>
      <c r="B1464" s="100" t="s">
        <v>2427</v>
      </c>
      <c r="C1464" s="73">
        <v>11</v>
      </c>
      <c r="D1464" s="1782" t="s">
        <v>115</v>
      </c>
      <c r="E1464" s="1801" t="s">
        <v>2428</v>
      </c>
      <c r="F1464" s="32">
        <v>1</v>
      </c>
      <c r="G1464" s="6">
        <v>49278111</v>
      </c>
      <c r="H1464" s="6">
        <v>49931352</v>
      </c>
      <c r="I1464" s="20">
        <f t="shared" si="51"/>
        <v>653241</v>
      </c>
      <c r="J1464" s="616">
        <v>1</v>
      </c>
      <c r="K1464" s="703"/>
      <c r="L1464" s="22">
        <f t="shared" si="52"/>
        <v>653241</v>
      </c>
      <c r="M1464" s="22"/>
      <c r="N1464" s="72" t="s">
        <v>115</v>
      </c>
      <c r="O1464" s="15"/>
    </row>
    <row r="1465" spans="1:15" ht="23.25" customHeight="1" x14ac:dyDescent="0.35">
      <c r="A1465" s="631">
        <v>12</v>
      </c>
      <c r="B1465" s="100" t="s">
        <v>2431</v>
      </c>
      <c r="C1465" s="73">
        <v>11</v>
      </c>
      <c r="D1465" s="1782" t="s">
        <v>105</v>
      </c>
      <c r="E1465" s="1801" t="s">
        <v>2432</v>
      </c>
      <c r="F1465" s="32">
        <v>1</v>
      </c>
      <c r="G1465" s="6">
        <v>8792501</v>
      </c>
      <c r="H1465" s="6">
        <v>9276570</v>
      </c>
      <c r="I1465" s="20">
        <f t="shared" si="51"/>
        <v>484069</v>
      </c>
      <c r="J1465" s="616">
        <v>1</v>
      </c>
      <c r="K1465" s="703"/>
      <c r="L1465" s="22">
        <f t="shared" si="52"/>
        <v>484069</v>
      </c>
      <c r="M1465" s="22"/>
      <c r="N1465" s="72" t="s">
        <v>105</v>
      </c>
      <c r="O1465" s="15"/>
    </row>
    <row r="1466" spans="1:15" ht="23.25" customHeight="1" x14ac:dyDescent="0.35">
      <c r="A1466" s="631">
        <v>13</v>
      </c>
      <c r="B1466" s="100" t="s">
        <v>2433</v>
      </c>
      <c r="C1466" s="73">
        <v>11</v>
      </c>
      <c r="D1466" s="1782" t="s">
        <v>115</v>
      </c>
      <c r="E1466" s="1801"/>
      <c r="F1466" s="32">
        <v>1</v>
      </c>
      <c r="G1466" s="6">
        <v>50742415</v>
      </c>
      <c r="H1466" s="6">
        <v>50790845</v>
      </c>
      <c r="I1466" s="20">
        <f t="shared" si="51"/>
        <v>48430</v>
      </c>
      <c r="J1466" s="616">
        <v>1</v>
      </c>
      <c r="K1466" s="703"/>
      <c r="L1466" s="22">
        <f t="shared" si="52"/>
        <v>48430</v>
      </c>
      <c r="M1466" s="22"/>
      <c r="N1466" s="72" t="s">
        <v>115</v>
      </c>
      <c r="O1466" s="15"/>
    </row>
    <row r="1467" spans="1:15" ht="23.25" customHeight="1" x14ac:dyDescent="0.35">
      <c r="A1467" s="631">
        <v>14</v>
      </c>
      <c r="B1467" s="100" t="s">
        <v>2434</v>
      </c>
      <c r="C1467" s="73">
        <v>11</v>
      </c>
      <c r="D1467" s="1782" t="s">
        <v>115</v>
      </c>
      <c r="E1467" s="1801" t="s">
        <v>2435</v>
      </c>
      <c r="F1467" s="32">
        <v>1</v>
      </c>
      <c r="G1467" s="6">
        <v>2066955</v>
      </c>
      <c r="H1467" s="6">
        <v>3045378</v>
      </c>
      <c r="I1467" s="20">
        <f t="shared" si="51"/>
        <v>978423</v>
      </c>
      <c r="J1467" s="616">
        <v>1</v>
      </c>
      <c r="K1467" s="703"/>
      <c r="L1467" s="22">
        <f t="shared" si="52"/>
        <v>978423</v>
      </c>
      <c r="M1467" s="22"/>
      <c r="N1467" s="72" t="s">
        <v>115</v>
      </c>
      <c r="O1467" s="15"/>
    </row>
    <row r="1468" spans="1:15" ht="23.25" customHeight="1" x14ac:dyDescent="0.35">
      <c r="A1468" s="631">
        <v>15</v>
      </c>
      <c r="B1468" s="100" t="s">
        <v>2045</v>
      </c>
      <c r="C1468" s="73">
        <v>11</v>
      </c>
      <c r="D1468" s="1782"/>
      <c r="E1468" s="1801"/>
      <c r="F1468" s="32">
        <v>1</v>
      </c>
      <c r="G1468" s="6"/>
      <c r="H1468" s="6"/>
      <c r="I1468" s="20"/>
      <c r="J1468" s="616">
        <v>1</v>
      </c>
      <c r="K1468" s="703"/>
      <c r="L1468" s="22">
        <f t="shared" si="52"/>
        <v>0</v>
      </c>
      <c r="M1468" s="22"/>
      <c r="N1468" s="72"/>
      <c r="O1468" s="15"/>
    </row>
    <row r="1469" spans="1:15" ht="23.25" customHeight="1" x14ac:dyDescent="0.35">
      <c r="A1469" s="631">
        <v>16</v>
      </c>
      <c r="B1469" s="100" t="s">
        <v>2045</v>
      </c>
      <c r="C1469" s="73">
        <v>11</v>
      </c>
      <c r="D1469" s="1782"/>
      <c r="E1469" s="1801"/>
      <c r="F1469" s="32">
        <v>1</v>
      </c>
      <c r="G1469" s="6"/>
      <c r="H1469" s="6"/>
      <c r="I1469" s="20"/>
      <c r="J1469" s="616">
        <v>1</v>
      </c>
      <c r="K1469" s="703"/>
      <c r="L1469" s="22">
        <f t="shared" si="52"/>
        <v>0</v>
      </c>
      <c r="M1469" s="22"/>
      <c r="N1469" s="72"/>
      <c r="O1469" s="15"/>
    </row>
    <row r="1470" spans="1:15" ht="23.25" customHeight="1" x14ac:dyDescent="0.35">
      <c r="A1470" s="631">
        <v>17</v>
      </c>
      <c r="B1470" s="100" t="s">
        <v>2415</v>
      </c>
      <c r="C1470" s="73">
        <v>0.41499999999999998</v>
      </c>
      <c r="D1470" s="1783"/>
      <c r="E1470" s="1801"/>
      <c r="F1470" s="32">
        <v>1</v>
      </c>
      <c r="G1470" s="6"/>
      <c r="H1470" s="6"/>
      <c r="I1470" s="20">
        <f>H1470-G1470</f>
        <v>0</v>
      </c>
      <c r="J1470" s="616">
        <v>160</v>
      </c>
      <c r="K1470" s="703">
        <f>F1470*I1470*J1470</f>
        <v>0</v>
      </c>
      <c r="L1470" s="22"/>
      <c r="M1470" s="22"/>
      <c r="N1470" s="72"/>
      <c r="O1470" s="15"/>
    </row>
    <row r="1471" spans="1:15" ht="28" x14ac:dyDescent="0.35">
      <c r="A1471" s="636"/>
      <c r="B1471" s="96"/>
      <c r="C1471" s="90"/>
      <c r="D1471" s="90"/>
      <c r="E1471" s="1785"/>
      <c r="F1471" s="38"/>
      <c r="G1471" s="38"/>
      <c r="H1471" s="38"/>
      <c r="I1471" s="38"/>
      <c r="J1471" s="53" t="s">
        <v>44</v>
      </c>
      <c r="K1471" s="43">
        <f>K1458</f>
        <v>3720804.67</v>
      </c>
      <c r="L1471" s="43">
        <f>SUM(L1460:L1470)</f>
        <v>3680284</v>
      </c>
      <c r="M1471" s="43">
        <f>SUM(M1460:M1470)</f>
        <v>0</v>
      </c>
      <c r="N1471" s="84">
        <f>(M1471-L1471)/L1471*100</f>
        <v>-100</v>
      </c>
      <c r="O1471" s="29"/>
    </row>
    <row r="1473" spans="1:15" ht="15" x14ac:dyDescent="0.35">
      <c r="A1473" s="620"/>
      <c r="B1473" s="635"/>
      <c r="C1473" s="632"/>
      <c r="D1473" s="720"/>
      <c r="F1473" s="2092" t="s">
        <v>1099</v>
      </c>
      <c r="G1473" s="2092"/>
      <c r="H1473" s="2092"/>
      <c r="I1473" s="677" t="s">
        <v>14</v>
      </c>
      <c r="J1473" s="620"/>
      <c r="K1473" s="702"/>
      <c r="L1473" s="620"/>
      <c r="M1473" s="620"/>
      <c r="N1473" s="635"/>
      <c r="O1473" s="620"/>
    </row>
    <row r="1474" spans="1:15" ht="15.5" x14ac:dyDescent="0.35">
      <c r="A1474" s="620"/>
      <c r="B1474" s="635"/>
      <c r="C1474" s="632"/>
      <c r="D1474" s="720"/>
      <c r="F1474" s="2153" t="s">
        <v>232</v>
      </c>
      <c r="G1474" s="2154"/>
      <c r="H1474" s="2155"/>
      <c r="I1474" s="643">
        <f>SUM(M1460:M1461,M1464)</f>
        <v>0</v>
      </c>
      <c r="J1474" s="620"/>
      <c r="K1474" s="702"/>
      <c r="L1474" s="620"/>
      <c r="M1474" s="620"/>
      <c r="N1474" s="635"/>
      <c r="O1474" s="620" t="s">
        <v>237</v>
      </c>
    </row>
    <row r="1475" spans="1:15" ht="15.5" x14ac:dyDescent="0.35">
      <c r="A1475" s="620"/>
      <c r="B1475" s="635"/>
      <c r="C1475" s="632"/>
      <c r="D1475" s="720"/>
      <c r="F1475" s="2153" t="s">
        <v>268</v>
      </c>
      <c r="G1475" s="2154"/>
      <c r="H1475" s="2155"/>
      <c r="I1475" s="643">
        <f>SUM(M1462:M1463,M1465,M1467,M1468,M1470)</f>
        <v>0</v>
      </c>
      <c r="J1475" s="620"/>
      <c r="K1475" s="702"/>
      <c r="L1475" s="620"/>
      <c r="M1475" s="620"/>
      <c r="N1475" s="635"/>
      <c r="O1475" s="620"/>
    </row>
    <row r="1476" spans="1:15" ht="16" thickBot="1" x14ac:dyDescent="0.4">
      <c r="A1476" s="620"/>
      <c r="B1476" s="635"/>
      <c r="C1476" s="632"/>
      <c r="D1476" s="720"/>
      <c r="F1476" s="2153" t="s">
        <v>269</v>
      </c>
      <c r="G1476" s="2154"/>
      <c r="H1476" s="2155"/>
      <c r="I1476" s="643">
        <f>SUM(M1466,M1469)</f>
        <v>0</v>
      </c>
      <c r="J1476" s="620"/>
      <c r="K1476" s="702"/>
      <c r="L1476" s="620"/>
      <c r="M1476" s="620"/>
      <c r="N1476" s="635"/>
      <c r="O1476" s="620"/>
    </row>
    <row r="1477" spans="1:15" ht="20.5" thickBot="1" x14ac:dyDescent="0.4">
      <c r="A1477" s="620"/>
      <c r="B1477" s="635"/>
      <c r="C1477" s="632"/>
      <c r="D1477" s="720"/>
      <c r="E1477" s="1788"/>
      <c r="F1477" s="2156" t="s">
        <v>210</v>
      </c>
      <c r="G1477" s="2156"/>
      <c r="H1477" s="2156"/>
      <c r="I1477" s="656">
        <f>SUM(I1474:I1476)</f>
        <v>0</v>
      </c>
      <c r="J1477" s="682">
        <f>I1477-M1471</f>
        <v>0</v>
      </c>
      <c r="K1477" s="702"/>
      <c r="L1477" s="620"/>
      <c r="M1477" s="620"/>
      <c r="N1477" s="635"/>
      <c r="O1477" s="620"/>
    </row>
  </sheetData>
  <mergeCells count="840">
    <mergeCell ref="A48:A49"/>
    <mergeCell ref="A50:A51"/>
    <mergeCell ref="A53:A54"/>
    <mergeCell ref="A55:A56"/>
    <mergeCell ref="A59:A60"/>
    <mergeCell ref="A61:A62"/>
    <mergeCell ref="A63:A64"/>
    <mergeCell ref="A65:A66"/>
    <mergeCell ref="O162:O163"/>
    <mergeCell ref="F152:H152"/>
    <mergeCell ref="K152:L152"/>
    <mergeCell ref="B153:C153"/>
    <mergeCell ref="A161:N161"/>
    <mergeCell ref="A162:A163"/>
    <mergeCell ref="B162:B163"/>
    <mergeCell ref="C162:E162"/>
    <mergeCell ref="F162:F163"/>
    <mergeCell ref="G162:I162"/>
    <mergeCell ref="O124:O125"/>
    <mergeCell ref="C125:D125"/>
    <mergeCell ref="C126:D126"/>
    <mergeCell ref="D138:D139"/>
    <mergeCell ref="A123:N123"/>
    <mergeCell ref="A124:A125"/>
    <mergeCell ref="F1477:H1477"/>
    <mergeCell ref="O1452:O1453"/>
    <mergeCell ref="C1453:D1453"/>
    <mergeCell ref="C1454:D1454"/>
    <mergeCell ref="F1473:H1473"/>
    <mergeCell ref="F1474:H1474"/>
    <mergeCell ref="F1475:H1475"/>
    <mergeCell ref="F1476:H1476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70:D186"/>
    <mergeCell ref="A212:A213"/>
    <mergeCell ref="A214:A215"/>
    <mergeCell ref="O33:O34"/>
    <mergeCell ref="B1447:C1447"/>
    <mergeCell ref="A1451:N1451"/>
    <mergeCell ref="A1452:A1453"/>
    <mergeCell ref="B1452:B1453"/>
    <mergeCell ref="C1452:E1452"/>
    <mergeCell ref="F1452:F1453"/>
    <mergeCell ref="G1452:I1452"/>
    <mergeCell ref="J1452:J1453"/>
    <mergeCell ref="K1452:L1452"/>
    <mergeCell ref="B1444:C1444"/>
    <mergeCell ref="F1444:H1444"/>
    <mergeCell ref="K1444:L1444"/>
    <mergeCell ref="B1445:C1445"/>
    <mergeCell ref="F1445:H1445"/>
    <mergeCell ref="K1445:L1445"/>
    <mergeCell ref="B1446:C1446"/>
    <mergeCell ref="F1446:H1446"/>
    <mergeCell ref="K1446:L1446"/>
    <mergeCell ref="O1420:O1421"/>
    <mergeCell ref="C1421:D1421"/>
    <mergeCell ref="C1422:D1422"/>
    <mergeCell ref="D1428:D1430"/>
    <mergeCell ref="D1433:D1434"/>
    <mergeCell ref="B1442:C1442"/>
    <mergeCell ref="F1442:H1442"/>
    <mergeCell ref="K1442:L1442"/>
    <mergeCell ref="B1443:C1443"/>
    <mergeCell ref="F1443:H1443"/>
    <mergeCell ref="K1443:L1443"/>
    <mergeCell ref="B1416:M1416"/>
    <mergeCell ref="A1419:N1419"/>
    <mergeCell ref="A1420:A1421"/>
    <mergeCell ref="B1420:B1421"/>
    <mergeCell ref="C1420:E1420"/>
    <mergeCell ref="F1420:F1421"/>
    <mergeCell ref="G1420:I1420"/>
    <mergeCell ref="J1420:J1421"/>
    <mergeCell ref="K1420:L1420"/>
    <mergeCell ref="O1369:O1370"/>
    <mergeCell ref="C1370:D1370"/>
    <mergeCell ref="C1371:D1371"/>
    <mergeCell ref="G1397:I1397"/>
    <mergeCell ref="G1398:I1398"/>
    <mergeCell ref="G1399:I1399"/>
    <mergeCell ref="G1400:I1400"/>
    <mergeCell ref="G1401:I1401"/>
    <mergeCell ref="G1402:I1402"/>
    <mergeCell ref="G1361:I1361"/>
    <mergeCell ref="G1362:I1362"/>
    <mergeCell ref="G1363:I1363"/>
    <mergeCell ref="G1364:I1364"/>
    <mergeCell ref="G1365:I1365"/>
    <mergeCell ref="A1368:N1368"/>
    <mergeCell ref="A1369:A1370"/>
    <mergeCell ref="B1369:B1370"/>
    <mergeCell ref="C1369:E1369"/>
    <mergeCell ref="F1369:F1370"/>
    <mergeCell ref="G1369:I1369"/>
    <mergeCell ref="J1369:J1370"/>
    <mergeCell ref="K1369:L1369"/>
    <mergeCell ref="O1322:O1323"/>
    <mergeCell ref="C1323:D1323"/>
    <mergeCell ref="C1324:D1324"/>
    <mergeCell ref="A1333:A1334"/>
    <mergeCell ref="I1355:J1355"/>
    <mergeCell ref="G1357:I1357"/>
    <mergeCell ref="G1358:I1358"/>
    <mergeCell ref="G1359:I1359"/>
    <mergeCell ref="G1360:I1360"/>
    <mergeCell ref="B1314:C1314"/>
    <mergeCell ref="A1321:N1321"/>
    <mergeCell ref="A1322:A1323"/>
    <mergeCell ref="B1322:B1323"/>
    <mergeCell ref="C1322:E1322"/>
    <mergeCell ref="F1322:F1323"/>
    <mergeCell ref="G1322:I1322"/>
    <mergeCell ref="J1322:J1323"/>
    <mergeCell ref="K1322:L1322"/>
    <mergeCell ref="F1314:H1314"/>
    <mergeCell ref="B1315:C1315"/>
    <mergeCell ref="B1316:C1316"/>
    <mergeCell ref="B1317:C1317"/>
    <mergeCell ref="B1311:C1311"/>
    <mergeCell ref="F1311:H1311"/>
    <mergeCell ref="K1311:L1311"/>
    <mergeCell ref="B1312:C1312"/>
    <mergeCell ref="F1312:H1312"/>
    <mergeCell ref="K1312:L1312"/>
    <mergeCell ref="B1313:C1313"/>
    <mergeCell ref="F1313:H1313"/>
    <mergeCell ref="K1313:L1313"/>
    <mergeCell ref="D1299:D1300"/>
    <mergeCell ref="D1303:D1306"/>
    <mergeCell ref="B1309:C1309"/>
    <mergeCell ref="F1309:H1309"/>
    <mergeCell ref="K1309:L1309"/>
    <mergeCell ref="B1310:C1310"/>
    <mergeCell ref="F1310:H1310"/>
    <mergeCell ref="K1310:L1310"/>
    <mergeCell ref="E1303:E1304"/>
    <mergeCell ref="E1305:E1306"/>
    <mergeCell ref="O1269:O1270"/>
    <mergeCell ref="C1270:D1270"/>
    <mergeCell ref="C1271:D1271"/>
    <mergeCell ref="I1289:J1289"/>
    <mergeCell ref="D1292:D1295"/>
    <mergeCell ref="E1292:E1293"/>
    <mergeCell ref="E1294:E1295"/>
    <mergeCell ref="I1296:J1296"/>
    <mergeCell ref="I1297:J1297"/>
    <mergeCell ref="B1265:M1265"/>
    <mergeCell ref="A1268:N1268"/>
    <mergeCell ref="A1269:A1270"/>
    <mergeCell ref="B1269:B1270"/>
    <mergeCell ref="C1269:E1269"/>
    <mergeCell ref="F1269:F1270"/>
    <mergeCell ref="G1269:I1269"/>
    <mergeCell ref="J1269:J1270"/>
    <mergeCell ref="K1269:L1269"/>
    <mergeCell ref="O1223:O1224"/>
    <mergeCell ref="C1224:D1224"/>
    <mergeCell ref="C1225:D1225"/>
    <mergeCell ref="D1232:D1244"/>
    <mergeCell ref="F1247:H1247"/>
    <mergeCell ref="F1248:H1248"/>
    <mergeCell ref="F1249:H1249"/>
    <mergeCell ref="F1250:H1250"/>
    <mergeCell ref="F1251:H1251"/>
    <mergeCell ref="B1218:C1218"/>
    <mergeCell ref="A1222:N1222"/>
    <mergeCell ref="A1223:A1224"/>
    <mergeCell ref="B1223:B1224"/>
    <mergeCell ref="C1223:E1223"/>
    <mergeCell ref="F1223:F1224"/>
    <mergeCell ref="G1223:I1223"/>
    <mergeCell ref="J1223:J1224"/>
    <mergeCell ref="K1223:L1223"/>
    <mergeCell ref="B1215:C1215"/>
    <mergeCell ref="F1215:H1215"/>
    <mergeCell ref="K1215:L1215"/>
    <mergeCell ref="B1216:C1216"/>
    <mergeCell ref="F1216:H1216"/>
    <mergeCell ref="K1216:L1216"/>
    <mergeCell ref="B1217:C1217"/>
    <mergeCell ref="F1217:H1217"/>
    <mergeCell ref="K1217:L1217"/>
    <mergeCell ref="O1186:O1187"/>
    <mergeCell ref="C1187:D1187"/>
    <mergeCell ref="C1188:D1188"/>
    <mergeCell ref="D1201:D1202"/>
    <mergeCell ref="B1213:C1213"/>
    <mergeCell ref="F1213:H1213"/>
    <mergeCell ref="K1213:L1213"/>
    <mergeCell ref="B1214:C1214"/>
    <mergeCell ref="F1214:H1214"/>
    <mergeCell ref="K1214:L1214"/>
    <mergeCell ref="B1182:M1182"/>
    <mergeCell ref="A1185:N1185"/>
    <mergeCell ref="A1186:A1187"/>
    <mergeCell ref="B1186:B1187"/>
    <mergeCell ref="C1186:E1186"/>
    <mergeCell ref="F1186:F1187"/>
    <mergeCell ref="G1186:I1186"/>
    <mergeCell ref="J1186:J1187"/>
    <mergeCell ref="K1186:L1186"/>
    <mergeCell ref="O1137:O1138"/>
    <mergeCell ref="C1138:D1138"/>
    <mergeCell ref="C1139:D1139"/>
    <mergeCell ref="D1141:D1142"/>
    <mergeCell ref="F1165:H1165"/>
    <mergeCell ref="F1166:H1166"/>
    <mergeCell ref="F1167:H1167"/>
    <mergeCell ref="F1168:H1168"/>
    <mergeCell ref="F1169:H1169"/>
    <mergeCell ref="B1132:C1132"/>
    <mergeCell ref="A1136:N1136"/>
    <mergeCell ref="A1137:A1138"/>
    <mergeCell ref="B1137:B1138"/>
    <mergeCell ref="C1137:E1137"/>
    <mergeCell ref="F1137:F1138"/>
    <mergeCell ref="G1137:I1137"/>
    <mergeCell ref="J1137:J1138"/>
    <mergeCell ref="K1137:L1137"/>
    <mergeCell ref="B1129:C1129"/>
    <mergeCell ref="F1129:H1129"/>
    <mergeCell ref="K1129:L1129"/>
    <mergeCell ref="B1130:C1130"/>
    <mergeCell ref="F1130:H1130"/>
    <mergeCell ref="K1130:L1130"/>
    <mergeCell ref="B1131:C1131"/>
    <mergeCell ref="F1131:H1131"/>
    <mergeCell ref="K1131:L1131"/>
    <mergeCell ref="O1106:O1107"/>
    <mergeCell ref="C1107:D1107"/>
    <mergeCell ref="C1108:D1108"/>
    <mergeCell ref="D1118:D1119"/>
    <mergeCell ref="B1127:C1127"/>
    <mergeCell ref="F1127:H1127"/>
    <mergeCell ref="K1127:L1127"/>
    <mergeCell ref="B1128:C1128"/>
    <mergeCell ref="F1128:H1128"/>
    <mergeCell ref="K1128:L1128"/>
    <mergeCell ref="B1089:C1089"/>
    <mergeCell ref="B1102:M1102"/>
    <mergeCell ref="A1105:N1105"/>
    <mergeCell ref="A1106:A1107"/>
    <mergeCell ref="B1106:B1107"/>
    <mergeCell ref="C1106:E1106"/>
    <mergeCell ref="F1106:F1107"/>
    <mergeCell ref="G1106:I1106"/>
    <mergeCell ref="J1106:J1107"/>
    <mergeCell ref="K1106:L1106"/>
    <mergeCell ref="B1086:C1086"/>
    <mergeCell ref="F1086:H1086"/>
    <mergeCell ref="K1086:L1086"/>
    <mergeCell ref="B1087:C1087"/>
    <mergeCell ref="F1087:H1087"/>
    <mergeCell ref="K1087:L1087"/>
    <mergeCell ref="B1088:C1088"/>
    <mergeCell ref="F1088:H1088"/>
    <mergeCell ref="K1088:L1088"/>
    <mergeCell ref="I1072:J1072"/>
    <mergeCell ref="I1073:J1073"/>
    <mergeCell ref="D1075:D1076"/>
    <mergeCell ref="D1079:D1081"/>
    <mergeCell ref="B1084:C1084"/>
    <mergeCell ref="F1084:H1084"/>
    <mergeCell ref="K1084:L1084"/>
    <mergeCell ref="B1085:C1085"/>
    <mergeCell ref="F1085:H1085"/>
    <mergeCell ref="K1085:L1085"/>
    <mergeCell ref="O1059:O1060"/>
    <mergeCell ref="C1060:D1060"/>
    <mergeCell ref="C1061:D1061"/>
    <mergeCell ref="E1063:E1064"/>
    <mergeCell ref="I1066:J1066"/>
    <mergeCell ref="D1069:D1071"/>
    <mergeCell ref="E1069:E1070"/>
    <mergeCell ref="G1039:I1039"/>
    <mergeCell ref="G1040:I1040"/>
    <mergeCell ref="B1055:M1055"/>
    <mergeCell ref="A1058:N1058"/>
    <mergeCell ref="A1059:A1060"/>
    <mergeCell ref="B1059:B1060"/>
    <mergeCell ref="C1059:E1059"/>
    <mergeCell ref="F1059:F1060"/>
    <mergeCell ref="G1059:I1059"/>
    <mergeCell ref="J1059:J1060"/>
    <mergeCell ref="K1059:L1059"/>
    <mergeCell ref="O1013:O1014"/>
    <mergeCell ref="C1014:D1014"/>
    <mergeCell ref="C1015:D1015"/>
    <mergeCell ref="G1035:I1035"/>
    <mergeCell ref="G1036:I1036"/>
    <mergeCell ref="G1037:I1037"/>
    <mergeCell ref="G1038:I1038"/>
    <mergeCell ref="G1003:I1003"/>
    <mergeCell ref="G1004:I1004"/>
    <mergeCell ref="G1005:I1005"/>
    <mergeCell ref="G1006:I1006"/>
    <mergeCell ref="G1007:I1007"/>
    <mergeCell ref="G1008:I1008"/>
    <mergeCell ref="G1009:I1009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O968:O969"/>
    <mergeCell ref="C969:D969"/>
    <mergeCell ref="C970:D970"/>
    <mergeCell ref="I999:J999"/>
    <mergeCell ref="G1001:I1001"/>
    <mergeCell ref="G1002:I1002"/>
    <mergeCell ref="B960:C960"/>
    <mergeCell ref="A967:N967"/>
    <mergeCell ref="A968:A969"/>
    <mergeCell ref="B968:B969"/>
    <mergeCell ref="C968:E968"/>
    <mergeCell ref="F968:F969"/>
    <mergeCell ref="G968:I968"/>
    <mergeCell ref="J968:J969"/>
    <mergeCell ref="K968:L968"/>
    <mergeCell ref="F960:H960"/>
    <mergeCell ref="B961:C961"/>
    <mergeCell ref="B962:C962"/>
    <mergeCell ref="B963:C963"/>
    <mergeCell ref="B957:C957"/>
    <mergeCell ref="F957:H957"/>
    <mergeCell ref="K957:L957"/>
    <mergeCell ref="B958:C958"/>
    <mergeCell ref="F958:H958"/>
    <mergeCell ref="K958:L958"/>
    <mergeCell ref="B959:C959"/>
    <mergeCell ref="F959:H959"/>
    <mergeCell ref="K959:L959"/>
    <mergeCell ref="I943:J943"/>
    <mergeCell ref="I944:J944"/>
    <mergeCell ref="D950:D952"/>
    <mergeCell ref="B955:C955"/>
    <mergeCell ref="F955:H955"/>
    <mergeCell ref="K955:L955"/>
    <mergeCell ref="B956:C956"/>
    <mergeCell ref="F956:H956"/>
    <mergeCell ref="K956:L956"/>
    <mergeCell ref="O924:O925"/>
    <mergeCell ref="C925:D925"/>
    <mergeCell ref="C926:D926"/>
    <mergeCell ref="E928:E933"/>
    <mergeCell ref="E934:E935"/>
    <mergeCell ref="I936:J936"/>
    <mergeCell ref="D939:D942"/>
    <mergeCell ref="E939:E940"/>
    <mergeCell ref="E941:E942"/>
    <mergeCell ref="F906:H906"/>
    <mergeCell ref="B920:M920"/>
    <mergeCell ref="A923:N923"/>
    <mergeCell ref="A924:A925"/>
    <mergeCell ref="B924:B925"/>
    <mergeCell ref="C924:E924"/>
    <mergeCell ref="F924:F925"/>
    <mergeCell ref="G924:I924"/>
    <mergeCell ref="J924:J925"/>
    <mergeCell ref="K924:L924"/>
    <mergeCell ref="O874:O875"/>
    <mergeCell ref="C875:D875"/>
    <mergeCell ref="C876:D876"/>
    <mergeCell ref="D878:D879"/>
    <mergeCell ref="D882:D899"/>
    <mergeCell ref="F902:H902"/>
    <mergeCell ref="F903:H903"/>
    <mergeCell ref="F904:H904"/>
    <mergeCell ref="F905:H905"/>
    <mergeCell ref="B868:C868"/>
    <mergeCell ref="F868:H868"/>
    <mergeCell ref="K868:L868"/>
    <mergeCell ref="B869:C869"/>
    <mergeCell ref="A873:N873"/>
    <mergeCell ref="A874:A875"/>
    <mergeCell ref="B874:B875"/>
    <mergeCell ref="C874:E874"/>
    <mergeCell ref="F874:F875"/>
    <mergeCell ref="G874:I874"/>
    <mergeCell ref="J874:J875"/>
    <mergeCell ref="K874:L874"/>
    <mergeCell ref="B865:C865"/>
    <mergeCell ref="F865:H865"/>
    <mergeCell ref="K865:L865"/>
    <mergeCell ref="B866:C866"/>
    <mergeCell ref="F866:H866"/>
    <mergeCell ref="K866:L866"/>
    <mergeCell ref="B867:C867"/>
    <mergeCell ref="F867:H867"/>
    <mergeCell ref="K867:L867"/>
    <mergeCell ref="O835:O836"/>
    <mergeCell ref="C836:D836"/>
    <mergeCell ref="C837:D837"/>
    <mergeCell ref="D855:D856"/>
    <mergeCell ref="B864:C864"/>
    <mergeCell ref="F864:H864"/>
    <mergeCell ref="K864:L864"/>
    <mergeCell ref="G819:I819"/>
    <mergeCell ref="B831:M831"/>
    <mergeCell ref="A834:N834"/>
    <mergeCell ref="A835:A836"/>
    <mergeCell ref="B835:B836"/>
    <mergeCell ref="C835:E835"/>
    <mergeCell ref="F835:F836"/>
    <mergeCell ref="G835:I835"/>
    <mergeCell ref="J835:J836"/>
    <mergeCell ref="K835:L835"/>
    <mergeCell ref="O788:O789"/>
    <mergeCell ref="C789:D789"/>
    <mergeCell ref="C790:D790"/>
    <mergeCell ref="D796:D811"/>
    <mergeCell ref="G814:I814"/>
    <mergeCell ref="G815:I815"/>
    <mergeCell ref="G816:I816"/>
    <mergeCell ref="G817:I817"/>
    <mergeCell ref="G818:I818"/>
    <mergeCell ref="G781:I781"/>
    <mergeCell ref="G782:I782"/>
    <mergeCell ref="G783:I783"/>
    <mergeCell ref="G784:I784"/>
    <mergeCell ref="A787:N787"/>
    <mergeCell ref="A788:A789"/>
    <mergeCell ref="B788:B789"/>
    <mergeCell ref="C788:E788"/>
    <mergeCell ref="F788:F789"/>
    <mergeCell ref="G788:I788"/>
    <mergeCell ref="J788:J789"/>
    <mergeCell ref="K788:L788"/>
    <mergeCell ref="O739:O740"/>
    <mergeCell ref="C740:D740"/>
    <mergeCell ref="C741:D741"/>
    <mergeCell ref="I774:J774"/>
    <mergeCell ref="G776:I776"/>
    <mergeCell ref="G777:I777"/>
    <mergeCell ref="G778:I778"/>
    <mergeCell ref="G779:I779"/>
    <mergeCell ref="G780:I780"/>
    <mergeCell ref="B729:C729"/>
    <mergeCell ref="F729:H729"/>
    <mergeCell ref="K729:L729"/>
    <mergeCell ref="B730:C730"/>
    <mergeCell ref="F730:H730"/>
    <mergeCell ref="K730:L730"/>
    <mergeCell ref="B731:C731"/>
    <mergeCell ref="A738:N738"/>
    <mergeCell ref="A739:A740"/>
    <mergeCell ref="B739:B740"/>
    <mergeCell ref="C739:E739"/>
    <mergeCell ref="F739:F740"/>
    <mergeCell ref="G739:I739"/>
    <mergeCell ref="J739:J740"/>
    <mergeCell ref="K739:L739"/>
    <mergeCell ref="D716:D717"/>
    <mergeCell ref="B726:C726"/>
    <mergeCell ref="F726:H726"/>
    <mergeCell ref="K726:L726"/>
    <mergeCell ref="B727:C727"/>
    <mergeCell ref="F727:H727"/>
    <mergeCell ref="K727:L727"/>
    <mergeCell ref="B728:C728"/>
    <mergeCell ref="F728:H728"/>
    <mergeCell ref="K728:L728"/>
    <mergeCell ref="O686:O687"/>
    <mergeCell ref="C687:D687"/>
    <mergeCell ref="C688:D688"/>
    <mergeCell ref="I706:J706"/>
    <mergeCell ref="D709:D712"/>
    <mergeCell ref="E709:E710"/>
    <mergeCell ref="E711:E712"/>
    <mergeCell ref="I713:J713"/>
    <mergeCell ref="I714:J714"/>
    <mergeCell ref="B682:M682"/>
    <mergeCell ref="A685:N685"/>
    <mergeCell ref="A686:A687"/>
    <mergeCell ref="B686:B687"/>
    <mergeCell ref="C686:E686"/>
    <mergeCell ref="F686:F687"/>
    <mergeCell ref="G686:I686"/>
    <mergeCell ref="J686:J687"/>
    <mergeCell ref="K686:L686"/>
    <mergeCell ref="O630:O631"/>
    <mergeCell ref="C631:D631"/>
    <mergeCell ref="C632:D632"/>
    <mergeCell ref="D640:D661"/>
    <mergeCell ref="F664:H664"/>
    <mergeCell ref="F665:H665"/>
    <mergeCell ref="F666:H666"/>
    <mergeCell ref="F667:H667"/>
    <mergeCell ref="F668:H668"/>
    <mergeCell ref="B625:C625"/>
    <mergeCell ref="A629:N629"/>
    <mergeCell ref="A630:A631"/>
    <mergeCell ref="B630:B631"/>
    <mergeCell ref="C630:E630"/>
    <mergeCell ref="F630:F631"/>
    <mergeCell ref="G630:I630"/>
    <mergeCell ref="J630:J631"/>
    <mergeCell ref="K630:L630"/>
    <mergeCell ref="B622:C622"/>
    <mergeCell ref="F622:H622"/>
    <mergeCell ref="K622:L622"/>
    <mergeCell ref="B623:C623"/>
    <mergeCell ref="F623:H623"/>
    <mergeCell ref="K623:L623"/>
    <mergeCell ref="B624:C624"/>
    <mergeCell ref="F624:H624"/>
    <mergeCell ref="K624:L624"/>
    <mergeCell ref="O597:O598"/>
    <mergeCell ref="C598:D598"/>
    <mergeCell ref="C599:D599"/>
    <mergeCell ref="D611:D612"/>
    <mergeCell ref="D616:D617"/>
    <mergeCell ref="B620:C620"/>
    <mergeCell ref="F620:H620"/>
    <mergeCell ref="K620:L620"/>
    <mergeCell ref="B621:C621"/>
    <mergeCell ref="F621:H621"/>
    <mergeCell ref="K621:L621"/>
    <mergeCell ref="B593:M593"/>
    <mergeCell ref="A596:N596"/>
    <mergeCell ref="A597:A598"/>
    <mergeCell ref="B597:B598"/>
    <mergeCell ref="C597:E597"/>
    <mergeCell ref="F597:F598"/>
    <mergeCell ref="G597:I597"/>
    <mergeCell ref="J597:J598"/>
    <mergeCell ref="K597:L597"/>
    <mergeCell ref="O550:O551"/>
    <mergeCell ref="C551:D551"/>
    <mergeCell ref="C552:D552"/>
    <mergeCell ref="D554:D555"/>
    <mergeCell ref="F578:H578"/>
    <mergeCell ref="F579:H579"/>
    <mergeCell ref="F580:H580"/>
    <mergeCell ref="F581:H581"/>
    <mergeCell ref="F582:H582"/>
    <mergeCell ref="B545:C545"/>
    <mergeCell ref="A549:N549"/>
    <mergeCell ref="A550:A551"/>
    <mergeCell ref="B550:B551"/>
    <mergeCell ref="C550:E550"/>
    <mergeCell ref="F550:F551"/>
    <mergeCell ref="G550:I550"/>
    <mergeCell ref="J550:J551"/>
    <mergeCell ref="K550:L550"/>
    <mergeCell ref="B542:C542"/>
    <mergeCell ref="F542:H542"/>
    <mergeCell ref="K542:L542"/>
    <mergeCell ref="B543:C543"/>
    <mergeCell ref="F543:H543"/>
    <mergeCell ref="K543:L543"/>
    <mergeCell ref="B544:C544"/>
    <mergeCell ref="F544:H544"/>
    <mergeCell ref="K544:L544"/>
    <mergeCell ref="O519:O520"/>
    <mergeCell ref="C520:D520"/>
    <mergeCell ref="C521:D521"/>
    <mergeCell ref="D523:D524"/>
    <mergeCell ref="D531:D532"/>
    <mergeCell ref="B540:C540"/>
    <mergeCell ref="F540:H540"/>
    <mergeCell ref="K540:L540"/>
    <mergeCell ref="B541:C541"/>
    <mergeCell ref="F541:H541"/>
    <mergeCell ref="K541:L541"/>
    <mergeCell ref="B515:M515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3:M3"/>
    <mergeCell ref="F189:H189"/>
    <mergeCell ref="F190:H190"/>
    <mergeCell ref="F191:H191"/>
    <mergeCell ref="F192:H192"/>
    <mergeCell ref="F193:H193"/>
    <mergeCell ref="J162:J163"/>
    <mergeCell ref="K162:L162"/>
    <mergeCell ref="B150:C150"/>
    <mergeCell ref="F150:H150"/>
    <mergeCell ref="K150:L150"/>
    <mergeCell ref="B151:C151"/>
    <mergeCell ref="F151:H151"/>
    <mergeCell ref="K151:L151"/>
    <mergeCell ref="B148:C148"/>
    <mergeCell ref="F148:H148"/>
    <mergeCell ref="K148:L148"/>
    <mergeCell ref="B149:C149"/>
    <mergeCell ref="F149:H149"/>
    <mergeCell ref="K149:L149"/>
    <mergeCell ref="C163:D163"/>
    <mergeCell ref="C164:D164"/>
    <mergeCell ref="D166:D167"/>
    <mergeCell ref="B152:C152"/>
    <mergeCell ref="B124:B125"/>
    <mergeCell ref="C124:E124"/>
    <mergeCell ref="F124:F125"/>
    <mergeCell ref="G124:I124"/>
    <mergeCell ref="J124:J125"/>
    <mergeCell ref="K124:L124"/>
    <mergeCell ref="B120:M120"/>
    <mergeCell ref="B87:B88"/>
    <mergeCell ref="C87:E87"/>
    <mergeCell ref="F87:F88"/>
    <mergeCell ref="G87:I87"/>
    <mergeCell ref="J87:J88"/>
    <mergeCell ref="K87:L87"/>
    <mergeCell ref="O87:O88"/>
    <mergeCell ref="F111:H111"/>
    <mergeCell ref="F112:H112"/>
    <mergeCell ref="F113:H113"/>
    <mergeCell ref="F114:H114"/>
    <mergeCell ref="F115:H115"/>
    <mergeCell ref="G79:I79"/>
    <mergeCell ref="G80:I80"/>
    <mergeCell ref="A86:N86"/>
    <mergeCell ref="A87:A88"/>
    <mergeCell ref="A57:A58"/>
    <mergeCell ref="G76:I76"/>
    <mergeCell ref="G77:I77"/>
    <mergeCell ref="G78:I78"/>
    <mergeCell ref="A67:A68"/>
    <mergeCell ref="G72:I72"/>
    <mergeCell ref="G73:I73"/>
    <mergeCell ref="G74:I74"/>
    <mergeCell ref="G75:I75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B22:C22"/>
    <mergeCell ref="F22:H22"/>
    <mergeCell ref="K22:L22"/>
    <mergeCell ref="B23:C23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B204:M204"/>
    <mergeCell ref="A207:N207"/>
    <mergeCell ref="A208:A209"/>
    <mergeCell ref="B208:B209"/>
    <mergeCell ref="C208:E208"/>
    <mergeCell ref="F208:F209"/>
    <mergeCell ref="G208:I208"/>
    <mergeCell ref="J208:J209"/>
    <mergeCell ref="K208:L208"/>
    <mergeCell ref="B235:C235"/>
    <mergeCell ref="F235:H235"/>
    <mergeCell ref="K235:L235"/>
    <mergeCell ref="B236:C236"/>
    <mergeCell ref="F236:H236"/>
    <mergeCell ref="K236:L236"/>
    <mergeCell ref="O208:O209"/>
    <mergeCell ref="C209:D209"/>
    <mergeCell ref="C210:D210"/>
    <mergeCell ref="D222:D223"/>
    <mergeCell ref="B232:C232"/>
    <mergeCell ref="F232:H232"/>
    <mergeCell ref="K232:L232"/>
    <mergeCell ref="B233:C233"/>
    <mergeCell ref="F233:H233"/>
    <mergeCell ref="K233:L233"/>
    <mergeCell ref="O286:O287"/>
    <mergeCell ref="C287:D287"/>
    <mergeCell ref="O242:O243"/>
    <mergeCell ref="C243:D243"/>
    <mergeCell ref="C244:D244"/>
    <mergeCell ref="F267:H267"/>
    <mergeCell ref="F268:H268"/>
    <mergeCell ref="F269:H269"/>
    <mergeCell ref="F270:H270"/>
    <mergeCell ref="F271:H271"/>
    <mergeCell ref="B282:M282"/>
    <mergeCell ref="B242:B243"/>
    <mergeCell ref="C242:E242"/>
    <mergeCell ref="F242:F243"/>
    <mergeCell ref="G242:I242"/>
    <mergeCell ref="J242:J243"/>
    <mergeCell ref="K242:L242"/>
    <mergeCell ref="K314:L314"/>
    <mergeCell ref="B315:C315"/>
    <mergeCell ref="F315:H315"/>
    <mergeCell ref="K315:L315"/>
    <mergeCell ref="B316:C316"/>
    <mergeCell ref="F316:H316"/>
    <mergeCell ref="K316:L316"/>
    <mergeCell ref="A285:N285"/>
    <mergeCell ref="A286:A287"/>
    <mergeCell ref="B286:B287"/>
    <mergeCell ref="C286:E286"/>
    <mergeCell ref="F286:F287"/>
    <mergeCell ref="G286:I286"/>
    <mergeCell ref="J286:J287"/>
    <mergeCell ref="K286:L286"/>
    <mergeCell ref="K317:L317"/>
    <mergeCell ref="B318:C318"/>
    <mergeCell ref="F318:H318"/>
    <mergeCell ref="K318:L318"/>
    <mergeCell ref="B319:C319"/>
    <mergeCell ref="A323:N323"/>
    <mergeCell ref="A324:A325"/>
    <mergeCell ref="B324:B325"/>
    <mergeCell ref="C324:E324"/>
    <mergeCell ref="F324:F325"/>
    <mergeCell ref="G324:I324"/>
    <mergeCell ref="J324:J325"/>
    <mergeCell ref="K324:L324"/>
    <mergeCell ref="O324:O325"/>
    <mergeCell ref="C325:D325"/>
    <mergeCell ref="C326:D326"/>
    <mergeCell ref="D334:D356"/>
    <mergeCell ref="F359:H359"/>
    <mergeCell ref="F360:H360"/>
    <mergeCell ref="F361:H361"/>
    <mergeCell ref="F362:H362"/>
    <mergeCell ref="F363:H363"/>
    <mergeCell ref="O381:O382"/>
    <mergeCell ref="C382:D382"/>
    <mergeCell ref="C383:D383"/>
    <mergeCell ref="E385:E386"/>
    <mergeCell ref="E387:E388"/>
    <mergeCell ref="I389:J389"/>
    <mergeCell ref="B377:M377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K415:L415"/>
    <mergeCell ref="B416:C416"/>
    <mergeCell ref="F416:H416"/>
    <mergeCell ref="K416:L416"/>
    <mergeCell ref="B417:C417"/>
    <mergeCell ref="F417:H417"/>
    <mergeCell ref="K417:L417"/>
    <mergeCell ref="I400:J400"/>
    <mergeCell ref="I401:J401"/>
    <mergeCell ref="D403:D404"/>
    <mergeCell ref="B413:C413"/>
    <mergeCell ref="F413:H413"/>
    <mergeCell ref="K413:L413"/>
    <mergeCell ref="B414:C414"/>
    <mergeCell ref="F414:H414"/>
    <mergeCell ref="K414:L414"/>
    <mergeCell ref="O426:O427"/>
    <mergeCell ref="C427:D427"/>
    <mergeCell ref="C428:D428"/>
    <mergeCell ref="I453:J453"/>
    <mergeCell ref="G455:I455"/>
    <mergeCell ref="G456:I456"/>
    <mergeCell ref="B418:C418"/>
    <mergeCell ref="A425:N425"/>
    <mergeCell ref="A426:A427"/>
    <mergeCell ref="B426:B427"/>
    <mergeCell ref="C426:E426"/>
    <mergeCell ref="F426:F427"/>
    <mergeCell ref="G426:I426"/>
    <mergeCell ref="J426:J427"/>
    <mergeCell ref="K426:L426"/>
    <mergeCell ref="O467:O468"/>
    <mergeCell ref="C468:D468"/>
    <mergeCell ref="C469:D469"/>
    <mergeCell ref="G499:I499"/>
    <mergeCell ref="G500:I500"/>
    <mergeCell ref="G501:I501"/>
    <mergeCell ref="G502:I502"/>
    <mergeCell ref="G457:I457"/>
    <mergeCell ref="G458:I458"/>
    <mergeCell ref="G459:I459"/>
    <mergeCell ref="G460:I460"/>
    <mergeCell ref="G461:I461"/>
    <mergeCell ref="G462:I462"/>
    <mergeCell ref="G463:I463"/>
    <mergeCell ref="A466:N466"/>
    <mergeCell ref="A467:A468"/>
    <mergeCell ref="B467:B468"/>
    <mergeCell ref="C467:E467"/>
    <mergeCell ref="F467:F468"/>
    <mergeCell ref="G467:I467"/>
    <mergeCell ref="J467:J468"/>
    <mergeCell ref="K467:L467"/>
    <mergeCell ref="F24:H24"/>
    <mergeCell ref="F418:H418"/>
    <mergeCell ref="B419:C419"/>
    <mergeCell ref="B420:C420"/>
    <mergeCell ref="B421:C421"/>
    <mergeCell ref="F731:H731"/>
    <mergeCell ref="B732:C732"/>
    <mergeCell ref="B733:C733"/>
    <mergeCell ref="B734:C734"/>
    <mergeCell ref="G503:I503"/>
    <mergeCell ref="G504:I504"/>
    <mergeCell ref="B415:C415"/>
    <mergeCell ref="F415:H415"/>
    <mergeCell ref="B317:C317"/>
    <mergeCell ref="F317:H317"/>
    <mergeCell ref="C288:D288"/>
    <mergeCell ref="B314:C314"/>
    <mergeCell ref="F314:H314"/>
    <mergeCell ref="B237:C237"/>
    <mergeCell ref="A241:N241"/>
    <mergeCell ref="A242:A243"/>
    <mergeCell ref="B234:C234"/>
    <mergeCell ref="F234:H234"/>
    <mergeCell ref="K234:L234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N1369:N1394 N949:N966 N788:N811 N1322:N1354 N1195:N1202 N1113:N1119 N1068:N1072 N1059:N1066 N630:N661 N968:N998 N847:N856 N874:N899 N739:N773 N406:N424 N686:N706 N606:N612 N526:N532 N324:N356 N426:N452 N298:N306 N217:N223 N133:N145 N1223:N1244 N1436:N1439 N1417:N1418 N1406:N1415 N1298:N1300 N719:N737 N1269:N1289 N1397:N1402 N1291:N1296 N1356:N1367 N1263:N1267 N1013:N1032 N1247:N1251 N1186:N1193 N1204:N1210 N1183:N1184 N1172:N1181 N1137:N1162 N1165:N1169 N1106:N1111 N1121:N1124 N1103:N1104 N1092:N1101 N1074:N1076 N1078:N1089 N1053:N1057 N945:N947 N1427:N1434 N924:N936 N1035:N1040 N938:N943 N1000:N1011 N918:N922 N242:N264 N902:N906 N835:N845 N858:N861 N832:N833 N821:N830 N715:N717 N814:N819 N708:N713 N775:N786 N680:N684 N1302:N1320 N664:N668 N597:N604 N614:N617 N594:N595 N550:N575 N578:N592 N519:N524 N534:N537 N516:N517 N402:N404 N19:N27 N381:N389 N499:N514 N391:N400 N454:N465 N375:N379 N162:N186 N359:N363 N286:N296 N308:N311 N283:N284 N467:N496 N267:N281 N208:N215 N225:N229 N205:N206 N17 N72:N119 N1452:N1470 N189:N203 N7:N15 N124:N131 N121:N122 N1420:N1425 N37:N69 N1473:N1477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B1:FY1471"/>
  <sheetViews>
    <sheetView topLeftCell="A6" zoomScale="110" zoomScaleNormal="110" workbookViewId="0">
      <selection activeCell="E12" sqref="E12"/>
    </sheetView>
  </sheetViews>
  <sheetFormatPr defaultColWidth="9.453125" defaultRowHeight="15.5" x14ac:dyDescent="0.35"/>
  <cols>
    <col min="1" max="1" width="2" style="159" customWidth="1"/>
    <col min="2" max="2" width="3.54296875" style="157" customWidth="1"/>
    <col min="3" max="3" width="27.453125" style="158" customWidth="1"/>
    <col min="4" max="4" width="8.453125" style="159" hidden="1" customWidth="1"/>
    <col min="5" max="5" width="10.54296875" style="160" customWidth="1"/>
    <col min="6" max="11" width="10.54296875" style="1883" customWidth="1"/>
    <col min="12" max="13" width="8.453125" style="160" customWidth="1"/>
    <col min="14" max="14" width="10.54296875" style="160" customWidth="1"/>
    <col min="15" max="42" width="10.54296875" style="161" customWidth="1"/>
    <col min="43" max="44" width="13.54296875" style="161" bestFit="1" customWidth="1"/>
    <col min="45" max="60" width="10.54296875" style="161" customWidth="1"/>
    <col min="61" max="65" width="10.54296875" style="162" customWidth="1"/>
    <col min="66" max="94" width="11.453125" style="162" customWidth="1"/>
    <col min="95" max="95" width="10" style="163" customWidth="1"/>
    <col min="96" max="109" width="11.453125" style="162" customWidth="1"/>
    <col min="110" max="117" width="11.453125" style="159" customWidth="1"/>
    <col min="118" max="149" width="9.453125" style="159" customWidth="1"/>
    <col min="150" max="151" width="9.453125" style="164" customWidth="1"/>
    <col min="152" max="156" width="8.453125" style="164" customWidth="1"/>
    <col min="157" max="172" width="6.453125" style="164" customWidth="1"/>
    <col min="173" max="173" width="6.54296875" style="164" customWidth="1"/>
    <col min="174" max="174" width="9.453125" style="164"/>
    <col min="175" max="178" width="9.453125" style="159"/>
    <col min="179" max="180" width="8.54296875" style="159" customWidth="1"/>
    <col min="181" max="16384" width="9.453125" style="159"/>
  </cols>
  <sheetData>
    <row r="1" spans="2:181" ht="16.399999999999999" customHeight="1" x14ac:dyDescent="0.35"/>
    <row r="2" spans="2:181" ht="20.25" customHeight="1" x14ac:dyDescent="0.4">
      <c r="B2" s="165"/>
      <c r="C2" s="165"/>
      <c r="D2" s="165"/>
      <c r="E2" s="166"/>
      <c r="F2" s="1884"/>
      <c r="G2" s="1884"/>
      <c r="H2" s="1884"/>
      <c r="I2" s="1884"/>
      <c r="J2" s="1884"/>
      <c r="K2" s="1884"/>
      <c r="L2" s="166"/>
      <c r="M2" s="166"/>
      <c r="N2" s="166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8"/>
      <c r="DB2" s="168"/>
      <c r="DC2" s="168"/>
      <c r="DD2" s="168"/>
      <c r="DE2" s="168"/>
      <c r="DF2" s="165"/>
      <c r="DG2" s="165"/>
      <c r="DH2" s="165"/>
      <c r="DI2" s="165"/>
      <c r="DJ2" s="165"/>
      <c r="DK2" s="165"/>
      <c r="DL2" s="165"/>
      <c r="DM2" s="165"/>
      <c r="DN2" s="165"/>
      <c r="DO2" s="165"/>
      <c r="DP2" s="165"/>
      <c r="DQ2" s="165"/>
      <c r="DR2" s="165"/>
      <c r="DS2" s="165"/>
      <c r="DT2" s="165"/>
      <c r="DU2" s="165"/>
      <c r="DV2" s="165"/>
      <c r="DW2" s="165"/>
      <c r="DX2" s="165"/>
      <c r="DY2" s="165"/>
      <c r="DZ2" s="165"/>
      <c r="EA2" s="165"/>
      <c r="EB2" s="165"/>
      <c r="EC2" s="165"/>
      <c r="ED2" s="165"/>
      <c r="EE2" s="2208" t="s">
        <v>696</v>
      </c>
      <c r="EF2" s="2208"/>
      <c r="EG2" s="2208"/>
      <c r="EH2" s="2208"/>
      <c r="EI2" s="2208"/>
      <c r="EJ2" s="165"/>
      <c r="EK2" s="165"/>
      <c r="EL2" s="165"/>
      <c r="EM2" s="165"/>
      <c r="EN2" s="165"/>
      <c r="EO2" s="165"/>
      <c r="EP2" s="165"/>
      <c r="EQ2" s="165"/>
      <c r="ER2" s="165"/>
      <c r="ES2" s="165"/>
      <c r="ET2" s="165"/>
      <c r="EU2" s="165"/>
      <c r="EV2" s="165"/>
      <c r="EW2" s="165"/>
      <c r="EX2" s="165"/>
      <c r="EY2" s="165"/>
      <c r="EZ2" s="165"/>
      <c r="FA2" s="165"/>
      <c r="FB2" s="165"/>
      <c r="FU2" s="159" t="s">
        <v>697</v>
      </c>
    </row>
    <row r="3" spans="2:181" ht="13.5" customHeight="1" x14ac:dyDescent="0.4">
      <c r="B3" s="169"/>
      <c r="C3" s="169"/>
      <c r="D3" s="169"/>
      <c r="E3" s="170"/>
      <c r="F3" s="1885"/>
      <c r="G3" s="1885"/>
      <c r="H3" s="1885"/>
      <c r="I3" s="1885"/>
      <c r="J3" s="1885"/>
      <c r="K3" s="1885"/>
      <c r="L3" s="170"/>
      <c r="M3" s="170"/>
      <c r="N3" s="170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CQ3" s="162"/>
      <c r="FT3" s="159" t="s">
        <v>698</v>
      </c>
    </row>
    <row r="4" spans="2:181" ht="16.399999999999999" customHeight="1" x14ac:dyDescent="0.35">
      <c r="C4" s="172" t="s">
        <v>699</v>
      </c>
      <c r="D4" s="173"/>
      <c r="E4" s="174"/>
      <c r="F4" s="1886"/>
      <c r="G4" s="1886"/>
      <c r="H4" s="1886"/>
      <c r="I4" s="1886"/>
      <c r="J4" s="1886"/>
      <c r="K4" s="1886"/>
      <c r="L4" s="174"/>
      <c r="M4" s="174"/>
      <c r="N4" s="174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6"/>
      <c r="BJ4" s="176"/>
      <c r="BK4" s="176"/>
      <c r="BL4" s="176"/>
      <c r="BM4" s="176"/>
      <c r="BN4" s="176"/>
      <c r="BO4" s="176"/>
      <c r="BP4" s="176"/>
      <c r="BQ4" s="176"/>
      <c r="BR4" s="176"/>
      <c r="BS4" s="176"/>
      <c r="BT4" s="176"/>
      <c r="BU4" s="176"/>
      <c r="BV4" s="176"/>
      <c r="BW4" s="176"/>
      <c r="BX4" s="176"/>
      <c r="BY4" s="176"/>
      <c r="BZ4" s="176"/>
      <c r="CA4" s="176"/>
      <c r="CB4" s="176"/>
      <c r="CC4" s="176"/>
      <c r="CD4" s="176"/>
      <c r="CE4" s="176"/>
      <c r="CF4" s="176"/>
      <c r="CG4" s="176"/>
      <c r="CH4" s="176"/>
      <c r="CI4" s="176"/>
      <c r="CJ4" s="176"/>
      <c r="CK4" s="176"/>
      <c r="CL4" s="176"/>
      <c r="CM4" s="176"/>
      <c r="CN4" s="176"/>
      <c r="CO4" s="176"/>
      <c r="CP4" s="176"/>
      <c r="CQ4" s="176"/>
      <c r="CR4" s="176"/>
      <c r="CS4" s="176"/>
      <c r="CT4" s="176"/>
      <c r="CU4" s="176"/>
      <c r="CV4" s="176"/>
      <c r="CW4" s="176"/>
      <c r="CX4" s="176"/>
      <c r="CY4" s="176"/>
      <c r="CZ4" s="176"/>
      <c r="DA4" s="176"/>
      <c r="DB4" s="176"/>
      <c r="DC4" s="176"/>
      <c r="DD4" s="176"/>
      <c r="DE4" s="176"/>
      <c r="DF4" s="173"/>
      <c r="DG4" s="173"/>
      <c r="DH4" s="173"/>
      <c r="DI4" s="173"/>
      <c r="DJ4" s="173"/>
      <c r="DK4" s="173"/>
      <c r="DL4" s="173"/>
      <c r="DM4" s="173"/>
      <c r="DN4" s="173"/>
      <c r="DO4" s="173"/>
      <c r="DP4" s="173"/>
      <c r="DQ4" s="173"/>
      <c r="DR4" s="173"/>
      <c r="DS4" s="173"/>
      <c r="DT4" s="173"/>
      <c r="DU4" s="173"/>
      <c r="DV4" s="173"/>
      <c r="DW4" s="173"/>
      <c r="DX4" s="173"/>
      <c r="DY4" s="173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K4" s="173"/>
      <c r="EL4" s="173"/>
      <c r="EM4" s="173"/>
      <c r="EN4" s="173"/>
      <c r="EO4" s="173"/>
      <c r="EP4" s="173"/>
      <c r="EQ4" s="173"/>
      <c r="ER4" s="173"/>
      <c r="ES4" s="173"/>
      <c r="ET4" s="177"/>
      <c r="EU4" s="177"/>
      <c r="EV4" s="177"/>
      <c r="EW4" s="177"/>
      <c r="EX4" s="177"/>
      <c r="EY4" s="177"/>
      <c r="EZ4" s="177"/>
      <c r="FA4" s="177"/>
      <c r="FB4" s="177"/>
      <c r="FC4" s="177"/>
      <c r="FD4" s="177"/>
      <c r="FE4" s="177"/>
      <c r="FF4" s="177"/>
      <c r="FG4" s="177"/>
      <c r="FH4" s="177"/>
      <c r="FI4" s="177"/>
      <c r="FJ4" s="177"/>
      <c r="FK4" s="177"/>
      <c r="FL4" s="177"/>
      <c r="FM4" s="177"/>
      <c r="FN4" s="177"/>
      <c r="FO4" s="177"/>
      <c r="FT4" s="159" t="s">
        <v>700</v>
      </c>
      <c r="FU4" s="159" t="s">
        <v>701</v>
      </c>
      <c r="FV4" s="159" t="s">
        <v>516</v>
      </c>
      <c r="FX4" s="159" t="s">
        <v>492</v>
      </c>
      <c r="FY4" s="159" t="s">
        <v>527</v>
      </c>
    </row>
    <row r="5" spans="2:181" ht="16.399999999999999" customHeight="1" thickBot="1" x14ac:dyDescent="0.4">
      <c r="B5" s="178"/>
      <c r="C5" s="179"/>
      <c r="D5" s="180"/>
      <c r="E5" s="181"/>
      <c r="F5" s="1887"/>
      <c r="G5" s="1887"/>
      <c r="H5" s="1887"/>
      <c r="I5" s="1887"/>
      <c r="J5" s="1887"/>
      <c r="K5" s="1887"/>
      <c r="L5" s="181"/>
      <c r="M5" s="181"/>
      <c r="N5" s="181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2"/>
      <c r="AR5" s="182"/>
      <c r="AS5" s="182"/>
      <c r="AT5" s="182"/>
      <c r="AU5" s="182"/>
      <c r="AV5" s="182"/>
      <c r="AW5" s="182"/>
      <c r="AX5" s="182"/>
      <c r="AY5" s="182"/>
      <c r="AZ5" s="182"/>
      <c r="BA5" s="182"/>
      <c r="BB5" s="182"/>
      <c r="BC5" s="182"/>
      <c r="BD5" s="182"/>
      <c r="BE5" s="182"/>
      <c r="BF5" s="182"/>
      <c r="BG5" s="182"/>
      <c r="BH5" s="182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4"/>
      <c r="CP5" s="184"/>
      <c r="CQ5" s="185"/>
      <c r="CR5" s="186"/>
      <c r="CS5" s="186"/>
      <c r="CT5" s="186"/>
      <c r="CU5" s="186"/>
      <c r="CV5" s="186"/>
      <c r="CW5" s="186"/>
      <c r="CX5" s="186"/>
      <c r="CY5" s="186"/>
      <c r="CZ5" s="186"/>
      <c r="DA5" s="186"/>
      <c r="DB5" s="186"/>
      <c r="DC5" s="186"/>
      <c r="DD5" s="186"/>
      <c r="DE5" s="186"/>
      <c r="DF5" s="187"/>
      <c r="DG5" s="187"/>
      <c r="DH5" s="187"/>
      <c r="DI5" s="187"/>
      <c r="DJ5" s="187"/>
      <c r="DK5" s="187"/>
      <c r="DL5" s="187"/>
      <c r="DM5" s="187"/>
      <c r="DN5" s="187"/>
      <c r="DO5" s="187"/>
      <c r="DP5" s="187"/>
      <c r="DQ5" s="187"/>
      <c r="DR5" s="187"/>
      <c r="DS5" s="187"/>
      <c r="DT5" s="187"/>
      <c r="DU5" s="187"/>
      <c r="DV5" s="187"/>
      <c r="DW5" s="187"/>
      <c r="DX5" s="187"/>
      <c r="DY5" s="187"/>
      <c r="DZ5" s="187"/>
      <c r="EA5" s="187"/>
      <c r="EB5" s="187"/>
      <c r="EC5" s="187"/>
      <c r="ED5" s="188">
        <v>2012</v>
      </c>
      <c r="EE5" s="187"/>
      <c r="EF5" s="187"/>
      <c r="EG5" s="189"/>
      <c r="EH5" s="2209">
        <v>2011</v>
      </c>
      <c r="EI5" s="2210"/>
      <c r="EJ5" s="2210"/>
      <c r="EK5" s="2210"/>
      <c r="EL5" s="2210"/>
      <c r="EM5" s="2210"/>
      <c r="EN5" s="2210"/>
      <c r="EO5" s="2210"/>
      <c r="EP5" s="2210"/>
      <c r="EQ5" s="2210"/>
      <c r="ER5" s="2210"/>
      <c r="ES5" s="2211"/>
      <c r="ET5" s="2212">
        <v>2010</v>
      </c>
      <c r="EU5" s="2213"/>
      <c r="EV5" s="2213"/>
      <c r="EW5" s="2213"/>
      <c r="EX5" s="2213"/>
      <c r="EY5" s="2213"/>
      <c r="EZ5" s="2213"/>
      <c r="FA5" s="2213"/>
      <c r="FB5" s="2213"/>
      <c r="FC5" s="2213"/>
      <c r="FD5" s="2214"/>
      <c r="FE5" s="2215">
        <v>2009</v>
      </c>
      <c r="FF5" s="2215"/>
      <c r="FG5" s="2215"/>
      <c r="FH5" s="2215"/>
      <c r="FI5" s="2215"/>
      <c r="FJ5" s="2215"/>
      <c r="FK5" s="2215"/>
      <c r="FL5" s="2215"/>
      <c r="FM5" s="2215"/>
      <c r="FN5" s="2215"/>
      <c r="FO5" s="2215"/>
      <c r="FP5" s="2215"/>
      <c r="FV5" s="159" t="s">
        <v>702</v>
      </c>
      <c r="FW5" s="159" t="s">
        <v>703</v>
      </c>
    </row>
    <row r="6" spans="2:181" s="198" customFormat="1" ht="49.5" customHeight="1" x14ac:dyDescent="0.2">
      <c r="B6" s="190" t="s">
        <v>0</v>
      </c>
      <c r="C6" s="190" t="s">
        <v>704</v>
      </c>
      <c r="D6" s="191" t="s">
        <v>705</v>
      </c>
      <c r="E6" s="192" t="s">
        <v>4619</v>
      </c>
      <c r="F6" s="1888" t="s">
        <v>4618</v>
      </c>
      <c r="G6" s="1888" t="s">
        <v>4614</v>
      </c>
      <c r="H6" s="1888" t="s">
        <v>4615</v>
      </c>
      <c r="I6" s="1888" t="s">
        <v>4616</v>
      </c>
      <c r="J6" s="1888" t="s">
        <v>4617</v>
      </c>
      <c r="K6" s="1888" t="s">
        <v>706</v>
      </c>
      <c r="L6" s="192" t="s">
        <v>707</v>
      </c>
      <c r="M6" s="192" t="s">
        <v>708</v>
      </c>
      <c r="N6" s="192" t="s">
        <v>709</v>
      </c>
      <c r="O6" s="193" t="s">
        <v>710</v>
      </c>
      <c r="P6" s="193" t="s">
        <v>711</v>
      </c>
      <c r="Q6" s="193" t="s">
        <v>712</v>
      </c>
      <c r="R6" s="193" t="s">
        <v>713</v>
      </c>
      <c r="S6" s="193" t="s">
        <v>714</v>
      </c>
      <c r="T6" s="193" t="s">
        <v>715</v>
      </c>
      <c r="U6" s="193" t="s">
        <v>716</v>
      </c>
      <c r="V6" s="193" t="s">
        <v>717</v>
      </c>
      <c r="W6" s="193" t="s">
        <v>718</v>
      </c>
      <c r="X6" s="193" t="s">
        <v>719</v>
      </c>
      <c r="Y6" s="193" t="s">
        <v>720</v>
      </c>
      <c r="Z6" s="193" t="s">
        <v>721</v>
      </c>
      <c r="AA6" s="193" t="s">
        <v>722</v>
      </c>
      <c r="AB6" s="193" t="s">
        <v>723</v>
      </c>
      <c r="AC6" s="193" t="s">
        <v>724</v>
      </c>
      <c r="AD6" s="193" t="s">
        <v>725</v>
      </c>
      <c r="AE6" s="193" t="s">
        <v>726</v>
      </c>
      <c r="AF6" s="193" t="s">
        <v>727</v>
      </c>
      <c r="AG6" s="193" t="s">
        <v>728</v>
      </c>
      <c r="AH6" s="193" t="s">
        <v>729</v>
      </c>
      <c r="AI6" s="193" t="s">
        <v>730</v>
      </c>
      <c r="AJ6" s="193" t="s">
        <v>731</v>
      </c>
      <c r="AK6" s="193" t="s">
        <v>732</v>
      </c>
      <c r="AL6" s="193" t="s">
        <v>733</v>
      </c>
      <c r="AM6" s="193" t="s">
        <v>734</v>
      </c>
      <c r="AN6" s="193" t="s">
        <v>735</v>
      </c>
      <c r="AO6" s="193" t="s">
        <v>736</v>
      </c>
      <c r="AP6" s="193" t="s">
        <v>737</v>
      </c>
      <c r="AQ6" s="193" t="s">
        <v>738</v>
      </c>
      <c r="AR6" s="193" t="s">
        <v>739</v>
      </c>
      <c r="AS6" s="193" t="s">
        <v>740</v>
      </c>
      <c r="AT6" s="193" t="s">
        <v>741</v>
      </c>
      <c r="AU6" s="193" t="s">
        <v>742</v>
      </c>
      <c r="AV6" s="193" t="s">
        <v>743</v>
      </c>
      <c r="AW6" s="193"/>
      <c r="AX6" s="193" t="s">
        <v>744</v>
      </c>
      <c r="AY6" s="193" t="s">
        <v>745</v>
      </c>
      <c r="AZ6" s="193" t="s">
        <v>746</v>
      </c>
      <c r="BA6" s="193" t="s">
        <v>747</v>
      </c>
      <c r="BB6" s="193" t="s">
        <v>748</v>
      </c>
      <c r="BC6" s="193" t="s">
        <v>749</v>
      </c>
      <c r="BD6" s="193" t="s">
        <v>750</v>
      </c>
      <c r="BE6" s="193" t="s">
        <v>751</v>
      </c>
      <c r="BF6" s="193" t="s">
        <v>752</v>
      </c>
      <c r="BG6" s="193" t="s">
        <v>753</v>
      </c>
      <c r="BH6" s="193" t="s">
        <v>754</v>
      </c>
      <c r="BI6" s="191" t="s">
        <v>755</v>
      </c>
      <c r="BJ6" s="191"/>
      <c r="BK6" s="191" t="s">
        <v>756</v>
      </c>
      <c r="BL6" s="191" t="s">
        <v>757</v>
      </c>
      <c r="BM6" s="191" t="s">
        <v>758</v>
      </c>
      <c r="BN6" s="191" t="s">
        <v>759</v>
      </c>
      <c r="BO6" s="191" t="s">
        <v>760</v>
      </c>
      <c r="BP6" s="191" t="s">
        <v>761</v>
      </c>
      <c r="BQ6" s="191" t="s">
        <v>762</v>
      </c>
      <c r="BR6" s="191" t="s">
        <v>763</v>
      </c>
      <c r="BS6" s="191" t="s">
        <v>764</v>
      </c>
      <c r="BT6" s="191" t="s">
        <v>765</v>
      </c>
      <c r="BU6" s="191" t="s">
        <v>766</v>
      </c>
      <c r="BV6" s="191" t="s">
        <v>767</v>
      </c>
      <c r="BW6" s="191" t="s">
        <v>768</v>
      </c>
      <c r="BX6" s="191" t="s">
        <v>769</v>
      </c>
      <c r="BY6" s="191" t="s">
        <v>770</v>
      </c>
      <c r="BZ6" s="191" t="s">
        <v>771</v>
      </c>
      <c r="CA6" s="191" t="s">
        <v>772</v>
      </c>
      <c r="CB6" s="191" t="s">
        <v>773</v>
      </c>
      <c r="CC6" s="191" t="s">
        <v>774</v>
      </c>
      <c r="CD6" s="191" t="s">
        <v>775</v>
      </c>
      <c r="CE6" s="191" t="s">
        <v>776</v>
      </c>
      <c r="CF6" s="191" t="s">
        <v>777</v>
      </c>
      <c r="CG6" s="191" t="s">
        <v>778</v>
      </c>
      <c r="CH6" s="191" t="s">
        <v>779</v>
      </c>
      <c r="CI6" s="191" t="s">
        <v>780</v>
      </c>
      <c r="CJ6" s="191" t="s">
        <v>781</v>
      </c>
      <c r="CK6" s="191" t="s">
        <v>782</v>
      </c>
      <c r="CL6" s="191" t="s">
        <v>783</v>
      </c>
      <c r="CM6" s="191" t="s">
        <v>784</v>
      </c>
      <c r="CN6" s="191" t="s">
        <v>785</v>
      </c>
      <c r="CO6" s="191" t="s">
        <v>786</v>
      </c>
      <c r="CP6" s="191" t="s">
        <v>787</v>
      </c>
      <c r="CQ6" s="194" t="s">
        <v>788</v>
      </c>
      <c r="CR6" s="191" t="s">
        <v>789</v>
      </c>
      <c r="CS6" s="191" t="s">
        <v>790</v>
      </c>
      <c r="CT6" s="191" t="s">
        <v>791</v>
      </c>
      <c r="CU6" s="191" t="s">
        <v>792</v>
      </c>
      <c r="CV6" s="191" t="s">
        <v>793</v>
      </c>
      <c r="CW6" s="191" t="s">
        <v>794</v>
      </c>
      <c r="CX6" s="191" t="s">
        <v>795</v>
      </c>
      <c r="CY6" s="191" t="s">
        <v>796</v>
      </c>
      <c r="CZ6" s="191" t="s">
        <v>797</v>
      </c>
      <c r="DA6" s="191" t="s">
        <v>798</v>
      </c>
      <c r="DB6" s="191" t="s">
        <v>799</v>
      </c>
      <c r="DC6" s="191" t="s">
        <v>800</v>
      </c>
      <c r="DD6" s="191" t="s">
        <v>801</v>
      </c>
      <c r="DE6" s="191" t="s">
        <v>802</v>
      </c>
      <c r="DF6" s="191" t="s">
        <v>803</v>
      </c>
      <c r="DG6" s="191" t="s">
        <v>804</v>
      </c>
      <c r="DH6" s="191" t="s">
        <v>805</v>
      </c>
      <c r="DI6" s="191" t="s">
        <v>806</v>
      </c>
      <c r="DJ6" s="191" t="s">
        <v>807</v>
      </c>
      <c r="DK6" s="191" t="s">
        <v>808</v>
      </c>
      <c r="DL6" s="191" t="s">
        <v>809</v>
      </c>
      <c r="DM6" s="191" t="s">
        <v>810</v>
      </c>
      <c r="DN6" s="191" t="s">
        <v>811</v>
      </c>
      <c r="DO6" s="191" t="s">
        <v>812</v>
      </c>
      <c r="DP6" s="191" t="s">
        <v>813</v>
      </c>
      <c r="DQ6" s="191" t="s">
        <v>814</v>
      </c>
      <c r="DR6" s="191" t="s">
        <v>815</v>
      </c>
      <c r="DS6" s="191" t="s">
        <v>816</v>
      </c>
      <c r="DT6" s="191" t="s">
        <v>817</v>
      </c>
      <c r="DU6" s="191" t="s">
        <v>818</v>
      </c>
      <c r="DV6" s="191" t="s">
        <v>819</v>
      </c>
      <c r="DW6" s="191" t="s">
        <v>820</v>
      </c>
      <c r="DX6" s="191" t="s">
        <v>821</v>
      </c>
      <c r="DY6" s="191" t="s">
        <v>822</v>
      </c>
      <c r="DZ6" s="191" t="s">
        <v>823</v>
      </c>
      <c r="EA6" s="191" t="s">
        <v>824</v>
      </c>
      <c r="EB6" s="191" t="s">
        <v>825</v>
      </c>
      <c r="EC6" s="191" t="s">
        <v>826</v>
      </c>
      <c r="ED6" s="191" t="s">
        <v>827</v>
      </c>
      <c r="EE6" s="195" t="s">
        <v>828</v>
      </c>
      <c r="EF6" s="191" t="s">
        <v>829</v>
      </c>
      <c r="EG6" s="191" t="s">
        <v>830</v>
      </c>
      <c r="EH6" s="191" t="s">
        <v>831</v>
      </c>
      <c r="EI6" s="191" t="s">
        <v>832</v>
      </c>
      <c r="EJ6" s="191" t="s">
        <v>833</v>
      </c>
      <c r="EK6" s="191" t="s">
        <v>834</v>
      </c>
      <c r="EL6" s="191" t="s">
        <v>835</v>
      </c>
      <c r="EM6" s="191" t="s">
        <v>836</v>
      </c>
      <c r="EN6" s="191" t="s">
        <v>837</v>
      </c>
      <c r="EO6" s="191" t="s">
        <v>838</v>
      </c>
      <c r="EP6" s="191" t="s">
        <v>839</v>
      </c>
      <c r="EQ6" s="191" t="s">
        <v>840</v>
      </c>
      <c r="ER6" s="191" t="s">
        <v>841</v>
      </c>
      <c r="ES6" s="191" t="s">
        <v>842</v>
      </c>
      <c r="ET6" s="196">
        <v>40887</v>
      </c>
      <c r="EU6" s="196">
        <v>40857</v>
      </c>
      <c r="EV6" s="197" t="s">
        <v>843</v>
      </c>
      <c r="EW6" s="197" t="s">
        <v>844</v>
      </c>
      <c r="EX6" s="197" t="s">
        <v>845</v>
      </c>
      <c r="EY6" s="197" t="s">
        <v>846</v>
      </c>
      <c r="EZ6" s="197" t="s">
        <v>847</v>
      </c>
      <c r="FA6" s="197" t="s">
        <v>848</v>
      </c>
      <c r="FB6" s="197" t="s">
        <v>849</v>
      </c>
      <c r="FC6" s="197" t="s">
        <v>850</v>
      </c>
      <c r="FD6" s="197" t="s">
        <v>851</v>
      </c>
      <c r="FE6" s="197" t="s">
        <v>852</v>
      </c>
      <c r="FF6" s="197" t="s">
        <v>853</v>
      </c>
      <c r="FG6" s="197" t="s">
        <v>854</v>
      </c>
      <c r="FH6" s="197" t="s">
        <v>855</v>
      </c>
      <c r="FI6" s="197" t="s">
        <v>856</v>
      </c>
      <c r="FJ6" s="197" t="s">
        <v>857</v>
      </c>
      <c r="FK6" s="197" t="s">
        <v>858</v>
      </c>
      <c r="FL6" s="197" t="s">
        <v>859</v>
      </c>
      <c r="FM6" s="197" t="s">
        <v>860</v>
      </c>
      <c r="FN6" s="197" t="s">
        <v>861</v>
      </c>
      <c r="FO6" s="197" t="s">
        <v>862</v>
      </c>
      <c r="FP6" s="197" t="s">
        <v>863</v>
      </c>
      <c r="FQ6" s="164"/>
      <c r="FR6" s="164"/>
    </row>
    <row r="7" spans="2:181" ht="16.399999999999999" customHeight="1" x14ac:dyDescent="0.25">
      <c r="B7" s="199">
        <v>1</v>
      </c>
      <c r="C7" s="1893" t="s">
        <v>120</v>
      </c>
      <c r="D7" s="199">
        <v>1</v>
      </c>
      <c r="E7" s="200">
        <f>'NORTH-2'!$N$74</f>
        <v>-98.855682823672794</v>
      </c>
      <c r="F7" s="1889">
        <v>0.44938520204975313</v>
      </c>
      <c r="G7" s="1889">
        <v>9.0486487420813142E-3</v>
      </c>
      <c r="H7" s="1889">
        <v>-9.8820880757240298E-2</v>
      </c>
      <c r="I7" s="1889">
        <v>0.32006197654942553</v>
      </c>
      <c r="J7" s="1889">
        <v>0.17349430560845253</v>
      </c>
      <c r="K7" s="1889">
        <v>0.46874115331452587</v>
      </c>
      <c r="L7" s="200">
        <v>0.18607865705141416</v>
      </c>
      <c r="M7" s="200">
        <v>0.24251813316812063</v>
      </c>
      <c r="N7" s="200">
        <v>0.6275096304857577</v>
      </c>
      <c r="O7" s="201">
        <v>0.77335847920814549</v>
      </c>
      <c r="P7" s="201">
        <v>0.38276978563530156</v>
      </c>
      <c r="Q7" s="201">
        <v>0.1350426497487269</v>
      </c>
      <c r="R7" s="201">
        <v>0.11427758884534768</v>
      </c>
      <c r="S7" s="201">
        <v>0.11661989137186936</v>
      </c>
      <c r="T7" s="201">
        <v>0.27907441935549243</v>
      </c>
      <c r="U7" s="202">
        <v>0.38008860164861152</v>
      </c>
      <c r="V7" s="202">
        <v>0.41977278153060166</v>
      </c>
      <c r="W7" s="202">
        <v>0.10385691913755825</v>
      </c>
      <c r="X7" s="202">
        <v>-0.18851960158457076</v>
      </c>
      <c r="Y7" s="202">
        <v>0.68330726080205906</v>
      </c>
      <c r="Z7" s="202">
        <v>0.15591544731905613</v>
      </c>
      <c r="AA7" s="202">
        <v>-1.6979638822579718E-2</v>
      </c>
      <c r="AB7" s="202">
        <v>0.45163035311730204</v>
      </c>
      <c r="AC7" s="202">
        <v>0.9</v>
      </c>
      <c r="AD7" s="202">
        <v>0.38120997811548446</v>
      </c>
      <c r="AE7" s="202">
        <v>0.18935425467625563</v>
      </c>
      <c r="AF7" s="202">
        <v>0.1712726839200662</v>
      </c>
      <c r="AG7" s="202">
        <v>0.54980430129437641</v>
      </c>
      <c r="AH7" s="202">
        <v>0.84691337895815899</v>
      </c>
      <c r="AI7" s="202">
        <v>0.40655697973426569</v>
      </c>
      <c r="AJ7" s="202">
        <v>0.5672507738790673</v>
      </c>
      <c r="AK7" s="202">
        <v>0.57649481617381604</v>
      </c>
      <c r="AL7" s="202">
        <v>7.8767669534563906E-2</v>
      </c>
      <c r="AM7" s="202">
        <v>-1.409234513243586E-2</v>
      </c>
      <c r="AN7" s="202">
        <v>1.3806758809126221</v>
      </c>
      <c r="AO7" s="202">
        <v>0.14821709504744784</v>
      </c>
      <c r="AP7" s="202">
        <v>0.68940511090852719</v>
      </c>
      <c r="AQ7" s="202">
        <v>0.39404699993704484</v>
      </c>
      <c r="AR7" s="202">
        <v>0.28199622962992282</v>
      </c>
      <c r="AS7" s="202">
        <v>0.83383123323026498</v>
      </c>
      <c r="AT7" s="202">
        <v>-0.53848646135655576</v>
      </c>
      <c r="AU7" s="202">
        <v>3.2588104383678221E-2</v>
      </c>
      <c r="AV7" s="202">
        <v>0.68341719732559303</v>
      </c>
      <c r="AW7" s="202"/>
      <c r="AX7" s="202">
        <v>0.58298617243505257</v>
      </c>
      <c r="AY7" s="202">
        <v>0.66450065022298288</v>
      </c>
      <c r="AZ7" s="202">
        <v>1.2228528765967359</v>
      </c>
      <c r="BA7" s="202">
        <v>0.95241491350852325</v>
      </c>
      <c r="BB7" s="202">
        <v>3.6767156693962195E-2</v>
      </c>
      <c r="BC7" s="202">
        <v>-0.26886125242886483</v>
      </c>
      <c r="BD7" s="202">
        <v>0.28590588439069309</v>
      </c>
      <c r="BE7" s="202">
        <v>0.26178276446850512</v>
      </c>
      <c r="BF7" s="202">
        <v>0.33286946726911748</v>
      </c>
      <c r="BG7" s="202">
        <v>0.28226106525291056</v>
      </c>
      <c r="BH7" s="202">
        <v>0.11920100432502898</v>
      </c>
      <c r="BI7" s="202">
        <v>0.50193693506041404</v>
      </c>
      <c r="BJ7" s="202"/>
      <c r="BK7" s="202">
        <v>0.74850997045545709</v>
      </c>
      <c r="BL7" s="202">
        <v>0.824267440573483</v>
      </c>
      <c r="BM7" s="202">
        <v>0.68753535087192963</v>
      </c>
      <c r="BN7" s="202">
        <v>0.38764905416213769</v>
      </c>
      <c r="BO7" s="202">
        <v>0.17867695927547411</v>
      </c>
      <c r="BP7" s="202">
        <v>0.59003384769603273</v>
      </c>
      <c r="BQ7" s="202">
        <v>-0.57812739014274928</v>
      </c>
      <c r="BR7" s="202">
        <v>-0.17418042721488008</v>
      </c>
      <c r="BS7" s="202">
        <v>-0.41664332261321241</v>
      </c>
      <c r="BT7" s="202">
        <v>0.6228331940640639</v>
      </c>
      <c r="BU7" s="203">
        <v>-0.78382455974436038</v>
      </c>
      <c r="BV7" s="203">
        <v>0.94591352272408535</v>
      </c>
      <c r="BW7" s="203">
        <v>2.8015683274187013E-2</v>
      </c>
      <c r="BX7" s="201">
        <v>-0.23633544113436988</v>
      </c>
      <c r="BY7" s="201">
        <v>1.7360413203029518E-2</v>
      </c>
      <c r="BZ7" s="201">
        <v>0.32662607363143453</v>
      </c>
      <c r="CA7" s="201">
        <v>-0.11573296248358785</v>
      </c>
      <c r="CB7" s="201">
        <v>0.44315620452425308</v>
      </c>
      <c r="CC7" s="201">
        <v>0.33351390003361064</v>
      </c>
      <c r="CD7" s="201">
        <v>8.8576527388149834E-2</v>
      </c>
      <c r="CE7" s="201">
        <v>0.11868767676843099</v>
      </c>
      <c r="CF7" s="201">
        <v>8.5692948987645869E-3</v>
      </c>
      <c r="CG7" s="201">
        <v>0.10700831029879232</v>
      </c>
      <c r="CH7" s="201">
        <v>0.50313808465463383</v>
      </c>
      <c r="CI7" s="201">
        <v>0.1181092748559517</v>
      </c>
      <c r="CJ7" s="201">
        <v>7.8043155755727386E-2</v>
      </c>
      <c r="CK7" s="201">
        <v>-0.10561780829647727</v>
      </c>
      <c r="CL7" s="201">
        <v>0.1570632306715837</v>
      </c>
      <c r="CM7" s="201">
        <v>2.4411563206584649E-2</v>
      </c>
      <c r="CN7" s="201">
        <v>-0.22888248682889906</v>
      </c>
      <c r="CO7" s="201">
        <v>-4.1219068522366474E-2</v>
      </c>
      <c r="CP7" s="201">
        <v>4.6966381565627324E-2</v>
      </c>
      <c r="CQ7" s="201">
        <v>0.48021419734336274</v>
      </c>
      <c r="CR7" s="201">
        <v>0.49969277732046802</v>
      </c>
      <c r="CS7" s="201">
        <v>0.12369245249591694</v>
      </c>
      <c r="CT7" s="201">
        <v>0.12166447187308631</v>
      </c>
      <c r="CU7" s="201">
        <v>-0.14266489318962614</v>
      </c>
      <c r="CV7" s="201">
        <v>-0.41412897841801144</v>
      </c>
      <c r="CW7" s="201">
        <v>0.11966571939287024</v>
      </c>
      <c r="CX7" s="201">
        <v>0.20112524752584612</v>
      </c>
      <c r="CY7" s="201">
        <v>0.106525075104159</v>
      </c>
      <c r="CZ7" s="201">
        <v>0.16961542332652363</v>
      </c>
      <c r="DA7" s="201">
        <v>0.53127395197364613</v>
      </c>
      <c r="DB7" s="201">
        <v>6.2323978597292891E-2</v>
      </c>
      <c r="DC7" s="202">
        <v>0.25005796415417975</v>
      </c>
      <c r="DD7" s="202">
        <v>0.13670768980268763</v>
      </c>
      <c r="DE7" s="202">
        <v>0.37487325529921833</v>
      </c>
      <c r="DF7" s="202">
        <v>0.197167200533026</v>
      </c>
      <c r="DG7" s="202">
        <v>0.18782543071184413</v>
      </c>
      <c r="DH7" s="202">
        <v>0.17290847968425532</v>
      </c>
      <c r="DI7" s="202">
        <v>0.21197702194635015</v>
      </c>
      <c r="DJ7" s="202">
        <v>0.21047135794880753</v>
      </c>
      <c r="DK7" s="202">
        <v>0.3315871203537134</v>
      </c>
      <c r="DL7" s="202">
        <v>0.3124987463941955</v>
      </c>
      <c r="DM7" s="202">
        <v>0.3057820500066516</v>
      </c>
      <c r="DN7" s="202">
        <v>0.26586661000632927</v>
      </c>
      <c r="DO7" s="202">
        <v>0.23552683838058319</v>
      </c>
      <c r="DP7" s="202">
        <v>0.40562461369769293</v>
      </c>
      <c r="DQ7" s="202">
        <v>0</v>
      </c>
      <c r="DR7" s="202">
        <v>0</v>
      </c>
      <c r="DS7" s="202">
        <v>0.29067375983739291</v>
      </c>
      <c r="DT7" s="202">
        <v>0.34290435860525381</v>
      </c>
      <c r="DU7" s="202">
        <v>-6.0994777917543928E-3</v>
      </c>
      <c r="DV7" s="202">
        <v>0.3663987415832729</v>
      </c>
      <c r="DW7" s="202">
        <v>0.25232713470907919</v>
      </c>
      <c r="DX7" s="201">
        <v>0</v>
      </c>
      <c r="DY7" s="201">
        <v>0.38563276713898975</v>
      </c>
      <c r="DZ7" s="201">
        <v>0.24309228228519855</v>
      </c>
      <c r="EA7" s="201">
        <v>0.39181473316830756</v>
      </c>
      <c r="EB7" s="201">
        <v>0.3705380346390425</v>
      </c>
      <c r="EC7" s="201">
        <v>0.35749777370469477</v>
      </c>
      <c r="ED7" s="201">
        <v>0.31934306569437332</v>
      </c>
      <c r="EE7" s="201">
        <v>0.35891247579723956</v>
      </c>
      <c r="EF7" s="201">
        <v>0.20514581620130445</v>
      </c>
      <c r="EG7" s="201">
        <v>0.20022076848379852</v>
      </c>
      <c r="EH7" s="201">
        <v>0.22406958089712387</v>
      </c>
      <c r="EI7" s="201">
        <v>0.36061172382971929</v>
      </c>
      <c r="EJ7" s="201">
        <v>-3.4884939186339399E-2</v>
      </c>
      <c r="EK7" s="201">
        <v>0.20571926488102851</v>
      </c>
      <c r="EL7" s="201">
        <v>-2.9574034434462708E-2</v>
      </c>
      <c r="EM7" s="201">
        <v>-4.9879420584410326E-2</v>
      </c>
      <c r="EN7" s="201">
        <v>7.8695204746242475E-3</v>
      </c>
      <c r="EO7" s="201">
        <v>0.5001349458096418</v>
      </c>
      <c r="EP7" s="201">
        <v>0.48451250772117133</v>
      </c>
      <c r="EQ7" s="201">
        <v>0.52467061399689574</v>
      </c>
      <c r="ER7" s="201">
        <v>0.25797835531081625</v>
      </c>
      <c r="ES7" s="201">
        <v>9.4542092125400004E-2</v>
      </c>
      <c r="ET7" s="204">
        <v>0.19348441872433939</v>
      </c>
      <c r="EU7" s="204">
        <v>0.20550255134618037</v>
      </c>
      <c r="EV7" s="204">
        <v>1.5279569788302031E-3</v>
      </c>
      <c r="EW7" s="204">
        <v>0.70548986894456689</v>
      </c>
      <c r="EX7" s="204">
        <v>0.19795676578787669</v>
      </c>
      <c r="EY7" s="204">
        <v>0.75108621331994718</v>
      </c>
      <c r="EZ7" s="204">
        <v>0.6390039217838922</v>
      </c>
      <c r="FA7" s="204">
        <v>0.28229600752786543</v>
      </c>
      <c r="FB7" s="204">
        <v>0.27705863650844886</v>
      </c>
      <c r="FC7" s="204">
        <v>0.22713836771487</v>
      </c>
      <c r="FD7" s="204">
        <v>0.22883988785345066</v>
      </c>
      <c r="FE7" s="204">
        <v>-0.51718614124170836</v>
      </c>
      <c r="FF7" s="204">
        <v>-0.21414549997065763</v>
      </c>
      <c r="FG7" s="204">
        <v>-0.77827525982348444</v>
      </c>
      <c r="FH7" s="204">
        <v>-0.80716044726339853</v>
      </c>
      <c r="FI7" s="204">
        <v>-0.74315745727267302</v>
      </c>
      <c r="FJ7" s="204">
        <v>-0.7709353718758496</v>
      </c>
      <c r="FK7" s="204">
        <v>-0.90363885319555159</v>
      </c>
      <c r="FL7" s="204">
        <v>-0.54514864159845888</v>
      </c>
      <c r="FM7" s="204">
        <v>-0.86499684379272879</v>
      </c>
      <c r="FN7" s="204">
        <v>-0.79460971472599418</v>
      </c>
      <c r="FO7" s="204">
        <v>-0.79460971472599418</v>
      </c>
      <c r="FP7" s="204">
        <v>-0.81864797234216002</v>
      </c>
    </row>
    <row r="8" spans="2:181" ht="16.399999999999999" customHeight="1" x14ac:dyDescent="0.25">
      <c r="B8" s="199">
        <v>2</v>
      </c>
      <c r="C8" s="1912" t="s">
        <v>121</v>
      </c>
      <c r="D8" s="199">
        <v>2</v>
      </c>
      <c r="E8" s="205">
        <f>'NORTH-2'!$N$127</f>
        <v>-100</v>
      </c>
      <c r="F8" s="1890">
        <v>3.3270412959782512</v>
      </c>
      <c r="G8" s="1890">
        <v>2.8019418692655016</v>
      </c>
      <c r="H8" s="1890">
        <v>2.104358767586699</v>
      </c>
      <c r="I8" s="1890">
        <v>3.0450848264365526</v>
      </c>
      <c r="J8" s="1890">
        <v>5.0166574367064953</v>
      </c>
      <c r="K8" s="1890">
        <v>6.933634163553025</v>
      </c>
      <c r="L8" s="205">
        <v>8.6062080092731055</v>
      </c>
      <c r="M8" s="205">
        <v>4.9672492805688382</v>
      </c>
      <c r="N8" s="205">
        <v>5.4037675356478552</v>
      </c>
      <c r="O8" s="202">
        <v>6.0411494483265757</v>
      </c>
      <c r="P8" s="202">
        <v>6.572637068444501</v>
      </c>
      <c r="Q8" s="202">
        <v>7.0084046500478241</v>
      </c>
      <c r="R8" s="202">
        <v>7.188031178320399</v>
      </c>
      <c r="S8" s="202">
        <v>6.7054413952763401</v>
      </c>
      <c r="T8" s="202">
        <v>2.3157881923468815</v>
      </c>
      <c r="U8" s="202">
        <v>2.2163146526002051</v>
      </c>
      <c r="V8" s="202">
        <v>1.8934242242152139</v>
      </c>
      <c r="W8" s="202">
        <v>1.4850586155562346</v>
      </c>
      <c r="X8" s="202">
        <v>1.4145557671220839</v>
      </c>
      <c r="Y8" s="202">
        <v>1.0047352716476421</v>
      </c>
      <c r="Z8" s="202">
        <v>2.7529584209184428</v>
      </c>
      <c r="AA8" s="202">
        <v>3.5271944126820531</v>
      </c>
      <c r="AB8" s="202">
        <v>1.4644050826445649</v>
      </c>
      <c r="AC8" s="202">
        <v>9.65</v>
      </c>
      <c r="AD8" s="202">
        <v>3.3000000000000251</v>
      </c>
      <c r="AE8" s="202">
        <v>3.9915837382260753</v>
      </c>
      <c r="AF8" s="202">
        <v>3.8595177292874601</v>
      </c>
      <c r="AG8" s="202">
        <v>4.4325454981347452</v>
      </c>
      <c r="AH8" s="202">
        <v>1.4342176275985583</v>
      </c>
      <c r="AI8" s="202">
        <v>3.9878434923914048</v>
      </c>
      <c r="AJ8" s="202">
        <v>3.9695268366098087</v>
      </c>
      <c r="AK8" s="202">
        <v>2.3467776121156763</v>
      </c>
      <c r="AL8" s="202">
        <v>3.3772911019147922</v>
      </c>
      <c r="AM8" s="202">
        <v>2.5581557638136103</v>
      </c>
      <c r="AN8" s="202">
        <v>3.7010746584783165</v>
      </c>
      <c r="AO8" s="202">
        <v>1.6137364268893586</v>
      </c>
      <c r="AP8" s="202">
        <v>2.2890818990470421</v>
      </c>
      <c r="AQ8" s="202">
        <v>3.1418091245203033</v>
      </c>
      <c r="AR8" s="202">
        <v>2.5011928212977792</v>
      </c>
      <c r="AS8" s="202">
        <v>3.270039874519167</v>
      </c>
      <c r="AT8" s="202">
        <v>3.0822094520993857</v>
      </c>
      <c r="AU8" s="202">
        <v>3.5072571034523685</v>
      </c>
      <c r="AV8" s="202">
        <v>2.7530052279958346</v>
      </c>
      <c r="AW8" s="202"/>
      <c r="AX8" s="202">
        <v>1.1186858298214624</v>
      </c>
      <c r="AY8" s="202">
        <v>3.0560409190597424</v>
      </c>
      <c r="AZ8" s="202">
        <v>1.7858216908935212</v>
      </c>
      <c r="BA8" s="202">
        <v>1.3353544952729199</v>
      </c>
      <c r="BB8" s="202">
        <v>3.3266063633711367</v>
      </c>
      <c r="BC8" s="202">
        <v>3.0494300931263219</v>
      </c>
      <c r="BD8" s="202">
        <v>-0.48093600978134038</v>
      </c>
      <c r="BE8" s="202">
        <v>0.4080163932091242</v>
      </c>
      <c r="BF8" s="202">
        <v>0.98642669528539795</v>
      </c>
      <c r="BG8" s="202">
        <v>1.1878806794467052</v>
      </c>
      <c r="BH8" s="202">
        <v>0.97547968214202352</v>
      </c>
      <c r="BI8" s="202">
        <v>1.2205864256126817</v>
      </c>
      <c r="BJ8" s="202"/>
      <c r="BK8" s="202">
        <v>1.1958992427424322</v>
      </c>
      <c r="BL8" s="202">
        <v>1.2492549888197413</v>
      </c>
      <c r="BM8" s="202">
        <v>1.470294829771974</v>
      </c>
      <c r="BN8" s="202">
        <v>0.66864889402399297</v>
      </c>
      <c r="BO8" s="202">
        <v>-0.88744241458971818</v>
      </c>
      <c r="BP8" s="202">
        <v>-0.11631880791818823</v>
      </c>
      <c r="BQ8" s="202">
        <v>1.106486142063096</v>
      </c>
      <c r="BR8" s="202">
        <v>1.8673706362238924</v>
      </c>
      <c r="BS8" s="202">
        <v>1.4098339962558977</v>
      </c>
      <c r="BT8" s="202">
        <v>0.58907609176353892</v>
      </c>
      <c r="BU8" s="202">
        <v>0.49851282964071392</v>
      </c>
      <c r="BV8" s="202">
        <v>3.6278172205224002</v>
      </c>
      <c r="BW8" s="202">
        <v>1.8513157634579249</v>
      </c>
      <c r="BX8" s="202">
        <v>-0.58551861953281903</v>
      </c>
      <c r="BY8" s="202">
        <v>-1.2854028889311355</v>
      </c>
      <c r="BZ8" s="202">
        <v>3.2533496010753864</v>
      </c>
      <c r="CA8" s="202">
        <v>-4.1309032692243575</v>
      </c>
      <c r="CB8" s="202">
        <v>-0.68164414056277423</v>
      </c>
      <c r="CC8" s="202">
        <v>1.4154179856512343</v>
      </c>
      <c r="CD8" s="202">
        <v>-0.41115834702688692</v>
      </c>
      <c r="CE8" s="202">
        <v>2.9048850967017934</v>
      </c>
      <c r="CF8" s="201">
        <v>-3.10763590627817</v>
      </c>
      <c r="CG8" s="201">
        <v>1.2889128674866626</v>
      </c>
      <c r="CH8" s="201">
        <v>1.5448072453593933</v>
      </c>
      <c r="CI8" s="201">
        <v>1.0329000838987594</v>
      </c>
      <c r="CJ8" s="201">
        <v>-1.6732046395533717</v>
      </c>
      <c r="CK8" s="201">
        <v>-3.3345577871358945</v>
      </c>
      <c r="CL8" s="201">
        <v>-2.4790837878877654</v>
      </c>
      <c r="CM8" s="201">
        <v>-3.0577123552007146</v>
      </c>
      <c r="CN8" s="201">
        <v>-2.1484833785347148</v>
      </c>
      <c r="CO8" s="201">
        <v>0.89358156624309149</v>
      </c>
      <c r="CP8" s="201">
        <v>-0.66361429279595319</v>
      </c>
      <c r="CQ8" s="201">
        <v>0.56375588383926145</v>
      </c>
      <c r="CR8" s="201">
        <v>0.99140862223282433</v>
      </c>
      <c r="CS8" s="201">
        <v>2.2562185962065651</v>
      </c>
      <c r="CT8" s="201">
        <v>1.8985419321579302</v>
      </c>
      <c r="CU8" s="201">
        <v>1.1025973458327452</v>
      </c>
      <c r="CV8" s="201">
        <v>-0.37745667793907417</v>
      </c>
      <c r="CW8" s="201">
        <v>1.1613068034796039</v>
      </c>
      <c r="CX8" s="201">
        <v>4.8068165016904567</v>
      </c>
      <c r="CY8" s="201">
        <v>3.6261928033133466</v>
      </c>
      <c r="CZ8" s="201">
        <v>3.3009654292975616</v>
      </c>
      <c r="DA8" s="206">
        <v>3.1035435620661151</v>
      </c>
      <c r="DB8" s="206">
        <v>2.8241181619228231</v>
      </c>
      <c r="DC8" s="207">
        <v>2.1703090850604401</v>
      </c>
      <c r="DD8" s="207">
        <v>1.0930121177129528</v>
      </c>
      <c r="DE8" s="208">
        <v>3.1176511899951209</v>
      </c>
      <c r="DF8" s="202">
        <v>3.1153647368160184</v>
      </c>
      <c r="DG8" s="202">
        <v>3.2932259503330394</v>
      </c>
      <c r="DH8" s="202">
        <v>3.8815018398578287</v>
      </c>
      <c r="DI8" s="202">
        <v>4.4536241423491036</v>
      </c>
      <c r="DJ8" s="202">
        <v>4.687427130306947</v>
      </c>
      <c r="DK8" s="202">
        <v>3.9426150628471297</v>
      </c>
      <c r="DL8" s="202">
        <v>3.7704368151331753</v>
      </c>
      <c r="DM8" s="202">
        <v>3.1106416101323786</v>
      </c>
      <c r="DN8" s="202">
        <v>0.63430434042475237</v>
      </c>
      <c r="DO8" s="202">
        <v>3.6761882721689738</v>
      </c>
      <c r="DP8" s="202">
        <v>4.858182059686361</v>
      </c>
      <c r="DQ8" s="202">
        <v>1.1482202391339504</v>
      </c>
      <c r="DR8" s="202">
        <v>2.6559899511029923</v>
      </c>
      <c r="DS8" s="202">
        <v>3.7459520172192686</v>
      </c>
      <c r="DT8" s="202">
        <v>4.3125261175514131</v>
      </c>
      <c r="DU8" s="202">
        <v>4.0905696807665404</v>
      </c>
      <c r="DV8" s="202">
        <v>4.1232929854093969</v>
      </c>
      <c r="DW8" s="202">
        <v>3.6030589171973699</v>
      </c>
      <c r="DX8" s="202">
        <v>1.2209620973531305</v>
      </c>
      <c r="DY8" s="202">
        <v>5.6031471916122122</v>
      </c>
      <c r="DZ8" s="201">
        <v>3.651752884329964</v>
      </c>
      <c r="EA8" s="201">
        <v>3.9268072693380986</v>
      </c>
      <c r="EB8" s="201">
        <v>3.618021878729087</v>
      </c>
      <c r="EC8" s="201">
        <v>3.4432597663020594</v>
      </c>
      <c r="ED8" s="201">
        <v>3.8623881804031273</v>
      </c>
      <c r="EE8" s="201">
        <v>3.8203281612382836</v>
      </c>
      <c r="EF8" s="201">
        <v>3.6271817399063391</v>
      </c>
      <c r="EG8" s="201">
        <v>2.937349169072307</v>
      </c>
      <c r="EH8" s="201">
        <v>2.1692872001004289</v>
      </c>
      <c r="EI8" s="201">
        <v>3.5784795935977263</v>
      </c>
      <c r="EJ8" s="201">
        <v>2.7958333145342826</v>
      </c>
      <c r="EK8" s="201">
        <v>2.597123197924319</v>
      </c>
      <c r="EL8" s="201">
        <v>3.1007919633407659</v>
      </c>
      <c r="EM8" s="201">
        <v>3.0818151625605843</v>
      </c>
      <c r="EN8" s="201">
        <v>3.0763904593801983</v>
      </c>
      <c r="EO8" s="201">
        <v>2.1686082849684709</v>
      </c>
      <c r="EP8" s="201">
        <v>2.3906387961056117</v>
      </c>
      <c r="EQ8" s="201">
        <v>0.52260710250640741</v>
      </c>
      <c r="ER8" s="201">
        <v>0.32395491965308887</v>
      </c>
      <c r="ES8" s="201">
        <v>0.32971596270443998</v>
      </c>
      <c r="ET8" s="204">
        <v>0.20687296708605782</v>
      </c>
      <c r="EU8" s="204">
        <v>0.51539318341784168</v>
      </c>
      <c r="EV8" s="204">
        <v>1.4416330937270274</v>
      </c>
      <c r="EW8" s="204">
        <v>0.60991445997873361</v>
      </c>
      <c r="EX8" s="204">
        <v>1.4846438389916137</v>
      </c>
      <c r="EY8" s="204">
        <v>0.75059652031039137</v>
      </c>
      <c r="EZ8" s="204">
        <v>0.89424693389729015</v>
      </c>
      <c r="FA8" s="204">
        <v>1.2247099959484051</v>
      </c>
      <c r="FB8" s="204">
        <v>1.280067416724356</v>
      </c>
      <c r="FC8" s="204">
        <v>0.73965973531118312</v>
      </c>
      <c r="FD8" s="204">
        <v>0.90338974247977122</v>
      </c>
      <c r="FE8" s="204">
        <v>0.13669740333111058</v>
      </c>
      <c r="FF8" s="204">
        <v>2.494696403382858</v>
      </c>
      <c r="FG8" s="204">
        <v>2.4623692866679447</v>
      </c>
      <c r="FH8" s="204">
        <v>3.0346411444082486</v>
      </c>
      <c r="FI8" s="204">
        <v>3.1052964535324383</v>
      </c>
      <c r="FJ8" s="204">
        <v>2.401296810438454</v>
      </c>
      <c r="FK8" s="204">
        <v>2.4869132727551628</v>
      </c>
      <c r="FL8" s="204">
        <v>2.1794894086584553</v>
      </c>
      <c r="FM8" s="204">
        <v>4.0733284931685638</v>
      </c>
      <c r="FN8" s="204">
        <v>4.0381311079258051</v>
      </c>
      <c r="FO8" s="204">
        <v>4.0381311079258051</v>
      </c>
      <c r="FP8" s="204">
        <v>4.0363784667135674</v>
      </c>
    </row>
    <row r="9" spans="2:181" ht="16.399999999999999" customHeight="1" x14ac:dyDescent="0.25">
      <c r="B9" s="199">
        <v>3</v>
      </c>
      <c r="C9" s="1912" t="s">
        <v>122</v>
      </c>
      <c r="D9" s="199">
        <v>3</v>
      </c>
      <c r="E9" s="205">
        <f>'NORTH-2'!$N$911</f>
        <v>-99.954395631492872</v>
      </c>
      <c r="F9" s="1890">
        <v>0.72465608027277184</v>
      </c>
      <c r="G9" s="1890">
        <v>0.38126124579182824</v>
      </c>
      <c r="H9" s="1890">
        <v>0.88071440725832006</v>
      </c>
      <c r="I9" s="1890">
        <v>0.31403289611171109</v>
      </c>
      <c r="J9" s="1890">
        <v>0.30778782701663743</v>
      </c>
      <c r="K9" s="1890">
        <v>0.58957194954853154</v>
      </c>
      <c r="L9" s="205">
        <v>1.1978439936844372</v>
      </c>
      <c r="M9" s="205">
        <v>1.3045439490290207</v>
      </c>
      <c r="N9" s="205">
        <v>0.81204344743392787</v>
      </c>
      <c r="O9" s="202">
        <v>-0.13951711070714096</v>
      </c>
      <c r="P9" s="202">
        <v>1.1500000000000117</v>
      </c>
      <c r="Q9" s="202">
        <v>-0.56282967553452568</v>
      </c>
      <c r="R9" s="202">
        <v>0.66299106218857617</v>
      </c>
      <c r="S9" s="202">
        <v>0.94171695886091467</v>
      </c>
      <c r="T9" s="202">
        <v>0.49999999999996037</v>
      </c>
      <c r="U9" s="202">
        <v>-4.9580152359939067E-2</v>
      </c>
      <c r="V9" s="202">
        <v>1.3753517807680931</v>
      </c>
      <c r="W9" s="202">
        <v>0.44068445364884995</v>
      </c>
      <c r="X9" s="202">
        <v>0.48632980811104348</v>
      </c>
      <c r="Y9" s="202">
        <v>0.34520964541517513</v>
      </c>
      <c r="Z9" s="202">
        <v>1.9010233822529563</v>
      </c>
      <c r="AA9" s="202">
        <v>0.6212676438833864</v>
      </c>
      <c r="AB9" s="202">
        <v>2.2343113821588245</v>
      </c>
      <c r="AC9" s="202">
        <v>2.84</v>
      </c>
      <c r="AD9" s="202">
        <v>0.17694531205829517</v>
      </c>
      <c r="AE9" s="202">
        <v>1.5043357974322125</v>
      </c>
      <c r="AF9" s="202">
        <v>0.37485668044222431</v>
      </c>
      <c r="AG9" s="202">
        <v>0.69743119299470291</v>
      </c>
      <c r="AH9" s="202">
        <v>1.5013841456030323</v>
      </c>
      <c r="AI9" s="202">
        <v>1.5216943229806597</v>
      </c>
      <c r="AJ9" s="202">
        <v>1.945596613410977</v>
      </c>
      <c r="AK9" s="202">
        <v>0.48805600887319317</v>
      </c>
      <c r="AL9" s="202">
        <v>-1.3720609370204803E-2</v>
      </c>
      <c r="AM9" s="202">
        <v>1.4999999999999714</v>
      </c>
      <c r="AN9" s="202">
        <v>1.5000000000000053</v>
      </c>
      <c r="AO9" s="202">
        <v>1.4684590841596423</v>
      </c>
      <c r="AP9" s="202">
        <v>1.2382962171621805</v>
      </c>
      <c r="AQ9" s="202">
        <v>0.57424701380075671</v>
      </c>
      <c r="AR9" s="202">
        <v>3.6303503462586026</v>
      </c>
      <c r="AS9" s="202">
        <v>2.2853814079617125</v>
      </c>
      <c r="AT9" s="202">
        <v>-1.3892150075897332</v>
      </c>
      <c r="AU9" s="202">
        <v>1.6907322528870536</v>
      </c>
      <c r="AV9" s="202">
        <v>-0.58226559375801168</v>
      </c>
      <c r="AW9" s="202"/>
      <c r="AX9" s="202">
        <v>2.2717371042162648</v>
      </c>
      <c r="AY9" s="202">
        <v>2.614817860314723</v>
      </c>
      <c r="AZ9" s="202">
        <v>1.7856044325275557</v>
      </c>
      <c r="BA9" s="202">
        <v>0.24240752987080683</v>
      </c>
      <c r="BB9" s="202">
        <v>-0.86972107670107313</v>
      </c>
      <c r="BC9" s="202">
        <v>-0.61320322889883294</v>
      </c>
      <c r="BD9" s="202">
        <v>1.6838345091284117</v>
      </c>
      <c r="BE9" s="202">
        <v>1.6114103500273</v>
      </c>
      <c r="BF9" s="202">
        <v>0.91245858929837187</v>
      </c>
      <c r="BG9" s="202">
        <v>1.014183002814252</v>
      </c>
      <c r="BH9" s="202">
        <v>0.87938998503468524</v>
      </c>
      <c r="BI9" s="202">
        <v>0.92484001958088613</v>
      </c>
      <c r="BJ9" s="202"/>
      <c r="BK9" s="202">
        <v>1.6555769771839564</v>
      </c>
      <c r="BL9" s="202">
        <v>-1.5994863280326139</v>
      </c>
      <c r="BM9" s="202">
        <v>0.47945455238833351</v>
      </c>
      <c r="BN9" s="202">
        <v>-2.2202167297030853</v>
      </c>
      <c r="BO9" s="202">
        <v>0.52889234093437687</v>
      </c>
      <c r="BP9" s="202">
        <v>8.3713763720885431E-2</v>
      </c>
      <c r="BQ9" s="202">
        <v>-0.30136823424202852</v>
      </c>
      <c r="BR9" s="202">
        <v>0.97078472068608068</v>
      </c>
      <c r="BS9" s="202">
        <v>-1.0097887238922849</v>
      </c>
      <c r="BT9" s="202">
        <v>0.43271998104960857</v>
      </c>
      <c r="BU9" s="201">
        <v>0.31805956633506782</v>
      </c>
      <c r="BV9" s="201">
        <v>0.10798846218845501</v>
      </c>
      <c r="BW9" s="201">
        <v>-0.15480375529769885</v>
      </c>
      <c r="BX9" s="201">
        <v>-0.30332371075905346</v>
      </c>
      <c r="BY9" s="201">
        <v>1.1364612229512947</v>
      </c>
      <c r="BZ9" s="201">
        <v>1.2804130797189299</v>
      </c>
      <c r="CA9" s="201">
        <v>1.1213258852823549</v>
      </c>
      <c r="CB9" s="201">
        <v>0.2797326644239963</v>
      </c>
      <c r="CC9" s="201">
        <v>0.20492562737617878</v>
      </c>
      <c r="CD9" s="201">
        <v>7.1541766129792822E-2</v>
      </c>
      <c r="CE9" s="201">
        <v>8.7200793192133613E-2</v>
      </c>
      <c r="CF9" s="201">
        <v>2.7532384422007797E-2</v>
      </c>
      <c r="CG9" s="201">
        <v>8.0469110347000883E-2</v>
      </c>
      <c r="CH9" s="201">
        <v>0.62398219042767966</v>
      </c>
      <c r="CI9" s="201">
        <v>0.48007509339573162</v>
      </c>
      <c r="CJ9" s="201">
        <v>0.2327923820890043</v>
      </c>
      <c r="CK9" s="201">
        <v>-0.14844292128997449</v>
      </c>
      <c r="CL9" s="201">
        <v>0.24494914802679757</v>
      </c>
      <c r="CM9" s="201">
        <v>-2.3790995934676089</v>
      </c>
      <c r="CN9" s="201">
        <v>1.7000656538876537</v>
      </c>
      <c r="CO9" s="201">
        <v>0.42815617764544639</v>
      </c>
      <c r="CP9" s="201">
        <v>-6.1577461926107802E-2</v>
      </c>
      <c r="CQ9" s="201">
        <v>0.7518562269885305</v>
      </c>
      <c r="CR9" s="201">
        <v>1.3356074327286476</v>
      </c>
      <c r="CS9" s="201">
        <v>0.26929005584250609</v>
      </c>
      <c r="CT9" s="201">
        <v>0.40201764051408451</v>
      </c>
      <c r="CU9" s="201">
        <v>0.49218696886783458</v>
      </c>
      <c r="CV9" s="201">
        <v>-0.44324690271528827</v>
      </c>
      <c r="CW9" s="201">
        <v>1.3542482797503395</v>
      </c>
      <c r="CX9" s="201">
        <v>0.60664550210597856</v>
      </c>
      <c r="CY9" s="201">
        <v>0.88873806847074521</v>
      </c>
      <c r="CZ9" s="201">
        <v>-0.26394809206860143</v>
      </c>
      <c r="DA9" s="201">
        <v>1.2353330417385451</v>
      </c>
      <c r="DB9" s="201">
        <v>0.16734955250976108</v>
      </c>
      <c r="DC9" s="202">
        <v>1.5746132186056121</v>
      </c>
      <c r="DD9" s="202">
        <v>0.92361485049515091</v>
      </c>
      <c r="DE9" s="202">
        <v>0.63781986112082245</v>
      </c>
      <c r="DF9" s="202">
        <v>-0.21673105264038453</v>
      </c>
      <c r="DG9" s="202">
        <v>0.82207538169818106</v>
      </c>
      <c r="DH9" s="202">
        <v>0.30394017215458718</v>
      </c>
      <c r="DI9" s="202">
        <v>1.756929749742387</v>
      </c>
      <c r="DJ9" s="202">
        <v>0.382755340853069</v>
      </c>
      <c r="DK9" s="202">
        <v>-8.5158136666263068E-2</v>
      </c>
      <c r="DL9" s="202">
        <v>0.8258185679792317</v>
      </c>
      <c r="DM9" s="202">
        <v>0.26764655991556885</v>
      </c>
      <c r="DN9" s="202">
        <v>0.23494519721154075</v>
      </c>
      <c r="DO9" s="202">
        <v>0.21988650245871391</v>
      </c>
      <c r="DP9" s="202">
        <v>1.4493281300893956</v>
      </c>
      <c r="DQ9" s="202">
        <v>-0.31293898177767032</v>
      </c>
      <c r="DR9" s="202">
        <v>0.13854758348260821</v>
      </c>
      <c r="DS9" s="202">
        <v>2.1841872173199009E-2</v>
      </c>
      <c r="DT9" s="202">
        <v>0.97961992119548547</v>
      </c>
      <c r="DU9" s="202">
        <v>-0.77471424449984949</v>
      </c>
      <c r="DV9" s="202">
        <v>0.88869161452821333</v>
      </c>
      <c r="DW9" s="202">
        <v>0.52914811989839627</v>
      </c>
      <c r="DX9" s="201">
        <v>0.11721932608125586</v>
      </c>
      <c r="DY9" s="201">
        <v>0.98602487049657994</v>
      </c>
      <c r="DZ9" s="201">
        <v>0.35916084609816823</v>
      </c>
      <c r="EA9" s="201">
        <v>-0.13905765393436595</v>
      </c>
      <c r="EB9" s="201">
        <v>0.61384925838607907</v>
      </c>
      <c r="EC9" s="201">
        <v>0.35331451364075284</v>
      </c>
      <c r="ED9" s="201">
        <v>2.2397342329299872</v>
      </c>
      <c r="EE9" s="201">
        <v>-1.3874516278033018</v>
      </c>
      <c r="EF9" s="201">
        <v>0.29485841729141882</v>
      </c>
      <c r="EG9" s="201">
        <v>-9.5698282733677809E-2</v>
      </c>
      <c r="EH9" s="201">
        <v>0.22422932131314222</v>
      </c>
      <c r="EI9" s="201">
        <v>-0.45845697066989832</v>
      </c>
      <c r="EJ9" s="201">
        <v>0.85268179552268997</v>
      </c>
      <c r="EK9" s="201">
        <v>0.58580623401130882</v>
      </c>
      <c r="EL9" s="201">
        <v>0.65427439702046963</v>
      </c>
      <c r="EM9" s="201">
        <v>-0.3923720438553599</v>
      </c>
      <c r="EN9" s="201">
        <v>0.31987365059438921</v>
      </c>
      <c r="EO9" s="201">
        <v>70.268855208071358</v>
      </c>
      <c r="EP9" s="201">
        <v>51.255533980910016</v>
      </c>
      <c r="EQ9" s="201">
        <v>0.54452853638303178</v>
      </c>
      <c r="ER9" s="201">
        <v>0.27862095214158789</v>
      </c>
      <c r="ES9" s="201">
        <v>2.5315815389332627E-2</v>
      </c>
      <c r="ET9" s="204">
        <v>0.41435636684416788</v>
      </c>
      <c r="EU9" s="204">
        <v>0.3947096040082379</v>
      </c>
      <c r="EV9" s="204">
        <v>0.10914166112690772</v>
      </c>
      <c r="EW9" s="204">
        <v>0.85284679329748947</v>
      </c>
      <c r="EX9" s="204">
        <v>0.33170872115925465</v>
      </c>
      <c r="EY9" s="204">
        <v>0.95625855444547991</v>
      </c>
      <c r="EZ9" s="204">
        <v>1.0542702930893975</v>
      </c>
      <c r="FA9" s="204">
        <v>0.56165876907980394</v>
      </c>
      <c r="FB9" s="204">
        <v>0.3809616856775509</v>
      </c>
      <c r="FC9" s="204">
        <v>1.4327848618699284</v>
      </c>
      <c r="FD9" s="204">
        <v>1.8359886669758714</v>
      </c>
      <c r="FE9" s="204">
        <v>0.54079821586702748</v>
      </c>
      <c r="FF9" s="204">
        <v>0.10605062487817159</v>
      </c>
      <c r="FG9" s="204">
        <v>0.31177109867909447</v>
      </c>
      <c r="FH9" s="204">
        <v>0.83204028663563157</v>
      </c>
      <c r="FI9" s="204">
        <v>1.0529215062938291</v>
      </c>
      <c r="FJ9" s="204">
        <v>-0.66067632650182118</v>
      </c>
      <c r="FK9" s="204">
        <v>2.6420101871371902</v>
      </c>
      <c r="FL9" s="204">
        <v>1.2286647112842408</v>
      </c>
      <c r="FM9" s="204">
        <v>3.8633979094051141E-2</v>
      </c>
      <c r="FN9" s="204">
        <v>1.915396336745891</v>
      </c>
      <c r="FO9" s="204">
        <v>1.915396336745891</v>
      </c>
      <c r="FP9" s="204">
        <v>6.4994416475159644</v>
      </c>
    </row>
    <row r="10" spans="2:181" ht="16.399999999999999" customHeight="1" x14ac:dyDescent="0.25">
      <c r="B10" s="199">
        <v>4</v>
      </c>
      <c r="C10" s="1912" t="s">
        <v>123</v>
      </c>
      <c r="D10" s="199">
        <v>4</v>
      </c>
      <c r="E10" s="205">
        <f>'NORTH-2'!$N$837</f>
        <v>-100</v>
      </c>
      <c r="F10" s="1890">
        <v>-0.23631362356753915</v>
      </c>
      <c r="G10" s="1890">
        <v>1.0006338029327286</v>
      </c>
      <c r="H10" s="1890">
        <v>0.99999999999972988</v>
      </c>
      <c r="I10" s="1890">
        <v>0.98457355355776044</v>
      </c>
      <c r="J10" s="1890">
        <v>0.98945852343662699</v>
      </c>
      <c r="K10" s="1890">
        <v>1.0000000000000349</v>
      </c>
      <c r="L10" s="205">
        <v>1.0000000000000118</v>
      </c>
      <c r="M10" s="205">
        <v>0.65605408095133066</v>
      </c>
      <c r="N10" s="205">
        <v>0.597445327163874</v>
      </c>
      <c r="O10" s="202">
        <v>0.96833256835895165</v>
      </c>
      <c r="P10" s="202">
        <v>1.0000000000000016</v>
      </c>
      <c r="Q10" s="202">
        <v>0.99999999999999201</v>
      </c>
      <c r="R10" s="202">
        <v>1.0000000000000036</v>
      </c>
      <c r="S10" s="202">
        <v>0.89089844839183985</v>
      </c>
      <c r="T10" s="202">
        <v>0.9999999999999849</v>
      </c>
      <c r="U10" s="202">
        <v>0.99999999999999312</v>
      </c>
      <c r="V10" s="202">
        <v>0.56815784420088489</v>
      </c>
      <c r="W10" s="202">
        <v>0.46248784789212716</v>
      </c>
      <c r="X10" s="202">
        <v>0.49999999999998607</v>
      </c>
      <c r="Y10" s="202">
        <v>0.45478667773390641</v>
      </c>
      <c r="Z10" s="202">
        <v>0.48459021247956113</v>
      </c>
      <c r="AA10" s="202">
        <v>0.42692157043019213</v>
      </c>
      <c r="AB10" s="202">
        <v>0.54396443288614937</v>
      </c>
      <c r="AC10" s="202">
        <v>0.54</v>
      </c>
      <c r="AD10" s="202">
        <v>0.5439644328861144</v>
      </c>
      <c r="AE10" s="202">
        <v>0.99805040749231932</v>
      </c>
      <c r="AF10" s="202">
        <v>0.97246022378258656</v>
      </c>
      <c r="AG10" s="202">
        <v>0.90144649266612631</v>
      </c>
      <c r="AH10" s="202">
        <v>0.78661499988414729</v>
      </c>
      <c r="AI10" s="202">
        <v>0.68166128623619593</v>
      </c>
      <c r="AJ10" s="202">
        <v>0.99999999999998757</v>
      </c>
      <c r="AK10" s="202">
        <v>0.9811202332386304</v>
      </c>
      <c r="AL10" s="202">
        <v>0.99999999999997446</v>
      </c>
      <c r="AM10" s="202">
        <v>0.99999999999999156</v>
      </c>
      <c r="AN10" s="202">
        <v>0.8075355845335136</v>
      </c>
      <c r="AO10" s="202">
        <v>0.67044753479365726</v>
      </c>
      <c r="AP10" s="202">
        <v>0.57848874186014854</v>
      </c>
      <c r="AQ10" s="202">
        <v>0.99999999999999956</v>
      </c>
      <c r="AR10" s="202">
        <v>0.62431264366360018</v>
      </c>
      <c r="AS10" s="202">
        <v>0.73409132951714218</v>
      </c>
      <c r="AT10" s="202">
        <v>0.41754308193384054</v>
      </c>
      <c r="AU10" s="202">
        <v>7.115845879330554E-2</v>
      </c>
      <c r="AV10" s="202">
        <v>0.62664676316164492</v>
      </c>
      <c r="AW10" s="202"/>
      <c r="AX10" s="202">
        <v>0.70006381065625156</v>
      </c>
      <c r="AY10" s="202">
        <v>0.7000622969040553</v>
      </c>
      <c r="AZ10" s="202">
        <v>0.68817329019912776</v>
      </c>
      <c r="BA10" s="202">
        <v>0.57476041690558788</v>
      </c>
      <c r="BB10" s="202">
        <v>-0.2964762584873083</v>
      </c>
      <c r="BC10" s="202">
        <v>-5.5487849412530184E-3</v>
      </c>
      <c r="BD10" s="202">
        <v>0.27173662914720348</v>
      </c>
      <c r="BE10" s="202">
        <v>0.86049278196260959</v>
      </c>
      <c r="BF10" s="202">
        <v>0.25937914224849012</v>
      </c>
      <c r="BG10" s="202">
        <v>0.63178910741328054</v>
      </c>
      <c r="BH10" s="202">
        <v>0.22318500994257107</v>
      </c>
      <c r="BI10" s="202">
        <v>0.59046934609666113</v>
      </c>
      <c r="BJ10" s="202"/>
      <c r="BK10" s="202">
        <v>2.12197073965122</v>
      </c>
      <c r="BL10" s="202">
        <v>0.62459834779649848</v>
      </c>
      <c r="BM10" s="202">
        <v>-0.81786425121192163</v>
      </c>
      <c r="BN10" s="202">
        <v>0.87890383606278855</v>
      </c>
      <c r="BO10" s="202">
        <v>0.20114941079260604</v>
      </c>
      <c r="BP10" s="202">
        <v>-0.28176571426716879</v>
      </c>
      <c r="BQ10" s="202">
        <v>1.0210444397266296</v>
      </c>
      <c r="BR10" s="202">
        <v>0.20909172625797928</v>
      </c>
      <c r="BS10" s="202">
        <v>-0.81899727920877274</v>
      </c>
      <c r="BT10" s="202">
        <v>0.58380953963280136</v>
      </c>
      <c r="BU10" s="201">
        <v>1.326271448179364</v>
      </c>
      <c r="BV10" s="201">
        <v>2.0728227361329123</v>
      </c>
      <c r="BW10" s="201">
        <v>1.7816536151123934</v>
      </c>
      <c r="BX10" s="201">
        <v>1.7534013679472142</v>
      </c>
      <c r="BY10" s="201">
        <v>2.8288201474156129</v>
      </c>
      <c r="BZ10" s="201">
        <v>0.92698470636340591</v>
      </c>
      <c r="CA10" s="201">
        <v>1.9999999999995906E-2</v>
      </c>
      <c r="CB10" s="201">
        <v>1.5450378625334287</v>
      </c>
      <c r="CC10" s="201">
        <v>2.1720921379173221</v>
      </c>
      <c r="CD10" s="201">
        <v>1.8144861013179998</v>
      </c>
      <c r="CE10" s="201">
        <v>-1.1016069910536429E-2</v>
      </c>
      <c r="CF10" s="201">
        <v>-0.39375770525429954</v>
      </c>
      <c r="CG10" s="201">
        <v>-0.12420978931572141</v>
      </c>
      <c r="CH10" s="201">
        <v>-0.16300972562467139</v>
      </c>
      <c r="CI10" s="201">
        <v>1.2201691512968129</v>
      </c>
      <c r="CJ10" s="201">
        <v>1.396881943026262</v>
      </c>
      <c r="CK10" s="201">
        <v>0.94208741968385068</v>
      </c>
      <c r="CL10" s="201">
        <v>1.4441909353885138</v>
      </c>
      <c r="CM10" s="201">
        <v>1.7806766846926343</v>
      </c>
      <c r="CN10" s="201">
        <v>1.1879578295517736</v>
      </c>
      <c r="CO10" s="201">
        <v>1.5878306284345323</v>
      </c>
      <c r="CP10" s="201">
        <v>1.1972748231268273</v>
      </c>
      <c r="CQ10" s="201">
        <v>5.5255322943051377</v>
      </c>
      <c r="CR10" s="203">
        <v>1.611273321257864</v>
      </c>
      <c r="CS10" s="203">
        <v>1.399088313278789</v>
      </c>
      <c r="CT10" s="203">
        <v>1.3647128058297571</v>
      </c>
      <c r="CU10" s="203">
        <v>1.3663962665535792</v>
      </c>
      <c r="CV10" s="203">
        <v>2.2905502672469922</v>
      </c>
      <c r="CW10" s="203">
        <v>1.1873913699027929</v>
      </c>
      <c r="CX10" s="203">
        <v>1.3936147849601286</v>
      </c>
      <c r="CY10" s="203">
        <v>1.2260235617129243</v>
      </c>
      <c r="CZ10" s="201">
        <v>0.46197932191383051</v>
      </c>
      <c r="DA10" s="206">
        <v>2.3750306027736405</v>
      </c>
      <c r="DB10" s="206">
        <v>1.1314348729526933</v>
      </c>
      <c r="DC10" s="207">
        <v>1.4246819447695644</v>
      </c>
      <c r="DD10" s="207">
        <v>1.4473238417173453</v>
      </c>
      <c r="DE10" s="208">
        <v>1.7233465625419431</v>
      </c>
      <c r="DF10" s="202">
        <v>1.5740377214274519</v>
      </c>
      <c r="DG10" s="202">
        <v>3.0444481464538349</v>
      </c>
      <c r="DH10" s="202">
        <v>1.5197077230498073</v>
      </c>
      <c r="DI10" s="202">
        <v>1.4618593482921165</v>
      </c>
      <c r="DJ10" s="202">
        <v>1.2994230599703429</v>
      </c>
      <c r="DK10" s="202">
        <v>1.6429087192319933</v>
      </c>
      <c r="DL10" s="202">
        <v>2.062780100298899</v>
      </c>
      <c r="DM10" s="202">
        <v>1.446255314123198</v>
      </c>
      <c r="DN10" s="202">
        <v>2.2322544123640977</v>
      </c>
      <c r="DO10" s="202">
        <v>1.0270221937007034</v>
      </c>
      <c r="DP10" s="202">
        <v>3.6744370163180351</v>
      </c>
      <c r="DQ10" s="202">
        <v>4.7611614411283369</v>
      </c>
      <c r="DR10" s="202">
        <v>-0.75511719361743312</v>
      </c>
      <c r="DS10" s="202">
        <v>-0.66978995705295929</v>
      </c>
      <c r="DT10" s="202">
        <v>0.675518135052256</v>
      </c>
      <c r="DU10" s="202">
        <v>0.81715229682259605</v>
      </c>
      <c r="DV10" s="202">
        <v>1.7020809946879081</v>
      </c>
      <c r="DW10" s="202">
        <v>4.4680945163553538</v>
      </c>
      <c r="DX10" s="201">
        <v>4.3677710859904226E-2</v>
      </c>
      <c r="DY10" s="201">
        <v>2.3196850930049973</v>
      </c>
      <c r="DZ10" s="201">
        <v>2.0527860208452386</v>
      </c>
      <c r="EA10" s="201">
        <v>1.6980846861522052</v>
      </c>
      <c r="EB10" s="201">
        <v>1.3104625932762459</v>
      </c>
      <c r="EC10" s="201">
        <v>1.2924644542476282</v>
      </c>
      <c r="ED10" s="201">
        <v>1.512846313440295</v>
      </c>
      <c r="EE10" s="201">
        <v>2.3960758024088284</v>
      </c>
      <c r="EF10" s="201">
        <v>4.6621999659958613</v>
      </c>
      <c r="EG10" s="201">
        <v>1.7256239655501524</v>
      </c>
      <c r="EH10" s="201">
        <v>1.4227742469536484</v>
      </c>
      <c r="EI10" s="201">
        <v>2.8493506935788222</v>
      </c>
      <c r="EJ10" s="201">
        <v>1.2105757931844574</v>
      </c>
      <c r="EK10" s="201">
        <v>1.7398031576306279</v>
      </c>
      <c r="EL10" s="201">
        <v>1.6841536874752223</v>
      </c>
      <c r="EM10" s="201">
        <v>1.644832313307681</v>
      </c>
      <c r="EN10" s="201">
        <v>1.6755504089773332</v>
      </c>
      <c r="EO10" s="201">
        <v>2.092734111671696</v>
      </c>
      <c r="EP10" s="201">
        <v>1.9567429335793924</v>
      </c>
      <c r="EQ10" s="201">
        <v>1.7051103231387699</v>
      </c>
      <c r="ER10" s="201">
        <v>1.4597660002464139</v>
      </c>
      <c r="ES10" s="201">
        <v>1.384608884792605</v>
      </c>
      <c r="ET10" s="204">
        <v>1.5538460706717578</v>
      </c>
      <c r="EU10" s="204">
        <v>1.8377497779135572</v>
      </c>
      <c r="EV10" s="204">
        <v>2.2500614053249124</v>
      </c>
      <c r="EW10" s="204">
        <v>2.1744595780260365</v>
      </c>
      <c r="EX10" s="204">
        <v>1.9368235103921831</v>
      </c>
      <c r="EY10" s="204">
        <v>2.2142745510613047</v>
      </c>
      <c r="EZ10" s="204">
        <v>2.2045930350489833</v>
      </c>
      <c r="FA10" s="204">
        <v>1.9364878852101888</v>
      </c>
      <c r="FB10" s="204">
        <v>2.2427961846881281</v>
      </c>
      <c r="FC10" s="204">
        <v>2.0628833060731617</v>
      </c>
      <c r="FD10" s="204">
        <v>1.7823234277117042</v>
      </c>
      <c r="FE10" s="204">
        <v>1.0220416824200327</v>
      </c>
      <c r="FF10" s="204">
        <v>-1.4434341289960011</v>
      </c>
      <c r="FG10" s="204">
        <v>4.0141765450278992</v>
      </c>
      <c r="FH10" s="204">
        <v>1.3069454307849449</v>
      </c>
      <c r="FI10" s="204">
        <v>1.3435043060948157</v>
      </c>
      <c r="FJ10" s="204">
        <v>1.4744076670167816</v>
      </c>
      <c r="FK10" s="204">
        <v>1.2936289480002618</v>
      </c>
      <c r="FL10" s="204">
        <v>1.3120589256823187</v>
      </c>
      <c r="FM10" s="204">
        <v>1.1549478913484177</v>
      </c>
      <c r="FN10" s="204">
        <v>1.0604563322884202</v>
      </c>
      <c r="FO10" s="204">
        <v>1.0604563322884202</v>
      </c>
      <c r="FP10" s="204">
        <v>-0.29098758695465216</v>
      </c>
    </row>
    <row r="11" spans="2:181" ht="16.399999999999999" customHeight="1" x14ac:dyDescent="0.25">
      <c r="B11" s="199">
        <v>5</v>
      </c>
      <c r="C11" s="1912" t="s">
        <v>124</v>
      </c>
      <c r="D11" s="199">
        <v>5</v>
      </c>
      <c r="E11" s="205">
        <f>'NORTH-2'!$N$533</f>
        <v>-100</v>
      </c>
      <c r="F11" s="1890">
        <v>2.3710263425494031</v>
      </c>
      <c r="G11" s="1890">
        <v>1.0295394924083132</v>
      </c>
      <c r="H11" s="1890">
        <v>1.4647472562058679</v>
      </c>
      <c r="I11" s="1890">
        <v>1.4323539692801339</v>
      </c>
      <c r="J11" s="1890">
        <v>-0.38145065856817872</v>
      </c>
      <c r="K11" s="1890">
        <v>-0.33769527905653496</v>
      </c>
      <c r="L11" s="205">
        <v>0.41758082387699008</v>
      </c>
      <c r="M11" s="205">
        <v>1.3937760526104244</v>
      </c>
      <c r="N11" s="205">
        <v>1.5814151276647499</v>
      </c>
      <c r="O11" s="202">
        <v>1.8668937854759402</v>
      </c>
      <c r="P11" s="202">
        <v>6.6301297006208948</v>
      </c>
      <c r="Q11" s="202">
        <v>1.8992356108869655</v>
      </c>
      <c r="R11" s="202">
        <v>1.2045401302814165</v>
      </c>
      <c r="S11" s="202">
        <v>0.47333598431902829</v>
      </c>
      <c r="T11" s="202">
        <v>1.7117020884971925</v>
      </c>
      <c r="U11" s="202">
        <v>-9.8876868747325958E-2</v>
      </c>
      <c r="V11" s="202">
        <v>0.32211702232061867</v>
      </c>
      <c r="W11" s="202">
        <v>3.1106210520961004</v>
      </c>
      <c r="X11" s="202">
        <v>2.723220622322736</v>
      </c>
      <c r="Y11" s="202">
        <v>3.4192006293029311</v>
      </c>
      <c r="Z11" s="202">
        <v>2.1094650415941891</v>
      </c>
      <c r="AA11" s="202">
        <v>3.7702071813816858</v>
      </c>
      <c r="AB11" s="202">
        <v>0.73870680354436713</v>
      </c>
      <c r="AC11" s="202">
        <v>0.54</v>
      </c>
      <c r="AD11" s="202">
        <v>1.1237517094922311</v>
      </c>
      <c r="AE11" s="202">
        <v>0.83112758004459697</v>
      </c>
      <c r="AF11" s="202">
        <v>0.41568752235510648</v>
      </c>
      <c r="AG11" s="202">
        <v>0.28309649536859394</v>
      </c>
      <c r="AH11" s="202">
        <v>-1.3891104895075195</v>
      </c>
      <c r="AI11" s="202">
        <v>0.54936138582434135</v>
      </c>
      <c r="AJ11" s="202">
        <v>-0.72767302280157797</v>
      </c>
      <c r="AK11" s="202">
        <v>1.8124150100441476</v>
      </c>
      <c r="AL11" s="202">
        <v>0.52492716995645838</v>
      </c>
      <c r="AM11" s="202">
        <v>0.62944677418118578</v>
      </c>
      <c r="AN11" s="202">
        <v>2.2864231870924403</v>
      </c>
      <c r="AO11" s="202">
        <v>1.1222361342455947</v>
      </c>
      <c r="AP11" s="202">
        <v>1.8908642464233523</v>
      </c>
      <c r="AQ11" s="202">
        <v>2.707970343941263</v>
      </c>
      <c r="AR11" s="202">
        <v>-0.45466188826016929</v>
      </c>
      <c r="AS11" s="202">
        <v>0.58819329650323571</v>
      </c>
      <c r="AT11" s="202">
        <v>3.3894460917470211</v>
      </c>
      <c r="AU11" s="202">
        <v>-0.79996387487346154</v>
      </c>
      <c r="AV11" s="202">
        <v>0.24756066380375294</v>
      </c>
      <c r="AW11" s="202"/>
      <c r="AX11" s="202">
        <v>1.3521743867584928</v>
      </c>
      <c r="AY11" s="202">
        <v>1.3174366355191776</v>
      </c>
      <c r="AZ11" s="202">
        <v>1.4686435421009878</v>
      </c>
      <c r="BA11" s="202">
        <v>1.3241920189298251</v>
      </c>
      <c r="BB11" s="202">
        <v>0.78131155634071381</v>
      </c>
      <c r="BC11" s="202">
        <v>0.16009009151713846</v>
      </c>
      <c r="BD11" s="202">
        <v>0.70881795562823369</v>
      </c>
      <c r="BE11" s="202">
        <v>0.54085957992019718</v>
      </c>
      <c r="BF11" s="202">
        <v>-1.1857236281358323</v>
      </c>
      <c r="BG11" s="202">
        <v>2.3114396741697845</v>
      </c>
      <c r="BH11" s="202">
        <v>3.7421172389947001E-2</v>
      </c>
      <c r="BI11" s="202">
        <v>0.62075714565984308</v>
      </c>
      <c r="BJ11" s="202"/>
      <c r="BK11" s="202">
        <v>0.38117543668779902</v>
      </c>
      <c r="BL11" s="202">
        <v>0.20064264380584657</v>
      </c>
      <c r="BM11" s="202">
        <v>7.8134188531465157E-2</v>
      </c>
      <c r="BN11" s="202">
        <v>2.9479708227723824</v>
      </c>
      <c r="BO11" s="202">
        <v>2.6807385244437687</v>
      </c>
      <c r="BP11" s="202">
        <v>2.749946352340249</v>
      </c>
      <c r="BQ11" s="202">
        <v>1.3162170190747953</v>
      </c>
      <c r="BR11" s="202">
        <v>2.0063121773506847</v>
      </c>
      <c r="BS11" s="202">
        <v>1.8910147424817954</v>
      </c>
      <c r="BT11" s="202">
        <v>4.2293409516674885</v>
      </c>
      <c r="BU11" s="201">
        <v>2.7508186602414519</v>
      </c>
      <c r="BV11" s="201">
        <v>2.0261946909558826</v>
      </c>
      <c r="BW11" s="201">
        <v>0.90086704891777414</v>
      </c>
      <c r="BX11" s="201">
        <v>0.16773647944778103</v>
      </c>
      <c r="BY11" s="201">
        <v>0.32786294944330191</v>
      </c>
      <c r="BZ11" s="201">
        <v>0.5903109088598858</v>
      </c>
      <c r="CA11" s="201">
        <v>0.39975089982570677</v>
      </c>
      <c r="CB11" s="201">
        <v>1.2696666173306981</v>
      </c>
      <c r="CC11" s="201">
        <v>0.50547904818887535</v>
      </c>
      <c r="CD11" s="201">
        <v>3.781767776209116</v>
      </c>
      <c r="CE11" s="201">
        <v>0.49999999999998163</v>
      </c>
      <c r="CF11" s="201">
        <v>0.38227409769917953</v>
      </c>
      <c r="CG11" s="201">
        <v>-0.26559399727848337</v>
      </c>
      <c r="CH11" s="201">
        <v>1.3135545746154231</v>
      </c>
      <c r="CI11" s="201">
        <v>0.52201083422289907</v>
      </c>
      <c r="CJ11" s="201">
        <v>5.1789853203330356</v>
      </c>
      <c r="CK11" s="201">
        <v>1.7289888376487803</v>
      </c>
      <c r="CL11" s="201">
        <v>0.49827715671142603</v>
      </c>
      <c r="CM11" s="201">
        <v>1.9205179778420993</v>
      </c>
      <c r="CN11" s="201">
        <v>1.3550667214945769</v>
      </c>
      <c r="CO11" s="201">
        <v>1.5226367764484894</v>
      </c>
      <c r="CP11" s="201">
        <v>2.9727210935172468</v>
      </c>
      <c r="CQ11" s="201">
        <v>1.135801050163556</v>
      </c>
      <c r="CR11" s="201">
        <v>2.5109435967877456</v>
      </c>
      <c r="CS11" s="201">
        <v>-7.3560128299194645</v>
      </c>
      <c r="CT11" s="201">
        <v>1.4726085756461094</v>
      </c>
      <c r="CU11" s="201">
        <v>4.114501487887595</v>
      </c>
      <c r="CV11" s="201">
        <v>-0.55895173725580227</v>
      </c>
      <c r="CW11" s="201">
        <v>2.7544363824553688</v>
      </c>
      <c r="CX11" s="201">
        <v>2.9005055746444457</v>
      </c>
      <c r="CY11" s="201">
        <v>0.35045126212349265</v>
      </c>
      <c r="CZ11" s="201">
        <v>0.40233697186722611</v>
      </c>
      <c r="DA11" s="201">
        <v>-0.60310291933305493</v>
      </c>
      <c r="DB11" s="201">
        <v>0.25035485128262552</v>
      </c>
      <c r="DC11" s="202">
        <v>0.69743456998163722</v>
      </c>
      <c r="DD11" s="202">
        <v>-0.58487503536558072</v>
      </c>
      <c r="DE11" s="202">
        <v>0.86729912265006892</v>
      </c>
      <c r="DF11" s="202">
        <v>0.96864070872833807</v>
      </c>
      <c r="DG11" s="202">
        <v>0.1227435590656813</v>
      </c>
      <c r="DH11" s="202">
        <v>0.9534883157066586</v>
      </c>
      <c r="DI11" s="202">
        <v>1.913863481304914</v>
      </c>
      <c r="DJ11" s="202">
        <v>1.4656891120921918</v>
      </c>
      <c r="DK11" s="202">
        <v>1.3603994307095393</v>
      </c>
      <c r="DL11" s="202">
        <v>1.7172901320835481</v>
      </c>
      <c r="DM11" s="202">
        <v>0.52845698406731478</v>
      </c>
      <c r="DN11" s="202">
        <v>1.2016411482393072</v>
      </c>
      <c r="DO11" s="202">
        <v>0.95088031345720825</v>
      </c>
      <c r="DP11" s="202">
        <v>0.4616108637512808</v>
      </c>
      <c r="DQ11" s="202">
        <v>1.5091493736405419</v>
      </c>
      <c r="DR11" s="202">
        <v>0.7671983885389938</v>
      </c>
      <c r="DS11" s="202">
        <v>1.0939839979422235</v>
      </c>
      <c r="DT11" s="202">
        <v>1.0042810682889827</v>
      </c>
      <c r="DU11" s="202">
        <v>-1.3965244653135539E-2</v>
      </c>
      <c r="DV11" s="202">
        <v>0.47993619883978189</v>
      </c>
      <c r="DW11" s="202">
        <v>0.90059688284081296</v>
      </c>
      <c r="DX11" s="201">
        <v>0.21994174642563027</v>
      </c>
      <c r="DY11" s="201">
        <v>2.1881361657253779</v>
      </c>
      <c r="DZ11" s="201">
        <v>1.4819175878725153</v>
      </c>
      <c r="EA11" s="201">
        <v>0.54696891671898495</v>
      </c>
      <c r="EB11" s="201">
        <v>0.75199022468382049</v>
      </c>
      <c r="EC11" s="201">
        <v>-1.9800098199147884</v>
      </c>
      <c r="ED11" s="201">
        <v>0.83280725746541751</v>
      </c>
      <c r="EE11" s="201">
        <v>-0.46846784643900308</v>
      </c>
      <c r="EF11" s="201">
        <v>2.6686650439438226</v>
      </c>
      <c r="EG11" s="201">
        <v>1.0593029190773158</v>
      </c>
      <c r="EH11" s="201">
        <v>1.1061828537645444</v>
      </c>
      <c r="EI11" s="206">
        <v>1.2916385213153698</v>
      </c>
      <c r="EJ11" s="201">
        <v>0.84155031919827072</v>
      </c>
      <c r="EK11" s="201">
        <v>1.2821266762565824</v>
      </c>
      <c r="EL11" s="201">
        <v>0.76267676196570766</v>
      </c>
      <c r="EM11" s="201">
        <v>1.1387265576935075</v>
      </c>
      <c r="EN11" s="201">
        <v>0.43898942266198748</v>
      </c>
      <c r="EO11" s="201">
        <v>1.6291413541026356</v>
      </c>
      <c r="EP11" s="201">
        <v>1.6818413522438651</v>
      </c>
      <c r="EQ11" s="201">
        <v>1.5496821074623819</v>
      </c>
      <c r="ER11" s="201">
        <v>5.7375944008949853</v>
      </c>
      <c r="ES11" s="201">
        <v>2.5247842164184013</v>
      </c>
      <c r="ET11" s="204">
        <v>38.499607648890347</v>
      </c>
      <c r="EU11" s="204">
        <v>37.587718283174951</v>
      </c>
      <c r="EV11" s="204">
        <v>38.780715797086565</v>
      </c>
      <c r="EW11" s="204">
        <v>36.848165648616515</v>
      </c>
      <c r="EX11" s="204">
        <v>33.885548329534579</v>
      </c>
      <c r="EY11" s="204">
        <v>36.765322735810678</v>
      </c>
      <c r="EZ11" s="204">
        <v>36.631793676934507</v>
      </c>
      <c r="FA11" s="204">
        <v>17.256917502625875</v>
      </c>
      <c r="FB11" s="204">
        <v>25.847556782528159</v>
      </c>
      <c r="FC11" s="204">
        <v>25.546964069990231</v>
      </c>
      <c r="FD11" s="204">
        <v>24.272662342990461</v>
      </c>
      <c r="FE11" s="204">
        <v>23.52531817756492</v>
      </c>
      <c r="FF11" s="204">
        <v>22.718375094012103</v>
      </c>
      <c r="FG11" s="204">
        <v>22.341460372962079</v>
      </c>
      <c r="FH11" s="204">
        <v>22.544710203084083</v>
      </c>
      <c r="FI11" s="204">
        <v>23.839555983051465</v>
      </c>
      <c r="FJ11" s="204">
        <v>22.212001920611669</v>
      </c>
      <c r="FK11" s="204">
        <v>19.096929753982149</v>
      </c>
      <c r="FL11" s="204">
        <v>24.420942425199218</v>
      </c>
      <c r="FM11" s="204">
        <v>20.413475962048867</v>
      </c>
      <c r="FN11" s="204">
        <v>6.809850092275493</v>
      </c>
      <c r="FO11" s="204">
        <v>6.809850092275493</v>
      </c>
      <c r="FP11" s="204">
        <v>-11.993923245308777</v>
      </c>
      <c r="FQ11" s="2206" t="s">
        <v>864</v>
      </c>
      <c r="FR11" s="2207"/>
    </row>
    <row r="12" spans="2:181" ht="16.399999999999999" customHeight="1" x14ac:dyDescent="0.25">
      <c r="B12" s="199">
        <v>6</v>
      </c>
      <c r="C12" s="1912" t="s">
        <v>1364</v>
      </c>
      <c r="D12" s="199">
        <v>6</v>
      </c>
      <c r="E12" s="205">
        <f>'NORTH-2'!$N$201</f>
        <v>-100</v>
      </c>
      <c r="F12" s="1890">
        <v>0.18625733161544883</v>
      </c>
      <c r="G12" s="1890">
        <v>-0.20159891868591884</v>
      </c>
      <c r="H12" s="1890">
        <v>0.64562674412080878</v>
      </c>
      <c r="I12" s="1890">
        <v>-0.63069422606071646</v>
      </c>
      <c r="J12" s="1890">
        <v>2.0124381436095018E-2</v>
      </c>
      <c r="K12" s="1890">
        <v>2.4391608198671739</v>
      </c>
      <c r="L12" s="205">
        <v>-0.36432510663466433</v>
      </c>
      <c r="M12" s="205">
        <v>-0.25694884616897767</v>
      </c>
      <c r="N12" s="205">
        <v>3.5154637643894501E-3</v>
      </c>
      <c r="O12" s="202">
        <v>-0.40812033623185678</v>
      </c>
      <c r="P12" s="202">
        <v>-7.3263317163755559E-2</v>
      </c>
      <c r="Q12" s="202">
        <v>-5.5374870603090286E-2</v>
      </c>
      <c r="R12" s="202">
        <v>-0.11548663599166796</v>
      </c>
      <c r="S12" s="202">
        <v>-0.51853436791455942</v>
      </c>
      <c r="T12" s="202">
        <v>2.6454064107979451E-2</v>
      </c>
      <c r="U12" s="202">
        <v>-9.914001519023205E-2</v>
      </c>
      <c r="V12" s="202">
        <v>-3.425821549997142E-2</v>
      </c>
      <c r="W12" s="202">
        <v>-1.268266208538864E-2</v>
      </c>
      <c r="X12" s="202">
        <v>-0.23980641699763325</v>
      </c>
      <c r="Y12" s="202">
        <v>-0.57746962443016003</v>
      </c>
      <c r="Z12" s="202">
        <v>-0.63644214181915404</v>
      </c>
      <c r="AA12" s="202">
        <v>-0.67239133175508148</v>
      </c>
      <c r="AB12" s="202">
        <v>-0.61329831659128797</v>
      </c>
      <c r="AC12" s="202">
        <v>-0.41</v>
      </c>
      <c r="AD12" s="202">
        <v>-1.4934730408931836</v>
      </c>
      <c r="AE12" s="202">
        <v>-0.55369418652553504</v>
      </c>
      <c r="AF12" s="202">
        <v>0.94228243629582276</v>
      </c>
      <c r="AG12" s="202">
        <v>-6.8488094663871355E-3</v>
      </c>
      <c r="AH12" s="202">
        <v>-1.1227599616789541</v>
      </c>
      <c r="AI12" s="202">
        <v>1.3166689498903101</v>
      </c>
      <c r="AJ12" s="202">
        <v>-0.14265440196955451</v>
      </c>
      <c r="AK12" s="202">
        <v>-1.0038382719482644</v>
      </c>
      <c r="AL12" s="202">
        <v>0.93812213587044413</v>
      </c>
      <c r="AM12" s="202">
        <v>-0.9648959502182981</v>
      </c>
      <c r="AN12" s="202">
        <v>0.94389939315328575</v>
      </c>
      <c r="AO12" s="202">
        <v>-0.91387618003559612</v>
      </c>
      <c r="AP12" s="202">
        <v>0.80059012740257063</v>
      </c>
      <c r="AQ12" s="202">
        <v>-6.5222773239728513E-2</v>
      </c>
      <c r="AR12" s="202">
        <v>-0.19399613147210845</v>
      </c>
      <c r="AS12" s="202">
        <v>0.15000000000000099</v>
      </c>
      <c r="AT12" s="202">
        <v>-0.59721775607666328</v>
      </c>
      <c r="AU12" s="202">
        <v>-0.42383948822815354</v>
      </c>
      <c r="AV12" s="202">
        <v>-0.85530763728028891</v>
      </c>
      <c r="AW12" s="202"/>
      <c r="AX12" s="202">
        <v>0.19999999999999804</v>
      </c>
      <c r="AY12" s="202">
        <v>0.1968779958819204</v>
      </c>
      <c r="AZ12" s="202">
        <v>1.5331090576322171</v>
      </c>
      <c r="BA12" s="202">
        <v>-1.207632819611631</v>
      </c>
      <c r="BB12" s="202">
        <v>-0.2289923987338422</v>
      </c>
      <c r="BC12" s="202">
        <v>2.5861621357724083</v>
      </c>
      <c r="BD12" s="202">
        <v>0.199999999999981</v>
      </c>
      <c r="BE12" s="202">
        <v>-0.21884820529147112</v>
      </c>
      <c r="BF12" s="202">
        <v>-0.7024947642653</v>
      </c>
      <c r="BG12" s="202">
        <v>0.22677968263760517</v>
      </c>
      <c r="BH12" s="202">
        <v>5.7761965633398915E-2</v>
      </c>
      <c r="BI12" s="202">
        <v>1.4455315724192936</v>
      </c>
      <c r="BJ12" s="202"/>
      <c r="BK12" s="202">
        <v>0.11658884792951811</v>
      </c>
      <c r="BL12" s="202">
        <v>9.9120458523795654E-2</v>
      </c>
      <c r="BM12" s="202">
        <v>4.5497274395846804E-2</v>
      </c>
      <c r="BN12" s="202">
        <v>-0.29619051705247024</v>
      </c>
      <c r="BO12" s="202">
        <v>1.16735252101519</v>
      </c>
      <c r="BP12" s="202">
        <v>0.89263794982716238</v>
      </c>
      <c r="BQ12" s="202">
        <v>-1.3688325100813037</v>
      </c>
      <c r="BR12" s="202">
        <v>-0.810872455706245</v>
      </c>
      <c r="BS12" s="202">
        <v>-0.73215651621132405</v>
      </c>
      <c r="BT12" s="202">
        <v>-0.20235741804236862</v>
      </c>
      <c r="BU12" s="201">
        <v>0.6417550675733481</v>
      </c>
      <c r="BV12" s="201">
        <v>-1.4015794804174082</v>
      </c>
      <c r="BW12" s="201">
        <v>-0.66042458900698298</v>
      </c>
      <c r="BX12" s="201">
        <v>-0.74633953737821124</v>
      </c>
      <c r="BY12" s="201">
        <v>-0.39849569691431452</v>
      </c>
      <c r="BZ12" s="201">
        <v>-0.48161174448874439</v>
      </c>
      <c r="CA12" s="201">
        <v>-0.75576956899214542</v>
      </c>
      <c r="CB12" s="201">
        <v>1.2057004364131307</v>
      </c>
      <c r="CC12" s="201">
        <v>-1.2093190729645991</v>
      </c>
      <c r="CD12" s="201">
        <v>-2.5290434201130401</v>
      </c>
      <c r="CE12" s="201">
        <v>1.0941891147019445</v>
      </c>
      <c r="CF12" s="201">
        <v>-0.74484689020690564</v>
      </c>
      <c r="CG12" s="201">
        <v>2.2797033754972524</v>
      </c>
      <c r="CH12" s="201">
        <v>-2.8663760378455225</v>
      </c>
      <c r="CI12" s="201">
        <v>-0.20079226980186576</v>
      </c>
      <c r="CJ12" s="201">
        <v>-0.95061427456282699</v>
      </c>
      <c r="CK12" s="201">
        <v>-0.60023863042431824</v>
      </c>
      <c r="CL12" s="201">
        <v>-0.44253746794032051</v>
      </c>
      <c r="CM12" s="201">
        <v>-0.51512282359583694</v>
      </c>
      <c r="CN12" s="201">
        <v>-0.92471242456249736</v>
      </c>
      <c r="CO12" s="201">
        <v>-0.53619042615744239</v>
      </c>
      <c r="CP12" s="201">
        <v>-0.81373511598732251</v>
      </c>
      <c r="CQ12" s="201">
        <v>6.107303235095142E-2</v>
      </c>
      <c r="CR12" s="201">
        <v>0.11059363211044196</v>
      </c>
      <c r="CS12" s="201">
        <v>-0.61290527573771392</v>
      </c>
      <c r="CT12" s="201">
        <v>5.34801949478026E-3</v>
      </c>
      <c r="CU12" s="201">
        <v>-1.2671288272107388</v>
      </c>
      <c r="CV12" s="201">
        <v>-1.0537027032158051</v>
      </c>
      <c r="CW12" s="201">
        <v>-0.40396152153456744</v>
      </c>
      <c r="CX12" s="201">
        <v>-0.29511157801187488</v>
      </c>
      <c r="CY12" s="201">
        <v>-0.37756809663407059</v>
      </c>
      <c r="CZ12" s="201">
        <v>-0.35512914971564502</v>
      </c>
      <c r="DA12" s="201">
        <v>0.40635376625678626</v>
      </c>
      <c r="DB12" s="201">
        <v>-0.92031581477623337</v>
      </c>
      <c r="DC12" s="202">
        <v>4.8869225413793878</v>
      </c>
      <c r="DD12" s="202">
        <v>-0.60863078689677697</v>
      </c>
      <c r="DE12" s="202">
        <v>0.66613640882879299</v>
      </c>
      <c r="DF12" s="202">
        <v>-0.27213814437026451</v>
      </c>
      <c r="DG12" s="202">
        <v>-0.26355630633035632</v>
      </c>
      <c r="DH12" s="202">
        <v>-0.27425102590581368</v>
      </c>
      <c r="DI12" s="202">
        <v>-0.70235896785290008</v>
      </c>
      <c r="DJ12" s="202">
        <v>-0.33708920928484198</v>
      </c>
      <c r="DK12" s="202">
        <v>0.61875248557497464</v>
      </c>
      <c r="DL12" s="202">
        <v>-0.95863044606698478</v>
      </c>
      <c r="DM12" s="202">
        <v>-0.43369578842209655</v>
      </c>
      <c r="DN12" s="202">
        <v>-0.36921102877552359</v>
      </c>
      <c r="DO12" s="202">
        <v>-0.54308704957526521</v>
      </c>
      <c r="DP12" s="202"/>
      <c r="DQ12" s="202"/>
      <c r="DR12" s="202"/>
      <c r="DS12" s="202"/>
      <c r="DT12" s="202"/>
      <c r="DU12" s="202"/>
      <c r="DV12" s="202"/>
      <c r="DW12" s="202"/>
      <c r="DX12" s="201"/>
      <c r="DY12" s="201"/>
      <c r="DZ12" s="201"/>
      <c r="EA12" s="201"/>
      <c r="EB12" s="201"/>
      <c r="EC12" s="201"/>
      <c r="ED12" s="201"/>
      <c r="EE12" s="201"/>
      <c r="EF12" s="201"/>
      <c r="EG12" s="201"/>
      <c r="EH12" s="201"/>
      <c r="EI12" s="206"/>
      <c r="EJ12" s="201"/>
      <c r="EK12" s="201"/>
      <c r="EL12" s="201"/>
      <c r="EM12" s="201"/>
      <c r="EN12" s="201"/>
      <c r="EO12" s="201"/>
      <c r="EP12" s="201"/>
      <c r="EQ12" s="201"/>
      <c r="ER12" s="201"/>
      <c r="ES12" s="201"/>
      <c r="ET12" s="204"/>
      <c r="EU12" s="204"/>
      <c r="EV12" s="204"/>
      <c r="EW12" s="204"/>
      <c r="EX12" s="204"/>
      <c r="EY12" s="204"/>
      <c r="EZ12" s="204"/>
      <c r="FA12" s="204"/>
      <c r="FB12" s="204"/>
      <c r="FC12" s="204"/>
      <c r="FD12" s="204"/>
      <c r="FE12" s="204"/>
      <c r="FF12" s="204"/>
      <c r="FG12" s="204"/>
      <c r="FH12" s="204"/>
      <c r="FI12" s="204"/>
      <c r="FJ12" s="204"/>
      <c r="FK12" s="204"/>
      <c r="FL12" s="204"/>
      <c r="FM12" s="204"/>
      <c r="FN12" s="204"/>
      <c r="FO12" s="204"/>
      <c r="FP12" s="204"/>
    </row>
    <row r="13" spans="2:181" ht="16.399999999999999" customHeight="1" x14ac:dyDescent="0.3">
      <c r="B13" s="199">
        <v>7</v>
      </c>
      <c r="C13" s="1893" t="s">
        <v>125</v>
      </c>
      <c r="D13" s="199">
        <v>7</v>
      </c>
      <c r="E13" s="1436">
        <f>'NORTH-1'!N83</f>
        <v>6.6914003243320003E-2</v>
      </c>
      <c r="F13" s="1890">
        <v>0.37918744573509838</v>
      </c>
      <c r="G13" s="1890">
        <v>0.22357685125833313</v>
      </c>
      <c r="H13" s="1890">
        <v>0.35663339463612553</v>
      </c>
      <c r="I13" s="1890">
        <v>0.11438561265841982</v>
      </c>
      <c r="J13" s="1890">
        <v>0.11265942066400408</v>
      </c>
      <c r="K13" s="1890">
        <v>0.1298187957984944</v>
      </c>
      <c r="L13" s="205">
        <v>0.28897516075121543</v>
      </c>
      <c r="M13" s="205">
        <v>0.37705848489582788</v>
      </c>
      <c r="N13" s="205">
        <v>0.14840804579015296</v>
      </c>
      <c r="O13" s="202">
        <v>0.15132429439349707</v>
      </c>
      <c r="P13" s="202">
        <v>0.72034273340604882</v>
      </c>
      <c r="Q13" s="202">
        <v>9.122946244217435E-2</v>
      </c>
      <c r="R13" s="202">
        <v>9.16196232357121E-2</v>
      </c>
      <c r="S13" s="202">
        <v>0.13702389214706054</v>
      </c>
      <c r="T13" s="202">
        <v>0.31164519638532839</v>
      </c>
      <c r="U13" s="202">
        <v>0.36070973590084643</v>
      </c>
      <c r="V13" s="202">
        <v>0.12915227285183314</v>
      </c>
      <c r="W13" s="202">
        <v>0.27614374712872169</v>
      </c>
      <c r="X13" s="202">
        <v>0.63818457213699575</v>
      </c>
      <c r="Y13" s="202">
        <v>0.40096727275951227</v>
      </c>
      <c r="Z13" s="202">
        <v>0.73006521820664982</v>
      </c>
      <c r="AA13" s="202">
        <v>2.7581940480063598</v>
      </c>
      <c r="AB13" s="202">
        <v>-0.99999999999998512</v>
      </c>
      <c r="AC13" s="202">
        <v>1.19</v>
      </c>
      <c r="AD13" s="202">
        <v>0.49426439977164033</v>
      </c>
      <c r="AE13" s="202">
        <v>0.31839680815258492</v>
      </c>
      <c r="AF13" s="202">
        <v>0.43252548549272141</v>
      </c>
      <c r="AG13" s="202">
        <v>0.47504729097462017</v>
      </c>
      <c r="AH13" s="202">
        <v>0.61564369418430853</v>
      </c>
      <c r="AI13" s="202">
        <v>-7.9363677834331334E-2</v>
      </c>
      <c r="AJ13" s="202">
        <v>-5.9524931385260001E-2</v>
      </c>
      <c r="AK13" s="202">
        <v>0.75112327891032937</v>
      </c>
      <c r="AL13" s="202">
        <v>0.64268041538254939</v>
      </c>
      <c r="AM13" s="202">
        <v>0.67004217243588193</v>
      </c>
      <c r="AN13" s="202">
        <v>0.58715606666908848</v>
      </c>
      <c r="AO13" s="202">
        <v>0.69525834644870432</v>
      </c>
      <c r="AP13" s="202">
        <v>4.2350802800635627E-2</v>
      </c>
      <c r="AQ13" s="202">
        <v>0.33173022460658136</v>
      </c>
      <c r="AR13" s="202">
        <v>0.21458639447350691</v>
      </c>
      <c r="AS13" s="202">
        <v>0.16995160478604215</v>
      </c>
      <c r="AT13" s="202">
        <v>0.49999999999999256</v>
      </c>
      <c r="AU13" s="202">
        <v>6.1948521498345531E-2</v>
      </c>
      <c r="AV13" s="202">
        <v>4.0369486294857738E-2</v>
      </c>
      <c r="AW13" s="202"/>
      <c r="AX13" s="202">
        <v>6.5100786401345548E-2</v>
      </c>
      <c r="AY13" s="202">
        <v>3.3259870646427339E-2</v>
      </c>
      <c r="AZ13" s="202">
        <v>5.2399246178181411E-2</v>
      </c>
      <c r="BA13" s="202">
        <v>0.41449516337513204</v>
      </c>
      <c r="BB13" s="202">
        <v>-0.33625862072222545</v>
      </c>
      <c r="BC13" s="202">
        <v>-9.4547746612039074E-2</v>
      </c>
      <c r="BD13" s="202">
        <v>0.18590138580090063</v>
      </c>
      <c r="BE13" s="202">
        <v>0.24094221787431372</v>
      </c>
      <c r="BF13" s="202">
        <v>0.39090049842894165</v>
      </c>
      <c r="BG13" s="202">
        <v>0.207458500410759</v>
      </c>
      <c r="BH13" s="202">
        <v>0.49202725348779752</v>
      </c>
      <c r="BI13" s="202">
        <v>5.949515117447321E-2</v>
      </c>
      <c r="BJ13" s="202"/>
      <c r="BK13" s="202">
        <v>-1.9475780525640078</v>
      </c>
      <c r="BL13" s="202">
        <v>0.50125108871975699</v>
      </c>
      <c r="BM13" s="202">
        <v>3.0260338354050585E-2</v>
      </c>
      <c r="BN13" s="202">
        <v>0.18657992165595147</v>
      </c>
      <c r="BO13" s="202">
        <v>0.70127250538693564</v>
      </c>
      <c r="BP13" s="202">
        <v>0.11191229723812607</v>
      </c>
      <c r="BQ13" s="202">
        <v>-7.5729148899858018E-2</v>
      </c>
      <c r="BR13" s="202">
        <v>1.1907683717024843E-2</v>
      </c>
      <c r="BS13" s="202">
        <v>3.4029006212402874E-2</v>
      </c>
      <c r="BT13" s="202">
        <v>0.13620549191094822</v>
      </c>
      <c r="BU13" s="201">
        <v>-0.22198791718928476</v>
      </c>
      <c r="BV13" s="201">
        <v>0.8352040170004692</v>
      </c>
      <c r="BW13" s="201">
        <v>0.28249785934798655</v>
      </c>
      <c r="BX13" s="201">
        <v>0.57255204569415707</v>
      </c>
      <c r="BY13" s="201">
        <v>0.48502490503862628</v>
      </c>
      <c r="BZ13" s="201">
        <v>0.32781532320650159</v>
      </c>
      <c r="CA13" s="201">
        <v>7.2649770286781845E-3</v>
      </c>
      <c r="CB13" s="201">
        <v>0</v>
      </c>
      <c r="CC13" s="201">
        <v>0.20000000000000928</v>
      </c>
      <c r="CD13" s="201">
        <v>0.4963513537337691</v>
      </c>
      <c r="CE13" s="201">
        <v>-0.26902930088580934</v>
      </c>
      <c r="CF13" s="201">
        <v>2.5793653092101403E-2</v>
      </c>
      <c r="CG13" s="201">
        <v>-0.41738148751589382</v>
      </c>
      <c r="CH13" s="201">
        <v>5.4326621123644343E-2</v>
      </c>
      <c r="CI13" s="201">
        <v>0.18190255368040678</v>
      </c>
      <c r="CJ13" s="201">
        <v>5.3230179268529673E-2</v>
      </c>
      <c r="CK13" s="201">
        <v>0</v>
      </c>
      <c r="CL13" s="201">
        <v>0</v>
      </c>
      <c r="CM13" s="201">
        <v>0.38144814743696864</v>
      </c>
      <c r="CN13" s="201">
        <v>0</v>
      </c>
      <c r="CO13" s="201">
        <v>0</v>
      </c>
      <c r="CP13" s="201">
        <v>0</v>
      </c>
      <c r="CQ13" s="201">
        <v>0</v>
      </c>
      <c r="CR13" s="201">
        <v>0</v>
      </c>
      <c r="CS13" s="201">
        <v>0</v>
      </c>
      <c r="CT13" s="201">
        <v>0.95183692731956193</v>
      </c>
      <c r="CU13" s="201">
        <v>2.501724962797478</v>
      </c>
      <c r="CV13" s="201">
        <v>-0.91949702116523624</v>
      </c>
      <c r="CW13" s="201">
        <v>0.31300621108154542</v>
      </c>
      <c r="CX13" s="201">
        <v>0.63713597275816958</v>
      </c>
      <c r="CY13" s="201">
        <v>0.56428062023328474</v>
      </c>
      <c r="CZ13" s="201">
        <v>0</v>
      </c>
      <c r="DA13" s="201">
        <v>0</v>
      </c>
      <c r="DB13" s="201">
        <v>-1.2155712185161996E-14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-0.10233494717539157</v>
      </c>
      <c r="DN13" s="202">
        <v>0</v>
      </c>
      <c r="DO13" s="202">
        <v>-1.2287761274941068E-14</v>
      </c>
      <c r="DP13" s="202">
        <v>1.4549690717059588E-14</v>
      </c>
      <c r="DQ13" s="202">
        <v>0</v>
      </c>
      <c r="DR13" s="202">
        <v>-0.76205041499206538</v>
      </c>
      <c r="DS13" s="202">
        <v>-5.9040826506895218E-2</v>
      </c>
      <c r="DT13" s="202">
        <v>0.19345026747420302</v>
      </c>
      <c r="DU13" s="202">
        <v>-9.1278209025864795E-3</v>
      </c>
      <c r="DV13" s="202">
        <v>-0.3242839917683929</v>
      </c>
      <c r="DW13" s="202">
        <v>-0.28667937878609595</v>
      </c>
      <c r="DX13" s="202">
        <v>-0.67264605191382576</v>
      </c>
      <c r="DY13" s="206">
        <v>0.61437496150524173</v>
      </c>
      <c r="DZ13" s="206">
        <v>-0.30310112373920794</v>
      </c>
      <c r="EA13" s="206">
        <v>0.45193911209406995</v>
      </c>
      <c r="EB13" s="206">
        <v>-0.11408397067448706</v>
      </c>
      <c r="EC13" s="206">
        <v>0.21373608524195581</v>
      </c>
      <c r="ED13" s="206">
        <v>-0.57977727743837826</v>
      </c>
      <c r="EE13" s="206">
        <v>-0.3093880106803148</v>
      </c>
      <c r="EF13" s="206">
        <v>0.59966559184480894</v>
      </c>
      <c r="EG13" s="206">
        <v>0.22555076998292717</v>
      </c>
      <c r="EH13" s="206">
        <v>-0.55132127341060855</v>
      </c>
      <c r="EI13" s="206">
        <v>-1.850279539898813</v>
      </c>
      <c r="EJ13" s="201">
        <v>0.5981688708037759</v>
      </c>
      <c r="EK13" s="201">
        <v>-0.15146328878694912</v>
      </c>
      <c r="EL13" s="201">
        <v>-0.17164540983227991</v>
      </c>
      <c r="EM13" s="201">
        <v>-0.17615645296673155</v>
      </c>
      <c r="EN13" s="201">
        <v>-0.26092168083655637</v>
      </c>
      <c r="EO13" s="201">
        <v>-0.33653896980319425</v>
      </c>
      <c r="EP13" s="201">
        <v>-0.38749188078512076</v>
      </c>
      <c r="EQ13" s="201">
        <v>-0.67994233884862632</v>
      </c>
      <c r="ER13" s="201">
        <v>-0.13427907931973615</v>
      </c>
      <c r="ES13" s="201">
        <v>-0.79061503011755319</v>
      </c>
      <c r="ET13" s="204">
        <v>-0.36829793390268206</v>
      </c>
      <c r="EU13" s="204">
        <v>-0.39809159747547368</v>
      </c>
      <c r="EV13" s="204">
        <v>-9.1221640477025814E-2</v>
      </c>
      <c r="EW13" s="204">
        <v>-0.2342006298344895</v>
      </c>
      <c r="EX13" s="204">
        <v>-0.43599441551833495</v>
      </c>
      <c r="EY13" s="204">
        <v>-0.40573151751574688</v>
      </c>
      <c r="EZ13" s="204">
        <v>-0.48482221503542344</v>
      </c>
      <c r="FA13" s="204">
        <v>-0.52386019481039536</v>
      </c>
      <c r="FB13" s="204">
        <v>-0.35837822950241183</v>
      </c>
      <c r="FC13" s="204">
        <v>-9.5440587842917729E-2</v>
      </c>
      <c r="FD13" s="204">
        <v>-0.2567898250810009</v>
      </c>
      <c r="FE13" s="204">
        <v>-0.15020973511929747</v>
      </c>
      <c r="FF13" s="204">
        <v>-0.15278311383483054</v>
      </c>
      <c r="FG13" s="204">
        <v>-0.25202767722134123</v>
      </c>
      <c r="FH13" s="204">
        <v>-0.18326827664303297</v>
      </c>
      <c r="FI13" s="204"/>
      <c r="FJ13" s="204">
        <v>0</v>
      </c>
      <c r="FK13" s="204">
        <v>0</v>
      </c>
      <c r="FL13" s="204">
        <v>0</v>
      </c>
      <c r="FM13" s="204">
        <v>0</v>
      </c>
      <c r="FN13" s="204">
        <v>0.97410942998194128</v>
      </c>
      <c r="FO13" s="204">
        <v>0.97410942998194128</v>
      </c>
      <c r="FP13" s="204">
        <v>0.12684989429184224</v>
      </c>
    </row>
    <row r="14" spans="2:181" ht="16.399999999999999" customHeight="1" x14ac:dyDescent="0.25">
      <c r="B14" s="199">
        <v>8</v>
      </c>
      <c r="C14" s="1912" t="s">
        <v>126</v>
      </c>
      <c r="D14" s="199">
        <v>8</v>
      </c>
      <c r="E14" s="205">
        <f>'NORTH-1'!N125</f>
        <v>0.35776719274796664</v>
      </c>
      <c r="F14" s="1890">
        <v>0.72100532991335253</v>
      </c>
      <c r="G14" s="1890">
        <v>0.51488539495749708</v>
      </c>
      <c r="H14" s="1890">
        <v>0.38526712687872472</v>
      </c>
      <c r="I14" s="1890">
        <v>0.44408965062797262</v>
      </c>
      <c r="J14" s="1890">
        <v>0.31174829105896051</v>
      </c>
      <c r="K14" s="1890">
        <v>0.46479002973208772</v>
      </c>
      <c r="L14" s="205">
        <v>0.41884963846439771</v>
      </c>
      <c r="M14" s="205">
        <v>0.63711096119453159</v>
      </c>
      <c r="N14" s="205">
        <v>0.71681567696299564</v>
      </c>
      <c r="O14" s="202">
        <v>1.6614717690196654</v>
      </c>
      <c r="P14" s="202">
        <v>-0.26104602923103265</v>
      </c>
      <c r="Q14" s="202">
        <v>5.7382048398014661E-2</v>
      </c>
      <c r="R14" s="202">
        <v>9.7945634330125778E-2</v>
      </c>
      <c r="S14" s="202">
        <v>0.38831902519430445</v>
      </c>
      <c r="T14" s="202">
        <v>0.42277032403924725</v>
      </c>
      <c r="U14" s="202">
        <v>0.54346731775241452</v>
      </c>
      <c r="V14" s="202">
        <v>0.23439411478939348</v>
      </c>
      <c r="W14" s="202">
        <v>0.35100969368671542</v>
      </c>
      <c r="X14" s="202">
        <v>0.7765593680364794</v>
      </c>
      <c r="Y14" s="202">
        <v>0.57507250503646434</v>
      </c>
      <c r="Z14" s="202">
        <v>0.87717379878063284</v>
      </c>
      <c r="AA14" s="202">
        <v>0.38758107294476962</v>
      </c>
      <c r="AB14" s="202">
        <v>1.4122880782721166</v>
      </c>
      <c r="AC14" s="202">
        <v>0.98</v>
      </c>
      <c r="AD14" s="202">
        <v>0.92901785155717254</v>
      </c>
      <c r="AE14" s="202">
        <v>0.31482797886549996</v>
      </c>
      <c r="AF14" s="202">
        <v>0.90434471948573047</v>
      </c>
      <c r="AG14" s="202">
        <v>0.66139409835248497</v>
      </c>
      <c r="AH14" s="202">
        <v>0.80200526279274931</v>
      </c>
      <c r="AI14" s="202">
        <v>-4.7779930984413452E-2</v>
      </c>
      <c r="AJ14" s="202">
        <v>9.1552114182130009E-2</v>
      </c>
      <c r="AK14" s="202">
        <v>1.0058582118415171</v>
      </c>
      <c r="AL14" s="202">
        <v>0.87948108699408734</v>
      </c>
      <c r="AM14" s="202">
        <v>0.67564847753129997</v>
      </c>
      <c r="AN14" s="202">
        <v>-6.1609861034325961E-2</v>
      </c>
      <c r="AO14" s="202">
        <v>2.139509941770144</v>
      </c>
      <c r="AP14" s="202">
        <v>0.2485561345367821</v>
      </c>
      <c r="AQ14" s="202">
        <v>0.94246610618254689</v>
      </c>
      <c r="AR14" s="202">
        <v>3.3925505024688065</v>
      </c>
      <c r="AS14" s="202">
        <v>0.84999999999997855</v>
      </c>
      <c r="AT14" s="202">
        <v>0.57658849411211055</v>
      </c>
      <c r="AU14" s="202">
        <v>0.75000000000000167</v>
      </c>
      <c r="AV14" s="202">
        <v>0.749999999999996</v>
      </c>
      <c r="AW14" s="202"/>
      <c r="AX14" s="202">
        <v>0.29999999999997162</v>
      </c>
      <c r="AY14" s="202">
        <v>0.23263151591121092</v>
      </c>
      <c r="AZ14" s="202">
        <v>-1.0335996385412756E-2</v>
      </c>
      <c r="BA14" s="202">
        <v>1.6939025208246097</v>
      </c>
      <c r="BB14" s="202">
        <v>8.4260882591696049E-2</v>
      </c>
      <c r="BC14" s="202">
        <v>0.17084820983166207</v>
      </c>
      <c r="BD14" s="202">
        <v>0.49829545398346869</v>
      </c>
      <c r="BE14" s="202">
        <v>0.51518560746988984</v>
      </c>
      <c r="BF14" s="202">
        <v>2.5884702360407724E-2</v>
      </c>
      <c r="BG14" s="202">
        <v>0.98071995892060093</v>
      </c>
      <c r="BH14" s="202">
        <v>0.73561621918389208</v>
      </c>
      <c r="BI14" s="202">
        <v>4.2066779499934839</v>
      </c>
      <c r="BJ14" s="202"/>
      <c r="BK14" s="202">
        <v>1.5144635180040376</v>
      </c>
      <c r="BL14" s="202">
        <v>0.24833534210871108</v>
      </c>
      <c r="BM14" s="202">
        <v>0.16609821834168007</v>
      </c>
      <c r="BN14" s="202">
        <v>0.76438099858591513</v>
      </c>
      <c r="BO14" s="202">
        <v>0.93688311381046052</v>
      </c>
      <c r="BP14" s="202">
        <v>0.28810440995257075</v>
      </c>
      <c r="BQ14" s="202">
        <v>0.10438000392688292</v>
      </c>
      <c r="BR14" s="202">
        <v>-1.8615979211218165</v>
      </c>
      <c r="BS14" s="202">
        <v>-0.22774260264043764</v>
      </c>
      <c r="BT14" s="202">
        <v>1.5291838584356348</v>
      </c>
      <c r="BU14" s="202">
        <v>0.91473768850342008</v>
      </c>
      <c r="BV14" s="202">
        <v>2.3154996323708623</v>
      </c>
      <c r="BW14" s="202">
        <v>1.6389698218392337</v>
      </c>
      <c r="BX14" s="202">
        <v>0.54705912988196936</v>
      </c>
      <c r="BY14" s="202">
        <v>2.4869956919699772</v>
      </c>
      <c r="BZ14" s="202">
        <v>0.57893465327722238</v>
      </c>
      <c r="CA14" s="202">
        <v>0.69099124798895362</v>
      </c>
      <c r="CB14" s="202">
        <v>-0.67647311177888214</v>
      </c>
      <c r="CC14" s="202">
        <v>-0.3802892366404359</v>
      </c>
      <c r="CD14" s="202">
        <v>0.57219283279119637</v>
      </c>
      <c r="CE14" s="202">
        <v>0.56489639150147553</v>
      </c>
      <c r="CF14" s="202">
        <v>-0.3306269671125413</v>
      </c>
      <c r="CG14" s="209">
        <v>4.7739622375039854</v>
      </c>
      <c r="CH14" s="201">
        <v>-1.6687096017966201</v>
      </c>
      <c r="CI14" s="201">
        <v>0</v>
      </c>
      <c r="CJ14" s="201">
        <v>0.16285785516285797</v>
      </c>
      <c r="CK14" s="201">
        <v>-0.32776300853778101</v>
      </c>
      <c r="CL14" s="201">
        <v>0.3034200325186765</v>
      </c>
      <c r="CM14" s="201">
        <v>1.6289911415848017</v>
      </c>
      <c r="CN14" s="201">
        <v>1.4174985518806611</v>
      </c>
      <c r="CO14" s="201">
        <v>1.5814964340103512</v>
      </c>
      <c r="CP14" s="201">
        <v>1.7705809055787405</v>
      </c>
      <c r="CQ14" s="201">
        <v>1.5895500214499092</v>
      </c>
      <c r="CR14" s="201">
        <v>0.24999999999999611</v>
      </c>
      <c r="CS14" s="201">
        <v>1.198673650185252</v>
      </c>
      <c r="CT14" s="201">
        <v>1.5529740356960082</v>
      </c>
      <c r="CU14" s="201">
        <v>3.3446939170391725</v>
      </c>
      <c r="CV14" s="201">
        <v>-0.88972958893660281</v>
      </c>
      <c r="CW14" s="201">
        <v>0.51602583100266952</v>
      </c>
      <c r="CX14" s="201">
        <v>0.93758035500021686</v>
      </c>
      <c r="CY14" s="201">
        <v>1.0014232592046</v>
      </c>
      <c r="CZ14" s="201">
        <v>-0.66352405387875479</v>
      </c>
      <c r="DA14" s="201">
        <v>-3.2027728886463027</v>
      </c>
      <c r="DB14" s="201">
        <v>-2.6936247423037876</v>
      </c>
      <c r="DC14" s="202">
        <v>1.1758101015576186</v>
      </c>
      <c r="DD14" s="202">
        <v>-0.26249476255201515</v>
      </c>
      <c r="DE14" s="202">
        <v>0.42731948373437656</v>
      </c>
      <c r="DF14" s="202">
        <v>0.33145174152378709</v>
      </c>
      <c r="DG14" s="202">
        <v>0.37718219924310209</v>
      </c>
      <c r="DH14" s="202">
        <v>0.34358210851602911</v>
      </c>
      <c r="DI14" s="202">
        <v>3.950800470342724</v>
      </c>
      <c r="DJ14" s="202">
        <v>0.27280263989264986</v>
      </c>
      <c r="DK14" s="202">
        <v>0.39539363884558421</v>
      </c>
      <c r="DL14" s="202">
        <v>0.60446792461530863</v>
      </c>
      <c r="DM14" s="202">
        <v>0.21773895451290859</v>
      </c>
      <c r="DN14" s="202">
        <v>0.74537902543220136</v>
      </c>
      <c r="DO14" s="208">
        <v>0.11895073801129016</v>
      </c>
      <c r="DP14" s="202">
        <v>0.27141306427856421</v>
      </c>
      <c r="DQ14" s="202">
        <v>0.28488214902134756</v>
      </c>
      <c r="DR14" s="202">
        <v>2.718564675717158E-2</v>
      </c>
      <c r="DS14" s="202">
        <v>1.2007299281779162</v>
      </c>
      <c r="DT14" s="202">
        <v>0.81009664501999423</v>
      </c>
      <c r="DU14" s="202">
        <v>0.39231493848344934</v>
      </c>
      <c r="DV14" s="202">
        <v>0.23547243907635373</v>
      </c>
      <c r="DW14" s="202">
        <v>0.25820908952543786</v>
      </c>
      <c r="DX14" s="202">
        <v>-0.34952159386207604</v>
      </c>
      <c r="DY14" s="206">
        <v>-0.98351008933260231</v>
      </c>
      <c r="DZ14" s="206">
        <v>-0.31802624998027468</v>
      </c>
      <c r="EA14" s="206">
        <v>0.98437700320181587</v>
      </c>
      <c r="EB14" s="206">
        <v>0.17297308655384125</v>
      </c>
      <c r="EC14" s="206">
        <v>0.76710456334058463</v>
      </c>
      <c r="ED14" s="206">
        <v>-0.23360846332368454</v>
      </c>
      <c r="EE14" s="206">
        <v>-6.1060398283166693E-3</v>
      </c>
      <c r="EF14" s="206">
        <v>0.52240206806628708</v>
      </c>
      <c r="EG14" s="206">
        <v>0.64785204870600421</v>
      </c>
      <c r="EH14" s="206">
        <v>-0.15489874755563157</v>
      </c>
      <c r="EI14" s="206">
        <v>-0.71305296642440774</v>
      </c>
      <c r="EJ14" s="201">
        <v>0.81667688168266872</v>
      </c>
      <c r="EK14" s="201">
        <v>0.45808093654371568</v>
      </c>
      <c r="EL14" s="201">
        <v>0.17382216878845552</v>
      </c>
      <c r="EM14" s="201">
        <v>0.92282912112277726</v>
      </c>
      <c r="EN14" s="201">
        <v>7.3605316847219326E-2</v>
      </c>
      <c r="EO14" s="201">
        <v>0.16728988065653344</v>
      </c>
      <c r="EP14" s="201">
        <v>0.27936417504193251</v>
      </c>
      <c r="EQ14" s="201">
        <v>1.4776619164872429</v>
      </c>
      <c r="ER14" s="201">
        <v>0.51793723949244497</v>
      </c>
      <c r="ES14" s="201">
        <v>0.66670677527594469</v>
      </c>
      <c r="ET14" s="204">
        <v>1.617717804857562</v>
      </c>
      <c r="EU14" s="204">
        <v>2.1130249863812818</v>
      </c>
      <c r="EV14" s="204">
        <v>2.6943083646747312</v>
      </c>
      <c r="EW14" s="204">
        <v>1.7865493432314541</v>
      </c>
      <c r="EX14" s="204">
        <v>1.9813981635118105</v>
      </c>
      <c r="EY14" s="204">
        <v>2.3262728323264033</v>
      </c>
      <c r="EZ14" s="204">
        <v>1.9321523675378729</v>
      </c>
      <c r="FA14" s="204">
        <v>2.0867351673561916</v>
      </c>
      <c r="FB14" s="204">
        <v>2.2252730956599809</v>
      </c>
      <c r="FC14" s="204">
        <v>2.5182141340404876</v>
      </c>
      <c r="FD14" s="204">
        <v>1.6263269812221406</v>
      </c>
      <c r="FE14" s="204">
        <v>1.9845448607628793</v>
      </c>
      <c r="FF14" s="204">
        <v>2.4023286640203469</v>
      </c>
      <c r="FG14" s="204">
        <v>2.1791896157656012</v>
      </c>
      <c r="FH14" s="204">
        <v>1.9582938456968717</v>
      </c>
      <c r="FI14" s="204">
        <v>2.5500356970240308</v>
      </c>
      <c r="FJ14" s="204">
        <v>2.5506478274732047</v>
      </c>
      <c r="FK14" s="204">
        <v>2.5671019372120352</v>
      </c>
      <c r="FL14" s="204">
        <v>2.7050052197748915</v>
      </c>
      <c r="FM14" s="204">
        <v>1.8485008074649736</v>
      </c>
      <c r="FN14" s="204">
        <v>0.79850266205917808</v>
      </c>
      <c r="FO14" s="204">
        <v>0.79850266205917808</v>
      </c>
      <c r="FP14" s="204">
        <v>2.0176999964064404</v>
      </c>
    </row>
    <row r="15" spans="2:181" ht="16.399999999999999" customHeight="1" x14ac:dyDescent="0.25">
      <c r="B15" s="199">
        <v>9</v>
      </c>
      <c r="C15" s="1912" t="s">
        <v>127</v>
      </c>
      <c r="D15" s="199">
        <v>9</v>
      </c>
      <c r="E15" s="205">
        <f>'NORTH-1'!N201</f>
        <v>81.528214053834475</v>
      </c>
      <c r="F15" s="1890">
        <v>2.2653610906759316</v>
      </c>
      <c r="G15" s="1890">
        <v>0.73704339143688302</v>
      </c>
      <c r="H15" s="1890">
        <v>0.80285754959638578</v>
      </c>
      <c r="I15" s="1890">
        <v>0.5205934550355541</v>
      </c>
      <c r="J15" s="1890">
        <v>0.97364902163015554</v>
      </c>
      <c r="K15" s="1890">
        <v>1.4463055987403735</v>
      </c>
      <c r="L15" s="205">
        <v>0.44376660938919477</v>
      </c>
      <c r="M15" s="205">
        <v>0.98201058843979294</v>
      </c>
      <c r="N15" s="205">
        <v>0.95606026781010178</v>
      </c>
      <c r="O15" s="202">
        <v>0.7528711454343745</v>
      </c>
      <c r="P15" s="202">
        <v>0.30446412679809604</v>
      </c>
      <c r="Q15" s="202">
        <v>0.67166283119065417</v>
      </c>
      <c r="R15" s="202">
        <v>0.83746021954758632</v>
      </c>
      <c r="S15" s="202">
        <v>1.283592354542163</v>
      </c>
      <c r="T15" s="202">
        <v>2.1037706995450471</v>
      </c>
      <c r="U15" s="202">
        <v>1.4218492897003592</v>
      </c>
      <c r="V15" s="202">
        <v>0.27409238825657128</v>
      </c>
      <c r="W15" s="202">
        <v>1.2667455653861133</v>
      </c>
      <c r="X15" s="202">
        <v>0.21090384986190955</v>
      </c>
      <c r="Y15" s="202">
        <v>1.5741273116909922</v>
      </c>
      <c r="Z15" s="202">
        <v>2.4679981397894641</v>
      </c>
      <c r="AA15" s="202">
        <v>0.94650922662032533</v>
      </c>
      <c r="AB15" s="202">
        <v>0.39175589298850799</v>
      </c>
      <c r="AC15" s="202">
        <v>1.62</v>
      </c>
      <c r="AD15" s="202">
        <v>1.8289082337983209</v>
      </c>
      <c r="AE15" s="202">
        <v>0.27671960462393641</v>
      </c>
      <c r="AF15" s="202">
        <v>1.8561027406889787</v>
      </c>
      <c r="AG15" s="202">
        <v>0.89663271082741169</v>
      </c>
      <c r="AH15" s="202">
        <v>2.3428648686752047</v>
      </c>
      <c r="AI15" s="202">
        <v>0.8339948223864867</v>
      </c>
      <c r="AJ15" s="202">
        <v>1.0579077018548435</v>
      </c>
      <c r="AK15" s="202">
        <v>1.0123562879449919</v>
      </c>
      <c r="AL15" s="202">
        <v>2.1064736319617605</v>
      </c>
      <c r="AM15" s="202">
        <v>2.2747690493513084</v>
      </c>
      <c r="AN15" s="202">
        <v>1.8313072973044013</v>
      </c>
      <c r="AO15" s="202">
        <v>1.913765268092172</v>
      </c>
      <c r="AP15" s="202">
        <v>1.6569136931806572</v>
      </c>
      <c r="AQ15" s="202">
        <v>2.4961939159953541</v>
      </c>
      <c r="AR15" s="202">
        <v>1.3218879172713573</v>
      </c>
      <c r="AS15" s="202">
        <v>0.63115911928905233</v>
      </c>
      <c r="AT15" s="202">
        <v>3.433445186977909</v>
      </c>
      <c r="AU15" s="202">
        <v>2.4119169644595058</v>
      </c>
      <c r="AV15" s="202">
        <v>2.8632767060835471</v>
      </c>
      <c r="AW15" s="202"/>
      <c r="AX15" s="202">
        <v>3.5398222374532802</v>
      </c>
      <c r="AY15" s="202">
        <v>2.4231255074228888</v>
      </c>
      <c r="AZ15" s="202">
        <v>4.7743054636607587</v>
      </c>
      <c r="BA15" s="202">
        <v>2.7177579459132426</v>
      </c>
      <c r="BB15" s="202">
        <v>1.7780861257387401</v>
      </c>
      <c r="BC15" s="202">
        <v>0.5112337071279065</v>
      </c>
      <c r="BD15" s="202">
        <v>2.0306482029375514</v>
      </c>
      <c r="BE15" s="202">
        <v>1.0536266697383596</v>
      </c>
      <c r="BF15" s="202">
        <v>0.98483154634180958</v>
      </c>
      <c r="BG15" s="202">
        <v>0.305318349606789</v>
      </c>
      <c r="BH15" s="202">
        <v>0.21719925788038055</v>
      </c>
      <c r="BI15" s="202">
        <v>2.3126515478942467</v>
      </c>
      <c r="BJ15" s="202"/>
      <c r="BK15" s="202">
        <v>1.3691414653762315</v>
      </c>
      <c r="BL15" s="202">
        <v>1.9547474581834237</v>
      </c>
      <c r="BM15" s="202">
        <v>1.5021838294932206</v>
      </c>
      <c r="BN15" s="202">
        <v>0.72814249137958131</v>
      </c>
      <c r="BO15" s="202">
        <v>2.8229108315278579</v>
      </c>
      <c r="BP15" s="202">
        <v>2.1674156333143748</v>
      </c>
      <c r="BQ15" s="202">
        <v>2.3779123929101069</v>
      </c>
      <c r="BR15" s="202">
        <v>1.4086100511296544</v>
      </c>
      <c r="BS15" s="202">
        <v>2.7565237188951164</v>
      </c>
      <c r="BT15" s="202">
        <v>1.7174187223011308</v>
      </c>
      <c r="BU15" s="202">
        <v>1.7393803584863401</v>
      </c>
      <c r="BV15" s="202">
        <v>2.3656964643313265</v>
      </c>
      <c r="BW15" s="202">
        <v>2.2383229922078618</v>
      </c>
      <c r="BX15" s="202">
        <v>7.4134508187010217</v>
      </c>
      <c r="BY15" s="202">
        <v>1.0488516017132596</v>
      </c>
      <c r="BZ15" s="202">
        <v>-5.6190088085039822E-2</v>
      </c>
      <c r="CA15" s="202">
        <v>1.4000386485574765</v>
      </c>
      <c r="CB15" s="202">
        <v>2.738808313895559</v>
      </c>
      <c r="CC15" s="202">
        <v>2.708600248093421</v>
      </c>
      <c r="CD15" s="202">
        <v>2.2789497285646267</v>
      </c>
      <c r="CE15" s="202">
        <v>2.3899461710052199</v>
      </c>
      <c r="CF15" s="202">
        <v>0.65729092698433622</v>
      </c>
      <c r="CG15" s="201">
        <v>2.505111270336152</v>
      </c>
      <c r="CH15" s="201">
        <v>2.2407244749144986</v>
      </c>
      <c r="CI15" s="201">
        <v>2.0000000000000036</v>
      </c>
      <c r="CJ15" s="201">
        <v>-0.11035471808936378</v>
      </c>
      <c r="CK15" s="201">
        <v>0.2147853774259888</v>
      </c>
      <c r="CL15" s="201">
        <v>3.7392664137303107</v>
      </c>
      <c r="CM15" s="208">
        <v>4.0107134020592543</v>
      </c>
      <c r="CN15" s="201">
        <v>2.6826868180848624</v>
      </c>
      <c r="CO15" s="201">
        <v>3.573716409602159</v>
      </c>
      <c r="CP15" s="201">
        <v>0.29734474908317177</v>
      </c>
      <c r="CQ15" s="201">
        <v>4.9188320476341287</v>
      </c>
      <c r="CR15" s="203">
        <v>0.4999999999999567</v>
      </c>
      <c r="CS15" s="203">
        <v>2.8483888853642538</v>
      </c>
      <c r="CT15" s="203">
        <v>4.2067612317800576</v>
      </c>
      <c r="CU15" s="203">
        <v>3.8187072752770836</v>
      </c>
      <c r="CV15" s="203">
        <v>1.443146019586242</v>
      </c>
      <c r="CW15" s="203">
        <v>4.6410434618735348</v>
      </c>
      <c r="CX15" s="203">
        <v>0</v>
      </c>
      <c r="CY15" s="203">
        <v>4.5919190231663558</v>
      </c>
      <c r="CZ15" s="201">
        <v>0.88125637657905553</v>
      </c>
      <c r="DA15" s="201">
        <v>1.4309811018097094</v>
      </c>
      <c r="DB15" s="201">
        <v>2.2908413556859744</v>
      </c>
      <c r="DC15" s="202">
        <v>2.2578391803687494</v>
      </c>
      <c r="DD15" s="202">
        <v>2.7884025367244396</v>
      </c>
      <c r="DE15" s="202">
        <v>2.8910809014338583</v>
      </c>
      <c r="DF15" s="202">
        <v>4.2526141053975612</v>
      </c>
      <c r="DG15" s="202">
        <v>1.7916085752654169</v>
      </c>
      <c r="DH15" s="202">
        <v>3.0529698347310412</v>
      </c>
      <c r="DI15" s="202">
        <v>3.6916111344720357</v>
      </c>
      <c r="DJ15" s="202">
        <v>4.8276138855454711</v>
      </c>
      <c r="DK15" s="202">
        <v>3.8848501957244839</v>
      </c>
      <c r="DL15" s="208">
        <v>3.2978129451835621</v>
      </c>
      <c r="DM15" s="208">
        <v>5.0728206599248944</v>
      </c>
      <c r="DN15" s="208">
        <v>4.9488137507840007</v>
      </c>
      <c r="DO15" s="208">
        <v>2.6857761041142245</v>
      </c>
      <c r="DP15" s="202">
        <v>3.2280649845606848</v>
      </c>
      <c r="DQ15" s="202">
        <v>2.960424607387675</v>
      </c>
      <c r="DR15" s="202">
        <v>3.7026180473984773</v>
      </c>
      <c r="DS15" s="202">
        <v>3.363325060326356</v>
      </c>
      <c r="DT15" s="202">
        <v>4.2897577685697765</v>
      </c>
      <c r="DU15" s="202">
        <v>4.2127411394557832</v>
      </c>
      <c r="DV15" s="202">
        <v>2.8563258494004424</v>
      </c>
      <c r="DW15" s="202">
        <v>4.0142204168971878</v>
      </c>
      <c r="DX15" s="202">
        <v>3.0513699087714299</v>
      </c>
      <c r="DY15" s="201">
        <v>6.3696907036022949</v>
      </c>
      <c r="DZ15" s="201">
        <v>1.6222462992979618</v>
      </c>
      <c r="EA15" s="201">
        <v>6.7212988336171096</v>
      </c>
      <c r="EB15" s="201">
        <v>0.90294057285122475</v>
      </c>
      <c r="EC15" s="201">
        <v>4.9776260426133021</v>
      </c>
      <c r="ED15" s="206">
        <v>3.5609726116435301</v>
      </c>
      <c r="EE15" s="206">
        <v>3.2965541030796541</v>
      </c>
      <c r="EF15" s="206">
        <v>4.7187553115587031</v>
      </c>
      <c r="EG15" s="206">
        <v>4.0849425612878871</v>
      </c>
      <c r="EH15" s="206">
        <v>4.4678658877108273</v>
      </c>
      <c r="EI15" s="206">
        <v>5.8192517227026954</v>
      </c>
      <c r="EJ15" s="201">
        <v>3.3964723648788069</v>
      </c>
      <c r="EK15" s="201">
        <v>4.8707545769996985</v>
      </c>
      <c r="EL15" s="201">
        <v>4.4453851126089754</v>
      </c>
      <c r="EM15" s="201">
        <v>4.3481785887582598</v>
      </c>
      <c r="EN15" s="201">
        <v>3.560129765352956</v>
      </c>
      <c r="EO15" s="201">
        <v>4.9497132943898157</v>
      </c>
      <c r="EP15" s="201">
        <v>5.1475287296208494</v>
      </c>
      <c r="EQ15" s="201">
        <v>0.34022308413963154</v>
      </c>
      <c r="ER15" s="201">
        <v>4.4026691055277434</v>
      </c>
      <c r="ES15" s="201">
        <v>4.0670086781487713</v>
      </c>
      <c r="ET15" s="204">
        <v>4.1958073837908474</v>
      </c>
      <c r="EU15" s="204">
        <v>3.435979035332696</v>
      </c>
      <c r="EV15" s="204">
        <v>3.2678235117136967</v>
      </c>
      <c r="EW15" s="204">
        <v>2.1465025604156343</v>
      </c>
      <c r="EX15" s="204">
        <v>3.4450117977231458</v>
      </c>
      <c r="EY15" s="204">
        <v>2.4177111238040694</v>
      </c>
      <c r="EZ15" s="204">
        <v>2.9231177686266356</v>
      </c>
      <c r="FA15" s="204">
        <v>2.4079949424115497</v>
      </c>
      <c r="FB15" s="204">
        <v>3.6440781918945486</v>
      </c>
      <c r="FC15" s="204">
        <v>4.2425756386222861</v>
      </c>
      <c r="FD15" s="204">
        <v>4.1759616119623537</v>
      </c>
      <c r="FE15" s="204">
        <v>4.7111016019076164</v>
      </c>
      <c r="FF15" s="204">
        <v>3.3800717310848438</v>
      </c>
      <c r="FG15" s="204">
        <v>7.450799919036208</v>
      </c>
      <c r="FH15" s="204">
        <v>5.3141573765887422</v>
      </c>
      <c r="FI15" s="204">
        <v>5.5380061463900079</v>
      </c>
      <c r="FJ15" s="204">
        <v>6.2974872766531327</v>
      </c>
      <c r="FK15" s="204">
        <v>4.7136305213852117</v>
      </c>
      <c r="FL15" s="204">
        <v>5.4723530191346779</v>
      </c>
      <c r="FM15" s="204">
        <v>5.7635611866289729</v>
      </c>
      <c r="FN15" s="204">
        <v>6.055957388164841</v>
      </c>
      <c r="FO15" s="204">
        <v>6.055957388164841</v>
      </c>
      <c r="FP15" s="204">
        <v>5.6998915150064624</v>
      </c>
    </row>
    <row r="16" spans="2:181" ht="16.399999999999999" customHeight="1" x14ac:dyDescent="0.25">
      <c r="B16" s="199">
        <v>10</v>
      </c>
      <c r="C16" s="1912" t="s">
        <v>128</v>
      </c>
      <c r="D16" s="199">
        <v>10</v>
      </c>
      <c r="E16" s="205">
        <f>'NORTH-1'!N289</f>
        <v>-100</v>
      </c>
      <c r="F16" s="1890">
        <v>1.2244078220615553</v>
      </c>
      <c r="G16" s="1890">
        <v>2.7013184762061626</v>
      </c>
      <c r="H16" s="1890">
        <v>-0.60018561703649775</v>
      </c>
      <c r="I16" s="1890">
        <v>1.4776801584918744</v>
      </c>
      <c r="J16" s="1890">
        <v>2.2806106063997915</v>
      </c>
      <c r="K16" s="1890">
        <v>1.583085977482606</v>
      </c>
      <c r="L16" s="205">
        <v>0.3135129669436702</v>
      </c>
      <c r="M16" s="205">
        <v>1.8826602227961324</v>
      </c>
      <c r="N16" s="205">
        <v>2.0494387337867135</v>
      </c>
      <c r="O16" s="202">
        <v>0.91571954924145638</v>
      </c>
      <c r="P16" s="202">
        <v>0.79999999999999183</v>
      </c>
      <c r="Q16" s="202">
        <v>0.80000000000003102</v>
      </c>
      <c r="R16" s="202">
        <v>1.4595165050621279</v>
      </c>
      <c r="S16" s="202">
        <v>0.64383089952070127</v>
      </c>
      <c r="T16" s="202">
        <v>2.1403959117447702</v>
      </c>
      <c r="U16" s="202">
        <v>-0.23128939967488588</v>
      </c>
      <c r="V16" s="202">
        <v>0.17042665640601853</v>
      </c>
      <c r="W16" s="202">
        <v>-0.11537959972711104</v>
      </c>
      <c r="X16" s="202">
        <v>-0.74647407593847248</v>
      </c>
      <c r="Y16" s="202">
        <v>0.59099938811580055</v>
      </c>
      <c r="Z16" s="202">
        <v>0.57037928653243075</v>
      </c>
      <c r="AA16" s="202">
        <v>1.8648037992642166</v>
      </c>
      <c r="AB16" s="202">
        <v>2.0844663324800496</v>
      </c>
      <c r="AC16" s="202">
        <v>3.03</v>
      </c>
      <c r="AD16" s="202">
        <v>0.2923208598844087</v>
      </c>
      <c r="AE16" s="202">
        <v>2.1682202035899918</v>
      </c>
      <c r="AF16" s="202">
        <v>8.2019320380440894E-2</v>
      </c>
      <c r="AG16" s="202">
        <v>1.6608606986180059</v>
      </c>
      <c r="AH16" s="202">
        <v>1.9253678248395221</v>
      </c>
      <c r="AI16" s="202">
        <v>1.3428593924815651</v>
      </c>
      <c r="AJ16" s="202">
        <v>1.9068519502927361</v>
      </c>
      <c r="AK16" s="202">
        <v>2.1566818075144574</v>
      </c>
      <c r="AL16" s="202">
        <v>1.4755579432177448</v>
      </c>
      <c r="AM16" s="202">
        <v>0.35197580667639217</v>
      </c>
      <c r="AN16" s="202">
        <v>1.3232958907477808</v>
      </c>
      <c r="AO16" s="202">
        <v>2.3158684988853042</v>
      </c>
      <c r="AP16" s="202">
        <v>1.5701432338988484</v>
      </c>
      <c r="AQ16" s="202">
        <v>0.91340590699654867</v>
      </c>
      <c r="AR16" s="202">
        <v>-0.24401460406636719</v>
      </c>
      <c r="AS16" s="202">
        <v>0.49426985203104973</v>
      </c>
      <c r="AT16" s="202">
        <v>1.6494255637052053</v>
      </c>
      <c r="AU16" s="202">
        <v>1.2906640798423585</v>
      </c>
      <c r="AV16" s="202">
        <v>1.2619831768315593</v>
      </c>
      <c r="AW16" s="202"/>
      <c r="AX16" s="202">
        <v>0.18579918604163337</v>
      </c>
      <c r="AY16" s="202">
        <v>1.6823829046066563</v>
      </c>
      <c r="AZ16" s="202">
        <v>0.68284738801426959</v>
      </c>
      <c r="BA16" s="202">
        <v>2.9668955066361842</v>
      </c>
      <c r="BB16" s="202">
        <v>2.4870942282960748</v>
      </c>
      <c r="BC16" s="202">
        <v>1.7713026119868729</v>
      </c>
      <c r="BD16" s="202">
        <v>0.72247405934220921</v>
      </c>
      <c r="BE16" s="202">
        <v>0.21198578891264189</v>
      </c>
      <c r="BF16" s="202">
        <v>7.6572847827548335E-2</v>
      </c>
      <c r="BG16" s="202">
        <v>1.6073055277862207</v>
      </c>
      <c r="BH16" s="202">
        <v>0.29378682920757077</v>
      </c>
      <c r="BI16" s="202">
        <v>1.1974093255407932</v>
      </c>
      <c r="BJ16" s="202"/>
      <c r="BK16" s="202">
        <v>-0.36505940494517719</v>
      </c>
      <c r="BL16" s="202">
        <v>1.1187527082967397</v>
      </c>
      <c r="BM16" s="202">
        <v>1.5119029294257667</v>
      </c>
      <c r="BN16" s="202">
        <v>0.43362614044103831</v>
      </c>
      <c r="BO16" s="202">
        <v>-0.53343308725643201</v>
      </c>
      <c r="BP16" s="202">
        <v>-0.83376332167688494</v>
      </c>
      <c r="BQ16" s="202">
        <v>-2.441674099512031</v>
      </c>
      <c r="BR16" s="202">
        <v>3.1084166913648001</v>
      </c>
      <c r="BS16" s="202">
        <v>2.1973886443024355</v>
      </c>
      <c r="BT16" s="202">
        <v>1.6197806955947329</v>
      </c>
      <c r="BU16" s="202">
        <v>0.99504744924290112</v>
      </c>
      <c r="BV16" s="202">
        <v>3.5902825836556342</v>
      </c>
      <c r="BW16" s="202">
        <v>1.5873497570710566</v>
      </c>
      <c r="BX16" s="202">
        <v>2.5696835196831644</v>
      </c>
      <c r="BY16" s="202">
        <v>0.95321562187728126</v>
      </c>
      <c r="BZ16" s="202">
        <v>-0.36683570772397006</v>
      </c>
      <c r="CA16" s="202">
        <v>-0.60772499056097184</v>
      </c>
      <c r="CB16" s="202">
        <v>0.34375941258369969</v>
      </c>
      <c r="CC16" s="202">
        <v>0.70633550194962902</v>
      </c>
      <c r="CD16" s="202">
        <v>1.8340625686085947</v>
      </c>
      <c r="CE16" s="202">
        <v>1.6531448811576694</v>
      </c>
      <c r="CF16" s="202">
        <v>-0.70020146658483462</v>
      </c>
      <c r="CG16" s="201">
        <v>-0.35779575797144991</v>
      </c>
      <c r="CH16" s="201">
        <v>0.57260644438295216</v>
      </c>
      <c r="CI16" s="201">
        <v>1.7830598570652416</v>
      </c>
      <c r="CJ16" s="201">
        <v>1.4351044480344224</v>
      </c>
      <c r="CK16" s="201">
        <v>1.2298232528866264</v>
      </c>
      <c r="CL16" s="201">
        <v>0.71376104293142384</v>
      </c>
      <c r="CM16" s="201">
        <v>-0.99106283796481998</v>
      </c>
      <c r="CN16" s="201">
        <v>0.69416800211708463</v>
      </c>
      <c r="CO16" s="201">
        <v>0.70982184496225798</v>
      </c>
      <c r="CP16" s="201">
        <v>0.39648632686257074</v>
      </c>
      <c r="CQ16" s="201">
        <v>0.55710653468745552</v>
      </c>
      <c r="CR16" s="201">
        <v>2.0995749497927032</v>
      </c>
      <c r="CS16" s="201">
        <v>2.5077667988076118</v>
      </c>
      <c r="CT16" s="201">
        <v>1.4867407141861859</v>
      </c>
      <c r="CU16" s="201">
        <v>2.3178670262686065</v>
      </c>
      <c r="CV16" s="201">
        <v>0.40786391000718653</v>
      </c>
      <c r="CW16" s="201">
        <v>0.36563417371075047</v>
      </c>
      <c r="CX16" s="201">
        <v>-0.16856825122763333</v>
      </c>
      <c r="CY16" s="201">
        <v>1.4793312727147629</v>
      </c>
      <c r="CZ16" s="201">
        <v>0.84923963388174262</v>
      </c>
      <c r="DA16" s="206">
        <v>1.1326558495834083</v>
      </c>
      <c r="DB16" s="206">
        <v>1.701043756523045</v>
      </c>
      <c r="DC16" s="207">
        <v>1.7069690844920962</v>
      </c>
      <c r="DD16" s="207">
        <v>0.59371558115963918</v>
      </c>
      <c r="DE16" s="208">
        <v>1.6130663538230254</v>
      </c>
      <c r="DF16" s="202">
        <v>0.7351486825358805</v>
      </c>
      <c r="DG16" s="202">
        <v>0.68552811391421753</v>
      </c>
      <c r="DH16" s="202">
        <v>-0.92432836357525772</v>
      </c>
      <c r="DI16" s="207">
        <v>5.2204083514106263E-2</v>
      </c>
      <c r="DJ16" s="207">
        <v>1.5264119099611677</v>
      </c>
      <c r="DK16" s="207">
        <v>0.21948373792356071</v>
      </c>
      <c r="DL16" s="207">
        <v>2.5322781409614662E-3</v>
      </c>
      <c r="DM16" s="207">
        <v>2.4322408313489943</v>
      </c>
      <c r="DN16" s="207">
        <v>0.52978782314304851</v>
      </c>
      <c r="DO16" s="207">
        <v>1.1430824208865789</v>
      </c>
      <c r="DP16" s="207">
        <v>1.9470302223967253</v>
      </c>
      <c r="DQ16" s="207">
        <v>0.9516049587073272</v>
      </c>
      <c r="DR16" s="207">
        <v>1.9611103897206061</v>
      </c>
      <c r="DS16" s="207">
        <v>1.5916184669661912</v>
      </c>
      <c r="DT16" s="207">
        <v>2.0054254086722567</v>
      </c>
      <c r="DU16" s="202">
        <v>0.89225129683632232</v>
      </c>
      <c r="DV16" s="202">
        <v>0.66175264586807314</v>
      </c>
      <c r="DW16" s="202">
        <v>0.89807484029894946</v>
      </c>
      <c r="DX16" s="202">
        <v>0.42303765096333051</v>
      </c>
      <c r="DY16" s="201">
        <v>2.2356756899437822</v>
      </c>
      <c r="DZ16" s="201">
        <v>1.8869573868954401</v>
      </c>
      <c r="EA16" s="201">
        <v>2.9946058227764887</v>
      </c>
      <c r="EB16" s="206">
        <v>1.8560888227210237</v>
      </c>
      <c r="EC16" s="206">
        <v>1.9784328264014817</v>
      </c>
      <c r="ED16" s="206">
        <v>2.4457603471607823</v>
      </c>
      <c r="EE16" s="206">
        <v>-8.3060725234516547E-2</v>
      </c>
      <c r="EF16" s="206">
        <v>1.8002464434052192</v>
      </c>
      <c r="EG16" s="206">
        <v>1.8347739724940502</v>
      </c>
      <c r="EH16" s="206">
        <v>0.8636916385788751</v>
      </c>
      <c r="EI16" s="201">
        <v>1.9143369455966275</v>
      </c>
      <c r="EJ16" s="206">
        <v>0.24382195624617517</v>
      </c>
      <c r="EK16" s="206">
        <v>0.77915339427104047</v>
      </c>
      <c r="EL16" s="206">
        <v>0.29413192184920622</v>
      </c>
      <c r="EM16" s="206">
        <v>1.0630627064589964</v>
      </c>
      <c r="EN16" s="206">
        <v>0.44294406495920169</v>
      </c>
      <c r="EO16" s="206">
        <v>3.3442583307227145</v>
      </c>
      <c r="EP16" s="206">
        <v>3.0416856292135424</v>
      </c>
      <c r="EQ16" s="206">
        <v>3.9722503031553149</v>
      </c>
      <c r="ER16" s="201">
        <v>3.1940329845111326</v>
      </c>
      <c r="ES16" s="201">
        <v>2.9680591870770776</v>
      </c>
      <c r="ET16" s="204">
        <v>3.3133010437941568</v>
      </c>
      <c r="EU16" s="204">
        <v>2.5615712744715031</v>
      </c>
      <c r="EV16" s="204">
        <v>3.5477998202669454</v>
      </c>
      <c r="EW16" s="204">
        <v>3.0597847542290886</v>
      </c>
      <c r="EX16" s="204">
        <v>3.176670487384841</v>
      </c>
      <c r="EY16" s="204">
        <v>2.6357894448682941</v>
      </c>
      <c r="EZ16" s="204">
        <v>3.7210816917393954</v>
      </c>
      <c r="FA16" s="204">
        <v>3.1559803692112123</v>
      </c>
      <c r="FB16" s="204">
        <v>3.0559703309157809</v>
      </c>
      <c r="FC16" s="204">
        <v>1.8415025412181658</v>
      </c>
      <c r="FD16" s="204">
        <v>3.9523049929409484</v>
      </c>
      <c r="FE16" s="204">
        <v>3.9736442290490732</v>
      </c>
      <c r="FF16" s="204">
        <v>3.0104193331339006</v>
      </c>
      <c r="FG16" s="204">
        <v>2.5834175924992868</v>
      </c>
      <c r="FH16" s="204">
        <v>3.0895439504807496</v>
      </c>
      <c r="FI16" s="204">
        <v>-0.40862925279659507</v>
      </c>
      <c r="FJ16" s="204">
        <v>3.1332413437707896</v>
      </c>
      <c r="FK16" s="204">
        <v>1.0656816197567363</v>
      </c>
      <c r="FL16" s="204">
        <v>2.8265999971289033</v>
      </c>
      <c r="FM16" s="204">
        <v>2.5865852398793407</v>
      </c>
      <c r="FN16" s="204">
        <v>4.2825875502155224</v>
      </c>
      <c r="FO16" s="204">
        <v>4.2825875502155224</v>
      </c>
      <c r="FP16" s="204">
        <v>4.9528839782642953</v>
      </c>
    </row>
    <row r="17" spans="2:174" ht="14" x14ac:dyDescent="0.3">
      <c r="B17" s="199">
        <v>11</v>
      </c>
      <c r="C17" s="1902" t="s">
        <v>129</v>
      </c>
      <c r="D17" s="199">
        <v>11</v>
      </c>
      <c r="E17" s="1436">
        <f>'NORTH-2'!$N$305</f>
        <v>-100</v>
      </c>
      <c r="F17" s="1890">
        <v>0.39631255657454961</v>
      </c>
      <c r="G17" s="1890">
        <v>0.28458176568131349</v>
      </c>
      <c r="H17" s="1890">
        <v>0.62489355457252116</v>
      </c>
      <c r="I17" s="1890">
        <v>0.1547468117468804</v>
      </c>
      <c r="J17" s="1890">
        <v>0.86812814939441729</v>
      </c>
      <c r="K17" s="1890">
        <v>0.28867485150294192</v>
      </c>
      <c r="L17" s="205">
        <v>9.9130405978150885E-2</v>
      </c>
      <c r="M17" s="205">
        <v>0.6688545498558458</v>
      </c>
      <c r="N17" s="205">
        <v>0.18572058809998279</v>
      </c>
      <c r="O17" s="202">
        <v>8.9870786815952758E-2</v>
      </c>
      <c r="P17" s="202">
        <v>0.13342978659433263</v>
      </c>
      <c r="Q17" s="202">
        <v>-0.32963058641191362</v>
      </c>
      <c r="R17" s="202">
        <v>2.2884482904979738E-2</v>
      </c>
      <c r="S17" s="202">
        <v>0.19333620680419841</v>
      </c>
      <c r="T17" s="202">
        <v>0.84846785972758165</v>
      </c>
      <c r="U17" s="202">
        <v>0.89734536687544786</v>
      </c>
      <c r="V17" s="202">
        <v>0.13203885835061427</v>
      </c>
      <c r="W17" s="202">
        <v>0.2934875902896053</v>
      </c>
      <c r="X17" s="202">
        <v>0.89950822696562593</v>
      </c>
      <c r="Y17" s="202">
        <v>-0.12905085689709034</v>
      </c>
      <c r="Z17" s="202">
        <v>1.0454432657188531E-2</v>
      </c>
      <c r="AA17" s="202">
        <v>1.7165221846735266</v>
      </c>
      <c r="AB17" s="202">
        <v>0.39999999999999325</v>
      </c>
      <c r="AC17" s="202">
        <v>0.5</v>
      </c>
      <c r="AD17" s="202">
        <v>2.1447112506371444</v>
      </c>
      <c r="AE17" s="202">
        <v>-0.13149598684698871</v>
      </c>
      <c r="AF17" s="202">
        <v>-0.25158586956827328</v>
      </c>
      <c r="AG17" s="202">
        <v>0.77702079660001022</v>
      </c>
      <c r="AH17" s="202">
        <v>0.59267572772451027</v>
      </c>
      <c r="AI17" s="202">
        <v>1.2011090637592508</v>
      </c>
      <c r="AJ17" s="202">
        <v>1.4069302899960521</v>
      </c>
      <c r="AK17" s="202">
        <v>-5.8468241199472047E-2</v>
      </c>
      <c r="AL17" s="202">
        <v>0.59685606668780278</v>
      </c>
      <c r="AM17" s="202">
        <v>-0.55638712768301612</v>
      </c>
      <c r="AN17" s="202">
        <v>0.14302830058686369</v>
      </c>
      <c r="AO17" s="202">
        <v>0.7247847109545863</v>
      </c>
      <c r="AP17" s="202">
        <v>1.8107052609613698E-2</v>
      </c>
      <c r="AQ17" s="202">
        <v>-0.19212989249408916</v>
      </c>
      <c r="AR17" s="202">
        <v>0.60555210930727388</v>
      </c>
      <c r="AS17" s="202">
        <v>0.82488982099430808</v>
      </c>
      <c r="AT17" s="202">
        <v>0.49999999999999423</v>
      </c>
      <c r="AU17" s="202">
        <v>0.48387952342926904</v>
      </c>
      <c r="AV17" s="202">
        <v>0.84448212851525473</v>
      </c>
      <c r="AW17" s="202"/>
      <c r="AX17" s="202">
        <v>1.5811424938897849</v>
      </c>
      <c r="AY17" s="202">
        <v>0.67298167591438962</v>
      </c>
      <c r="AZ17" s="202">
        <v>0.79925616040313374</v>
      </c>
      <c r="BA17" s="202">
        <v>6.4623704469504592E-2</v>
      </c>
      <c r="BB17" s="202">
        <v>0.90949550179991911</v>
      </c>
      <c r="BC17" s="202">
        <v>6.4714296076506958E-2</v>
      </c>
      <c r="BD17" s="202">
        <v>0.15332251733850816</v>
      </c>
      <c r="BE17" s="202">
        <v>0.94859413654857416</v>
      </c>
      <c r="BF17" s="202">
        <v>0.26405572334158689</v>
      </c>
      <c r="BG17" s="202">
        <v>0.5848586459892785</v>
      </c>
      <c r="BH17" s="202">
        <v>0.59340222588746316</v>
      </c>
      <c r="BI17" s="202">
        <v>0.54484816986726292</v>
      </c>
      <c r="BJ17" s="202"/>
      <c r="BK17" s="202">
        <v>0.8855042246766307</v>
      </c>
      <c r="BL17" s="202">
        <v>0.5077409352388822</v>
      </c>
      <c r="BM17" s="202">
        <v>0.95222351957701035</v>
      </c>
      <c r="BN17" s="202">
        <v>0.62386189470476472</v>
      </c>
      <c r="BO17" s="202">
        <v>0.60113816743942627</v>
      </c>
      <c r="BP17" s="202">
        <v>0.53850055134516162</v>
      </c>
      <c r="BQ17" s="202">
        <v>0.46305152782283376</v>
      </c>
      <c r="BR17" s="202">
        <v>0.38989492939547021</v>
      </c>
      <c r="BS17" s="202">
        <v>0.39451967109482117</v>
      </c>
      <c r="BT17" s="202">
        <v>0.91698887548751495</v>
      </c>
      <c r="BU17" s="203">
        <v>0.80914053108984818</v>
      </c>
      <c r="BV17" s="203">
        <v>1.2855033456390237</v>
      </c>
      <c r="BW17" s="203">
        <v>6.3508673128503654E-2</v>
      </c>
      <c r="BX17" s="202">
        <v>9.9999999999991498E-2</v>
      </c>
      <c r="BY17" s="202">
        <v>0.20486902425063933</v>
      </c>
      <c r="BZ17" s="202">
        <v>4.3332081718185755E-2</v>
      </c>
      <c r="CA17" s="202">
        <v>4.303655632850633E-2</v>
      </c>
      <c r="CB17" s="202">
        <v>4.2398153585689893E-2</v>
      </c>
      <c r="CC17" s="202">
        <v>4.3271409234047362E-2</v>
      </c>
      <c r="CD17" s="202">
        <v>4.3098561604375953E-2</v>
      </c>
      <c r="CE17" s="202">
        <v>4.2337088531289278E-2</v>
      </c>
      <c r="CF17" s="202">
        <v>4.3044841182361113E-2</v>
      </c>
      <c r="CG17" s="201">
        <v>4.3300027798045225E-2</v>
      </c>
      <c r="CH17" s="201">
        <v>4.2716479769490057E-2</v>
      </c>
      <c r="CI17" s="201">
        <v>4.31336206766526E-2</v>
      </c>
      <c r="CJ17" s="201">
        <v>4.3222834856042003E-2</v>
      </c>
      <c r="CK17" s="201">
        <v>4.2750094553684496E-2</v>
      </c>
      <c r="CL17" s="201">
        <v>4.2312299662339334E-2</v>
      </c>
      <c r="CM17" s="201">
        <v>4.2669999601779952E-2</v>
      </c>
      <c r="CN17" s="201">
        <v>4.3498975820031219E-2</v>
      </c>
      <c r="CO17" s="201">
        <v>4.3938648520227601E-2</v>
      </c>
      <c r="CP17" s="201">
        <v>4.3261669200380139E-2</v>
      </c>
      <c r="CQ17" s="201">
        <v>4.3027365281119244E-2</v>
      </c>
      <c r="CR17" s="201">
        <v>4.2979383114910126E-2</v>
      </c>
      <c r="CS17" s="201">
        <v>4.4013617097270558E-2</v>
      </c>
      <c r="CT17" s="201">
        <v>4.362759009465849E-2</v>
      </c>
      <c r="CU17" s="201">
        <v>4.3568940412721198E-2</v>
      </c>
      <c r="CV17" s="201">
        <v>4.3813661038252058E-2</v>
      </c>
      <c r="CW17" s="201">
        <v>4.3722793789499753E-2</v>
      </c>
      <c r="CX17" s="201">
        <v>4.315738723172189E-2</v>
      </c>
      <c r="CY17" s="201">
        <v>4.2778112736547004E-2</v>
      </c>
      <c r="CZ17" s="201">
        <v>4.2562507803138076E-2</v>
      </c>
      <c r="DA17" s="201">
        <v>4.2388778220447641E-2</v>
      </c>
      <c r="DB17" s="201">
        <v>4.2240094362856556E-2</v>
      </c>
      <c r="DC17" s="202">
        <v>4.1820445191682556E-2</v>
      </c>
      <c r="DD17" s="202">
        <v>4.10891525341937E-2</v>
      </c>
      <c r="DE17" s="202">
        <v>4.358136057998286E-2</v>
      </c>
      <c r="DF17" s="202">
        <v>4.317643130136993E-2</v>
      </c>
      <c r="DG17" s="202">
        <v>4.3230156401192696E-2</v>
      </c>
      <c r="DH17" s="202">
        <v>4.3586045461286194E-2</v>
      </c>
      <c r="DI17" s="202">
        <v>4.3010888121300841E-2</v>
      </c>
      <c r="DJ17" s="202">
        <v>4.2794041244250458E-2</v>
      </c>
      <c r="DK17" s="202">
        <v>4.0123743807149878E-2</v>
      </c>
      <c r="DL17" s="202">
        <v>4.2153708843757666E-2</v>
      </c>
      <c r="DM17" s="202">
        <v>4.2326994626544691E-2</v>
      </c>
      <c r="DN17" s="202">
        <v>4.2067763061181464E-2</v>
      </c>
      <c r="DO17" s="202">
        <v>4.3398352041667476E-2</v>
      </c>
      <c r="DP17" s="202">
        <v>4.3232537899770468E-2</v>
      </c>
      <c r="DQ17" s="202">
        <v>0</v>
      </c>
      <c r="DR17" s="202">
        <v>0</v>
      </c>
      <c r="DS17" s="202">
        <v>0</v>
      </c>
      <c r="DT17" s="202">
        <v>0</v>
      </c>
      <c r="DU17" s="202">
        <v>0</v>
      </c>
      <c r="DV17" s="202">
        <v>0</v>
      </c>
      <c r="DW17" s="202">
        <v>0</v>
      </c>
      <c r="DX17" s="201">
        <v>0</v>
      </c>
      <c r="DY17" s="201">
        <v>0</v>
      </c>
      <c r="DZ17" s="201">
        <v>0</v>
      </c>
      <c r="EA17" s="201">
        <v>0</v>
      </c>
      <c r="EB17" s="201">
        <v>0</v>
      </c>
      <c r="EC17" s="201">
        <v>0</v>
      </c>
      <c r="ED17" s="201">
        <v>0</v>
      </c>
      <c r="EE17" s="201">
        <v>0</v>
      </c>
      <c r="EF17" s="201">
        <v>0</v>
      </c>
      <c r="EG17" s="201">
        <v>0</v>
      </c>
      <c r="EH17" s="201">
        <v>0</v>
      </c>
      <c r="EI17" s="201">
        <v>0</v>
      </c>
      <c r="EJ17" s="201">
        <v>0</v>
      </c>
      <c r="EK17" s="201">
        <v>0</v>
      </c>
      <c r="EL17" s="201">
        <v>0</v>
      </c>
      <c r="EM17" s="201">
        <v>0</v>
      </c>
      <c r="EN17" s="201">
        <v>0</v>
      </c>
      <c r="EO17" s="201">
        <v>0</v>
      </c>
      <c r="EP17" s="201">
        <v>0</v>
      </c>
      <c r="EQ17" s="201">
        <v>0</v>
      </c>
      <c r="ER17" s="201">
        <v>0</v>
      </c>
      <c r="ES17" s="201">
        <v>0</v>
      </c>
      <c r="ET17" s="204">
        <v>0</v>
      </c>
      <c r="EU17" s="204">
        <v>0</v>
      </c>
      <c r="EV17" s="204">
        <v>0</v>
      </c>
      <c r="EW17" s="204">
        <v>0</v>
      </c>
      <c r="EX17" s="204">
        <v>1.8968554107781951E-14</v>
      </c>
      <c r="EY17" s="204">
        <v>0</v>
      </c>
      <c r="EZ17" s="204">
        <v>0</v>
      </c>
      <c r="FA17" s="204">
        <v>0</v>
      </c>
      <c r="FB17" s="204">
        <v>0</v>
      </c>
      <c r="FC17" s="204">
        <v>0</v>
      </c>
      <c r="FD17" s="204">
        <v>0</v>
      </c>
      <c r="FE17" s="204">
        <v>0</v>
      </c>
      <c r="FF17" s="204">
        <v>0</v>
      </c>
      <c r="FG17" s="204">
        <v>0</v>
      </c>
      <c r="FH17" s="204">
        <v>0</v>
      </c>
      <c r="FI17" s="204">
        <v>0</v>
      </c>
      <c r="FJ17" s="204">
        <v>0</v>
      </c>
      <c r="FK17" s="204">
        <v>0</v>
      </c>
      <c r="FL17" s="204">
        <v>0</v>
      </c>
      <c r="FM17" s="204">
        <v>0</v>
      </c>
      <c r="FN17" s="204">
        <v>-1.5434971658450387</v>
      </c>
      <c r="FO17" s="204">
        <v>-1.5434971658450387</v>
      </c>
      <c r="FP17" s="204">
        <v>0</v>
      </c>
    </row>
    <row r="18" spans="2:174" ht="13" x14ac:dyDescent="0.25">
      <c r="B18" s="199">
        <v>12</v>
      </c>
      <c r="C18" s="1931" t="s">
        <v>130</v>
      </c>
      <c r="D18" s="199">
        <v>12</v>
      </c>
      <c r="E18" s="205">
        <f>'NORTH-2'!$N$337</f>
        <v>-100</v>
      </c>
      <c r="F18" s="1890">
        <v>1.0891246691462528</v>
      </c>
      <c r="G18" s="1890">
        <v>0.84430049324673939</v>
      </c>
      <c r="H18" s="1890">
        <v>0.92998195897099623</v>
      </c>
      <c r="I18" s="1890">
        <v>0.79854712941383865</v>
      </c>
      <c r="J18" s="1890">
        <v>1.6333098391396104</v>
      </c>
      <c r="K18" s="1890">
        <v>0.32825650947515322</v>
      </c>
      <c r="L18" s="205">
        <v>2.3297914314159147</v>
      </c>
      <c r="M18" s="205">
        <v>0.21190287858474069</v>
      </c>
      <c r="N18" s="205">
        <v>1.4668104947514069</v>
      </c>
      <c r="O18" s="202">
        <v>1.5868610421331486</v>
      </c>
      <c r="P18" s="202">
        <v>2.7193501401843454</v>
      </c>
      <c r="Q18" s="202">
        <v>1.9535254224144549</v>
      </c>
      <c r="R18" s="202">
        <v>2.2847300827291068</v>
      </c>
      <c r="S18" s="202">
        <v>1.3249085272222256</v>
      </c>
      <c r="T18" s="202">
        <v>0.92584733700396371</v>
      </c>
      <c r="U18" s="202">
        <v>2.2855877826864037</v>
      </c>
      <c r="V18" s="202">
        <v>2.0752047878013542</v>
      </c>
      <c r="W18" s="202">
        <v>1.0849666208757065</v>
      </c>
      <c r="X18" s="202">
        <v>2.0250178809252297</v>
      </c>
      <c r="Y18" s="202">
        <v>1.6278672519343909</v>
      </c>
      <c r="Z18" s="202">
        <v>1.2744616957454971</v>
      </c>
      <c r="AA18" s="202">
        <v>4.9456747047824852</v>
      </c>
      <c r="AB18" s="202">
        <v>2.6337663237381577</v>
      </c>
      <c r="AC18" s="202">
        <v>-1.1000000000000001</v>
      </c>
      <c r="AD18" s="202">
        <v>1.8987886315714901</v>
      </c>
      <c r="AE18" s="202">
        <v>-0.85001270733654832</v>
      </c>
      <c r="AF18" s="202">
        <v>1.1483394035084806</v>
      </c>
      <c r="AG18" s="202">
        <v>0.33642726758636038</v>
      </c>
      <c r="AH18" s="202">
        <v>0.31177487810997134</v>
      </c>
      <c r="AI18" s="202">
        <v>0.99464849234293973</v>
      </c>
      <c r="AJ18" s="202">
        <v>0.18778088835055665</v>
      </c>
      <c r="AK18" s="202">
        <v>-0.33235144840849196</v>
      </c>
      <c r="AL18" s="202">
        <v>0.65581381650703607</v>
      </c>
      <c r="AM18" s="202">
        <v>0</v>
      </c>
      <c r="AN18" s="202">
        <v>3.8866756649666092</v>
      </c>
      <c r="AO18" s="202">
        <v>1.1238960711549002</v>
      </c>
      <c r="AP18" s="202">
        <v>1.2522408226400172</v>
      </c>
      <c r="AQ18" s="202">
        <v>2.0695253140893151</v>
      </c>
      <c r="AR18" s="202">
        <v>-0.77185102946127937</v>
      </c>
      <c r="AS18" s="202">
        <v>3.6671875222651202</v>
      </c>
      <c r="AT18" s="202">
        <v>3.5018730645170431</v>
      </c>
      <c r="AU18" s="202">
        <v>2.6252720213915288</v>
      </c>
      <c r="AV18" s="202">
        <v>2.886602067303448</v>
      </c>
      <c r="AW18" s="202"/>
      <c r="AX18" s="202">
        <v>2.5935923366871085</v>
      </c>
      <c r="AY18" s="202">
        <v>0.65684675236256607</v>
      </c>
      <c r="AZ18" s="202">
        <v>1.2401489133944654</v>
      </c>
      <c r="BA18" s="202">
        <v>-0.43088193110586009</v>
      </c>
      <c r="BB18" s="202">
        <v>1.148615855772201</v>
      </c>
      <c r="BC18" s="202">
        <v>-2.2252639392025095</v>
      </c>
      <c r="BD18" s="202">
        <v>-0.56770873172139824</v>
      </c>
      <c r="BE18" s="202">
        <v>0.89501714174064184</v>
      </c>
      <c r="BF18" s="202">
        <v>-0.22538005562030969</v>
      </c>
      <c r="BG18" s="202">
        <v>0.1806972418064221</v>
      </c>
      <c r="BH18" s="202">
        <v>0.20159751166929119</v>
      </c>
      <c r="BI18" s="202">
        <v>-7.5365652668737154E-2</v>
      </c>
      <c r="BJ18" s="202"/>
      <c r="BK18" s="202">
        <v>0.80722741699048395</v>
      </c>
      <c r="BL18" s="202">
        <v>1.8604950869991845</v>
      </c>
      <c r="BM18" s="202">
        <v>-0.56738280023825016</v>
      </c>
      <c r="BN18" s="202">
        <v>0.80888720073367892</v>
      </c>
      <c r="BO18" s="202">
        <v>9.8423653578489395E-2</v>
      </c>
      <c r="BP18" s="202">
        <v>-2.3262117187326834</v>
      </c>
      <c r="BQ18" s="202">
        <v>2.7558656028477388</v>
      </c>
      <c r="BR18" s="202">
        <v>1.3307747280053315</v>
      </c>
      <c r="BS18" s="202">
        <v>-1.6722723778949073</v>
      </c>
      <c r="BT18" s="202">
        <v>1.7688502864017783</v>
      </c>
      <c r="BU18" s="202">
        <v>0.29019136753426955</v>
      </c>
      <c r="BV18" s="202">
        <v>0.89530334853913396</v>
      </c>
      <c r="BW18" s="202">
        <v>0.92240217644557021</v>
      </c>
      <c r="BX18" s="202">
        <v>1.1738167325932791</v>
      </c>
      <c r="BY18" s="202">
        <v>0.12257047802474122</v>
      </c>
      <c r="BZ18" s="202">
        <v>-0.27764985214663451</v>
      </c>
      <c r="CA18" s="202">
        <v>-0.18522867700310683</v>
      </c>
      <c r="CB18" s="202">
        <v>-0.17326212523237944</v>
      </c>
      <c r="CC18" s="202">
        <v>1.2925392855870856</v>
      </c>
      <c r="CD18" s="202">
        <v>0.79611388859561116</v>
      </c>
      <c r="CE18" s="202">
        <v>-0.20263114778452462</v>
      </c>
      <c r="CF18" s="202">
        <v>0.63799217374996253</v>
      </c>
      <c r="CG18" s="201">
        <v>1.7866890574340502</v>
      </c>
      <c r="CH18" s="201">
        <v>0.80804988044405945</v>
      </c>
      <c r="CI18" s="201">
        <v>0.98329517164391311</v>
      </c>
      <c r="CJ18" s="201">
        <v>-0.30140134154257309</v>
      </c>
      <c r="CK18" s="201">
        <v>-5.6480960019454053E-2</v>
      </c>
      <c r="CL18" s="201">
        <v>-0.32600139193678518</v>
      </c>
      <c r="CM18" s="208">
        <v>7.5984841980657372</v>
      </c>
      <c r="CN18" s="201">
        <v>-6.8627512657420997</v>
      </c>
      <c r="CO18" s="201">
        <v>3.9378555191953164</v>
      </c>
      <c r="CP18" s="201">
        <v>1.7225323299568978</v>
      </c>
      <c r="CQ18" s="201">
        <v>-5.763648916357305E-2</v>
      </c>
      <c r="CR18" s="201">
        <v>0.20589692055147682</v>
      </c>
      <c r="CS18" s="201">
        <v>-0.20158469015370167</v>
      </c>
      <c r="CT18" s="201">
        <v>-0.69015050159803792</v>
      </c>
      <c r="CU18" s="201">
        <v>-0.12816099646457671</v>
      </c>
      <c r="CV18" s="201">
        <v>0.49071962168786193</v>
      </c>
      <c r="CW18" s="201">
        <v>1.2186163170914162</v>
      </c>
      <c r="CX18" s="201">
        <v>2.0180397211462973</v>
      </c>
      <c r="CY18" s="201">
        <v>0.40670967561589721</v>
      </c>
      <c r="CZ18" s="201">
        <v>-0.26586373682673453</v>
      </c>
      <c r="DA18" s="201">
        <v>-1.0032663119412917</v>
      </c>
      <c r="DB18" s="201">
        <v>0.56725140018769704</v>
      </c>
      <c r="DC18" s="202">
        <v>0.85620413026875319</v>
      </c>
      <c r="DD18" s="202">
        <v>3.5611024127303992</v>
      </c>
      <c r="DE18" s="202">
        <v>0.66242614890955998</v>
      </c>
      <c r="DF18" s="202">
        <v>0.37486725810960114</v>
      </c>
      <c r="DG18" s="202">
        <v>1.0495278429261341</v>
      </c>
      <c r="DH18" s="202">
        <v>-0.16239956791628024</v>
      </c>
      <c r="DI18" s="202">
        <v>-0.22650033581179363</v>
      </c>
      <c r="DJ18" s="202">
        <v>-3.4658048409778534E-2</v>
      </c>
      <c r="DK18" s="202">
        <v>-0.2075203609755189</v>
      </c>
      <c r="DL18" s="202">
        <v>0.21899416146018616</v>
      </c>
      <c r="DM18" s="202">
        <v>0.2833230047730031</v>
      </c>
      <c r="DN18" s="202">
        <v>-0.1821160593493934</v>
      </c>
      <c r="DO18" s="202">
        <v>-0.21939425334085799</v>
      </c>
      <c r="DP18" s="202">
        <v>0.30839323898855819</v>
      </c>
      <c r="DQ18" s="202">
        <v>-0.64231147468230931</v>
      </c>
      <c r="DR18" s="202">
        <v>1.3215577274312278</v>
      </c>
      <c r="DS18" s="202">
        <v>-0.4741078319672975</v>
      </c>
      <c r="DT18" s="202">
        <v>0.14516608634387279</v>
      </c>
      <c r="DU18" s="202">
        <v>0.22975222928276143</v>
      </c>
      <c r="DV18" s="202">
        <v>0.32700847191428506</v>
      </c>
      <c r="DW18" s="202">
        <v>0.15624895580165601</v>
      </c>
      <c r="DX18" s="201">
        <v>0.72886105020159908</v>
      </c>
      <c r="DY18" s="201">
        <v>0.27117135403543358</v>
      </c>
      <c r="DZ18" s="201">
        <v>-0.11093729383602328</v>
      </c>
      <c r="EA18" s="201">
        <v>6.2710585524572468E-2</v>
      </c>
      <c r="EB18" s="201">
        <v>0.10788970893406077</v>
      </c>
      <c r="EC18" s="201">
        <v>0.62429135328968988</v>
      </c>
      <c r="ED18" s="201">
        <v>-5.0529553485833612E-4</v>
      </c>
      <c r="EE18" s="201">
        <v>0.13224405787262367</v>
      </c>
      <c r="EF18" s="211">
        <v>-0.15113537643002348</v>
      </c>
      <c r="EG18" s="211">
        <v>0.32520810636969538</v>
      </c>
      <c r="EH18" s="211">
        <v>4.3502607754038664E-2</v>
      </c>
      <c r="EI18" s="202">
        <v>-0.20419797378313662</v>
      </c>
      <c r="EJ18" s="201">
        <v>-0.26144500571107537</v>
      </c>
      <c r="EK18" s="201">
        <v>-0.20961618093094594</v>
      </c>
      <c r="EL18" s="201">
        <v>-0.20418302197866933</v>
      </c>
      <c r="EM18" s="201">
        <v>-0.23603566524057887</v>
      </c>
      <c r="EN18" s="201">
        <v>-0.2418878396219141</v>
      </c>
      <c r="EO18" s="201">
        <v>-0.22277493607442891</v>
      </c>
      <c r="EP18" s="201">
        <v>-0.23783498323661617</v>
      </c>
      <c r="EQ18" s="201">
        <v>-0.21620224940589608</v>
      </c>
      <c r="ER18" s="201">
        <v>-0.24819175210431288</v>
      </c>
      <c r="ES18" s="201">
        <v>-0.23053215594776916</v>
      </c>
      <c r="ET18" s="204">
        <v>-0.25444613886583045</v>
      </c>
      <c r="EU18" s="204">
        <v>-0.28476571643311593</v>
      </c>
      <c r="EV18" s="204">
        <v>-0.22960805254047131</v>
      </c>
      <c r="EW18" s="204">
        <v>-0.20339862940628892</v>
      </c>
      <c r="EX18" s="204">
        <v>9.301706929387267E-2</v>
      </c>
      <c r="EY18" s="204">
        <v>-0.13259322205315993</v>
      </c>
      <c r="EZ18" s="204">
        <v>-0.13756903625697128</v>
      </c>
      <c r="FA18" s="204">
        <v>0.81989603937560185</v>
      </c>
      <c r="FB18" s="204">
        <v>3.5519548993725371E-14</v>
      </c>
      <c r="FC18" s="204">
        <v>1.0009946969626742</v>
      </c>
      <c r="FD18" s="204">
        <v>0.51390613476492986</v>
      </c>
      <c r="FE18" s="204">
        <v>0.33659240262886281</v>
      </c>
      <c r="FF18" s="204">
        <v>-3.4443459541598456</v>
      </c>
      <c r="FG18" s="204">
        <v>-0.88939253459684986</v>
      </c>
      <c r="FH18" s="204">
        <v>-1.9542574895311966</v>
      </c>
      <c r="FI18" s="204">
        <v>0.43918705354325188</v>
      </c>
      <c r="FJ18" s="204">
        <v>0.5092499833033256</v>
      </c>
      <c r="FK18" s="204">
        <v>0.31553155315539327</v>
      </c>
      <c r="FL18" s="204">
        <v>0.62989836832089319</v>
      </c>
      <c r="FM18" s="204">
        <v>4.8454083987076384</v>
      </c>
      <c r="FN18" s="204">
        <v>-1.4365954255258402</v>
      </c>
      <c r="FO18" s="204">
        <v>-1.4365954255258402</v>
      </c>
      <c r="FP18" s="204">
        <v>0.34407256803268838</v>
      </c>
    </row>
    <row r="19" spans="2:174" ht="13" x14ac:dyDescent="0.25">
      <c r="B19" s="199">
        <v>13</v>
      </c>
      <c r="C19" s="1931" t="s">
        <v>131</v>
      </c>
      <c r="D19" s="199">
        <v>13</v>
      </c>
      <c r="E19" s="205">
        <f>'NORTH-1'!N373</f>
        <v>-100</v>
      </c>
      <c r="F19" s="1890">
        <v>2.8820070908632807</v>
      </c>
      <c r="G19" s="1890">
        <v>2.7143420363613466</v>
      </c>
      <c r="H19" s="1890">
        <v>2.223898084002871</v>
      </c>
      <c r="I19" s="1890">
        <v>1.5818948958820527</v>
      </c>
      <c r="J19" s="1890">
        <v>1.4313421102748076</v>
      </c>
      <c r="K19" s="1890">
        <v>1.236178694346316</v>
      </c>
      <c r="L19" s="205">
        <v>1.3452414066089784</v>
      </c>
      <c r="M19" s="205">
        <v>2.662257545799299</v>
      </c>
      <c r="N19" s="205">
        <v>1.4288467613498033</v>
      </c>
      <c r="O19" s="202">
        <v>1.407121779898088</v>
      </c>
      <c r="P19" s="202">
        <v>1.4410020042031255</v>
      </c>
      <c r="Q19" s="202">
        <v>1.3371978577608805</v>
      </c>
      <c r="R19" s="202">
        <v>1.5483479597352749</v>
      </c>
      <c r="S19" s="202">
        <v>1.9418614277606463</v>
      </c>
      <c r="T19" s="202">
        <v>1.458383727541321</v>
      </c>
      <c r="U19" s="202">
        <v>1.9313691050255777</v>
      </c>
      <c r="V19" s="202">
        <v>1.6196093511472294</v>
      </c>
      <c r="W19" s="202">
        <v>3.6425940448402736</v>
      </c>
      <c r="X19" s="202">
        <v>1.5638303075843945</v>
      </c>
      <c r="Y19" s="202">
        <v>2.7196361002722638</v>
      </c>
      <c r="Z19" s="202">
        <v>2.590807055364106</v>
      </c>
      <c r="AA19" s="202">
        <v>0.72257841148187507</v>
      </c>
      <c r="AB19" s="202">
        <v>0.76103275190223219</v>
      </c>
      <c r="AC19" s="202">
        <v>0.67</v>
      </c>
      <c r="AD19" s="202">
        <v>0.33991878794251174</v>
      </c>
      <c r="AE19" s="202">
        <v>0.34888279979517856</v>
      </c>
      <c r="AF19" s="202">
        <v>-1.2450043528308279</v>
      </c>
      <c r="AG19" s="202">
        <v>1.2642872450922846</v>
      </c>
      <c r="AH19" s="202">
        <v>0.79479535796572587</v>
      </c>
      <c r="AI19" s="202">
        <v>0.27342969105767673</v>
      </c>
      <c r="AJ19" s="202">
        <v>0.55603215497920266</v>
      </c>
      <c r="AK19" s="202">
        <v>0.99655115758069335</v>
      </c>
      <c r="AL19" s="202">
        <v>1.7360767913112178</v>
      </c>
      <c r="AM19" s="202">
        <v>1.6782607585576388</v>
      </c>
      <c r="AN19" s="202">
        <v>1.6782607585576561</v>
      </c>
      <c r="AO19" s="202">
        <v>0.89333013465912448</v>
      </c>
      <c r="AP19" s="202">
        <v>0.73597240217029614</v>
      </c>
      <c r="AQ19" s="202">
        <v>2.0547059905720273</v>
      </c>
      <c r="AR19" s="202">
        <v>0.62301542024241052</v>
      </c>
      <c r="AS19" s="202">
        <v>0.92359697869906776</v>
      </c>
      <c r="AT19" s="202">
        <v>1.7508390559586806</v>
      </c>
      <c r="AU19" s="202">
        <v>2.9004192928181127</v>
      </c>
      <c r="AV19" s="202">
        <v>1.6944858282733666</v>
      </c>
      <c r="AW19" s="202"/>
      <c r="AX19" s="202">
        <v>1.017644688107803</v>
      </c>
      <c r="AY19" s="202">
        <v>2.4298046525262609</v>
      </c>
      <c r="AZ19" s="202">
        <v>-2.3490992000833211E-2</v>
      </c>
      <c r="BA19" s="202">
        <v>0.93377764373640137</v>
      </c>
      <c r="BB19" s="202">
        <v>1.2701275365286429</v>
      </c>
      <c r="BC19" s="202">
        <v>0.29497589162619181</v>
      </c>
      <c r="BD19" s="202">
        <v>0.71003452506917852</v>
      </c>
      <c r="BE19" s="202">
        <v>0.23196421283105872</v>
      </c>
      <c r="BF19" s="202">
        <v>2.3336753802645651</v>
      </c>
      <c r="BG19" s="202">
        <v>0.57684758955091875</v>
      </c>
      <c r="BH19" s="202">
        <v>0.33882800028032956</v>
      </c>
      <c r="BI19" s="202">
        <v>1.8168468067740635</v>
      </c>
      <c r="BJ19" s="202"/>
      <c r="BK19" s="202">
        <v>1.8195833992677692</v>
      </c>
      <c r="BL19" s="202">
        <v>1.3429603676472193</v>
      </c>
      <c r="BM19" s="202">
        <v>4.687381008886601</v>
      </c>
      <c r="BN19" s="202">
        <v>-3.6188377502759356E-2</v>
      </c>
      <c r="BO19" s="202">
        <v>1.0837792087249816</v>
      </c>
      <c r="BP19" s="202">
        <v>-0.39538591052368233</v>
      </c>
      <c r="BQ19" s="202">
        <v>-3.6043399736504292E-2</v>
      </c>
      <c r="BR19" s="202">
        <v>-0.92335654596023486</v>
      </c>
      <c r="BS19" s="202">
        <v>1.913181096137254</v>
      </c>
      <c r="BT19" s="202">
        <v>-0.48693696279852211</v>
      </c>
      <c r="BU19" s="202">
        <v>1.1892165878500407</v>
      </c>
      <c r="BV19" s="202">
        <v>4.2628483454197141</v>
      </c>
      <c r="BW19" s="202">
        <v>2.4077887925227248E-2</v>
      </c>
      <c r="BX19" s="202">
        <v>0.17922905695623575</v>
      </c>
      <c r="BY19" s="202">
        <v>9.999999999993783E-3</v>
      </c>
      <c r="BZ19" s="202">
        <v>0.79560157787557351</v>
      </c>
      <c r="CA19" s="202">
        <v>4.9999999999993355E-2</v>
      </c>
      <c r="CB19" s="202">
        <v>1.0446551796588375</v>
      </c>
      <c r="CC19" s="202">
        <v>-0.87303298305015553</v>
      </c>
      <c r="CD19" s="202">
        <v>2.1944648052745375E-2</v>
      </c>
      <c r="CE19" s="202">
        <v>9.9999999999977066E-2</v>
      </c>
      <c r="CF19" s="202">
        <v>0.99835937342764458</v>
      </c>
      <c r="CG19" s="201">
        <v>4.1978216576754795E-2</v>
      </c>
      <c r="CH19" s="201">
        <v>-0.59199220390966856</v>
      </c>
      <c r="CI19" s="201">
        <v>1.4388633938748725</v>
      </c>
      <c r="CJ19" s="201">
        <v>0.51629497219987985</v>
      </c>
      <c r="CK19" s="201">
        <v>0.22471360076795019</v>
      </c>
      <c r="CL19" s="201">
        <v>0.5113184325894945</v>
      </c>
      <c r="CM19" s="201">
        <v>-1.1811103286167195</v>
      </c>
      <c r="CN19" s="201">
        <v>1.8444180799174128</v>
      </c>
      <c r="CO19" s="201">
        <v>1.7954567830623249</v>
      </c>
      <c r="CP19" s="201">
        <v>2.6787181818115928</v>
      </c>
      <c r="CQ19" s="201">
        <v>0.20239718141106225</v>
      </c>
      <c r="CR19" s="201">
        <v>9.0565916104273947E-2</v>
      </c>
      <c r="CS19" s="201">
        <v>1.678634661347099</v>
      </c>
      <c r="CT19" s="201">
        <v>2.057304011932604</v>
      </c>
      <c r="CU19" s="201">
        <v>1.7035539655705805</v>
      </c>
      <c r="CV19" s="201">
        <v>1.7865512265575583</v>
      </c>
      <c r="CW19" s="201">
        <v>-1.0319702508491421E-2</v>
      </c>
      <c r="CX19" s="201">
        <v>-7.7111649951316849E-2</v>
      </c>
      <c r="CY19" s="201">
        <v>0.44339491248324159</v>
      </c>
      <c r="CZ19" s="201">
        <v>-1.2829793379486263</v>
      </c>
      <c r="DA19" s="206">
        <v>2.0999999999999917</v>
      </c>
      <c r="DB19" s="206">
        <v>2.099999999999997</v>
      </c>
      <c r="DC19" s="207">
        <v>2.499999999999992</v>
      </c>
      <c r="DD19" s="207">
        <v>2.4999999999999618</v>
      </c>
      <c r="DE19" s="208">
        <v>2.1590230627818245</v>
      </c>
      <c r="DF19" s="202">
        <v>1.0172445584385754</v>
      </c>
      <c r="DG19" s="202">
        <v>0</v>
      </c>
      <c r="DH19" s="202">
        <v>1.3919343057102982</v>
      </c>
      <c r="DI19" s="202">
        <v>-4.3257145190386162E-2</v>
      </c>
      <c r="DJ19" s="202">
        <v>-0.83898308398849453</v>
      </c>
      <c r="DK19" s="202">
        <v>0.11732028401447937</v>
      </c>
      <c r="DL19" s="202">
        <v>0.2143828914324426</v>
      </c>
      <c r="DM19" s="202">
        <v>1.2611216720565452</v>
      </c>
      <c r="DN19" s="202">
        <v>0.94830731653625122</v>
      </c>
      <c r="DO19" s="202">
        <v>1.3414311505334615</v>
      </c>
      <c r="DP19" s="202">
        <v>0.76999814671316769</v>
      </c>
      <c r="DQ19" s="202">
        <v>-0.71287030541017826</v>
      </c>
      <c r="DR19" s="202">
        <v>0.14696629925080479</v>
      </c>
      <c r="DS19" s="202">
        <v>0.4234094001737565</v>
      </c>
      <c r="DT19" s="202">
        <v>1.5436539302654408</v>
      </c>
      <c r="DU19" s="202">
        <v>2.2742389612472778</v>
      </c>
      <c r="DV19" s="202">
        <v>0.3385798349318645</v>
      </c>
      <c r="DW19" s="202">
        <v>1.3280348623604812</v>
      </c>
      <c r="DX19" s="202">
        <v>1.3983950731990042</v>
      </c>
      <c r="DY19" s="212">
        <v>1.8825380278953752</v>
      </c>
      <c r="DZ19" s="212">
        <v>1.7481128662013998</v>
      </c>
      <c r="EA19" s="212">
        <v>0.26067669865102089</v>
      </c>
      <c r="EB19" s="212">
        <v>2.0279596082473752</v>
      </c>
      <c r="EC19" s="212">
        <v>2.2641183956104376</v>
      </c>
      <c r="ED19" s="201">
        <v>2.5538216008565682</v>
      </c>
      <c r="EE19" s="201">
        <v>2.1184172099586545</v>
      </c>
      <c r="EF19" s="202">
        <v>2.403710441010193</v>
      </c>
      <c r="EG19" s="202">
        <v>1.94095297711924</v>
      </c>
      <c r="EH19" s="202">
        <v>2.0301093435381032</v>
      </c>
      <c r="EI19" s="201">
        <v>1.2857435386912797</v>
      </c>
      <c r="EJ19" s="202">
        <v>2.2261745175893197</v>
      </c>
      <c r="EK19" s="202">
        <v>0.46567084592306385</v>
      </c>
      <c r="EL19" s="202">
        <v>1.1081968160128499</v>
      </c>
      <c r="EM19" s="202">
        <v>2.2699698382077962</v>
      </c>
      <c r="EN19" s="213">
        <v>1.3921561198589929</v>
      </c>
      <c r="EO19" s="213">
        <v>1.6684186185859362</v>
      </c>
      <c r="EP19" s="213">
        <v>2.9096713482246312</v>
      </c>
      <c r="EQ19" s="213">
        <v>0.76342359179006325</v>
      </c>
      <c r="ER19" s="213">
        <v>2.5591198459969595</v>
      </c>
      <c r="ES19" s="213">
        <v>1.7253257501557615</v>
      </c>
      <c r="ET19" s="204">
        <v>2.8367197515820006</v>
      </c>
      <c r="EU19" s="204">
        <v>3.6112705935459357</v>
      </c>
      <c r="EV19" s="204">
        <v>1.3669055252462641</v>
      </c>
      <c r="EW19" s="204">
        <v>1.550556276037063</v>
      </c>
      <c r="EX19" s="204">
        <v>1.4968277935212058</v>
      </c>
      <c r="EY19" s="204">
        <v>1.8573878336292933</v>
      </c>
      <c r="EZ19" s="204">
        <v>1.1242697190422375</v>
      </c>
      <c r="FA19" s="204">
        <v>0.90055561048711552</v>
      </c>
      <c r="FB19" s="204">
        <v>1.560491294183306</v>
      </c>
      <c r="FC19" s="204">
        <v>1.1990858281551589</v>
      </c>
      <c r="FD19" s="204">
        <v>1.7757024977529037</v>
      </c>
      <c r="FE19" s="204">
        <v>1.0225470587874923</v>
      </c>
      <c r="FF19" s="204">
        <v>1.4572963964038057</v>
      </c>
      <c r="FG19" s="204">
        <v>1.3545622498134586</v>
      </c>
      <c r="FH19" s="204">
        <v>0.27966046012396267</v>
      </c>
      <c r="FI19" s="204">
        <v>1.3860429462392816</v>
      </c>
      <c r="FJ19" s="204">
        <v>4.5792684103437749</v>
      </c>
      <c r="FK19" s="204">
        <v>6.6343806977297355</v>
      </c>
      <c r="FL19" s="204">
        <v>5.2321281730266822</v>
      </c>
      <c r="FM19" s="204">
        <v>5.2132601855730893</v>
      </c>
      <c r="FN19" s="204">
        <v>4.2514795402764181</v>
      </c>
      <c r="FO19" s="204">
        <v>4.2514795402764181</v>
      </c>
      <c r="FP19" s="204">
        <v>-7.4629556506627708</v>
      </c>
    </row>
    <row r="20" spans="2:174" ht="13" x14ac:dyDescent="0.25">
      <c r="B20" s="199">
        <v>14</v>
      </c>
      <c r="C20" s="1931" t="s">
        <v>132</v>
      </c>
      <c r="D20" s="199">
        <v>14</v>
      </c>
      <c r="E20" s="205">
        <f>'NORTH-2'!$N$1301</f>
        <v>-100</v>
      </c>
      <c r="F20" s="1890">
        <v>0.77767548599502601</v>
      </c>
      <c r="G20" s="1890">
        <v>2.218340490917833</v>
      </c>
      <c r="H20" s="1890">
        <v>0.89482321083708583</v>
      </c>
      <c r="I20" s="1890">
        <v>0.96439487776592403</v>
      </c>
      <c r="J20" s="1890">
        <v>2.8058548991273571</v>
      </c>
      <c r="K20" s="1890">
        <v>0.24757335145564577</v>
      </c>
      <c r="L20" s="205">
        <v>0.15857777168228254</v>
      </c>
      <c r="M20" s="205">
        <v>1.6724701054948252</v>
      </c>
      <c r="N20" s="205">
        <v>0.41547578826258069</v>
      </c>
      <c r="O20" s="202">
        <v>0.45761013782459181</v>
      </c>
      <c r="P20" s="202">
        <v>0.50499691528355106</v>
      </c>
      <c r="Q20" s="202">
        <v>1.1471582041848802</v>
      </c>
      <c r="R20" s="202">
        <v>2.0342769645890253</v>
      </c>
      <c r="S20" s="202">
        <v>2.7838853063437323</v>
      </c>
      <c r="T20" s="202">
        <v>0.38261096563932467</v>
      </c>
      <c r="U20" s="202">
        <v>2.3046910848727116</v>
      </c>
      <c r="V20" s="202">
        <v>2.0719628614944066</v>
      </c>
      <c r="W20" s="202">
        <v>1.3192108088090546</v>
      </c>
      <c r="X20" s="202">
        <v>1.8338398424044666</v>
      </c>
      <c r="Y20" s="202">
        <v>1.2200181518692115</v>
      </c>
      <c r="Z20" s="202">
        <v>2.2863224035492191</v>
      </c>
      <c r="AA20" s="202">
        <v>1.4425433861426509</v>
      </c>
      <c r="AB20" s="202">
        <v>1.1136683125211089</v>
      </c>
      <c r="AC20" s="202">
        <v>1.23</v>
      </c>
      <c r="AD20" s="202">
        <v>0.99501394776725893</v>
      </c>
      <c r="AE20" s="202">
        <v>2.6798183668208351</v>
      </c>
      <c r="AF20" s="202">
        <v>1.7506467562873995</v>
      </c>
      <c r="AG20" s="202">
        <v>2.3319564182815813</v>
      </c>
      <c r="AH20" s="202">
        <v>2.41482517944549</v>
      </c>
      <c r="AI20" s="202">
        <v>2.5610313892592185</v>
      </c>
      <c r="AJ20" s="202">
        <v>2.8394646350855295</v>
      </c>
      <c r="AK20" s="202">
        <v>2.5338962609709319</v>
      </c>
      <c r="AL20" s="202">
        <v>2.1801722923386588</v>
      </c>
      <c r="AM20" s="202">
        <v>1.1173496548539563</v>
      </c>
      <c r="AN20" s="202">
        <v>1.2774410004573589</v>
      </c>
      <c r="AO20" s="202">
        <v>1.5713044348394063</v>
      </c>
      <c r="AP20" s="202">
        <v>0.79874524326589447</v>
      </c>
      <c r="AQ20" s="202">
        <v>2.0882409628426593</v>
      </c>
      <c r="AR20" s="202">
        <v>1.7911298637234225</v>
      </c>
      <c r="AS20" s="202">
        <v>3.4394222090174162</v>
      </c>
      <c r="AT20" s="202">
        <v>2.6741531195240165</v>
      </c>
      <c r="AU20" s="202">
        <v>3.3770072406071447</v>
      </c>
      <c r="AV20" s="202">
        <v>2.8625036622225259</v>
      </c>
      <c r="AW20" s="202"/>
      <c r="AX20" s="202">
        <v>3.5607501454329054</v>
      </c>
      <c r="AY20" s="202">
        <v>2.1510820039813909</v>
      </c>
      <c r="AZ20" s="202">
        <v>2.2911161733553174</v>
      </c>
      <c r="BA20" s="202">
        <v>2.9767147894445203</v>
      </c>
      <c r="BB20" s="202">
        <v>2.6111324487832852</v>
      </c>
      <c r="BC20" s="202">
        <v>1.6554199758200094</v>
      </c>
      <c r="BD20" s="202">
        <v>1.6554199758199966</v>
      </c>
      <c r="BE20" s="202">
        <v>3.5094460750608873</v>
      </c>
      <c r="BF20" s="202">
        <v>1.6235812861685244</v>
      </c>
      <c r="BG20" s="202">
        <v>2.5874620775333756</v>
      </c>
      <c r="BH20" s="202">
        <v>2.0506061948623167</v>
      </c>
      <c r="BI20" s="202">
        <v>1.0341060998562039</v>
      </c>
      <c r="BJ20" s="202"/>
      <c r="BK20" s="202">
        <v>1.4095891427011304</v>
      </c>
      <c r="BL20" s="202">
        <v>2.4735336021342444</v>
      </c>
      <c r="BM20" s="202">
        <v>1.3172784662146728</v>
      </c>
      <c r="BN20" s="202">
        <v>1.6409564500411005</v>
      </c>
      <c r="BO20" s="202">
        <v>-2.0070900421136946</v>
      </c>
      <c r="BP20" s="202">
        <v>2.0268388635283463</v>
      </c>
      <c r="BQ20" s="202">
        <v>2.9500003380269484</v>
      </c>
      <c r="BR20" s="202">
        <v>1.9092278954096158</v>
      </c>
      <c r="BS20" s="202">
        <v>1.5614954828416314</v>
      </c>
      <c r="BT20" s="202">
        <v>1.6465300043523878</v>
      </c>
      <c r="BU20" s="202">
        <v>1.8255622104630549</v>
      </c>
      <c r="BV20" s="202">
        <v>2.9944500168911614</v>
      </c>
      <c r="BW20" s="202">
        <v>-7.5824996035389863E-4</v>
      </c>
      <c r="BX20" s="202">
        <v>3.7310751481238018</v>
      </c>
      <c r="BY20" s="202">
        <v>3.4587373016627234</v>
      </c>
      <c r="BZ20" s="202">
        <v>3.4182709737130099</v>
      </c>
      <c r="CA20" s="202">
        <v>0</v>
      </c>
      <c r="CB20" s="202">
        <v>0.27238629638710232</v>
      </c>
      <c r="CC20" s="202">
        <v>4.9343015288516758</v>
      </c>
      <c r="CD20" s="202">
        <v>-0.25275118560417048</v>
      </c>
      <c r="CE20" s="202">
        <v>3.0356792545545579</v>
      </c>
      <c r="CF20" s="202">
        <v>1.708991036063489</v>
      </c>
      <c r="CG20" s="201">
        <v>2.1335699727257511</v>
      </c>
      <c r="CH20" s="201">
        <v>2.4634547729954899</v>
      </c>
      <c r="CI20" s="201">
        <v>9.9999999999994413E-2</v>
      </c>
      <c r="CJ20" s="201">
        <v>2.064960400609563</v>
      </c>
      <c r="CK20" s="208">
        <v>2.3799173799058542</v>
      </c>
      <c r="CL20" s="201">
        <v>1.9581037311860578</v>
      </c>
      <c r="CM20" s="201">
        <v>3.3086428520174507</v>
      </c>
      <c r="CN20" s="201">
        <v>2.7362581239268025</v>
      </c>
      <c r="CO20" s="201">
        <v>2.1015144641647305</v>
      </c>
      <c r="CP20" s="201">
        <v>2.4442062717621766</v>
      </c>
      <c r="CQ20" s="201">
        <v>1.9628135164526754</v>
      </c>
      <c r="CR20" s="201">
        <v>2.8751686476068303</v>
      </c>
      <c r="CS20" s="201">
        <v>1.2907442094194173</v>
      </c>
      <c r="CT20" s="201">
        <v>2.1880646164037638</v>
      </c>
      <c r="CU20" s="201">
        <v>1.6273476589881801</v>
      </c>
      <c r="CV20" s="201">
        <v>1.3388657654987766</v>
      </c>
      <c r="CW20" s="201">
        <v>2.2550502619011059</v>
      </c>
      <c r="CX20" s="201">
        <v>0</v>
      </c>
      <c r="CY20" s="201">
        <v>1.9213431067844604</v>
      </c>
      <c r="CZ20" s="201">
        <v>-0.56933471570788263</v>
      </c>
      <c r="DA20" s="201">
        <v>4.0563262080209359</v>
      </c>
      <c r="DB20" s="201">
        <v>2.9210098512040168</v>
      </c>
      <c r="DC20" s="202">
        <v>0.55371353578305083</v>
      </c>
      <c r="DD20" s="202">
        <v>4.8394330615479939</v>
      </c>
      <c r="DE20" s="202">
        <v>1.4558917197100487</v>
      </c>
      <c r="DF20" s="202">
        <v>1.1727867586014478</v>
      </c>
      <c r="DG20" s="202">
        <v>2.5241393638583203</v>
      </c>
      <c r="DH20" s="202">
        <v>2.7171764842793276</v>
      </c>
      <c r="DI20" s="202">
        <v>2.1780801653525992</v>
      </c>
      <c r="DJ20" s="202">
        <v>1.8815532253502025</v>
      </c>
      <c r="DK20" s="202">
        <v>2.1019803051202586</v>
      </c>
      <c r="DL20" s="202">
        <v>1.5382423154164286</v>
      </c>
      <c r="DM20" s="202">
        <v>2.2251495908362222</v>
      </c>
      <c r="DN20" s="202">
        <v>1.8427972595429953</v>
      </c>
      <c r="DO20" s="202">
        <v>0.38018964446233522</v>
      </c>
      <c r="DP20" s="202">
        <v>2.8274580832133016</v>
      </c>
      <c r="DQ20" s="202">
        <v>0.67235423704745367</v>
      </c>
      <c r="DR20" s="202">
        <v>0.59817201224417083</v>
      </c>
      <c r="DS20" s="202">
        <v>0.71646641407291711</v>
      </c>
      <c r="DT20" s="202">
        <v>1.4429736589060851</v>
      </c>
      <c r="DU20" s="202">
        <v>0.62973927913569383</v>
      </c>
      <c r="DV20" s="202">
        <v>0.92521261270536292</v>
      </c>
      <c r="DW20" s="202">
        <v>0.23408506994005138</v>
      </c>
      <c r="DX20" s="202">
        <v>-9.9227836077770928E-2</v>
      </c>
      <c r="DY20" s="201">
        <v>1.7006142205728432</v>
      </c>
      <c r="DZ20" s="201">
        <v>1.7151231602544872</v>
      </c>
      <c r="EA20" s="201">
        <v>1.6876822662324269</v>
      </c>
      <c r="EB20" s="201">
        <v>1.6324821165299608</v>
      </c>
      <c r="EC20" s="201">
        <v>1.8738234127323241</v>
      </c>
      <c r="ED20" s="201">
        <v>0.93415997756404723</v>
      </c>
      <c r="EE20" s="201">
        <v>1.4028928151148555E-2</v>
      </c>
      <c r="EF20" s="201">
        <v>1.3412411915595077</v>
      </c>
      <c r="EG20" s="201">
        <v>1.1148419074152194</v>
      </c>
      <c r="EH20" s="201">
        <v>1.519137568231663</v>
      </c>
      <c r="EI20" s="201">
        <v>1.5399849277096171</v>
      </c>
      <c r="EJ20" s="201">
        <v>2.0333128905120059</v>
      </c>
      <c r="EK20" s="201">
        <v>2.1731796869368734</v>
      </c>
      <c r="EL20" s="201">
        <v>2.1283441094088014</v>
      </c>
      <c r="EM20" s="201">
        <v>1.8990074195199258</v>
      </c>
      <c r="EN20" s="201">
        <v>1.9010554146604353</v>
      </c>
      <c r="EO20" s="201">
        <v>1.6620800056921687</v>
      </c>
      <c r="EP20" s="201">
        <v>1.8016953883466917</v>
      </c>
      <c r="EQ20" s="201">
        <v>1.1593584575586335</v>
      </c>
      <c r="ER20" s="201">
        <v>1.3268642053931123</v>
      </c>
      <c r="ES20" s="201">
        <v>0.96381306859505866</v>
      </c>
      <c r="ET20" s="204">
        <v>7.7460717269110413</v>
      </c>
      <c r="EU20" s="204">
        <v>2.1766677422621346</v>
      </c>
      <c r="EV20" s="204">
        <v>3.0630737830836745</v>
      </c>
      <c r="EW20" s="204">
        <v>1.8798028139670317</v>
      </c>
      <c r="EX20" s="204">
        <v>1.89433531600421</v>
      </c>
      <c r="EY20" s="204">
        <v>1.848811767986281</v>
      </c>
      <c r="EZ20" s="204">
        <v>1.9333349516249125</v>
      </c>
      <c r="FA20" s="204">
        <v>1.8565843434027129</v>
      </c>
      <c r="FB20" s="204">
        <v>1.4767968033175229</v>
      </c>
      <c r="FC20" s="204">
        <v>1.904377175575851</v>
      </c>
      <c r="FD20" s="204">
        <v>2.0192763331731554</v>
      </c>
      <c r="FE20" s="204">
        <v>1.5928958721332904</v>
      </c>
      <c r="FF20" s="204">
        <v>1.6008217525957058</v>
      </c>
      <c r="FG20" s="204">
        <v>1.5626795937050952</v>
      </c>
      <c r="FH20" s="204">
        <v>2.3036981120547493</v>
      </c>
      <c r="FI20" s="204">
        <v>1.9517727996045249</v>
      </c>
      <c r="FJ20" s="204">
        <v>3.670048766069558</v>
      </c>
      <c r="FK20" s="204">
        <v>-0.55870726082533073</v>
      </c>
      <c r="FL20" s="204">
        <v>1.8448572442729905</v>
      </c>
      <c r="FM20" s="204">
        <v>8.9729396278808</v>
      </c>
      <c r="FN20" s="204">
        <v>2.3704779104648148</v>
      </c>
      <c r="FO20" s="204">
        <v>2.3704779104648148</v>
      </c>
      <c r="FP20" s="204">
        <v>1.7442321833850909</v>
      </c>
    </row>
    <row r="21" spans="2:174" ht="13" x14ac:dyDescent="0.25">
      <c r="B21" s="199">
        <v>15</v>
      </c>
      <c r="C21" s="1931" t="s">
        <v>133</v>
      </c>
      <c r="D21" s="199">
        <v>15</v>
      </c>
      <c r="E21" s="205">
        <f>'NORTH-2'!$N$761</f>
        <v>-100</v>
      </c>
      <c r="F21" s="1890">
        <v>-0.941236033732052</v>
      </c>
      <c r="G21" s="1890">
        <v>0.65480844007625127</v>
      </c>
      <c r="H21" s="1890">
        <v>-0.1389689312816407</v>
      </c>
      <c r="I21" s="1890">
        <v>0.57846505623242772</v>
      </c>
      <c r="J21" s="1890">
        <v>0.27365505719863975</v>
      </c>
      <c r="K21" s="1890">
        <v>0.52113158835377382</v>
      </c>
      <c r="L21" s="205">
        <v>0.41724991776366932</v>
      </c>
      <c r="M21" s="205">
        <v>0.4406200461412782</v>
      </c>
      <c r="N21" s="205">
        <v>0.45208439662422018</v>
      </c>
      <c r="O21" s="202">
        <v>3.7538670320933776E-2</v>
      </c>
      <c r="P21" s="202">
        <v>0.91595846203789688</v>
      </c>
      <c r="Q21" s="202">
        <v>0.1204682691634668</v>
      </c>
      <c r="R21" s="202">
        <v>1.1188298993798464</v>
      </c>
      <c r="S21" s="202">
        <v>0.76903748772811664</v>
      </c>
      <c r="T21" s="202">
        <v>0.51083571499786207</v>
      </c>
      <c r="U21" s="202">
        <v>-3.1985509912298232E-2</v>
      </c>
      <c r="V21" s="202">
        <v>0.31217468003044813</v>
      </c>
      <c r="W21" s="202">
        <v>0.5306736887595408</v>
      </c>
      <c r="X21" s="202">
        <v>0.5068267434805398</v>
      </c>
      <c r="Y21" s="202">
        <v>0.27419934033043802</v>
      </c>
      <c r="Z21" s="202">
        <v>0.28677823732333135</v>
      </c>
      <c r="AA21" s="202">
        <v>1.1073450861823173</v>
      </c>
      <c r="AB21" s="202">
        <v>0.4860336212802247</v>
      </c>
      <c r="AC21" s="202">
        <v>0.23</v>
      </c>
      <c r="AD21" s="202">
        <v>0.42951245573226743</v>
      </c>
      <c r="AE21" s="202">
        <v>0.46225936124242517</v>
      </c>
      <c r="AF21" s="202">
        <v>0.31801404063525041</v>
      </c>
      <c r="AG21" s="202">
        <v>0.40585459745360164</v>
      </c>
      <c r="AH21" s="202">
        <v>0.39742357667263961</v>
      </c>
      <c r="AI21" s="202">
        <v>0.42296798549140885</v>
      </c>
      <c r="AJ21" s="202">
        <v>0.25988933912481171</v>
      </c>
      <c r="AK21" s="202">
        <v>0.22361602188310037</v>
      </c>
      <c r="AL21" s="202">
        <v>-0.39307193161737963</v>
      </c>
      <c r="AM21" s="202">
        <v>-0.63597799942759281</v>
      </c>
      <c r="AN21" s="202">
        <v>6.0456047662545261E-2</v>
      </c>
      <c r="AO21" s="202">
        <v>-0.52785355291124436</v>
      </c>
      <c r="AP21" s="202">
        <v>-0.61808408675456017</v>
      </c>
      <c r="AQ21" s="202">
        <v>5.5870700373005261E-2</v>
      </c>
      <c r="AR21" s="202">
        <v>3.4431092383284261</v>
      </c>
      <c r="AS21" s="202">
        <v>1.9839452848237022</v>
      </c>
      <c r="AT21" s="202">
        <v>2.3430291581160887</v>
      </c>
      <c r="AU21" s="202">
        <v>2.4132505689299864</v>
      </c>
      <c r="AV21" s="202">
        <v>1.5036881425087054</v>
      </c>
      <c r="AW21" s="202"/>
      <c r="AX21" s="202">
        <v>3.0361468719567579</v>
      </c>
      <c r="AY21" s="202">
        <v>0</v>
      </c>
      <c r="AZ21" s="202">
        <v>3.1704394492333616</v>
      </c>
      <c r="BA21" s="202">
        <v>4.6315911307345736</v>
      </c>
      <c r="BB21" s="202">
        <v>2.7830550454878296</v>
      </c>
      <c r="BC21" s="202">
        <v>4.0086074480266243</v>
      </c>
      <c r="BD21" s="202">
        <v>1.8288869476293164</v>
      </c>
      <c r="BE21" s="202">
        <v>2.3912528782260001</v>
      </c>
      <c r="BF21" s="202">
        <v>0.19031615605460678</v>
      </c>
      <c r="BG21" s="202">
        <v>0.51274199734366066</v>
      </c>
      <c r="BH21" s="202">
        <v>0.58186173857777701</v>
      </c>
      <c r="BI21" s="202">
        <v>1.3065305829933447</v>
      </c>
      <c r="BJ21" s="202"/>
      <c r="BK21" s="202">
        <v>1.3485799008743982</v>
      </c>
      <c r="BL21" s="202">
        <v>0.29945263058181903</v>
      </c>
      <c r="BM21" s="202">
        <v>1.5431655817634018</v>
      </c>
      <c r="BN21" s="202">
        <v>1.1197786961912406</v>
      </c>
      <c r="BO21" s="202">
        <v>0.83469937381204873</v>
      </c>
      <c r="BP21" s="202">
        <v>0.79857519018814749</v>
      </c>
      <c r="BQ21" s="202">
        <v>0.80446390772012621</v>
      </c>
      <c r="BR21" s="202">
        <v>-0.43724928968932564</v>
      </c>
      <c r="BS21" s="202">
        <v>0.76004243065450838</v>
      </c>
      <c r="BT21" s="202">
        <v>0.90511507130712676</v>
      </c>
      <c r="BU21" s="202">
        <v>1.1921083355355466</v>
      </c>
      <c r="BV21" s="202">
        <v>0.6401401739346918</v>
      </c>
      <c r="BW21" s="202">
        <v>1.0377954430786351</v>
      </c>
      <c r="BX21" s="202">
        <v>-0.26702082435502761</v>
      </c>
      <c r="BY21" s="202">
        <v>0.19495618785483293</v>
      </c>
      <c r="BZ21" s="202">
        <v>0.70604238491241567</v>
      </c>
      <c r="CA21" s="202">
        <v>0.89747974817094589</v>
      </c>
      <c r="CB21" s="202">
        <v>0.53358787092331517</v>
      </c>
      <c r="CC21" s="202">
        <v>0.76646195001895145</v>
      </c>
      <c r="CD21" s="202">
        <v>1.1068962487743428</v>
      </c>
      <c r="CE21" s="202">
        <v>1.306734576418678</v>
      </c>
      <c r="CF21" s="207">
        <v>0.85422775217026437</v>
      </c>
      <c r="CG21" s="208">
        <v>1.0474405913036662</v>
      </c>
      <c r="CH21" s="208">
        <v>1.43426631444176</v>
      </c>
      <c r="CI21" s="208">
        <v>0.15041171861409169</v>
      </c>
      <c r="CJ21" s="208">
        <v>4.7780794850016486</v>
      </c>
      <c r="CK21" s="208">
        <v>3.526100958407457</v>
      </c>
      <c r="CL21" s="201">
        <v>1.0102183563118463</v>
      </c>
      <c r="CM21" s="201">
        <v>2.5867426514275813</v>
      </c>
      <c r="CN21" s="201">
        <v>1.5611478313763349</v>
      </c>
      <c r="CO21" s="201">
        <v>1.0254661977018891</v>
      </c>
      <c r="CP21" s="201">
        <v>1.8102135019016892</v>
      </c>
      <c r="CQ21" s="201">
        <v>1.8119335125674314</v>
      </c>
      <c r="CR21" s="201">
        <v>0.14088156987649783</v>
      </c>
      <c r="CS21" s="201">
        <v>6.2622250138165053E-2</v>
      </c>
      <c r="CT21" s="201">
        <v>0.25474561987870964</v>
      </c>
      <c r="CU21" s="201">
        <v>0.29188692593095317</v>
      </c>
      <c r="CV21" s="201">
        <v>0.33197073657529852</v>
      </c>
      <c r="CW21" s="201">
        <v>0.64813538247296132</v>
      </c>
      <c r="CX21" s="201">
        <v>0.27628143009438383</v>
      </c>
      <c r="CY21" s="201">
        <v>3.7193310737781706</v>
      </c>
      <c r="CZ21" s="201">
        <v>0.50000000000001255</v>
      </c>
      <c r="DA21" s="201">
        <v>0.49999999999996608</v>
      </c>
      <c r="DB21" s="201">
        <v>0.49999999999998518</v>
      </c>
      <c r="DC21" s="202">
        <v>0.50000000000000888</v>
      </c>
      <c r="DD21" s="202">
        <v>0.49999999999998468</v>
      </c>
      <c r="DE21" s="202">
        <v>0.4999999999999829</v>
      </c>
      <c r="DF21" s="202">
        <v>0.4999999999999668</v>
      </c>
      <c r="DG21" s="202">
        <v>0.50000000000000344</v>
      </c>
      <c r="DH21" s="202">
        <v>0.49999999999999717</v>
      </c>
      <c r="DI21" s="202">
        <v>0.49999999999999073</v>
      </c>
      <c r="DJ21" s="202">
        <v>0.49999999999997757</v>
      </c>
      <c r="DK21" s="202">
        <v>0.49999999999998213</v>
      </c>
      <c r="DL21" s="202">
        <v>0.49999999999999256</v>
      </c>
      <c r="DM21" s="202">
        <v>0.49999999999997902</v>
      </c>
      <c r="DN21" s="202">
        <v>0.49999999999999201</v>
      </c>
      <c r="DO21" s="202">
        <v>0.67906460525412071</v>
      </c>
      <c r="DP21" s="202">
        <v>1.8910837576253792</v>
      </c>
      <c r="DQ21" s="202">
        <v>1.7666432250339414</v>
      </c>
      <c r="DR21" s="202">
        <v>5.4111198355921382E-2</v>
      </c>
      <c r="DS21" s="202">
        <v>1.3844354433835977</v>
      </c>
      <c r="DT21" s="202">
        <v>0.5410238775809405</v>
      </c>
      <c r="DU21" s="202">
        <v>1.6313953679095188</v>
      </c>
      <c r="DV21" s="202">
        <v>0.66208723928434066</v>
      </c>
      <c r="DW21" s="202">
        <v>0.72029662176992226</v>
      </c>
      <c r="DX21" s="202">
        <v>0.67644186979844922</v>
      </c>
      <c r="DY21" s="202">
        <v>0.86485590142437041</v>
      </c>
      <c r="DZ21" s="201">
        <v>1.422337921137468</v>
      </c>
      <c r="EA21" s="201">
        <v>0.73176345993907599</v>
      </c>
      <c r="EB21" s="201">
        <v>0.69488746683953062</v>
      </c>
      <c r="EC21" s="201">
        <v>0.73517019968498776</v>
      </c>
      <c r="ED21" s="201">
        <v>0.74493398502046337</v>
      </c>
      <c r="EE21" s="201">
        <v>3.1205886501786217</v>
      </c>
      <c r="EF21" s="201">
        <v>1.5448213548300944</v>
      </c>
      <c r="EG21" s="201">
        <v>1.5373693761908558</v>
      </c>
      <c r="EH21" s="201">
        <v>1.5225245008671684</v>
      </c>
      <c r="EI21" s="201">
        <v>1.6880210350780613</v>
      </c>
      <c r="EJ21" s="201">
        <v>1.9921537905195363</v>
      </c>
      <c r="EK21" s="201">
        <v>2.0515416636366295</v>
      </c>
      <c r="EL21" s="201">
        <v>1.975153396202042</v>
      </c>
      <c r="EM21" s="201">
        <v>2.1005106026158802</v>
      </c>
      <c r="EN21" s="201">
        <v>2.1395648315162483</v>
      </c>
      <c r="EO21" s="201">
        <v>2.0148380810650695</v>
      </c>
      <c r="EP21" s="201">
        <v>1.983627552239402</v>
      </c>
      <c r="EQ21" s="201">
        <v>1.7591805565339083</v>
      </c>
      <c r="ER21" s="201">
        <v>2.0322365914156162</v>
      </c>
      <c r="ES21" s="201">
        <v>1.4821720013640645</v>
      </c>
      <c r="ET21" s="204">
        <v>1.7851172666480926</v>
      </c>
      <c r="EU21" s="204">
        <v>3.1231563658052677</v>
      </c>
      <c r="EV21" s="204">
        <v>0.82116481052188184</v>
      </c>
      <c r="EW21" s="204">
        <v>0.35787194331875199</v>
      </c>
      <c r="EX21" s="204">
        <v>2.6223564253764908</v>
      </c>
      <c r="EY21" s="204">
        <v>1.7075906838289006</v>
      </c>
      <c r="EZ21" s="204">
        <v>1.8212484818980654</v>
      </c>
      <c r="FA21" s="204">
        <v>-2.7454690072185883E-2</v>
      </c>
      <c r="FB21" s="204">
        <v>2.8542933073406429</v>
      </c>
      <c r="FC21" s="204">
        <v>1.0912486607508098</v>
      </c>
      <c r="FD21" s="204">
        <v>0.57082609623763947</v>
      </c>
      <c r="FE21" s="204">
        <v>1.0910688911541595</v>
      </c>
      <c r="FF21" s="204">
        <v>-1.0940890064584639</v>
      </c>
      <c r="FG21" s="204">
        <v>1.1910181315867077</v>
      </c>
      <c r="FH21" s="204">
        <v>1.2837750953120002</v>
      </c>
      <c r="FI21" s="204">
        <v>1.4673311725072968</v>
      </c>
      <c r="FJ21" s="204">
        <v>-0.44561711944643179</v>
      </c>
      <c r="FK21" s="204">
        <v>1.593136164508139</v>
      </c>
      <c r="FL21" s="204">
        <v>1.8680439134524636</v>
      </c>
      <c r="FM21" s="204">
        <v>1.5877168580803669</v>
      </c>
      <c r="FN21" s="204">
        <v>2.0481671044819691</v>
      </c>
      <c r="FO21" s="204">
        <v>2.0481671044819691</v>
      </c>
      <c r="FP21" s="204">
        <v>0.6793562104460128</v>
      </c>
    </row>
    <row r="22" spans="2:174" ht="13" x14ac:dyDescent="0.25">
      <c r="B22" s="199">
        <v>16</v>
      </c>
      <c r="C22" s="1931" t="s">
        <v>134</v>
      </c>
      <c r="D22" s="199">
        <v>16</v>
      </c>
      <c r="E22" s="205">
        <f>'NORTH-2'!$N$1070</f>
        <v>-100</v>
      </c>
      <c r="F22" s="1890">
        <v>1.011314555717411</v>
      </c>
      <c r="G22" s="1890">
        <v>1.3230676539861592</v>
      </c>
      <c r="H22" s="1890">
        <v>0.33967955066675437</v>
      </c>
      <c r="I22" s="1890">
        <v>0.70712311023581742</v>
      </c>
      <c r="J22" s="1890">
        <v>9.8814672533318007E-2</v>
      </c>
      <c r="K22" s="1890">
        <v>-4.491119607217392E-2</v>
      </c>
      <c r="L22" s="205">
        <v>0.23679339219739781</v>
      </c>
      <c r="M22" s="205">
        <v>1.0524167970294918</v>
      </c>
      <c r="N22" s="205">
        <v>1.6227627550004058</v>
      </c>
      <c r="O22" s="202">
        <v>0.26558112643705345</v>
      </c>
      <c r="P22" s="202">
        <v>0.23421701963663033</v>
      </c>
      <c r="Q22" s="202">
        <v>8.8501940743099763E-2</v>
      </c>
      <c r="R22" s="202">
        <v>0.33532683798969071</v>
      </c>
      <c r="S22" s="202">
        <v>1.9263163141769051</v>
      </c>
      <c r="T22" s="202">
        <v>1.3289671285104954</v>
      </c>
      <c r="U22" s="202">
        <v>1.6903481131630378</v>
      </c>
      <c r="V22" s="202">
        <v>1.4705784614266812</v>
      </c>
      <c r="W22" s="202">
        <v>-0.37402139642431026</v>
      </c>
      <c r="X22" s="202">
        <v>1.371336986276912</v>
      </c>
      <c r="Y22" s="202">
        <v>0.37290753961746947</v>
      </c>
      <c r="Z22" s="202">
        <v>0.54295941899431754</v>
      </c>
      <c r="AA22" s="202">
        <v>2.2787251463500935</v>
      </c>
      <c r="AB22" s="202">
        <v>1.0118415601636404</v>
      </c>
      <c r="AC22" s="202">
        <v>0.84</v>
      </c>
      <c r="AD22" s="202">
        <v>1.9242394198672064</v>
      </c>
      <c r="AE22" s="202">
        <v>0.14333754907789861</v>
      </c>
      <c r="AF22" s="202">
        <v>9.4891253177996265E-2</v>
      </c>
      <c r="AG22" s="202">
        <v>1.3424762143166564</v>
      </c>
      <c r="AH22" s="202">
        <v>1.0332587810419172</v>
      </c>
      <c r="AI22" s="202">
        <v>2.9746815465628114</v>
      </c>
      <c r="AJ22" s="202">
        <v>1.7673218977736234</v>
      </c>
      <c r="AK22" s="202">
        <v>0.91934747897170832</v>
      </c>
      <c r="AL22" s="202">
        <v>1.2402341859977304</v>
      </c>
      <c r="AM22" s="202">
        <v>-1.9506803281768574</v>
      </c>
      <c r="AN22" s="202">
        <v>0.14302830058686483</v>
      </c>
      <c r="AO22" s="202">
        <v>0.72478471095458918</v>
      </c>
      <c r="AP22" s="202">
        <v>1.8107052609601399E-2</v>
      </c>
      <c r="AQ22" s="202">
        <v>-0.19212989249407947</v>
      </c>
      <c r="AR22" s="202">
        <v>1.9799148641858788</v>
      </c>
      <c r="AS22" s="202">
        <v>2.2339418672021152</v>
      </c>
      <c r="AT22" s="202">
        <v>1.9059319574133851</v>
      </c>
      <c r="AU22" s="202">
        <v>1.8885835792434942</v>
      </c>
      <c r="AV22" s="202">
        <v>2.2529906925835306</v>
      </c>
      <c r="AW22" s="202"/>
      <c r="AX22" s="202">
        <v>1.5811424938897614</v>
      </c>
      <c r="AY22" s="202">
        <v>0.67298167591437619</v>
      </c>
      <c r="AZ22" s="202">
        <v>1.1414651883698914</v>
      </c>
      <c r="BA22" s="202">
        <v>2.3052848211326129</v>
      </c>
      <c r="BB22" s="202">
        <v>0.77238074372315069</v>
      </c>
      <c r="BC22" s="202">
        <v>1.2237533891341585</v>
      </c>
      <c r="BD22" s="202">
        <v>0.68339095506184333</v>
      </c>
      <c r="BE22" s="202">
        <v>1.211631910297194</v>
      </c>
      <c r="BF22" s="202">
        <v>0.93544337852353876</v>
      </c>
      <c r="BG22" s="202">
        <v>1.2193401179442529</v>
      </c>
      <c r="BH22" s="202">
        <v>1.0636203604687886</v>
      </c>
      <c r="BI22" s="202">
        <v>0.23312889006199505</v>
      </c>
      <c r="BJ22" s="202"/>
      <c r="BK22" s="202">
        <v>0.65451496813077104</v>
      </c>
      <c r="BL22" s="202">
        <v>0.14218124591005601</v>
      </c>
      <c r="BM22" s="202">
        <v>1.2824424798094491E-2</v>
      </c>
      <c r="BN22" s="202">
        <v>0.39087067005845494</v>
      </c>
      <c r="BO22" s="202">
        <v>1.9629386400414554E-2</v>
      </c>
      <c r="BP22" s="202">
        <v>0.25748189806544847</v>
      </c>
      <c r="BQ22" s="202">
        <v>-0.12359416471830866</v>
      </c>
      <c r="BR22" s="202">
        <v>3.7618977141785153</v>
      </c>
      <c r="BS22" s="202">
        <v>-0.4518962861509262</v>
      </c>
      <c r="BT22" s="202">
        <v>2.7097225184766618</v>
      </c>
      <c r="BU22" s="203">
        <v>3.3138369195868842</v>
      </c>
      <c r="BV22" s="203">
        <v>3.791336669384763</v>
      </c>
      <c r="BW22" s="203">
        <v>3.8820312310922693</v>
      </c>
      <c r="BX22" s="202">
        <v>1.2382107063768093</v>
      </c>
      <c r="BY22" s="202">
        <v>1.3503964566599611</v>
      </c>
      <c r="BZ22" s="202">
        <v>1.2944415490167382</v>
      </c>
      <c r="CA22" s="202">
        <v>0.41019444160503138</v>
      </c>
      <c r="CB22" s="202">
        <v>0.20000000000001214</v>
      </c>
      <c r="CC22" s="202">
        <v>1.4999999999999716</v>
      </c>
      <c r="CD22" s="202">
        <v>1.4999999999999833</v>
      </c>
      <c r="CE22" s="202">
        <v>2.0501355877211358</v>
      </c>
      <c r="CF22" s="202">
        <v>2.506274618570592</v>
      </c>
      <c r="CG22" s="201">
        <v>1.973567768800357</v>
      </c>
      <c r="CH22" s="201">
        <v>1.260372326201693</v>
      </c>
      <c r="CI22" s="201">
        <v>9.9999999999990694E-2</v>
      </c>
      <c r="CJ22" s="201">
        <v>2.9541865119100246</v>
      </c>
      <c r="CK22" s="201">
        <v>0.53466804992255301</v>
      </c>
      <c r="CL22" s="201">
        <v>0.3204963569975669</v>
      </c>
      <c r="CM22" s="201">
        <v>2.0036161164988768</v>
      </c>
      <c r="CN22" s="201">
        <v>2.4961233191881793</v>
      </c>
      <c r="CO22" s="201">
        <v>2.4640118679043517</v>
      </c>
      <c r="CP22" s="201">
        <v>1.9952245234965402</v>
      </c>
      <c r="CQ22" s="201">
        <v>1.5965629961937653</v>
      </c>
      <c r="CR22" s="201">
        <v>1.9536901874305117</v>
      </c>
      <c r="CS22" s="201">
        <v>1.8333704246018545</v>
      </c>
      <c r="CT22" s="201">
        <v>1.4967721286805586</v>
      </c>
      <c r="CU22" s="201">
        <v>1.305931295636352</v>
      </c>
      <c r="CV22" s="201">
        <v>2.434184091897825</v>
      </c>
      <c r="CW22" s="201">
        <v>0.58240376460731891</v>
      </c>
      <c r="CX22" s="201">
        <v>1.3938755270377496</v>
      </c>
      <c r="CY22" s="201">
        <v>1.7616608185076572</v>
      </c>
      <c r="CZ22" s="201">
        <v>1.3057714803310123</v>
      </c>
      <c r="DA22" s="206">
        <v>1.440630585372068</v>
      </c>
      <c r="DB22" s="206">
        <v>3.1382434120627294</v>
      </c>
      <c r="DC22" s="207">
        <v>0.21251803874897984</v>
      </c>
      <c r="DD22" s="207">
        <v>-4.4990605016633847</v>
      </c>
      <c r="DE22" s="208">
        <v>2.072780515812731</v>
      </c>
      <c r="DF22" s="202">
        <v>1.6816422871628423</v>
      </c>
      <c r="DG22" s="202">
        <v>-0.18215207330036687</v>
      </c>
      <c r="DH22" s="202">
        <v>1.0382071988367634</v>
      </c>
      <c r="DI22" s="202">
        <v>1.7391862298477591E-2</v>
      </c>
      <c r="DJ22" s="202">
        <v>1.4180869976913</v>
      </c>
      <c r="DK22" s="202">
        <v>1.7312634812400591</v>
      </c>
      <c r="DL22" s="202">
        <v>4.5409722665409373E-2</v>
      </c>
      <c r="DM22" s="202">
        <v>1.0383672131149662E-2</v>
      </c>
      <c r="DN22" s="202">
        <v>-0.10288466665380461</v>
      </c>
      <c r="DO22" s="202">
        <v>4.1528174329906846E-2</v>
      </c>
      <c r="DP22" s="202">
        <v>0.60712290922058387</v>
      </c>
      <c r="DQ22" s="202">
        <v>3.1628971295733943</v>
      </c>
      <c r="DR22" s="202">
        <v>-0.15564488353838582</v>
      </c>
      <c r="DS22" s="202">
        <v>1.4478007036637914</v>
      </c>
      <c r="DT22" s="202">
        <v>1.2701926406398878</v>
      </c>
      <c r="DU22" s="202">
        <v>1.219202813893814</v>
      </c>
      <c r="DV22" s="202">
        <v>1.178379761852969</v>
      </c>
      <c r="DW22" s="202">
        <v>1.3251472115696532</v>
      </c>
      <c r="DX22" s="201">
        <v>1.3931633666277203</v>
      </c>
      <c r="DY22" s="201">
        <v>1.3491655306786476</v>
      </c>
      <c r="DZ22" s="201">
        <v>1.3856926118068673</v>
      </c>
      <c r="EA22" s="201">
        <v>1.6153061361134389</v>
      </c>
      <c r="EB22" s="201">
        <v>1.3077096780069513</v>
      </c>
      <c r="EC22" s="201">
        <v>1.2965340122349809</v>
      </c>
      <c r="ED22" s="201">
        <v>3.3284122875616715</v>
      </c>
      <c r="EE22" s="201">
        <v>-1.4756102033663971</v>
      </c>
      <c r="EF22" s="201">
        <v>2.7210606899628536</v>
      </c>
      <c r="EG22" s="201">
        <v>1.506187165196575</v>
      </c>
      <c r="EH22" s="201">
        <v>1.2973988065685333</v>
      </c>
      <c r="EI22" s="201">
        <v>1.0359864713146907</v>
      </c>
      <c r="EJ22" s="201">
        <v>1.6825235989035441</v>
      </c>
      <c r="EK22" s="201">
        <v>0.79398404794009392</v>
      </c>
      <c r="EL22" s="206">
        <v>1.3964355900562146</v>
      </c>
      <c r="EM22" s="206">
        <v>2.9253912035762424</v>
      </c>
      <c r="EN22" s="201">
        <v>1.915533148153268</v>
      </c>
      <c r="EO22" s="201">
        <v>2.8334680733043225</v>
      </c>
      <c r="EP22" s="201">
        <v>1.1640746939393296</v>
      </c>
      <c r="EQ22" s="201">
        <v>1.7072283195076712</v>
      </c>
      <c r="ER22" s="201">
        <v>1.6608934237024193</v>
      </c>
      <c r="ES22" s="201">
        <v>1.9291311752760956</v>
      </c>
      <c r="ET22" s="204">
        <v>1.8667484006672095</v>
      </c>
      <c r="EU22" s="204">
        <v>1.7261759818470712</v>
      </c>
      <c r="EV22" s="204">
        <v>1.7480040237328409</v>
      </c>
      <c r="EW22" s="204">
        <v>1.7456170179129764</v>
      </c>
      <c r="EX22" s="204">
        <v>1.6867067582772659</v>
      </c>
      <c r="EY22" s="204">
        <v>1.7174342696229916</v>
      </c>
      <c r="EZ22" s="204">
        <v>1.8836850968148806</v>
      </c>
      <c r="FA22" s="204">
        <v>1.7354071558071142</v>
      </c>
      <c r="FB22" s="204">
        <v>1.7606434330585115</v>
      </c>
      <c r="FC22" s="204">
        <v>1.7249804070429371</v>
      </c>
      <c r="FD22" s="204">
        <v>2.8568922357140272</v>
      </c>
      <c r="FE22" s="204">
        <v>2.7665888511955323</v>
      </c>
      <c r="FF22" s="204">
        <v>3.8640808459879903</v>
      </c>
      <c r="FG22" s="204">
        <v>3.2319902161013387</v>
      </c>
      <c r="FH22" s="204">
        <v>3.9662554257094329</v>
      </c>
      <c r="FI22" s="204">
        <v>4.9345937898522578</v>
      </c>
      <c r="FJ22" s="204">
        <v>4.4832525815306958</v>
      </c>
      <c r="FK22" s="204">
        <v>4.1257550093800655</v>
      </c>
      <c r="FL22" s="204">
        <v>3.7328966891960969</v>
      </c>
      <c r="FM22" s="204">
        <v>5.3234886368166512</v>
      </c>
      <c r="FN22" s="204">
        <v>5.3740528486802619</v>
      </c>
      <c r="FO22" s="204">
        <v>5.3740528486802619</v>
      </c>
      <c r="FP22" s="204">
        <v>5.3664430039404847</v>
      </c>
    </row>
    <row r="23" spans="2:174" ht="13" x14ac:dyDescent="0.25">
      <c r="B23" s="199">
        <v>17</v>
      </c>
      <c r="C23" s="1912" t="s">
        <v>135</v>
      </c>
      <c r="D23" s="199">
        <v>17</v>
      </c>
      <c r="E23" s="205">
        <f>'NORTH-1'!$N$1433</f>
        <v>-100</v>
      </c>
      <c r="F23" s="1890">
        <v>0.49999999999998784</v>
      </c>
      <c r="G23" s="1890">
        <v>0.50000000000000178</v>
      </c>
      <c r="H23" s="1890">
        <v>0.88762272089675742</v>
      </c>
      <c r="I23" s="1890">
        <v>0.18437222639473805</v>
      </c>
      <c r="J23" s="1890">
        <v>-8.6686893608033291E-2</v>
      </c>
      <c r="K23" s="1890">
        <v>-0.71231488259470488</v>
      </c>
      <c r="L23" s="205">
        <v>0.41387350626643055</v>
      </c>
      <c r="M23" s="205">
        <v>0.20000000000002563</v>
      </c>
      <c r="N23" s="205">
        <v>0.20000000000001159</v>
      </c>
      <c r="O23" s="202">
        <v>0</v>
      </c>
      <c r="P23" s="202">
        <v>0</v>
      </c>
      <c r="Q23" s="202">
        <v>-0.30904084958057104</v>
      </c>
      <c r="R23" s="202">
        <v>4.1724486473476629E-3</v>
      </c>
      <c r="S23" s="202">
        <v>0.49999999999998501</v>
      </c>
      <c r="T23" s="202">
        <v>0.70617906683474174</v>
      </c>
      <c r="U23" s="202">
        <v>-9.1653608491538544E-2</v>
      </c>
      <c r="V23" s="202">
        <v>-0.19589552238832986</v>
      </c>
      <c r="W23" s="202">
        <v>1.3797614227432278</v>
      </c>
      <c r="X23" s="202">
        <v>0.49999999999993966</v>
      </c>
      <c r="Y23" s="202">
        <v>0.40000000000000718</v>
      </c>
      <c r="Z23" s="202">
        <v>0.40000000000000407</v>
      </c>
      <c r="AA23" s="202">
        <v>0.49999999999995942</v>
      </c>
      <c r="AB23" s="202">
        <v>-3.3670033669861023E-2</v>
      </c>
      <c r="AC23" s="202">
        <v>0.33</v>
      </c>
      <c r="AD23" s="202">
        <v>0.59999999999997267</v>
      </c>
      <c r="AE23" s="202">
        <v>1.262629806342789</v>
      </c>
      <c r="AF23" s="202">
        <v>0.96483388993618635</v>
      </c>
      <c r="AG23" s="202">
        <v>0.35067121206716056</v>
      </c>
      <c r="AH23" s="202">
        <v>-0.15959930676282519</v>
      </c>
      <c r="AI23" s="202">
        <v>0.49999999999999134</v>
      </c>
      <c r="AJ23" s="202">
        <v>-0.18192919738159072</v>
      </c>
      <c r="AK23" s="202">
        <v>-0.1998001176457842</v>
      </c>
      <c r="AL23" s="202">
        <v>-7.190236136837716E-2</v>
      </c>
      <c r="AM23" s="202">
        <v>0.84121453459361195</v>
      </c>
      <c r="AN23" s="202">
        <v>0.83686704305310555</v>
      </c>
      <c r="AO23" s="202">
        <v>0.83243905786902095</v>
      </c>
      <c r="AP23" s="202">
        <v>0.71967931696122744</v>
      </c>
      <c r="AQ23" s="202">
        <v>0.91348019116471946</v>
      </c>
      <c r="AR23" s="202">
        <v>0.54896690172461426</v>
      </c>
      <c r="AS23" s="202">
        <v>0.20546943350255778</v>
      </c>
      <c r="AT23" s="202">
        <v>0.62608214222680492</v>
      </c>
      <c r="AU23" s="202">
        <v>1.1784657390017133</v>
      </c>
      <c r="AV23" s="202">
        <v>-0.1506542309213306</v>
      </c>
      <c r="AW23" s="202"/>
      <c r="AX23" s="202">
        <v>0.29999999999997018</v>
      </c>
      <c r="AY23" s="202">
        <v>0.84920225615294243</v>
      </c>
      <c r="AZ23" s="202">
        <v>0.66761264431448886</v>
      </c>
      <c r="BA23" s="202">
        <v>1.9280415999999863</v>
      </c>
      <c r="BB23" s="202">
        <v>-0.55824964175636504</v>
      </c>
      <c r="BC23" s="202">
        <v>0.85228079284767733</v>
      </c>
      <c r="BD23" s="202">
        <v>0.83830600928508237</v>
      </c>
      <c r="BE23" s="202">
        <v>0.82134957711332901</v>
      </c>
      <c r="BF23" s="202">
        <v>0.84397904526272138</v>
      </c>
      <c r="BG23" s="202">
        <v>1.1592891983876323</v>
      </c>
      <c r="BH23" s="202">
        <v>8.8173917599926044E-2</v>
      </c>
      <c r="BI23" s="202">
        <v>1.4737814968283527</v>
      </c>
      <c r="BJ23" s="202"/>
      <c r="BK23" s="202">
        <v>1.3443956770182532</v>
      </c>
      <c r="BL23" s="202">
        <v>1.0556563277800519</v>
      </c>
      <c r="BM23" s="202">
        <v>0.12413735804516009</v>
      </c>
      <c r="BN23" s="202">
        <v>-0.70521214852868108</v>
      </c>
      <c r="BO23" s="202">
        <v>2.7212495310037821</v>
      </c>
      <c r="BP23" s="202">
        <v>-0.3589253872416584</v>
      </c>
      <c r="BQ23" s="202">
        <v>1.515042371840043</v>
      </c>
      <c r="BR23" s="202">
        <v>0.27244305074279246</v>
      </c>
      <c r="BS23" s="202">
        <v>3.4479267628807317</v>
      </c>
      <c r="BT23" s="202">
        <v>2.6800364367296923</v>
      </c>
      <c r="BU23" s="202">
        <v>2.3604024308843381</v>
      </c>
      <c r="BV23" s="202">
        <v>-0.75923307888002434</v>
      </c>
      <c r="BW23" s="202">
        <v>0.94138424656638131</v>
      </c>
      <c r="BX23" s="202">
        <v>0.96727876007259228</v>
      </c>
      <c r="BY23" s="202">
        <v>3.7690178864177422</v>
      </c>
      <c r="BZ23" s="202">
        <v>1.6522243116438338</v>
      </c>
      <c r="CA23" s="202">
        <v>0.20000000000000764</v>
      </c>
      <c r="CB23" s="202">
        <v>0.19999999999998838</v>
      </c>
      <c r="CC23" s="202">
        <v>-1.0216120012876415</v>
      </c>
      <c r="CD23" s="202">
        <v>0.99640345026430854</v>
      </c>
      <c r="CE23" s="202">
        <v>3.8365044646574158</v>
      </c>
      <c r="CF23" s="207">
        <v>-1.3804893119049206</v>
      </c>
      <c r="CG23" s="208">
        <v>0.60097702703448619</v>
      </c>
      <c r="CH23" s="208">
        <v>0.70721116855865018</v>
      </c>
      <c r="CI23" s="208">
        <v>0.54140926938255218</v>
      </c>
      <c r="CJ23" s="208">
        <v>1.0000000000000109</v>
      </c>
      <c r="CK23" s="208">
        <v>1.0000000000000073</v>
      </c>
      <c r="CL23" s="208">
        <v>2.499999999999984</v>
      </c>
      <c r="CM23" s="208">
        <v>2.4844164866064151</v>
      </c>
      <c r="CN23" s="201">
        <v>2.2227390036366508</v>
      </c>
      <c r="CO23" s="201">
        <v>2.3999625654251884</v>
      </c>
      <c r="CP23" s="201">
        <v>0.26006757654315843</v>
      </c>
      <c r="CQ23" s="201">
        <v>0.25000000000001515</v>
      </c>
      <c r="CR23" s="201">
        <v>0.24999999999999398</v>
      </c>
      <c r="CS23" s="201">
        <v>0</v>
      </c>
      <c r="CT23" s="201">
        <v>2.2535027185519345</v>
      </c>
      <c r="CU23" s="201">
        <v>1.2885148599722285</v>
      </c>
      <c r="CV23" s="201">
        <v>0.77312245878898678</v>
      </c>
      <c r="CW23" s="201">
        <v>2.1444422796777016</v>
      </c>
      <c r="CX23" s="201">
        <v>0.5860087135356068</v>
      </c>
      <c r="CY23" s="201">
        <v>0.35187125397264812</v>
      </c>
      <c r="CZ23" s="201">
        <v>0.29258230262137747</v>
      </c>
      <c r="DA23" s="206">
        <v>0.58705735763803801</v>
      </c>
      <c r="DB23" s="206">
        <v>2.4838868842626005</v>
      </c>
      <c r="DC23" s="207">
        <v>-1.5616921317965131</v>
      </c>
      <c r="DD23" s="207">
        <v>4.5829053977337333</v>
      </c>
      <c r="DE23" s="208">
        <v>0.48285562632678836</v>
      </c>
      <c r="DF23" s="202">
        <v>0.87768666110824101</v>
      </c>
      <c r="DG23" s="202">
        <v>-3.7263899701019926E-2</v>
      </c>
      <c r="DH23" s="202">
        <v>2.5342823946274744</v>
      </c>
      <c r="DI23" s="202">
        <v>1.0796503628965615</v>
      </c>
      <c r="DJ23" s="202">
        <v>0.61184519818146865</v>
      </c>
      <c r="DK23" s="202">
        <v>0.37841474450165197</v>
      </c>
      <c r="DL23" s="203">
        <v>0.29597464328282075</v>
      </c>
      <c r="DM23" s="203">
        <v>0.3784620011845774</v>
      </c>
      <c r="DN23" s="202">
        <v>1.9813133459305645</v>
      </c>
      <c r="DO23" s="202">
        <v>1.5322300056332627</v>
      </c>
      <c r="DP23" s="202">
        <v>0.70816634820936719</v>
      </c>
      <c r="DQ23" s="202">
        <v>1.0396687919515684</v>
      </c>
      <c r="DR23" s="202">
        <v>0.24422729831981471</v>
      </c>
      <c r="DS23" s="202">
        <v>1.0770629414608057</v>
      </c>
      <c r="DT23" s="202">
        <v>0.24807629495694275</v>
      </c>
      <c r="DU23" s="202">
        <v>0.72286182388666698</v>
      </c>
      <c r="DV23" s="202">
        <v>1.0121633900256617</v>
      </c>
      <c r="DW23" s="202">
        <v>2.0605539487510356</v>
      </c>
      <c r="DX23" s="201">
        <v>1.2477058645077248E-2</v>
      </c>
      <c r="DY23" s="201">
        <v>1.0437161495884715</v>
      </c>
      <c r="DZ23" s="201">
        <v>1.1116470693749059</v>
      </c>
      <c r="EA23" s="201">
        <v>1.1800337847801075</v>
      </c>
      <c r="EB23" s="201">
        <v>1.2318956194130328</v>
      </c>
      <c r="EC23" s="201">
        <v>1.2555322449965396</v>
      </c>
      <c r="ED23" s="201">
        <v>0.99613389032535382</v>
      </c>
      <c r="EE23" s="201">
        <v>2.7488147185035028</v>
      </c>
      <c r="EF23" s="201">
        <v>-0.24601163087806791</v>
      </c>
      <c r="EG23" s="201">
        <v>0.13511300640623325</v>
      </c>
      <c r="EH23" s="201">
        <v>0.40624415314170276</v>
      </c>
      <c r="EI23" s="201">
        <v>0.27186010831486651</v>
      </c>
      <c r="EJ23" s="201">
        <v>0.85622770709760465</v>
      </c>
      <c r="EK23" s="201">
        <v>0.45794248134060922</v>
      </c>
      <c r="EL23" s="201">
        <v>0.85257516578719772</v>
      </c>
      <c r="EM23" s="201">
        <v>0.92606930947046617</v>
      </c>
      <c r="EN23" s="201">
        <v>0.61792210858519059</v>
      </c>
      <c r="EO23" s="201">
        <v>8.9741859063432766E-2</v>
      </c>
      <c r="EP23" s="201">
        <v>-0.16314467988815212</v>
      </c>
      <c r="EQ23" s="201">
        <v>-0.32931445328645848</v>
      </c>
      <c r="ER23" s="201">
        <v>-0.15720662287941642</v>
      </c>
      <c r="ES23" s="201">
        <v>1.9505322070349713</v>
      </c>
      <c r="ET23" s="204">
        <v>0.3526811021450667</v>
      </c>
      <c r="EU23" s="204">
        <v>0.13322783025635737</v>
      </c>
      <c r="EV23" s="204">
        <v>5.982781668742434</v>
      </c>
      <c r="EW23" s="204">
        <v>6.4949532817575513</v>
      </c>
      <c r="EX23" s="204">
        <v>7.8585647437306703</v>
      </c>
      <c r="EY23" s="204">
        <v>6.7852988100997171</v>
      </c>
      <c r="EZ23" s="204">
        <v>7.1053800242794036</v>
      </c>
      <c r="FA23" s="204">
        <v>6.6003464638319551</v>
      </c>
      <c r="FB23" s="204">
        <v>7.7292927315372548</v>
      </c>
      <c r="FC23" s="204">
        <v>8.6937002057932595</v>
      </c>
      <c r="FD23" s="204">
        <v>11.901540581078015</v>
      </c>
      <c r="FE23" s="204">
        <v>9.9032623215360047</v>
      </c>
      <c r="FF23" s="204">
        <v>9.949214837410647</v>
      </c>
      <c r="FG23" s="204">
        <v>9.9231580972385416</v>
      </c>
      <c r="FH23" s="204">
        <v>7.0386518707735828</v>
      </c>
      <c r="FI23" s="204">
        <v>7.130565960624077</v>
      </c>
      <c r="FJ23" s="204">
        <v>9.3880077442620333</v>
      </c>
      <c r="FK23" s="204">
        <v>11.190172390506737</v>
      </c>
      <c r="FL23" s="204">
        <v>11.139558767314961</v>
      </c>
      <c r="FM23" s="204">
        <v>8.9064571696806265</v>
      </c>
      <c r="FN23" s="204">
        <v>12.797569235216494</v>
      </c>
      <c r="FO23" s="204">
        <v>12.797569235216494</v>
      </c>
      <c r="FP23" s="204">
        <v>13.560831376313375</v>
      </c>
    </row>
    <row r="24" spans="2:174" ht="13" x14ac:dyDescent="0.25">
      <c r="B24" s="199">
        <v>18</v>
      </c>
      <c r="C24" s="1912" t="s">
        <v>136</v>
      </c>
      <c r="D24" s="199">
        <v>18</v>
      </c>
      <c r="E24" s="205">
        <f>'NORTH-1'!$N$1230</f>
        <v>-100</v>
      </c>
      <c r="F24" s="1890">
        <v>0.66377837453785904</v>
      </c>
      <c r="G24" s="1890">
        <v>1.8877117099810603</v>
      </c>
      <c r="H24" s="1890">
        <v>0.95459575523188511</v>
      </c>
      <c r="I24" s="1890">
        <v>0.60016752509596794</v>
      </c>
      <c r="J24" s="1890">
        <v>1.8956696433768712</v>
      </c>
      <c r="K24" s="1890">
        <v>0.33272582686499785</v>
      </c>
      <c r="L24" s="205">
        <v>1.0000000000000007</v>
      </c>
      <c r="M24" s="205">
        <v>1.0000000000000178</v>
      </c>
      <c r="N24" s="205">
        <v>0.99999999999999101</v>
      </c>
      <c r="O24" s="202">
        <v>0.99999999999999956</v>
      </c>
      <c r="P24" s="202">
        <v>0.99999999999999845</v>
      </c>
      <c r="Q24" s="202">
        <v>0.74446040690713156</v>
      </c>
      <c r="R24" s="202">
        <v>0.99600250626447895</v>
      </c>
      <c r="S24" s="202">
        <v>0.50177674397812644</v>
      </c>
      <c r="T24" s="202">
        <v>0.34685971046662473</v>
      </c>
      <c r="U24" s="202">
        <v>0.37747161805645807</v>
      </c>
      <c r="V24" s="202">
        <v>0.40238929138692681</v>
      </c>
      <c r="W24" s="202">
        <v>0.42522412456530095</v>
      </c>
      <c r="X24" s="202">
        <v>0.41761239503025271</v>
      </c>
      <c r="Y24" s="202">
        <v>0.41639960009665017</v>
      </c>
      <c r="Z24" s="202">
        <v>0.43376189904465307</v>
      </c>
      <c r="AA24" s="202">
        <v>0.43938867969035011</v>
      </c>
      <c r="AB24" s="202">
        <v>0.38527542365727274</v>
      </c>
      <c r="AC24" s="202">
        <v>0.39</v>
      </c>
      <c r="AD24" s="202">
        <v>0.44759575703456056</v>
      </c>
      <c r="AE24" s="202">
        <v>0.46226269132250264</v>
      </c>
      <c r="AF24" s="202">
        <v>0.48086748338588881</v>
      </c>
      <c r="AG24" s="202">
        <v>0.47749110220804186</v>
      </c>
      <c r="AH24" s="202">
        <v>0.43030813399591211</v>
      </c>
      <c r="AI24" s="202">
        <v>0.82591403145299658</v>
      </c>
      <c r="AJ24" s="202">
        <v>0.74889887692747292</v>
      </c>
      <c r="AK24" s="202">
        <v>0.30806806734043668</v>
      </c>
      <c r="AL24" s="202">
        <v>0.43368851194675362</v>
      </c>
      <c r="AM24" s="202">
        <v>0.49230833258169715</v>
      </c>
      <c r="AN24" s="202">
        <v>0.81247581268444991</v>
      </c>
      <c r="AO24" s="202">
        <v>0.71898581168065367</v>
      </c>
      <c r="AP24" s="202">
        <v>1.2785532723450217</v>
      </c>
      <c r="AQ24" s="202">
        <v>0.87063908111303479</v>
      </c>
      <c r="AR24" s="202">
        <v>0.61787540111677008</v>
      </c>
      <c r="AS24" s="202">
        <v>0.99050316934885474</v>
      </c>
      <c r="AT24" s="202">
        <v>0.93825220254403074</v>
      </c>
      <c r="AU24" s="202">
        <v>0.77964958976702448</v>
      </c>
      <c r="AV24" s="202">
        <v>1.1508091194106111E-2</v>
      </c>
      <c r="AW24" s="202"/>
      <c r="AX24" s="202">
        <v>0.74092154844633051</v>
      </c>
      <c r="AY24" s="202">
        <v>1.2523038775400603</v>
      </c>
      <c r="AZ24" s="202">
        <v>0.80648438729311978</v>
      </c>
      <c r="BA24" s="202">
        <v>2.2875213062371902</v>
      </c>
      <c r="BB24" s="202">
        <v>0.39202820976716024</v>
      </c>
      <c r="BC24" s="202">
        <v>-1.2941863046191522E-2</v>
      </c>
      <c r="BD24" s="202">
        <v>0.6664619966708204</v>
      </c>
      <c r="BE24" s="202">
        <v>1.0705008788194232</v>
      </c>
      <c r="BF24" s="202">
        <v>0.72582618883738537</v>
      </c>
      <c r="BG24" s="202">
        <v>0.80322532306722705</v>
      </c>
      <c r="BH24" s="202">
        <v>0.72362535059910393</v>
      </c>
      <c r="BI24" s="202">
        <v>0.2559810303770364</v>
      </c>
      <c r="BJ24" s="202"/>
      <c r="BK24" s="202">
        <v>1.9578152205022084</v>
      </c>
      <c r="BL24" s="202">
        <v>1.7207028399401476</v>
      </c>
      <c r="BM24" s="202">
        <v>-0.66294873862822878</v>
      </c>
      <c r="BN24" s="202">
        <v>-9.0551964703985743E-2</v>
      </c>
      <c r="BO24" s="202">
        <v>-0.14123472790310784</v>
      </c>
      <c r="BP24" s="202">
        <v>-0.63133931814199584</v>
      </c>
      <c r="BQ24" s="202">
        <v>0.61669726439851735</v>
      </c>
      <c r="BR24" s="202">
        <v>0.20553113428685324</v>
      </c>
      <c r="BS24" s="202">
        <v>-0.72804640273687748</v>
      </c>
      <c r="BT24" s="202">
        <v>0.61574303624934745</v>
      </c>
      <c r="BU24" s="202">
        <v>1.1022832949790045</v>
      </c>
      <c r="BV24" s="202">
        <v>1.0538614767581411</v>
      </c>
      <c r="BW24" s="202">
        <v>1.3166497036420568</v>
      </c>
      <c r="BX24" s="202">
        <v>0.62466727996158378</v>
      </c>
      <c r="BY24" s="202">
        <v>1.714480086461875</v>
      </c>
      <c r="BZ24" s="202">
        <v>1.847444493233406</v>
      </c>
      <c r="CA24" s="202">
        <v>0.40366866549846309</v>
      </c>
      <c r="CB24" s="202">
        <v>0.69155753123037689</v>
      </c>
      <c r="CC24" s="202">
        <v>-1.4901648100927958</v>
      </c>
      <c r="CD24" s="202">
        <v>5.4183705676707106E-2</v>
      </c>
      <c r="CE24" s="202">
        <v>0.29633171780972867</v>
      </c>
      <c r="CF24" s="202">
        <v>0.17100009582523171</v>
      </c>
      <c r="CG24" s="201">
        <v>0.15137928881371907</v>
      </c>
      <c r="CH24" s="201">
        <v>0.13259501301582433</v>
      </c>
      <c r="CI24" s="201">
        <v>-3.9485044775487206E-2</v>
      </c>
      <c r="CJ24" s="201">
        <v>0.78653066240638825</v>
      </c>
      <c r="CK24" s="201">
        <v>-2.2458633192104736</v>
      </c>
      <c r="CL24" s="201">
        <v>0.28517186556199181</v>
      </c>
      <c r="CM24" s="201">
        <v>0.55037169710496525</v>
      </c>
      <c r="CN24" s="201">
        <v>1.3715444142153341</v>
      </c>
      <c r="CO24" s="201">
        <v>2.2968403660548171</v>
      </c>
      <c r="CP24" s="201">
        <v>1.0016506942137122</v>
      </c>
      <c r="CQ24" s="201">
        <v>0.35169946214945169</v>
      </c>
      <c r="CR24" s="201">
        <v>1.034483350224823</v>
      </c>
      <c r="CS24" s="201">
        <v>-0.83168493219926976</v>
      </c>
      <c r="CT24" s="201">
        <v>0.93557415799455179</v>
      </c>
      <c r="CU24" s="201">
        <v>0.67071553167839759</v>
      </c>
      <c r="CV24" s="201">
        <v>5.9287488854103759E-2</v>
      </c>
      <c r="CW24" s="201">
        <v>-9.7544418058186505E-3</v>
      </c>
      <c r="CX24" s="201">
        <v>0.59919806147276466</v>
      </c>
      <c r="CY24" s="201">
        <v>0.35012104407333683</v>
      </c>
      <c r="CZ24" s="201">
        <v>0.79351127841020863</v>
      </c>
      <c r="DA24" s="206">
        <v>0.28060017081534838</v>
      </c>
      <c r="DB24" s="206">
        <v>1.9353053385982504</v>
      </c>
      <c r="DC24" s="207">
        <v>-0.50051440440140471</v>
      </c>
      <c r="DD24" s="207">
        <v>0.79648205027548824</v>
      </c>
      <c r="DE24" s="208">
        <v>0.49518355819756021</v>
      </c>
      <c r="DF24" s="202">
        <v>1.2062749745688162</v>
      </c>
      <c r="DG24" s="202">
        <v>0.7128268684417115</v>
      </c>
      <c r="DH24" s="202">
        <v>0.7980046756480027</v>
      </c>
      <c r="DI24" s="202">
        <v>0.62712656386010257</v>
      </c>
      <c r="DJ24" s="202">
        <v>0.85986171341568773</v>
      </c>
      <c r="DK24" s="202">
        <v>0.63037918015794114</v>
      </c>
      <c r="DL24" s="202">
        <v>0.32643529366315965</v>
      </c>
      <c r="DM24" s="202">
        <v>1.4305680233363232</v>
      </c>
      <c r="DN24" s="202">
        <v>0.40013676132871917</v>
      </c>
      <c r="DO24" s="202">
        <v>0.99148749580654405</v>
      </c>
      <c r="DP24" s="202">
        <v>0.46136542729273683</v>
      </c>
      <c r="DQ24" s="202">
        <v>-1.9944214096099615</v>
      </c>
      <c r="DR24" s="202">
        <v>3.4084866417745503</v>
      </c>
      <c r="DS24" s="202">
        <v>0.8801700525599343</v>
      </c>
      <c r="DT24" s="202">
        <v>0.72928731349702114</v>
      </c>
      <c r="DU24" s="202">
        <v>-1.774842788227039</v>
      </c>
      <c r="DV24" s="207">
        <v>1.0777422056551453</v>
      </c>
      <c r="DW24" s="207">
        <v>0.85222591850270413</v>
      </c>
      <c r="DX24" s="206">
        <v>-0.74443621272514682</v>
      </c>
      <c r="DY24" s="206">
        <v>3.7526726484479522</v>
      </c>
      <c r="DZ24" s="206">
        <v>-0.89815084640331877</v>
      </c>
      <c r="EA24" s="206">
        <v>0.70880452651881176</v>
      </c>
      <c r="EB24" s="206">
        <v>0.65738343818512723</v>
      </c>
      <c r="EC24" s="206">
        <v>0.60908521997432796</v>
      </c>
      <c r="ED24" s="206">
        <v>1.1813795248790042</v>
      </c>
      <c r="EE24" s="206">
        <v>0.20633400325542123</v>
      </c>
      <c r="EF24" s="206">
        <v>1.0356032742905446</v>
      </c>
      <c r="EG24" s="206">
        <v>0.10715625878705047</v>
      </c>
      <c r="EH24" s="206">
        <v>0.91211702042084364</v>
      </c>
      <c r="EI24" s="201">
        <v>0.72586050959323023</v>
      </c>
      <c r="EJ24" s="201">
        <v>0.68126863828903905</v>
      </c>
      <c r="EK24" s="201">
        <v>0.8449054478967819</v>
      </c>
      <c r="EL24" s="201">
        <v>0.69031814184813656</v>
      </c>
      <c r="EM24" s="201">
        <v>0.3618532911064038</v>
      </c>
      <c r="EN24" s="201">
        <v>0.67076551883732072</v>
      </c>
      <c r="EO24" s="201">
        <v>4.9875492966967601</v>
      </c>
      <c r="EP24" s="201">
        <v>-0.71100908740655888</v>
      </c>
      <c r="EQ24" s="201">
        <v>0.61024460559392546</v>
      </c>
      <c r="ER24" s="201">
        <v>14.45603948738011</v>
      </c>
      <c r="ES24" s="201">
        <v>15.369953795265792</v>
      </c>
      <c r="ET24" s="204">
        <v>17.793291574208052</v>
      </c>
      <c r="EU24" s="204">
        <v>7.5922166794150483</v>
      </c>
      <c r="EV24" s="204">
        <v>-0.55396640500971583</v>
      </c>
      <c r="EW24" s="204">
        <v>3.5988444521938572</v>
      </c>
      <c r="EX24" s="204">
        <v>5.9395127964422203</v>
      </c>
      <c r="EY24" s="204">
        <v>3.5186055901780735</v>
      </c>
      <c r="EZ24" s="204">
        <v>4.3203884514332378</v>
      </c>
      <c r="FA24" s="204">
        <v>4.8732286851446096</v>
      </c>
      <c r="FB24" s="204">
        <v>8.5937627479490164</v>
      </c>
      <c r="FC24" s="204">
        <v>25.2692180210354</v>
      </c>
      <c r="FD24" s="204">
        <v>14.087737565582643</v>
      </c>
      <c r="FE24" s="204">
        <v>12.714846134095561</v>
      </c>
      <c r="FF24" s="204">
        <v>8.1984938647650925</v>
      </c>
      <c r="FG24" s="204">
        <v>3.7663689990891709</v>
      </c>
      <c r="FH24" s="204">
        <v>3.5618514555196943</v>
      </c>
      <c r="FI24" s="204">
        <v>3.8879823293149678</v>
      </c>
      <c r="FJ24" s="204">
        <v>17.998306711000584</v>
      </c>
      <c r="FK24" s="204">
        <v>16.987589896947007</v>
      </c>
      <c r="FL24" s="204">
        <v>6.3184012748296894</v>
      </c>
      <c r="FM24" s="204">
        <v>4.3215442923416179</v>
      </c>
      <c r="FN24" s="204">
        <v>8.9799018527610706</v>
      </c>
      <c r="FO24" s="204">
        <v>8.9799018527610706</v>
      </c>
      <c r="FP24" s="204">
        <v>10.605147316747896</v>
      </c>
      <c r="FQ24" s="2206" t="s">
        <v>865</v>
      </c>
      <c r="FR24" s="2207"/>
    </row>
    <row r="25" spans="2:174" ht="25" x14ac:dyDescent="0.25">
      <c r="B25" s="199">
        <v>19</v>
      </c>
      <c r="C25" s="1912" t="s">
        <v>137</v>
      </c>
      <c r="D25" s="199">
        <v>19</v>
      </c>
      <c r="E25" s="205">
        <f>'NORTH-1'!$N$1949</f>
        <v>-100</v>
      </c>
      <c r="F25" s="1890">
        <v>2.5000000000000044</v>
      </c>
      <c r="G25" s="1890">
        <v>2.4999999999999871</v>
      </c>
      <c r="H25" s="1890">
        <v>2.5000000000000027</v>
      </c>
      <c r="I25" s="1890">
        <v>2.5000000000000142</v>
      </c>
      <c r="J25" s="1890">
        <v>2.4999999999999587</v>
      </c>
      <c r="K25" s="1890">
        <v>2.4999999999999667</v>
      </c>
      <c r="L25" s="205">
        <v>2.4999999999999951</v>
      </c>
      <c r="M25" s="205">
        <v>2.4999999999999769</v>
      </c>
      <c r="N25" s="205">
        <v>2.4999999999999578</v>
      </c>
      <c r="O25" s="202">
        <v>2.4999999999999694</v>
      </c>
      <c r="P25" s="202">
        <v>2.5000000000000027</v>
      </c>
      <c r="Q25" s="202">
        <v>2.4999999999999805</v>
      </c>
      <c r="R25" s="202">
        <v>3.2166213322530472</v>
      </c>
      <c r="S25" s="202">
        <v>2.4999999999999929</v>
      </c>
      <c r="T25" s="202">
        <v>2.4999999999999778</v>
      </c>
      <c r="U25" s="202">
        <v>2.4999999999999996</v>
      </c>
      <c r="V25" s="202">
        <v>2.5000000000000004</v>
      </c>
      <c r="W25" s="202">
        <v>2.499999999999992</v>
      </c>
      <c r="X25" s="202">
        <v>2.5000000000000062</v>
      </c>
      <c r="Y25" s="202">
        <v>2.4999999999999671</v>
      </c>
      <c r="Z25" s="202">
        <v>2.5000000000000155</v>
      </c>
      <c r="AA25" s="202">
        <v>2.4999999999999711</v>
      </c>
      <c r="AB25" s="202">
        <v>2.4999999999999885</v>
      </c>
      <c r="AC25" s="202">
        <v>2.5</v>
      </c>
      <c r="AD25" s="202">
        <v>2.5000000000000147</v>
      </c>
      <c r="AE25" s="202">
        <v>2.4999999999999845</v>
      </c>
      <c r="AF25" s="202">
        <v>2.4999999999999698</v>
      </c>
      <c r="AG25" s="202">
        <v>2.4999999999999809</v>
      </c>
      <c r="AH25" s="202">
        <v>2.5000000000000044</v>
      </c>
      <c r="AI25" s="202">
        <v>2.5000000000000235</v>
      </c>
      <c r="AJ25" s="202">
        <v>2.4999999999999938</v>
      </c>
      <c r="AK25" s="202">
        <v>2.4999999999999916</v>
      </c>
      <c r="AL25" s="202">
        <v>2.499999999999968</v>
      </c>
      <c r="AM25" s="202">
        <v>2.5</v>
      </c>
      <c r="AN25" s="202">
        <v>2.5000000000000098</v>
      </c>
      <c r="AO25" s="202">
        <v>2.4999999999999942</v>
      </c>
      <c r="AP25" s="202">
        <v>2.5</v>
      </c>
      <c r="AQ25" s="202">
        <v>2.4999999999999716</v>
      </c>
      <c r="AR25" s="202">
        <v>2.5</v>
      </c>
      <c r="AS25" s="202">
        <v>2.4999999999999858</v>
      </c>
      <c r="AT25" s="202">
        <v>2.4999999999999716</v>
      </c>
      <c r="AU25" s="202">
        <v>2.5</v>
      </c>
      <c r="AV25" s="202">
        <v>2.4999999999999858</v>
      </c>
      <c r="AW25" s="202"/>
      <c r="AX25" s="202">
        <v>2.4999999999999716</v>
      </c>
      <c r="AY25" s="202">
        <v>2.5</v>
      </c>
      <c r="AZ25" s="202">
        <v>2.4999999999999858</v>
      </c>
      <c r="BA25" s="202">
        <v>2.4999999999999716</v>
      </c>
      <c r="BB25" s="202">
        <v>2.5</v>
      </c>
      <c r="BC25" s="202">
        <v>2.5</v>
      </c>
      <c r="BD25" s="202">
        <v>2.5</v>
      </c>
      <c r="BE25" s="202">
        <v>2.4999999999999716</v>
      </c>
      <c r="BF25" s="202">
        <v>2.5</v>
      </c>
      <c r="BG25" s="202">
        <v>2.5</v>
      </c>
      <c r="BH25" s="202">
        <v>2.5</v>
      </c>
      <c r="BI25" s="202">
        <v>2.5</v>
      </c>
      <c r="BJ25" s="202"/>
      <c r="BK25" s="202">
        <v>2.5</v>
      </c>
      <c r="BL25" s="202">
        <v>2.5</v>
      </c>
      <c r="BM25" s="202">
        <v>2.4999999999999858</v>
      </c>
      <c r="BN25" s="202">
        <v>2.5</v>
      </c>
      <c r="BO25" s="202">
        <v>2.5</v>
      </c>
      <c r="BP25" s="202">
        <v>2.5</v>
      </c>
      <c r="BQ25" s="202">
        <v>2.4999999999999858</v>
      </c>
      <c r="BR25" s="202">
        <v>2.5</v>
      </c>
      <c r="BS25" s="202">
        <v>2.4999999999999858</v>
      </c>
      <c r="BT25" s="202">
        <v>2.5</v>
      </c>
      <c r="BU25" s="202">
        <v>2.4999999999999858</v>
      </c>
      <c r="BV25" s="202">
        <v>2.4999999999999849</v>
      </c>
      <c r="BW25" s="202">
        <v>2.5</v>
      </c>
      <c r="BX25" s="202">
        <v>2.5</v>
      </c>
      <c r="BY25" s="202">
        <v>2.5</v>
      </c>
      <c r="BZ25" s="202">
        <v>2.5</v>
      </c>
      <c r="CA25" s="202">
        <v>2.4999999999999716</v>
      </c>
      <c r="CB25" s="202">
        <v>2.4999999999999738</v>
      </c>
      <c r="CC25" s="202">
        <v>2.5</v>
      </c>
      <c r="CD25" s="202">
        <v>2.5</v>
      </c>
      <c r="CE25" s="202">
        <v>2.4999999999999858</v>
      </c>
      <c r="CF25" s="202">
        <v>2.5</v>
      </c>
      <c r="CG25" s="201">
        <v>2.5</v>
      </c>
      <c r="CH25" s="201">
        <v>2.4999999999999858</v>
      </c>
      <c r="CI25" s="201">
        <v>2.4999999999999871</v>
      </c>
      <c r="CJ25" s="201">
        <v>2.5</v>
      </c>
      <c r="CK25" s="201">
        <v>2.4999999999999716</v>
      </c>
      <c r="CL25" s="201">
        <v>2.5</v>
      </c>
      <c r="CM25" s="201">
        <v>2.5</v>
      </c>
      <c r="CN25" s="201">
        <v>2.4999999999999716</v>
      </c>
      <c r="CO25" s="201">
        <v>2.5</v>
      </c>
      <c r="CP25" s="201">
        <v>2.4999999999999858</v>
      </c>
      <c r="CQ25" s="201">
        <v>2.4999999999999893</v>
      </c>
      <c r="CR25" s="201">
        <v>2.4999999999999858</v>
      </c>
      <c r="CS25" s="201">
        <v>2.5</v>
      </c>
      <c r="CT25" s="201">
        <v>2.4999999999999858</v>
      </c>
      <c r="CU25" s="201">
        <v>2.4999999999999916</v>
      </c>
      <c r="CV25" s="201">
        <v>2.4999999999999858</v>
      </c>
      <c r="CW25" s="201">
        <v>2.5000000000000075</v>
      </c>
      <c r="CX25" s="201">
        <v>2.5</v>
      </c>
      <c r="CY25" s="201">
        <v>2.4999999999999858</v>
      </c>
      <c r="CZ25" s="201">
        <v>2.4999999999999938</v>
      </c>
      <c r="DA25" s="206">
        <v>2.5</v>
      </c>
      <c r="DB25" s="206">
        <v>2.4999999999999933</v>
      </c>
      <c r="DC25" s="207">
        <v>2.5000000000000071</v>
      </c>
      <c r="DD25" s="207">
        <v>2.4999999999999716</v>
      </c>
      <c r="DE25" s="208">
        <v>2.499999999999988</v>
      </c>
      <c r="DF25" s="202">
        <v>9.133163793103444</v>
      </c>
      <c r="DG25" s="202">
        <v>2.5000000000000075</v>
      </c>
      <c r="DH25" s="202">
        <v>2.4999999999999902</v>
      </c>
      <c r="DI25" s="202">
        <v>2.499999999999992</v>
      </c>
      <c r="DJ25" s="202">
        <v>2.4999999999999862</v>
      </c>
      <c r="DK25" s="202">
        <v>2.4999999999999889</v>
      </c>
      <c r="DL25" s="202">
        <v>2.4999999999999858</v>
      </c>
      <c r="DM25" s="202">
        <v>2.49999999999998</v>
      </c>
      <c r="DN25" s="202">
        <v>2.49999999999998</v>
      </c>
      <c r="DO25" s="202">
        <v>2.49999999999998</v>
      </c>
      <c r="DP25" s="202">
        <v>2.49999999999998</v>
      </c>
      <c r="DQ25" s="202">
        <v>2.49999999999998</v>
      </c>
      <c r="DR25" s="202">
        <v>2.49999999999998</v>
      </c>
      <c r="DS25" s="202">
        <v>2.49999999999998</v>
      </c>
      <c r="DT25" s="202">
        <v>2.49999999999998</v>
      </c>
      <c r="DU25" s="202">
        <v>2.49999999999998</v>
      </c>
      <c r="DV25" s="202">
        <v>2.49999999999998</v>
      </c>
      <c r="DW25" s="202">
        <v>2.49999999999998</v>
      </c>
      <c r="DX25" s="202">
        <v>2.49999999999998</v>
      </c>
      <c r="DY25" s="202">
        <v>2.49999999999998</v>
      </c>
      <c r="DZ25" s="202">
        <v>2.49999999999998</v>
      </c>
      <c r="EA25" s="202">
        <v>2.49999999999998</v>
      </c>
      <c r="EB25" s="202">
        <v>2.49999999999998</v>
      </c>
      <c r="EC25" s="202">
        <v>2.49999999999998</v>
      </c>
      <c r="ED25" s="202">
        <v>2.49999999999998</v>
      </c>
      <c r="EE25" s="202">
        <v>2.49999999999998</v>
      </c>
      <c r="EF25" s="202">
        <v>2.49999999999998</v>
      </c>
      <c r="EG25" s="202">
        <v>2.49999999999998</v>
      </c>
      <c r="EH25" s="202">
        <v>2.49999999999998</v>
      </c>
      <c r="EI25" s="202">
        <v>2.49999999999998</v>
      </c>
      <c r="EJ25" s="202">
        <v>2.49999999999998</v>
      </c>
      <c r="EK25" s="202">
        <v>2.49999999999998</v>
      </c>
      <c r="EL25" s="202">
        <v>2.49999999999998</v>
      </c>
      <c r="EM25" s="202">
        <v>2.49999999999998</v>
      </c>
      <c r="EN25" s="202">
        <v>2.49999999999998</v>
      </c>
      <c r="EO25" s="202">
        <v>2.49999999999998</v>
      </c>
      <c r="EP25" s="202">
        <v>2.49999999999998</v>
      </c>
      <c r="EQ25" s="202">
        <v>2.49999999999998</v>
      </c>
      <c r="ER25" s="202">
        <v>2.49999999999998</v>
      </c>
      <c r="ES25" s="202">
        <v>2.49999999999998</v>
      </c>
      <c r="ET25" s="202">
        <v>2.49999999999998</v>
      </c>
      <c r="EU25" s="202">
        <v>2.49999999999998</v>
      </c>
      <c r="EV25" s="202">
        <v>2.49999999999998</v>
      </c>
      <c r="EW25" s="202">
        <v>2.49999999999998</v>
      </c>
      <c r="EX25" s="202">
        <v>2.49999999999998</v>
      </c>
      <c r="EY25" s="202">
        <v>2.49999999999998</v>
      </c>
      <c r="EZ25" s="202">
        <v>2.49999999999998</v>
      </c>
      <c r="FA25" s="202">
        <v>2.49999999999998</v>
      </c>
      <c r="FB25" s="202">
        <v>2.49999999999998</v>
      </c>
      <c r="FC25" s="202">
        <v>2.49999999999998</v>
      </c>
      <c r="FD25" s="202">
        <v>2.49999999999998</v>
      </c>
      <c r="FE25" s="202">
        <v>2.49999999999998</v>
      </c>
      <c r="FF25" s="202">
        <v>2.49999999999998</v>
      </c>
      <c r="FG25" s="202">
        <v>2.49999999999998</v>
      </c>
      <c r="FH25" s="202">
        <v>2.49999999999998</v>
      </c>
      <c r="FI25" s="202">
        <v>2.49999999999998</v>
      </c>
      <c r="FJ25" s="202">
        <v>2.49999999999998</v>
      </c>
      <c r="FK25" s="202">
        <v>2.49999999999998</v>
      </c>
      <c r="FL25" s="202">
        <v>2.49999999999998</v>
      </c>
      <c r="FM25" s="202">
        <v>2.49999999999998</v>
      </c>
      <c r="FN25" s="202">
        <v>2.49999999999998</v>
      </c>
      <c r="FO25" s="202">
        <v>2.49999999999998</v>
      </c>
      <c r="FP25" s="202">
        <v>2.49999999999998</v>
      </c>
    </row>
    <row r="26" spans="2:174" ht="14" x14ac:dyDescent="0.3">
      <c r="B26" s="199">
        <v>20</v>
      </c>
      <c r="C26" s="1893" t="s">
        <v>138</v>
      </c>
      <c r="D26" s="199">
        <v>20</v>
      </c>
      <c r="E26" s="1436">
        <f>'NORTH-1'!$N$904</f>
        <v>-100</v>
      </c>
      <c r="F26" s="1889">
        <v>8.5595918785635453E-2</v>
      </c>
      <c r="G26" s="1889">
        <v>0.52302758090228851</v>
      </c>
      <c r="H26" s="1889">
        <v>0.35249977136691202</v>
      </c>
      <c r="I26" s="1889">
        <v>0.10635189940076209</v>
      </c>
      <c r="J26" s="1889">
        <v>0.2254261307188612</v>
      </c>
      <c r="K26" s="1889">
        <v>0.40305297133086732</v>
      </c>
      <c r="L26" s="200">
        <v>5.177020708099013E-2</v>
      </c>
      <c r="M26" s="200">
        <v>0.7525195968649816</v>
      </c>
      <c r="N26" s="200">
        <v>-4.567337365724753E-2</v>
      </c>
      <c r="O26" s="201">
        <v>0.12338383566085748</v>
      </c>
      <c r="P26" s="201">
        <v>0.10806427286907486</v>
      </c>
      <c r="Q26" s="201">
        <v>-0.42311923499963788</v>
      </c>
      <c r="R26" s="201">
        <v>0.38848474664267918</v>
      </c>
      <c r="S26" s="201">
        <v>0.1132882977403472</v>
      </c>
      <c r="T26" s="202">
        <v>0.34652672061455536</v>
      </c>
      <c r="U26" s="202">
        <v>-8.0676112820676743E-2</v>
      </c>
      <c r="V26" s="202">
        <v>-0.62866601128372901</v>
      </c>
      <c r="W26" s="202">
        <v>0.38885333118114224</v>
      </c>
      <c r="X26" s="202">
        <v>-0.64250899139661766</v>
      </c>
      <c r="Y26" s="202">
        <v>-0.35892309946882878</v>
      </c>
      <c r="Z26" s="202">
        <v>-0.10823519292338102</v>
      </c>
      <c r="AA26" s="202">
        <v>0.79690634091669821</v>
      </c>
      <c r="AB26" s="202">
        <v>0.21065702818352733</v>
      </c>
      <c r="AC26" s="202">
        <v>0.93</v>
      </c>
      <c r="AD26" s="202">
        <v>0.89999999999998725</v>
      </c>
      <c r="AE26" s="202">
        <v>0.89999999999995983</v>
      </c>
      <c r="AF26" s="202">
        <v>0</v>
      </c>
      <c r="AG26" s="202">
        <v>1.681419677269234</v>
      </c>
      <c r="AH26" s="202">
        <v>0</v>
      </c>
      <c r="AI26" s="202">
        <v>0.91061141051822969</v>
      </c>
      <c r="AJ26" s="202">
        <v>0.7811465642791906</v>
      </c>
      <c r="AK26" s="202">
        <v>7.6997112608919865E-2</v>
      </c>
      <c r="AL26" s="202">
        <v>0.26272377344560105</v>
      </c>
      <c r="AM26" s="202">
        <v>0.35759200435175814</v>
      </c>
      <c r="AN26" s="202">
        <v>0.88712921598030692</v>
      </c>
      <c r="AO26" s="202">
        <v>0.73197059611842952</v>
      </c>
      <c r="AP26" s="202">
        <v>1.6562795446165273</v>
      </c>
      <c r="AQ26" s="202">
        <v>0.95805335224937482</v>
      </c>
      <c r="AR26" s="202">
        <v>0.69628535994822383</v>
      </c>
      <c r="AS26" s="202">
        <v>1.3499999999999996</v>
      </c>
      <c r="AT26" s="202">
        <v>1.25</v>
      </c>
      <c r="AU26" s="202">
        <v>1.3508668242717801</v>
      </c>
      <c r="AV26" s="202">
        <v>1.9896538001677219E-2</v>
      </c>
      <c r="AW26" s="202"/>
      <c r="AX26" s="202">
        <v>2.2487930344675391</v>
      </c>
      <c r="AY26" s="202">
        <v>2.1134814090017477</v>
      </c>
      <c r="AZ26" s="202">
        <v>0.76475657044345546</v>
      </c>
      <c r="BA26" s="202">
        <v>2.2546196819948818</v>
      </c>
      <c r="BB26" s="202">
        <v>-0.4930523390445114</v>
      </c>
      <c r="BC26" s="202">
        <v>-1.4224205242621131</v>
      </c>
      <c r="BD26" s="202">
        <v>0.18519321054449356</v>
      </c>
      <c r="BE26" s="202">
        <v>1.3560697774768902</v>
      </c>
      <c r="BF26" s="202">
        <v>0.65216930094363668</v>
      </c>
      <c r="BG26" s="202">
        <v>-0.24758728714976883</v>
      </c>
      <c r="BH26" s="202">
        <v>3.2911816297237287E-2</v>
      </c>
      <c r="BI26" s="202">
        <v>0.82954769899324354</v>
      </c>
      <c r="BJ26" s="202"/>
      <c r="BK26" s="202">
        <v>3.4159609957106395E-2</v>
      </c>
      <c r="BL26" s="202">
        <v>0.13450859409376376</v>
      </c>
      <c r="BM26" s="202">
        <v>6.4361264865222798E-2</v>
      </c>
      <c r="BN26" s="202">
        <v>-0.41133455210130182</v>
      </c>
      <c r="BO26" s="202">
        <v>-0.44829866980399308</v>
      </c>
      <c r="BP26" s="202">
        <v>-0.43002345582358975</v>
      </c>
      <c r="BQ26" s="202">
        <v>-0.38738240177163058</v>
      </c>
      <c r="BR26" s="202">
        <v>-0.39384615384579014</v>
      </c>
      <c r="BS26" s="202">
        <v>-0.36241399233183913</v>
      </c>
      <c r="BT26" s="202">
        <v>0.39354277088858997</v>
      </c>
      <c r="BU26" s="201">
        <v>0.71961198288178641</v>
      </c>
      <c r="BV26" s="201">
        <v>0.85111806642303311</v>
      </c>
      <c r="BW26" s="201">
        <v>0.69040768777395622</v>
      </c>
      <c r="BX26" s="201">
        <v>0.97530399899697917</v>
      </c>
      <c r="BY26" s="201">
        <v>-0.63863757317831038</v>
      </c>
      <c r="BZ26" s="201">
        <v>-0.2964506049204107</v>
      </c>
      <c r="CA26" s="201">
        <v>-0.27427317608196755</v>
      </c>
      <c r="CB26" s="201">
        <v>-0.19171779141195563</v>
      </c>
      <c r="CC26" s="201">
        <v>-2.4851945854474389</v>
      </c>
      <c r="CD26" s="201">
        <v>-0.19882094555549995</v>
      </c>
      <c r="CE26" s="201">
        <v>0.19999999999998144</v>
      </c>
      <c r="CF26" s="201">
        <v>0</v>
      </c>
      <c r="CG26" s="201">
        <v>-6.7606906243913176E-2</v>
      </c>
      <c r="CH26" s="201">
        <v>-0.15154795410285485</v>
      </c>
      <c r="CI26" s="201">
        <v>-0.40290088638118293</v>
      </c>
      <c r="CJ26" s="201">
        <v>-0.27213062270003846</v>
      </c>
      <c r="CK26" s="201">
        <v>-0.30226389488524968</v>
      </c>
      <c r="CL26" s="201">
        <v>1.9842582181073768E-2</v>
      </c>
      <c r="CM26" s="201">
        <v>-0.1247504990021702</v>
      </c>
      <c r="CN26" s="201">
        <v>-7.9816953121107051E-2</v>
      </c>
      <c r="CO26" s="201">
        <v>-0.31342007788012582</v>
      </c>
      <c r="CP26" s="201">
        <v>-0.1187061034719385</v>
      </c>
      <c r="CQ26" s="201">
        <v>-0.10061682488300555</v>
      </c>
      <c r="CR26" s="201">
        <v>-7.4794315632120398E-2</v>
      </c>
      <c r="CS26" s="201">
        <v>0.54391364843788204</v>
      </c>
      <c r="CT26" s="201">
        <v>0.40162105015871469</v>
      </c>
      <c r="CU26" s="201">
        <v>0.31147915999431053</v>
      </c>
      <c r="CV26" s="201">
        <v>0.17770295548099482</v>
      </c>
      <c r="CW26" s="201">
        <v>-0.10737643575344238</v>
      </c>
      <c r="CX26" s="201">
        <v>-0.1121830827910159</v>
      </c>
      <c r="CY26" s="201">
        <v>-6.6662626507014128E-2</v>
      </c>
      <c r="CZ26" s="201">
        <v>-0.38380840284525247</v>
      </c>
      <c r="DA26" s="201">
        <v>-0.25306785083368755</v>
      </c>
      <c r="DB26" s="201">
        <v>-0.31340405014452322</v>
      </c>
      <c r="DC26" s="202">
        <v>-0.36996552593971999</v>
      </c>
      <c r="DD26" s="202">
        <v>-0.3227141083987336</v>
      </c>
      <c r="DE26" s="202">
        <v>-0.3420843277647157</v>
      </c>
      <c r="DF26" s="202">
        <v>-0.13568521031197711</v>
      </c>
      <c r="DG26" s="202">
        <v>-9.6334694251645467E-2</v>
      </c>
      <c r="DH26" s="202">
        <v>-3.9771974016754613E-2</v>
      </c>
      <c r="DI26" s="202">
        <v>-9.4607379375572939E-2</v>
      </c>
      <c r="DJ26" s="202">
        <v>-5.5890206793052073E-2</v>
      </c>
      <c r="DK26" s="202">
        <v>-8.7884061967218485E-2</v>
      </c>
      <c r="DL26" s="202">
        <v>-0.13638803133441416</v>
      </c>
      <c r="DM26" s="202">
        <v>0.14914897350364667</v>
      </c>
      <c r="DN26" s="202">
        <v>-0.43685269719730102</v>
      </c>
      <c r="DO26" s="202">
        <v>-0.24218939210455045</v>
      </c>
      <c r="DP26" s="202">
        <v>-0.13698024833168748</v>
      </c>
      <c r="DQ26" s="202">
        <v>-0.16029310739633937</v>
      </c>
      <c r="DR26" s="202">
        <v>-0.28770086956486907</v>
      </c>
      <c r="DS26" s="202">
        <v>-0.1991495774802515</v>
      </c>
      <c r="DT26" s="202">
        <v>-4.9029908243506996E-2</v>
      </c>
      <c r="DU26" s="202">
        <v>-0.8687837028162787</v>
      </c>
      <c r="DV26" s="202">
        <v>0.69814059583893384</v>
      </c>
      <c r="DW26" s="202">
        <v>-3.2210268634200317E-2</v>
      </c>
      <c r="DX26" s="201">
        <v>-0.11701119964289296</v>
      </c>
      <c r="DY26" s="201">
        <v>-0.1039552497404807</v>
      </c>
      <c r="DZ26" s="201">
        <v>-0.19999999999970533</v>
      </c>
      <c r="EA26" s="201">
        <v>-6.9855166953877931E-2</v>
      </c>
      <c r="EB26" s="201">
        <v>-0.16785374041651502</v>
      </c>
      <c r="EC26" s="201">
        <v>-0.22791258881879328</v>
      </c>
      <c r="ED26" s="201">
        <v>-0.13755158184304339</v>
      </c>
      <c r="EE26" s="201">
        <v>-8.7065879849416078E-2</v>
      </c>
      <c r="EF26" s="201">
        <v>-9.8807720176291108E-2</v>
      </c>
      <c r="EG26" s="201">
        <v>-0.43684710351396649</v>
      </c>
      <c r="EH26" s="201">
        <v>0.24503130955645375</v>
      </c>
      <c r="EI26" s="206">
        <v>-7.0265839091264853E-2</v>
      </c>
      <c r="EJ26" s="201">
        <v>-0.11086966162571006</v>
      </c>
      <c r="EK26" s="201">
        <v>-0.16657412548602915</v>
      </c>
      <c r="EL26" s="201">
        <v>-7.6154638713351208E-2</v>
      </c>
      <c r="EM26" s="201">
        <v>-0.2006152200078864</v>
      </c>
      <c r="EN26" s="201">
        <v>-0.18691588785076457</v>
      </c>
      <c r="EO26" s="201">
        <v>-0.22908457802602256</v>
      </c>
      <c r="EP26" s="201">
        <v>-0.21095960895293589</v>
      </c>
      <c r="EQ26" s="201">
        <v>-0.22253273301261678</v>
      </c>
      <c r="ER26" s="201">
        <v>-0.18456995201160245</v>
      </c>
      <c r="ES26" s="201">
        <v>-7.6745970836704355E-2</v>
      </c>
      <c r="ET26" s="204">
        <v>-9.9771113328137623E-2</v>
      </c>
      <c r="EU26" s="204">
        <v>-0.14734484587732791</v>
      </c>
      <c r="EV26" s="204">
        <v>-0.28807901595860608</v>
      </c>
      <c r="EW26" s="204">
        <v>-0.16469942355201758</v>
      </c>
      <c r="EX26" s="204">
        <v>-0.15987962005075618</v>
      </c>
      <c r="EY26" s="204">
        <v>-0.21760633036612773</v>
      </c>
      <c r="EZ26" s="204">
        <v>-0.14454468424456748</v>
      </c>
      <c r="FA26" s="204">
        <v>-0.1308081669793453</v>
      </c>
      <c r="FB26" s="204">
        <v>-0.10871431023638159</v>
      </c>
      <c r="FC26" s="204">
        <v>-8.7634738410849976E-3</v>
      </c>
      <c r="FD26" s="204">
        <v>1.3220518244335703E-2</v>
      </c>
      <c r="FE26" s="204">
        <v>-2.9010733971614498E-2</v>
      </c>
      <c r="FF26" s="204">
        <v>-0.29139955041200599</v>
      </c>
      <c r="FG26" s="204">
        <v>3.7956426022831426E-2</v>
      </c>
      <c r="FH26" s="204">
        <v>-9.1203051156594717E-2</v>
      </c>
      <c r="FI26" s="204">
        <v>-0.23855673177280945</v>
      </c>
      <c r="FJ26" s="204">
        <v>-0.17919750681726021</v>
      </c>
      <c r="FK26" s="204">
        <v>-0.82588909489293205</v>
      </c>
      <c r="FL26" s="204">
        <v>0</v>
      </c>
      <c r="FM26" s="204">
        <v>0</v>
      </c>
      <c r="FN26" s="204">
        <v>0</v>
      </c>
      <c r="FO26" s="204">
        <v>0</v>
      </c>
      <c r="FP26" s="204">
        <v>0</v>
      </c>
    </row>
    <row r="27" spans="2:174" ht="13" x14ac:dyDescent="0.25">
      <c r="B27" s="199">
        <v>21</v>
      </c>
      <c r="C27" s="1912" t="s">
        <v>139</v>
      </c>
      <c r="D27" s="199">
        <v>21</v>
      </c>
      <c r="E27" s="205">
        <f>'NORTH-1'!$N$943</f>
        <v>-100</v>
      </c>
      <c r="F27" s="1890">
        <v>1.3026450748550487</v>
      </c>
      <c r="G27" s="1890">
        <v>2.4709453091458076</v>
      </c>
      <c r="H27" s="1890">
        <v>1.4918170536386146</v>
      </c>
      <c r="I27" s="1890">
        <v>2.1184123889476818</v>
      </c>
      <c r="J27" s="1890">
        <v>2.2979717844791385</v>
      </c>
      <c r="K27" s="1890">
        <v>2.4614466821764007</v>
      </c>
      <c r="L27" s="205">
        <v>1.4258816647052188</v>
      </c>
      <c r="M27" s="205">
        <v>1.5001064478459014</v>
      </c>
      <c r="N27" s="205">
        <v>0.5155142070986708</v>
      </c>
      <c r="O27" s="202">
        <v>1.7331115237594841</v>
      </c>
      <c r="P27" s="202">
        <v>0.30833865105940639</v>
      </c>
      <c r="Q27" s="202">
        <v>2.1104948857071575</v>
      </c>
      <c r="R27" s="202">
        <v>2.5793031877570032</v>
      </c>
      <c r="S27" s="201">
        <v>1.7476363452332264</v>
      </c>
      <c r="T27" s="202">
        <v>2.4878837494608197</v>
      </c>
      <c r="U27" s="202">
        <v>2.8005322020751935</v>
      </c>
      <c r="V27" s="202">
        <v>2.4320464563249931</v>
      </c>
      <c r="W27" s="202">
        <v>2.7787246442917835</v>
      </c>
      <c r="X27" s="202">
        <v>0.73010390351022059</v>
      </c>
      <c r="Y27" s="202">
        <v>0.59266107468112805</v>
      </c>
      <c r="Z27" s="202">
        <v>1.5983865675942672</v>
      </c>
      <c r="AA27" s="202">
        <v>-0.38347436682115471</v>
      </c>
      <c r="AB27" s="202">
        <v>0.63607705004295134</v>
      </c>
      <c r="AC27" s="202">
        <v>4.43</v>
      </c>
      <c r="AD27" s="202">
        <v>0.2548637009296692</v>
      </c>
      <c r="AE27" s="202">
        <v>0.28237760495065017</v>
      </c>
      <c r="AF27" s="202">
        <v>-0.71262005822607377</v>
      </c>
      <c r="AG27" s="202">
        <v>1.1382191138389761</v>
      </c>
      <c r="AH27" s="202">
        <v>-0.37890308134970618</v>
      </c>
      <c r="AI27" s="202">
        <v>1.6729419333948181</v>
      </c>
      <c r="AJ27" s="202">
        <v>3.6364353635895103E-2</v>
      </c>
      <c r="AK27" s="202">
        <v>-0.94911447300829754</v>
      </c>
      <c r="AL27" s="202">
        <v>0.27237709382164421</v>
      </c>
      <c r="AM27" s="202">
        <v>1.4851327441342068</v>
      </c>
      <c r="AN27" s="202">
        <v>2.2810591492076218</v>
      </c>
      <c r="AO27" s="202">
        <v>1.7082511669722387</v>
      </c>
      <c r="AP27" s="202">
        <v>0.33562100512333115</v>
      </c>
      <c r="AQ27" s="202">
        <v>2.220980978626204</v>
      </c>
      <c r="AR27" s="202">
        <v>0.33052683049433507</v>
      </c>
      <c r="AS27" s="202">
        <v>1.0944616297507437</v>
      </c>
      <c r="AT27" s="202">
        <v>2.4816712239546121</v>
      </c>
      <c r="AU27" s="202">
        <v>-1.9381200128301812</v>
      </c>
      <c r="AV27" s="202">
        <v>-0.76542272876398876</v>
      </c>
      <c r="AW27" s="202"/>
      <c r="AX27" s="202">
        <v>0.20344919236215181</v>
      </c>
      <c r="AY27" s="202">
        <v>1.5822836445580732</v>
      </c>
      <c r="AZ27" s="202">
        <v>-2.0258924942518734E-2</v>
      </c>
      <c r="BA27" s="202">
        <v>1.9763098855694077</v>
      </c>
      <c r="BB27" s="202">
        <v>-0.64544847438612252</v>
      </c>
      <c r="BC27" s="202">
        <v>-0.52878708080285308</v>
      </c>
      <c r="BD27" s="202">
        <v>0.45105650154687976</v>
      </c>
      <c r="BE27" s="202">
        <v>0.71645547018319</v>
      </c>
      <c r="BF27" s="202">
        <v>1.2333592304590841</v>
      </c>
      <c r="BG27" s="202">
        <v>0.891256591740342</v>
      </c>
      <c r="BH27" s="202">
        <v>0.60428949421174771</v>
      </c>
      <c r="BI27" s="202">
        <v>6.9227508088440082E-2</v>
      </c>
      <c r="BJ27" s="202"/>
      <c r="BK27" s="202">
        <v>1.5374707803227665</v>
      </c>
      <c r="BL27" s="202">
        <v>0.9849553555678382</v>
      </c>
      <c r="BM27" s="202">
        <v>0.77725627057019997</v>
      </c>
      <c r="BN27" s="202">
        <v>2.8295000021403767</v>
      </c>
      <c r="BO27" s="202">
        <v>2.4912470722726465</v>
      </c>
      <c r="BP27" s="202">
        <v>2.24949105750746</v>
      </c>
      <c r="BQ27" s="202">
        <v>2.1989005535648425</v>
      </c>
      <c r="BR27" s="202">
        <v>1.3441404217021193</v>
      </c>
      <c r="BS27" s="202">
        <v>1.5160784382188961</v>
      </c>
      <c r="BT27" s="202">
        <v>1.95195454063034</v>
      </c>
      <c r="BU27" s="201">
        <v>3.2021830538430036</v>
      </c>
      <c r="BV27" s="201">
        <v>2.7706183058653444</v>
      </c>
      <c r="BW27" s="201">
        <v>5.7040261816531741</v>
      </c>
      <c r="BX27" s="201">
        <v>3.5894070242954172</v>
      </c>
      <c r="BY27" s="201">
        <v>1.4228308910122478</v>
      </c>
      <c r="BZ27" s="201">
        <v>1.9210492307798639</v>
      </c>
      <c r="CA27" s="201">
        <v>9.9999999999965724E-3</v>
      </c>
      <c r="CB27" s="201">
        <v>1.0966582722718701</v>
      </c>
      <c r="CC27" s="201">
        <v>6.9901912418442746</v>
      </c>
      <c r="CD27" s="201">
        <v>-1.2481549396676652</v>
      </c>
      <c r="CE27" s="201">
        <v>2.1756192273758881</v>
      </c>
      <c r="CF27" s="201">
        <v>2.3690573598425759</v>
      </c>
      <c r="CG27" s="201">
        <v>0</v>
      </c>
      <c r="CH27" s="201">
        <v>0.44474217118452947</v>
      </c>
      <c r="CI27" s="201">
        <v>9.9999999999993774E-2</v>
      </c>
      <c r="CJ27" s="201">
        <v>0.71244967859185504</v>
      </c>
      <c r="CK27" s="201">
        <v>0.31007391309488319</v>
      </c>
      <c r="CL27" s="201">
        <v>-1.3519236512269073</v>
      </c>
      <c r="CM27" s="201">
        <v>-0.60511299896761339</v>
      </c>
      <c r="CN27" s="201">
        <v>0.53995371639895628</v>
      </c>
      <c r="CO27" s="201">
        <v>4.1910912776852917E-2</v>
      </c>
      <c r="CP27" s="201">
        <v>0.99191195102064111</v>
      </c>
      <c r="CQ27" s="201">
        <v>0.42639942413672738</v>
      </c>
      <c r="CR27" s="201">
        <v>1.8368479209074389</v>
      </c>
      <c r="CS27" s="201">
        <v>2.4563825257799676</v>
      </c>
      <c r="CT27" s="201">
        <v>2.5939788840280942</v>
      </c>
      <c r="CU27" s="201">
        <v>2.8169802960993477</v>
      </c>
      <c r="CV27" s="201">
        <v>1.8004815968687877</v>
      </c>
      <c r="CW27" s="201">
        <v>-0.46217674309642798</v>
      </c>
      <c r="CX27" s="201">
        <v>-0.59945830630611607</v>
      </c>
      <c r="CY27" s="201">
        <v>0.14811595123020244</v>
      </c>
      <c r="CZ27" s="201">
        <v>-0.19404572171465009</v>
      </c>
      <c r="DA27" s="201">
        <v>1.2936358292700875E-3</v>
      </c>
      <c r="DB27" s="201">
        <v>-1.056474825862932</v>
      </c>
      <c r="DC27" s="202">
        <v>8.1125139526093043E-2</v>
      </c>
      <c r="DD27" s="202">
        <v>2.405254180843527</v>
      </c>
      <c r="DE27" s="202">
        <v>-0.14658845087116787</v>
      </c>
      <c r="DF27" s="202">
        <v>0.14329654337595588</v>
      </c>
      <c r="DG27" s="202">
        <v>-8.8893085008578676E-2</v>
      </c>
      <c r="DH27" s="202">
        <v>1.7213843846698829E-2</v>
      </c>
      <c r="DI27" s="202">
        <v>-9.6977415536538242E-2</v>
      </c>
      <c r="DJ27" s="202">
        <v>-1.7123306228881231E-2</v>
      </c>
      <c r="DK27" s="202">
        <v>-0.40493748230698479</v>
      </c>
      <c r="DL27" s="202">
        <v>-0.10526968346069969</v>
      </c>
      <c r="DM27" s="202">
        <v>-0.3351390083479357</v>
      </c>
      <c r="DN27" s="202">
        <v>0.39910089891020095</v>
      </c>
      <c r="DO27" s="208">
        <v>-1.1138822440079692</v>
      </c>
      <c r="DP27" s="202">
        <v>0.47635053423276547</v>
      </c>
      <c r="DQ27" s="202">
        <v>-0.84427060185714387</v>
      </c>
      <c r="DR27" s="202">
        <v>0.68029479866765674</v>
      </c>
      <c r="DS27" s="207">
        <v>-5.3106439315042123E-2</v>
      </c>
      <c r="DT27" s="207">
        <v>-0.13669521401274032</v>
      </c>
      <c r="DU27" s="202">
        <v>-0.91351375694641912</v>
      </c>
      <c r="DV27" s="207">
        <v>0.38432596911825828</v>
      </c>
      <c r="DW27" s="207">
        <v>1.1768464850255425</v>
      </c>
      <c r="DX27" s="206">
        <v>-1.326315422776474</v>
      </c>
      <c r="DY27" s="206">
        <v>-0.51865073999175759</v>
      </c>
      <c r="DZ27" s="206">
        <v>-7.6346362756679498E-2</v>
      </c>
      <c r="EA27" s="206">
        <v>-0.14290370597622504</v>
      </c>
      <c r="EB27" s="206">
        <v>-0.50649180746259126</v>
      </c>
      <c r="EC27" s="206">
        <v>-0.21485259856063366</v>
      </c>
      <c r="ED27" s="206">
        <v>-0.20508684190292586</v>
      </c>
      <c r="EE27" s="206">
        <v>-0.28412548862961767</v>
      </c>
      <c r="EF27" s="206">
        <v>-0.30269680383000719</v>
      </c>
      <c r="EG27" s="206">
        <v>0.2657713562382002</v>
      </c>
      <c r="EH27" s="206">
        <v>-0.53548179813454866</v>
      </c>
      <c r="EI27" s="201">
        <v>-0.15070494849267241</v>
      </c>
      <c r="EJ27" s="206">
        <v>-0.13707837144986723</v>
      </c>
      <c r="EK27" s="206">
        <v>2.8489517966723509E-2</v>
      </c>
      <c r="EL27" s="206">
        <v>-0.42375521281930512</v>
      </c>
      <c r="EM27" s="206">
        <v>0.16748241993289351</v>
      </c>
      <c r="EN27" s="206">
        <v>-0.81238534778689753</v>
      </c>
      <c r="EO27" s="206">
        <v>-9.8915691685420859E-2</v>
      </c>
      <c r="EP27" s="206">
        <v>0.58013300449161187</v>
      </c>
      <c r="EQ27" s="201">
        <v>-0.36309722901024571</v>
      </c>
      <c r="ER27" s="201">
        <v>-0.33297643311707592</v>
      </c>
      <c r="ES27" s="201">
        <v>0.32139359429409287</v>
      </c>
      <c r="ET27" s="204">
        <v>-9.477468148087434E-2</v>
      </c>
      <c r="EU27" s="204">
        <v>0.57425806029284943</v>
      </c>
      <c r="EV27" s="204">
        <v>-0.17177657597164253</v>
      </c>
      <c r="EW27" s="204">
        <v>0.10481625860547185</v>
      </c>
      <c r="EX27" s="204">
        <v>6.7147884667031796E-2</v>
      </c>
      <c r="EY27" s="204">
        <v>-0.22611389745759822</v>
      </c>
      <c r="EZ27" s="204">
        <v>-0.10680285099651196</v>
      </c>
      <c r="FA27" s="204">
        <v>-0.14712666237706759</v>
      </c>
      <c r="FB27" s="204">
        <v>-0.28204222969855752</v>
      </c>
      <c r="FC27" s="204">
        <v>-0.27229794779239641</v>
      </c>
      <c r="FD27" s="204">
        <v>-4.5295265968598057E-2</v>
      </c>
      <c r="FE27" s="204">
        <v>-0.35652030701817539</v>
      </c>
      <c r="FF27" s="204">
        <v>-0.19187392770466091</v>
      </c>
      <c r="FG27" s="204">
        <v>-2.0556216882189347</v>
      </c>
      <c r="FH27" s="204">
        <v>-1.0420528392262318</v>
      </c>
      <c r="FI27" s="204">
        <v>-0.15907705653917198</v>
      </c>
      <c r="FJ27" s="204">
        <v>-0.2523727418259965</v>
      </c>
      <c r="FK27" s="204">
        <v>-0.95465064096523911</v>
      </c>
      <c r="FL27" s="204">
        <v>1.1197848341027277</v>
      </c>
      <c r="FM27" s="204">
        <v>-1.2455082925456382</v>
      </c>
      <c r="FN27" s="204">
        <v>-6.015704752811786E-2</v>
      </c>
      <c r="FO27" s="204">
        <v>-6.015704752811786E-2</v>
      </c>
      <c r="FP27" s="204">
        <v>-0.23202725549246786</v>
      </c>
    </row>
    <row r="28" spans="2:174" ht="13" x14ac:dyDescent="0.25">
      <c r="B28" s="199">
        <v>22</v>
      </c>
      <c r="C28" s="1912" t="s">
        <v>140</v>
      </c>
      <c r="D28" s="199">
        <v>22</v>
      </c>
      <c r="E28" s="205">
        <f>'NORTH-1'!$N$662</f>
        <v>-100</v>
      </c>
      <c r="F28" s="1890">
        <v>1.0142865013773341</v>
      </c>
      <c r="G28" s="1890">
        <v>0.12229595863932415</v>
      </c>
      <c r="H28" s="1890">
        <v>0.72589988842774922</v>
      </c>
      <c r="I28" s="1890">
        <v>1.5209586344904455</v>
      </c>
      <c r="J28" s="1890">
        <v>1.1357569899276065</v>
      </c>
      <c r="K28" s="1890">
        <v>2.0489193878560794</v>
      </c>
      <c r="L28" s="205">
        <v>1.1623049297274208</v>
      </c>
      <c r="M28" s="205">
        <v>1.1087818107460414</v>
      </c>
      <c r="N28" s="205">
        <v>1.184788175148132</v>
      </c>
      <c r="O28" s="202">
        <v>0.17858458547601008</v>
      </c>
      <c r="P28" s="202">
        <v>0.65129960300994982</v>
      </c>
      <c r="Q28" s="202">
        <v>0.58476782208821254</v>
      </c>
      <c r="R28" s="202">
        <v>1.188983564274908</v>
      </c>
      <c r="S28" s="201">
        <v>9.5281011986214331E-2</v>
      </c>
      <c r="T28" s="202">
        <v>1.5199246400944344</v>
      </c>
      <c r="U28" s="202">
        <v>2.4021648801154077E-2</v>
      </c>
      <c r="V28" s="202">
        <v>1.8097029713407591</v>
      </c>
      <c r="W28" s="201">
        <v>2.6440313953555941</v>
      </c>
      <c r="X28" s="201">
        <v>0.2240612139155097</v>
      </c>
      <c r="Y28" s="201">
        <v>1.6095145441296741</v>
      </c>
      <c r="Z28" s="201">
        <v>0.37821460777632593</v>
      </c>
      <c r="AA28" s="201">
        <v>1.4773502149179167</v>
      </c>
      <c r="AB28" s="201">
        <v>6.633348104277384E-2</v>
      </c>
      <c r="AC28" s="201">
        <v>-7.0000000000000007E-2</v>
      </c>
      <c r="AD28" s="201">
        <v>1.4950093985477044</v>
      </c>
      <c r="AE28" s="201">
        <v>0.676132078080391</v>
      </c>
      <c r="AF28" s="201">
        <v>-0.33216669321863235</v>
      </c>
      <c r="AG28" s="201">
        <v>1.0550610001155381</v>
      </c>
      <c r="AH28" s="201">
        <v>1.7914992718588147</v>
      </c>
      <c r="AI28" s="201">
        <v>1.7420792470343269</v>
      </c>
      <c r="AJ28" s="201">
        <v>-0.4932468917647575</v>
      </c>
      <c r="AK28" s="201">
        <v>1.869816528539002</v>
      </c>
      <c r="AL28" s="201">
        <v>1.7750382104034019</v>
      </c>
      <c r="AM28" s="201">
        <v>0.29768458583191565</v>
      </c>
      <c r="AN28" s="201">
        <v>0.78375814340651062</v>
      </c>
      <c r="AO28" s="201">
        <v>2.4164136564015553</v>
      </c>
      <c r="AP28" s="201">
        <v>1.6388364075134159</v>
      </c>
      <c r="AQ28" s="201">
        <v>0.37666326997117</v>
      </c>
      <c r="AR28" s="201">
        <v>1.2308988657477342</v>
      </c>
      <c r="AS28" s="201">
        <v>3.111316001340334</v>
      </c>
      <c r="AT28" s="201">
        <v>3.8888273230241284</v>
      </c>
      <c r="AU28" s="201">
        <v>1.7599988121434571</v>
      </c>
      <c r="AV28" s="201">
        <v>1.3986569733167242</v>
      </c>
      <c r="AW28" s="201"/>
      <c r="AX28" s="201">
        <v>1.5398748604066865</v>
      </c>
      <c r="AY28" s="201">
        <v>0.91828718671135634</v>
      </c>
      <c r="AZ28" s="201">
        <v>1.7144186120588771</v>
      </c>
      <c r="BA28" s="202">
        <v>0.68084694645640631</v>
      </c>
      <c r="BB28" s="202">
        <v>0.96100370085246511</v>
      </c>
      <c r="BC28" s="202">
        <v>1.8859035635862369</v>
      </c>
      <c r="BD28" s="202">
        <v>2.9831853412446554</v>
      </c>
      <c r="BE28" s="202">
        <v>4.195093157843198</v>
      </c>
      <c r="BF28" s="202">
        <v>0.37221129116966895</v>
      </c>
      <c r="BG28" s="202">
        <v>1.0725451930620979</v>
      </c>
      <c r="BH28" s="202">
        <v>0.28096419477909634</v>
      </c>
      <c r="BI28" s="202">
        <v>0.83735484172427455</v>
      </c>
      <c r="BJ28" s="202"/>
      <c r="BK28" s="202">
        <v>0.87676082885736906</v>
      </c>
      <c r="BL28" s="202">
        <v>2.2525067745176428</v>
      </c>
      <c r="BM28" s="202">
        <v>-0.84009767407276281</v>
      </c>
      <c r="BN28" s="202">
        <v>0.86077299789488959</v>
      </c>
      <c r="BO28" s="202">
        <v>-1.1849255509506185</v>
      </c>
      <c r="BP28" s="202">
        <v>0.70944303097632178</v>
      </c>
      <c r="BQ28" s="202">
        <v>9.8531348189560664E-2</v>
      </c>
      <c r="BR28" s="202">
        <v>0.172098246872497</v>
      </c>
      <c r="BS28" s="202">
        <v>1.8266082950495015</v>
      </c>
      <c r="BT28" s="202">
        <v>-0.46948448048016406</v>
      </c>
      <c r="BU28" s="203">
        <v>0.18754114759842669</v>
      </c>
      <c r="BV28" s="203">
        <v>0.83817848645998549</v>
      </c>
      <c r="BW28" s="203">
        <v>1.4181569625159771</v>
      </c>
      <c r="BX28" s="201">
        <v>-0.47350940750108833</v>
      </c>
      <c r="BY28" s="201">
        <v>2.2812342673527741</v>
      </c>
      <c r="BZ28" s="201">
        <v>1.1732059528682408</v>
      </c>
      <c r="CA28" s="201">
        <v>0.91672134210247802</v>
      </c>
      <c r="CB28" s="201">
        <v>0</v>
      </c>
      <c r="CC28" s="201">
        <v>2.3318222825396471</v>
      </c>
      <c r="CD28" s="201">
        <v>-3.1224796158907586</v>
      </c>
      <c r="CE28" s="201">
        <v>0.58683234464353573</v>
      </c>
      <c r="CF28" s="201">
        <v>1.0440041483006119</v>
      </c>
      <c r="CG28" s="201">
        <v>2.1102438194398085</v>
      </c>
      <c r="CH28" s="201">
        <v>4.4914961709307901</v>
      </c>
      <c r="CI28" s="201">
        <v>0.69106461620975035</v>
      </c>
      <c r="CJ28" s="201">
        <v>3.88970625221009</v>
      </c>
      <c r="CK28" s="201">
        <v>2.4364297874348249</v>
      </c>
      <c r="CL28" s="201">
        <v>2.5284179482756342</v>
      </c>
      <c r="CM28" s="201">
        <v>0.120588839933868</v>
      </c>
      <c r="CN28" s="201">
        <v>2.5566546774902301</v>
      </c>
      <c r="CO28" s="201">
        <v>1.5417256081795294</v>
      </c>
      <c r="CP28" s="201">
        <v>0.623831923095714</v>
      </c>
      <c r="CQ28" s="201">
        <v>8.5225078736138826</v>
      </c>
      <c r="CR28" s="201">
        <v>1.9537269235663652</v>
      </c>
      <c r="CS28" s="201">
        <v>3.7921217707001609</v>
      </c>
      <c r="CT28" s="201">
        <v>-0.66376407164770501</v>
      </c>
      <c r="CU28" s="201">
        <v>2.4038670344699518</v>
      </c>
      <c r="CV28" s="201">
        <v>1.3255003919096058</v>
      </c>
      <c r="CW28" s="201">
        <v>1.4691632967324164</v>
      </c>
      <c r="CX28" s="201">
        <v>2.4435363722925989</v>
      </c>
      <c r="CY28" s="201">
        <v>2.1645877714153618</v>
      </c>
      <c r="CZ28" s="201">
        <v>5.8014453701261832</v>
      </c>
      <c r="DA28" s="206">
        <v>3.8513924982483232</v>
      </c>
      <c r="DB28" s="206">
        <v>3.7401676402320478</v>
      </c>
      <c r="DC28" s="207">
        <v>2.3903054453594081</v>
      </c>
      <c r="DD28" s="207">
        <v>4.4431349845131205</v>
      </c>
      <c r="DE28" s="208">
        <v>4.8689898839636507</v>
      </c>
      <c r="DF28" s="202">
        <v>3.2658798546412702</v>
      </c>
      <c r="DG28" s="202">
        <v>5.077834976818651</v>
      </c>
      <c r="DH28" s="202">
        <v>3.8829672449981265</v>
      </c>
      <c r="DI28" s="208">
        <v>5.4500094411332398</v>
      </c>
      <c r="DJ28" s="208">
        <v>3.3210962319136699</v>
      </c>
      <c r="DK28" s="202">
        <v>2.5589608016595484</v>
      </c>
      <c r="DL28" s="202">
        <v>3.2840112295371799</v>
      </c>
      <c r="DM28" s="202">
        <v>2.8092883234922299</v>
      </c>
      <c r="DN28" s="202">
        <v>0.50000000000000977</v>
      </c>
      <c r="DO28" s="207">
        <v>1.9268605513913322</v>
      </c>
      <c r="DP28" s="207">
        <v>4.2835855274916765</v>
      </c>
      <c r="DQ28" s="207">
        <v>3.8341595884409676</v>
      </c>
      <c r="DR28" s="207">
        <v>7.7561990205113549</v>
      </c>
      <c r="DS28" s="207">
        <v>5.2190184732940725</v>
      </c>
      <c r="DT28" s="207">
        <v>6.4671139853792452</v>
      </c>
      <c r="DU28" s="202">
        <v>4.6061373505298109</v>
      </c>
      <c r="DV28" s="202">
        <v>2.644115733228503</v>
      </c>
      <c r="DW28" s="202">
        <v>7.868222454666479</v>
      </c>
      <c r="DX28" s="202">
        <v>2.0936885313494673</v>
      </c>
      <c r="DY28" s="202">
        <v>5.4364281627951971</v>
      </c>
      <c r="DZ28" s="201">
        <v>3.7298581839777496</v>
      </c>
      <c r="EA28" s="201">
        <v>4.3002187014691051</v>
      </c>
      <c r="EB28" s="201">
        <v>2.3275202688250967</v>
      </c>
      <c r="EC28" s="201">
        <v>3.3705243356319374</v>
      </c>
      <c r="ED28" s="201">
        <v>2.8597852891100062</v>
      </c>
      <c r="EE28" s="201">
        <v>4.3458255084257464</v>
      </c>
      <c r="EF28" s="201">
        <v>3.0404965166181999</v>
      </c>
      <c r="EG28" s="201">
        <v>2.323885971209986</v>
      </c>
      <c r="EH28" s="201">
        <v>3.0641891324981745</v>
      </c>
      <c r="EI28" s="201">
        <v>2.8258816867362255</v>
      </c>
      <c r="EJ28" s="201">
        <v>3.3816477716437627</v>
      </c>
      <c r="EK28" s="201">
        <v>3.1259768800011938</v>
      </c>
      <c r="EL28" s="201">
        <v>3.3355802469400953</v>
      </c>
      <c r="EM28" s="201">
        <v>4.6640463499180029</v>
      </c>
      <c r="EN28" s="201">
        <v>0.9413343422761199</v>
      </c>
      <c r="EO28" s="206">
        <v>4.5931390032417445</v>
      </c>
      <c r="EP28" s="201">
        <v>3.6902728269863569</v>
      </c>
      <c r="EQ28" s="201">
        <v>3.2679188729067237</v>
      </c>
      <c r="ER28" s="201">
        <v>3.3467022228181813</v>
      </c>
      <c r="ES28" s="201">
        <v>7.4110589603533255</v>
      </c>
      <c r="ET28" s="204">
        <v>3.7028981041235096</v>
      </c>
      <c r="EU28" s="204">
        <v>2.3088479461099176</v>
      </c>
      <c r="EV28" s="204">
        <v>2.3132197648249959</v>
      </c>
      <c r="EW28" s="204">
        <v>3.6913656333732066</v>
      </c>
      <c r="EX28" s="204">
        <v>4.7552124409130752</v>
      </c>
      <c r="EY28" s="204">
        <v>3.1930540054552417</v>
      </c>
      <c r="EZ28" s="204">
        <v>3.6059457229894729</v>
      </c>
      <c r="FA28" s="204">
        <v>2.4763196313428524</v>
      </c>
      <c r="FB28" s="204">
        <v>1.8424266464046406</v>
      </c>
      <c r="FC28" s="204">
        <v>2.5370176180730422</v>
      </c>
      <c r="FD28" s="204">
        <v>2.6590467806845273</v>
      </c>
      <c r="FE28" s="204">
        <v>2.6839962381723521</v>
      </c>
      <c r="FF28" s="204">
        <v>2.4161939942105848</v>
      </c>
      <c r="FG28" s="204">
        <v>1.2373592531755373</v>
      </c>
      <c r="FH28" s="204">
        <v>4.2537054298324817</v>
      </c>
      <c r="FI28" s="204">
        <v>1.6821705454434195</v>
      </c>
      <c r="FJ28" s="204">
        <v>1.9678033628282541</v>
      </c>
      <c r="FK28" s="204">
        <v>2.007637527594972</v>
      </c>
      <c r="FL28" s="204">
        <v>5.4649088761981934</v>
      </c>
      <c r="FM28" s="204">
        <v>0.1074368972444055</v>
      </c>
      <c r="FN28" s="204">
        <v>7.3335516945377375</v>
      </c>
      <c r="FO28" s="204">
        <v>7.3335516945377375</v>
      </c>
      <c r="FP28" s="204">
        <v>15.810296485129873</v>
      </c>
    </row>
    <row r="29" spans="2:174" ht="13" x14ac:dyDescent="0.25">
      <c r="B29" s="199">
        <v>23</v>
      </c>
      <c r="C29" s="1912" t="s">
        <v>141</v>
      </c>
      <c r="D29" s="199">
        <v>23</v>
      </c>
      <c r="E29" s="205">
        <f>'SOUTH-2'!$N$846</f>
        <v>-100</v>
      </c>
      <c r="F29" s="1890">
        <v>0.34146123159244868</v>
      </c>
      <c r="G29" s="1890">
        <v>0.1872373810687489</v>
      </c>
      <c r="H29" s="1890">
        <v>2.3428715381671992E-2</v>
      </c>
      <c r="I29" s="1890">
        <v>0.16365842131280567</v>
      </c>
      <c r="J29" s="1890">
        <v>-0.20409336959917412</v>
      </c>
      <c r="K29" s="1890">
        <v>0.19950595163870163</v>
      </c>
      <c r="L29" s="205">
        <v>-0.13413541826602446</v>
      </c>
      <c r="M29" s="205">
        <v>0.51524558690365685</v>
      </c>
      <c r="N29" s="205">
        <v>0.14421064583051388</v>
      </c>
      <c r="O29" s="202">
        <v>0.20410347424684003</v>
      </c>
      <c r="P29" s="202">
        <v>0.28464770492951269</v>
      </c>
      <c r="Q29" s="202">
        <v>0.75152871745464989</v>
      </c>
      <c r="R29" s="202">
        <v>0.34867451484092982</v>
      </c>
      <c r="S29" s="201">
        <v>0</v>
      </c>
      <c r="T29" s="202">
        <v>0.41295021292928502</v>
      </c>
      <c r="U29" s="202">
        <v>0.26401637945016371</v>
      </c>
      <c r="V29" s="202">
        <v>-1.3169654511318879E-2</v>
      </c>
      <c r="W29" s="202">
        <v>2.6962763500743579E-2</v>
      </c>
      <c r="X29" s="202">
        <v>0.21626222126160363</v>
      </c>
      <c r="Y29" s="202">
        <v>0.61166375119975525</v>
      </c>
      <c r="Z29" s="202">
        <v>0.83843804750624396</v>
      </c>
      <c r="AA29" s="202">
        <v>0.77556338513047107</v>
      </c>
      <c r="AB29" s="202">
        <v>0.53796495320271231</v>
      </c>
      <c r="AC29" s="202">
        <v>0.34</v>
      </c>
      <c r="AD29" s="202">
        <v>0.12324292259147374</v>
      </c>
      <c r="AE29" s="202">
        <v>-0.45120754039476818</v>
      </c>
      <c r="AF29" s="202">
        <v>0.23233926074138866</v>
      </c>
      <c r="AG29" s="202">
        <v>0.45506588010657217</v>
      </c>
      <c r="AH29" s="202">
        <v>0.89999999999999947</v>
      </c>
      <c r="AI29" s="202">
        <v>0.89999999999998259</v>
      </c>
      <c r="AJ29" s="202">
        <v>0.16072224684338487</v>
      </c>
      <c r="AK29" s="202">
        <v>1.1009194214569953</v>
      </c>
      <c r="AL29" s="202">
        <v>-0.15848322327956438</v>
      </c>
      <c r="AM29" s="202">
        <v>1.120493104713439</v>
      </c>
      <c r="AN29" s="202">
        <v>0.15000000000000921</v>
      </c>
      <c r="AO29" s="202">
        <v>0.32688333598955222</v>
      </c>
      <c r="AP29" s="202">
        <v>1.9508602539809077</v>
      </c>
      <c r="AQ29" s="202">
        <v>2.7858831732549194</v>
      </c>
      <c r="AR29" s="202">
        <v>1.6395968760394064</v>
      </c>
      <c r="AS29" s="202">
        <v>3.2852509054710479</v>
      </c>
      <c r="AT29" s="202">
        <v>-0.7351120199939335</v>
      </c>
      <c r="AU29" s="202">
        <v>3.2943327332994174</v>
      </c>
      <c r="AV29" s="202">
        <v>2.8738709734189234</v>
      </c>
      <c r="AW29" s="202"/>
      <c r="AX29" s="202">
        <v>1.9383193508347822</v>
      </c>
      <c r="AY29" s="202">
        <v>0.55294518940473236</v>
      </c>
      <c r="AZ29" s="202">
        <v>0.58107337639581047</v>
      </c>
      <c r="BA29" s="202">
        <v>1.0476982245862774</v>
      </c>
      <c r="BB29" s="202">
        <v>-0.54534963719828478</v>
      </c>
      <c r="BC29" s="202">
        <v>1.7407474668187053</v>
      </c>
      <c r="BD29" s="202">
        <v>3.157745253067211</v>
      </c>
      <c r="BE29" s="202">
        <v>0.29999999999998461</v>
      </c>
      <c r="BF29" s="202">
        <v>0.2999999999999865</v>
      </c>
      <c r="BG29" s="202">
        <v>0.2999999999999991</v>
      </c>
      <c r="BH29" s="202">
        <v>0.63559468492778026</v>
      </c>
      <c r="BI29" s="202">
        <v>1.131166257767511</v>
      </c>
      <c r="BJ29" s="202"/>
      <c r="BK29" s="202">
        <v>1.0188456650668014</v>
      </c>
      <c r="BL29" s="202">
        <v>-1.0065429235042906</v>
      </c>
      <c r="BM29" s="202">
        <v>-1.237701033033717</v>
      </c>
      <c r="BN29" s="202">
        <v>-1.5456920237614267</v>
      </c>
      <c r="BO29" s="202">
        <v>3.1586654467317938</v>
      </c>
      <c r="BP29" s="202">
        <v>-0.24125074362492191</v>
      </c>
      <c r="BQ29" s="202">
        <v>0.41437361502941683</v>
      </c>
      <c r="BR29" s="202">
        <v>-0.13606871588694058</v>
      </c>
      <c r="BS29" s="202">
        <v>0.8728494126791605</v>
      </c>
      <c r="BT29" s="202">
        <v>-0.83180338107211349</v>
      </c>
      <c r="BU29" s="201">
        <v>-0.86640822542794937</v>
      </c>
      <c r="BV29" s="201">
        <v>4.1076195733025571</v>
      </c>
      <c r="BW29" s="201">
        <v>1.205299941303132</v>
      </c>
      <c r="BX29" s="201">
        <v>0.60435944825141752</v>
      </c>
      <c r="BY29" s="201">
        <v>9.999999999996706E-3</v>
      </c>
      <c r="BZ29" s="201">
        <v>-1.8636587302652156E-2</v>
      </c>
      <c r="CA29" s="201">
        <v>1.0000000000005465E-2</v>
      </c>
      <c r="CB29" s="201">
        <v>2.340681972183996</v>
      </c>
      <c r="CC29" s="201">
        <v>3.5495323230771523</v>
      </c>
      <c r="CD29" s="201">
        <v>-0.21776380425121761</v>
      </c>
      <c r="CE29" s="201">
        <v>-1.2968917052898938</v>
      </c>
      <c r="CF29" s="201">
        <v>-0.14338888057690602</v>
      </c>
      <c r="CG29" s="201">
        <v>0.46767103512438829</v>
      </c>
      <c r="CH29" s="201">
        <v>-0.17631599607437062</v>
      </c>
      <c r="CI29" s="201">
        <v>0.2039078587870462</v>
      </c>
      <c r="CJ29" s="201">
        <v>-1.0294601847294269</v>
      </c>
      <c r="CK29" s="201">
        <v>8.1237972051995316E-2</v>
      </c>
      <c r="CL29" s="201">
        <v>1.0026834812327803</v>
      </c>
      <c r="CM29" s="208">
        <v>-2.5469362077559352</v>
      </c>
      <c r="CN29" s="201">
        <v>0.34761129139038299</v>
      </c>
      <c r="CO29" s="201">
        <v>-1.3655454397922411</v>
      </c>
      <c r="CP29" s="201">
        <v>1.8979223801444265</v>
      </c>
      <c r="CQ29" s="201">
        <v>-0.27558709917844043</v>
      </c>
      <c r="CR29" s="201">
        <v>-1.3258920191337094</v>
      </c>
      <c r="CS29" s="201">
        <v>0.5171662948841822</v>
      </c>
      <c r="CT29" s="201">
        <v>-0.50540431239839079</v>
      </c>
      <c r="CU29" s="201">
        <v>2.0317389235091006</v>
      </c>
      <c r="CV29" s="201">
        <v>0.77983445664864759</v>
      </c>
      <c r="CW29" s="201">
        <v>-7.2547861420275597E-2</v>
      </c>
      <c r="CX29" s="201">
        <v>1.0940485620466738</v>
      </c>
      <c r="CY29" s="201">
        <v>8.6660389059098134E-2</v>
      </c>
      <c r="CZ29" s="201">
        <v>-0.62496598609584475</v>
      </c>
      <c r="DA29" s="201">
        <v>0.41802321544747045</v>
      </c>
      <c r="DB29" s="201">
        <v>0.20570491234911287</v>
      </c>
      <c r="DC29" s="202">
        <v>7.4803001421726893</v>
      </c>
      <c r="DD29" s="202">
        <v>-0.47426260428332184</v>
      </c>
      <c r="DE29" s="202">
        <v>-2.0087008320601907</v>
      </c>
      <c r="DF29" s="202">
        <v>-8.2352037777611107E-3</v>
      </c>
      <c r="DG29" s="202">
        <v>-0.27190369088415645</v>
      </c>
      <c r="DH29" s="202">
        <v>0.60080805181130736</v>
      </c>
      <c r="DI29" s="208">
        <v>0.6292786725180961</v>
      </c>
      <c r="DJ29" s="208">
        <v>2.8492667719698836</v>
      </c>
      <c r="DK29" s="202">
        <v>0.22189773308870325</v>
      </c>
      <c r="DL29" s="202">
        <v>-0.97693332705151936</v>
      </c>
      <c r="DM29" s="202">
        <v>1.2850351872645149</v>
      </c>
      <c r="DN29" s="202">
        <v>-1.4034922684712319</v>
      </c>
      <c r="DO29" s="202">
        <v>0.85637977745224803</v>
      </c>
      <c r="DP29" s="202">
        <v>3.3642027214378709</v>
      </c>
      <c r="DQ29" s="202">
        <v>-2.2155042232916804</v>
      </c>
      <c r="DR29" s="207">
        <v>1.5607500828501728</v>
      </c>
      <c r="DS29" s="207">
        <v>0.12063111005690877</v>
      </c>
      <c r="DT29" s="202">
        <v>0.18264053420300858</v>
      </c>
      <c r="DU29" s="202">
        <v>1.0908333288361083</v>
      </c>
      <c r="DV29" s="202">
        <v>1.8259491565180381</v>
      </c>
      <c r="DW29" s="202">
        <v>2.774816536727605</v>
      </c>
      <c r="DX29" s="201">
        <v>1.3470106872169127</v>
      </c>
      <c r="DY29" s="201">
        <v>2.0541804387627245</v>
      </c>
      <c r="DZ29" s="201">
        <v>0.35123409629016983</v>
      </c>
      <c r="EA29" s="201">
        <v>-0.48899270222462798</v>
      </c>
      <c r="EB29" s="201">
        <v>-0.14394783756530927</v>
      </c>
      <c r="EC29" s="201">
        <v>-0.57697115277933564</v>
      </c>
      <c r="ED29" s="201">
        <v>-0.60307479272444175</v>
      </c>
      <c r="EE29" s="201">
        <v>-0.69369308891067349</v>
      </c>
      <c r="EF29" s="201">
        <v>-1.1220795145599849</v>
      </c>
      <c r="EG29" s="201">
        <v>-1.0960860990499788</v>
      </c>
      <c r="EH29" s="201">
        <v>0.18710440451498836</v>
      </c>
      <c r="EI29" s="201">
        <v>-0.17759820455668479</v>
      </c>
      <c r="EJ29" s="201">
        <v>0.1934514928926207</v>
      </c>
      <c r="EK29" s="201">
        <v>0.2249680306125075</v>
      </c>
      <c r="EL29" s="201">
        <v>0.7606333166445558</v>
      </c>
      <c r="EM29" s="201">
        <v>0.7331916265254903</v>
      </c>
      <c r="EN29" s="201">
        <v>0.59288397805377613</v>
      </c>
      <c r="EO29" s="201">
        <v>0.41530284403376505</v>
      </c>
      <c r="EP29" s="201">
        <v>0.59251820848664216</v>
      </c>
      <c r="EQ29" s="201">
        <v>-0.17650683521081503</v>
      </c>
      <c r="ER29" s="201">
        <v>0.19445644794267833</v>
      </c>
      <c r="ES29" s="201">
        <v>-0.2492138208478504</v>
      </c>
      <c r="ET29" s="204">
        <v>-0.10459236310080378</v>
      </c>
      <c r="EU29" s="204">
        <v>3.2942255841744983E-2</v>
      </c>
      <c r="EV29" s="204">
        <v>0.15538628024160875</v>
      </c>
      <c r="EW29" s="204">
        <v>1.1279015125792555</v>
      </c>
      <c r="EX29" s="204">
        <v>0.23509368530515526</v>
      </c>
      <c r="EY29" s="204">
        <v>0.18160233995762545</v>
      </c>
      <c r="EZ29" s="204">
        <v>0.1011709152420962</v>
      </c>
      <c r="FA29" s="204">
        <v>0.17119030295024878</v>
      </c>
      <c r="FB29" s="204">
        <v>-1.5446285712623287</v>
      </c>
      <c r="FC29" s="204">
        <v>-1.183480174767835</v>
      </c>
      <c r="FD29" s="204">
        <v>-1.3261979735151712</v>
      </c>
      <c r="FE29" s="204">
        <v>-0.41958536016132064</v>
      </c>
      <c r="FF29" s="204">
        <v>-0.89520780266511002</v>
      </c>
      <c r="FG29" s="204">
        <v>1.5629259032055032</v>
      </c>
      <c r="FH29" s="204">
        <v>3.2948286213478521</v>
      </c>
      <c r="FI29" s="204">
        <v>-3.5787763157222159</v>
      </c>
      <c r="FJ29" s="204">
        <v>2.9931871296344803</v>
      </c>
      <c r="FK29" s="204">
        <v>-0.14241405233041057</v>
      </c>
      <c r="FL29" s="204">
        <v>-5.9446161338303689</v>
      </c>
      <c r="FM29" s="204"/>
      <c r="FN29" s="204"/>
      <c r="FO29" s="204"/>
      <c r="FP29" s="214"/>
    </row>
    <row r="30" spans="2:174" ht="13" x14ac:dyDescent="0.25">
      <c r="B30" s="199">
        <v>24</v>
      </c>
      <c r="C30" s="1912" t="s">
        <v>866</v>
      </c>
      <c r="D30" s="199">
        <v>24</v>
      </c>
      <c r="E30" s="200">
        <f>'NORTH-1'!$N$1509</f>
        <v>-100</v>
      </c>
      <c r="F30" s="1889">
        <v>2.0415089882046931</v>
      </c>
      <c r="G30" s="1889">
        <v>2.5206519268609946</v>
      </c>
      <c r="H30" s="1889">
        <v>1.0972250965977608</v>
      </c>
      <c r="I30" s="1889">
        <v>0.35833870315694677</v>
      </c>
      <c r="J30" s="1889">
        <v>1.3812779932654489</v>
      </c>
      <c r="K30" s="1889">
        <v>0.56948404440991862</v>
      </c>
      <c r="L30" s="200">
        <v>0.15711364209977541</v>
      </c>
      <c r="M30" s="200">
        <v>2.3211658071447121</v>
      </c>
      <c r="N30" s="200">
        <v>1.5192061096770892</v>
      </c>
      <c r="O30" s="201">
        <v>0.39028865390821676</v>
      </c>
      <c r="P30" s="202">
        <v>-0.42092541674830874</v>
      </c>
      <c r="Q30" s="202">
        <v>0.10991608269588517</v>
      </c>
      <c r="R30" s="202">
        <v>0.90230841899996539</v>
      </c>
      <c r="S30" s="201">
        <v>-4.8525466713509179E-2</v>
      </c>
      <c r="T30" s="202">
        <v>0.44663714162165569</v>
      </c>
      <c r="U30" s="202">
        <v>-0.83520849796313401</v>
      </c>
      <c r="V30" s="202">
        <v>0.67652300055045778</v>
      </c>
      <c r="W30" s="202">
        <v>0.88985986997813815</v>
      </c>
      <c r="X30" s="202">
        <v>0.32547267391039453</v>
      </c>
      <c r="Y30" s="202">
        <v>0.24221187722569243</v>
      </c>
      <c r="Z30" s="202">
        <v>1.6757687945601312</v>
      </c>
      <c r="AA30" s="202">
        <v>4.5822540256819436E-2</v>
      </c>
      <c r="AB30" s="202">
        <v>1.4926897560462817</v>
      </c>
      <c r="AC30" s="202">
        <v>-0.79</v>
      </c>
      <c r="AD30" s="202">
        <v>3.1551441393874029</v>
      </c>
      <c r="AE30" s="202">
        <v>0.832952960566128</v>
      </c>
      <c r="AF30" s="202">
        <v>1.9253996875217516</v>
      </c>
      <c r="AG30" s="202">
        <v>2.9891552332706257</v>
      </c>
      <c r="AH30" s="202">
        <v>0.80530036905989577</v>
      </c>
      <c r="AI30" s="202">
        <v>0.75571209083703395</v>
      </c>
      <c r="AJ30" s="202">
        <v>0.3790835421395804</v>
      </c>
      <c r="AK30" s="202">
        <v>0.43994817057872537</v>
      </c>
      <c r="AL30" s="202">
        <v>0.99759377543728456</v>
      </c>
      <c r="AM30" s="202">
        <v>1.7356019668635463</v>
      </c>
      <c r="AN30" s="202">
        <v>-0.20945258512858242</v>
      </c>
      <c r="AO30" s="202">
        <v>3.2587131456354417</v>
      </c>
      <c r="AP30" s="202">
        <v>1.478024790001728</v>
      </c>
      <c r="AQ30" s="202">
        <v>1.6865195215779818</v>
      </c>
      <c r="AR30" s="202">
        <v>2.4566520558035974</v>
      </c>
      <c r="AS30" s="202">
        <v>1.9168366060513335</v>
      </c>
      <c r="AT30" s="202">
        <v>1.5435829164831745</v>
      </c>
      <c r="AU30" s="202">
        <v>0.79074991802566774</v>
      </c>
      <c r="AV30" s="202">
        <v>0.3449546612267505</v>
      </c>
      <c r="AW30" s="202"/>
      <c r="AX30" s="202">
        <v>-0.76556507275403385</v>
      </c>
      <c r="AY30" s="202">
        <v>0.50179806644797098</v>
      </c>
      <c r="AZ30" s="202">
        <v>1.0428573082643282</v>
      </c>
      <c r="BA30" s="202">
        <v>1.3376217777514168</v>
      </c>
      <c r="BB30" s="202">
        <v>0.53767174453576916</v>
      </c>
      <c r="BC30" s="202">
        <v>1.1516861971679118</v>
      </c>
      <c r="BD30" s="202">
        <v>1.2540991183217947</v>
      </c>
      <c r="BE30" s="202">
        <v>0.559196874663757</v>
      </c>
      <c r="BF30" s="202">
        <v>7.7542559332146613E-2</v>
      </c>
      <c r="BG30" s="202">
        <v>0.38730526250579289</v>
      </c>
      <c r="BH30" s="202">
        <v>0.12917382372361069</v>
      </c>
      <c r="BI30" s="202">
        <v>0.3322737706618048</v>
      </c>
      <c r="BJ30" s="202"/>
      <c r="BK30" s="202">
        <v>1.8600647411115567</v>
      </c>
      <c r="BL30" s="202">
        <v>0.62328254252956738</v>
      </c>
      <c r="BM30" s="202">
        <v>14.194030628676813</v>
      </c>
      <c r="BN30" s="202">
        <v>-8.6526632834319539</v>
      </c>
      <c r="BO30" s="202">
        <v>0.80993570805462989</v>
      </c>
      <c r="BP30" s="202">
        <v>-0.98867125063685679</v>
      </c>
      <c r="BQ30" s="202">
        <v>-0.30907401943884544</v>
      </c>
      <c r="BR30" s="202">
        <v>-4.0974141899322844E-2</v>
      </c>
      <c r="BS30" s="202">
        <v>-1.2996553259099455</v>
      </c>
      <c r="BT30" s="202">
        <v>-1.3994809865082236</v>
      </c>
      <c r="BU30" s="201">
        <v>2.6513963033818513</v>
      </c>
      <c r="BV30" s="201">
        <v>1.6279319623578314</v>
      </c>
      <c r="BW30" s="201">
        <v>1.373391732705552</v>
      </c>
      <c r="BX30" s="201">
        <v>-8.6532464276775939E-2</v>
      </c>
      <c r="BY30" s="201">
        <v>-0.510989156090492</v>
      </c>
      <c r="BZ30" s="201">
        <v>-0.32894719638239656</v>
      </c>
      <c r="CA30" s="201">
        <v>-2.5099133809176699</v>
      </c>
      <c r="CB30" s="201">
        <v>1.1626533027497323</v>
      </c>
      <c r="CC30" s="201">
        <v>-0.55786201446081107</v>
      </c>
      <c r="CD30" s="201">
        <v>-2.8538928549700913</v>
      </c>
      <c r="CE30" s="201">
        <v>-0.30070492352733225</v>
      </c>
      <c r="CF30" s="208">
        <v>-1.2444993852029449</v>
      </c>
      <c r="CG30" s="208">
        <v>1.8112171690910881</v>
      </c>
      <c r="CH30" s="208">
        <v>1.2568789688239246</v>
      </c>
      <c r="CI30" s="208">
        <v>-0.32007905139660203</v>
      </c>
      <c r="CJ30" s="208">
        <v>-0.33670336721915212</v>
      </c>
      <c r="CK30" s="208">
        <v>-0.38423092549452648</v>
      </c>
      <c r="CL30" s="208">
        <v>0.50000000000000222</v>
      </c>
      <c r="CM30" s="208">
        <v>-2.6632764796499004</v>
      </c>
      <c r="CN30" s="201">
        <v>9.9999999999974831E-2</v>
      </c>
      <c r="CO30" s="201">
        <v>0.10000000000000536</v>
      </c>
      <c r="CP30" s="201">
        <v>-0.78942069570602724</v>
      </c>
      <c r="CQ30" s="201">
        <v>0.19884739511547783</v>
      </c>
      <c r="CR30" s="201">
        <v>-0.58527784435564512</v>
      </c>
      <c r="CS30" s="201">
        <v>2.2636175468105972</v>
      </c>
      <c r="CT30" s="201">
        <v>1.0552221939834552</v>
      </c>
      <c r="CU30" s="201">
        <v>0.46738737290549565</v>
      </c>
      <c r="CV30" s="201">
        <v>1.3940741291395078</v>
      </c>
      <c r="CW30" s="201">
        <v>0.94354417145860492</v>
      </c>
      <c r="CX30" s="201">
        <v>0.1695065640496288</v>
      </c>
      <c r="CY30" s="201">
        <v>-0.12889665695044064</v>
      </c>
      <c r="CZ30" s="201">
        <v>-0.94112578594125529</v>
      </c>
      <c r="DA30" s="201">
        <v>-0.9312223542622049</v>
      </c>
      <c r="DB30" s="201">
        <v>1.2012449527861577</v>
      </c>
      <c r="DC30" s="202">
        <v>4.7351284708748519E-2</v>
      </c>
      <c r="DD30" s="202">
        <v>0.40486500048728374</v>
      </c>
      <c r="DE30" s="202">
        <v>0.10000000000001677</v>
      </c>
      <c r="DF30" s="202">
        <v>9.9999999999977343E-2</v>
      </c>
      <c r="DG30" s="202">
        <v>9.9999999999959968E-2</v>
      </c>
      <c r="DH30" s="202">
        <v>9.9999999999993816E-2</v>
      </c>
      <c r="DI30" s="202">
        <v>-1.8469330189008384</v>
      </c>
      <c r="DJ30" s="202">
        <v>-1.4185660005428737</v>
      </c>
      <c r="DK30" s="202">
        <v>-2.3119537907869971</v>
      </c>
      <c r="DL30" s="201">
        <v>-1.4928654893093727</v>
      </c>
      <c r="DM30" s="201">
        <v>0.15887033612200252</v>
      </c>
      <c r="DN30" s="201">
        <v>0.27782649401533871</v>
      </c>
      <c r="DO30" s="201">
        <v>0.2336597404664863</v>
      </c>
      <c r="DP30" s="215"/>
      <c r="DQ30" s="215"/>
      <c r="DR30" s="215"/>
      <c r="DS30" s="215"/>
      <c r="DT30" s="215"/>
      <c r="DU30" s="215"/>
      <c r="DV30" s="215"/>
      <c r="DW30" s="215"/>
      <c r="DX30" s="215"/>
      <c r="DY30" s="215"/>
      <c r="DZ30" s="215"/>
      <c r="EA30" s="215"/>
      <c r="EB30" s="215"/>
      <c r="EC30" s="215"/>
      <c r="ED30" s="215"/>
      <c r="EE30" s="215"/>
      <c r="EF30" s="215"/>
      <c r="EG30" s="215"/>
      <c r="EH30" s="215"/>
      <c r="EI30" s="215"/>
      <c r="EJ30" s="215"/>
      <c r="EK30" s="215"/>
      <c r="EL30" s="215"/>
      <c r="EM30" s="215"/>
      <c r="EN30" s="215"/>
      <c r="EO30" s="215"/>
      <c r="EP30" s="215"/>
      <c r="EQ30" s="215"/>
      <c r="ER30" s="215"/>
      <c r="ES30" s="215"/>
      <c r="ET30" s="216"/>
      <c r="EU30" s="216"/>
      <c r="EV30" s="216"/>
      <c r="EW30" s="216"/>
      <c r="EX30" s="216"/>
      <c r="EY30" s="216"/>
    </row>
    <row r="31" spans="2:174" ht="13" x14ac:dyDescent="0.25">
      <c r="B31" s="199">
        <v>25</v>
      </c>
      <c r="C31" s="1912" t="s">
        <v>867</v>
      </c>
      <c r="D31" s="199">
        <v>25</v>
      </c>
      <c r="E31" s="205">
        <f>'NORTH-1'!$N$816</f>
        <v>-100</v>
      </c>
      <c r="F31" s="1890">
        <v>1.5953610369853761</v>
      </c>
      <c r="G31" s="1890">
        <v>1.9107008834172983</v>
      </c>
      <c r="H31" s="1890">
        <v>1.9321606541757945</v>
      </c>
      <c r="I31" s="1890">
        <v>0.752256060122102</v>
      </c>
      <c r="J31" s="1890">
        <v>1.3138146643354713</v>
      </c>
      <c r="K31" s="1890">
        <v>0.79291255862201149</v>
      </c>
      <c r="L31" s="205">
        <v>0.9063815539949801</v>
      </c>
      <c r="M31" s="205">
        <v>1.6819469140694727</v>
      </c>
      <c r="N31" s="205">
        <v>1.0702994560701649</v>
      </c>
      <c r="O31" s="202">
        <v>0.83032769564356634</v>
      </c>
      <c r="P31" s="202">
        <v>1.8274227811381945</v>
      </c>
      <c r="Q31" s="202">
        <v>0.47014445897468443</v>
      </c>
      <c r="R31" s="202">
        <v>1.3155688028474537</v>
      </c>
      <c r="S31" s="201">
        <v>0.84898659632439766</v>
      </c>
      <c r="T31" s="202">
        <v>1.1515708747723186</v>
      </c>
      <c r="U31" s="202">
        <v>1.1005328691970475</v>
      </c>
      <c r="V31" s="202">
        <v>1.3313656439880586</v>
      </c>
      <c r="W31" s="202">
        <v>1.6273851888466899</v>
      </c>
      <c r="X31" s="202">
        <v>0.29384160453039754</v>
      </c>
      <c r="Y31" s="202">
        <v>1.8405201206068822</v>
      </c>
      <c r="Z31" s="202">
        <v>1.1167446571301916</v>
      </c>
      <c r="AA31" s="202">
        <v>2.0478590540552188</v>
      </c>
      <c r="AB31" s="202">
        <v>0.9996933521577428</v>
      </c>
      <c r="AC31" s="202">
        <v>1.3</v>
      </c>
      <c r="AD31" s="202">
        <v>1.1076067197952031</v>
      </c>
      <c r="AE31" s="202">
        <v>0.45803113994772143</v>
      </c>
      <c r="AF31" s="202">
        <v>0.97746727200246042</v>
      </c>
      <c r="AG31" s="202">
        <v>0.96411588309453877</v>
      </c>
      <c r="AH31" s="202">
        <v>0.77550946623579464</v>
      </c>
      <c r="AI31" s="202">
        <v>0.12524038405243679</v>
      </c>
      <c r="AJ31" s="202">
        <v>-0.37496656649786025</v>
      </c>
      <c r="AK31" s="202">
        <v>0.36558841158532041</v>
      </c>
      <c r="AL31" s="202">
        <v>2.5929630383435267</v>
      </c>
      <c r="AM31" s="202">
        <v>1.7775251340186691</v>
      </c>
      <c r="AN31" s="202">
        <v>2.2564836664003751</v>
      </c>
      <c r="AO31" s="202">
        <v>0.44877218407821434</v>
      </c>
      <c r="AP31" s="202">
        <v>1.375018140762114</v>
      </c>
      <c r="AQ31" s="202">
        <v>1.4508383355104892</v>
      </c>
      <c r="AR31" s="202">
        <v>-3.2072974894771435E-2</v>
      </c>
      <c r="AS31" s="202">
        <v>9.8554311694207378E-2</v>
      </c>
      <c r="AT31" s="202">
        <v>1.284365617733237</v>
      </c>
      <c r="AU31" s="202">
        <v>0.26044865134699413</v>
      </c>
      <c r="AV31" s="202">
        <v>1.5958537235785479</v>
      </c>
      <c r="AW31" s="202"/>
      <c r="AX31" s="202">
        <v>4.3995865840691071</v>
      </c>
      <c r="AY31" s="202">
        <v>1.9141365105772061</v>
      </c>
      <c r="AZ31" s="202">
        <v>-1.2002880271940448</v>
      </c>
      <c r="BA31" s="202">
        <v>1.5924240122809266</v>
      </c>
      <c r="BB31" s="202">
        <v>-0.26390859655464111</v>
      </c>
      <c r="BC31" s="202">
        <v>-0.37936829542556005</v>
      </c>
      <c r="BD31" s="202">
        <v>-0.69129323401032283</v>
      </c>
      <c r="BE31" s="202">
        <v>2.4737518295142329</v>
      </c>
      <c r="BF31" s="202">
        <v>2.5479212367072472</v>
      </c>
      <c r="BG31" s="202">
        <v>2.3976930438126152</v>
      </c>
      <c r="BH31" s="202">
        <v>2.9020301830933843</v>
      </c>
      <c r="BI31" s="202">
        <v>2.3769071055736024</v>
      </c>
      <c r="BJ31" s="202"/>
      <c r="BK31" s="202">
        <v>0.6731570385365544</v>
      </c>
      <c r="BL31" s="202">
        <v>2.8097098515911316</v>
      </c>
      <c r="BM31" s="202">
        <v>1.2479401751225034</v>
      </c>
      <c r="BN31" s="202">
        <v>2.7191967079808594</v>
      </c>
      <c r="BO31" s="202">
        <v>2.8872447046633729</v>
      </c>
      <c r="BP31" s="202">
        <v>2.6476968289240208</v>
      </c>
      <c r="BQ31" s="202">
        <v>3.0100765918225956</v>
      </c>
      <c r="BR31" s="202">
        <v>0.32334882332269749</v>
      </c>
      <c r="BS31" s="202">
        <v>2.2534227283560924</v>
      </c>
      <c r="BT31" s="202">
        <v>1.0053854381994016</v>
      </c>
      <c r="BU31" s="201">
        <v>-0.27759374359324535</v>
      </c>
      <c r="BV31" s="201">
        <v>0.49382205398120232</v>
      </c>
      <c r="BW31" s="201">
        <v>-0.37003596570606528</v>
      </c>
      <c r="BX31" s="201">
        <v>-0.8193773263754528</v>
      </c>
      <c r="BY31" s="201">
        <v>0.19046886920897352</v>
      </c>
      <c r="BZ31" s="201">
        <v>-0.37162115592430073</v>
      </c>
      <c r="CA31" s="201">
        <v>2.7583170985157328</v>
      </c>
      <c r="CB31" s="201">
        <v>0.21890511368581603</v>
      </c>
      <c r="CC31" s="201">
        <v>-0.30533771165555862</v>
      </c>
      <c r="CD31" s="201">
        <v>0.39368870968899655</v>
      </c>
      <c r="CE31" s="201">
        <v>0.43732559779614083</v>
      </c>
      <c r="CF31" s="201">
        <v>2.5735262326949666</v>
      </c>
      <c r="CG31" s="201">
        <v>-0.88759489402912495</v>
      </c>
      <c r="CH31" s="201">
        <v>0</v>
      </c>
      <c r="CI31" s="201">
        <v>0.20000000000001597</v>
      </c>
      <c r="CJ31" s="201">
        <v>-0.59719309457835157</v>
      </c>
      <c r="CK31" s="201">
        <v>-0.33199054319743582</v>
      </c>
      <c r="CL31" s="201">
        <v>-0.49938331120777085</v>
      </c>
      <c r="CM31" s="201">
        <v>0.28856166870808575</v>
      </c>
      <c r="CN31" s="201">
        <v>3.6036469479150325E-2</v>
      </c>
      <c r="CO31" s="201">
        <v>2.9465811316165649</v>
      </c>
      <c r="CP31" s="201">
        <v>1.5959763064777395</v>
      </c>
      <c r="CQ31" s="201">
        <v>4.7843572777089405E-5</v>
      </c>
      <c r="CR31" s="201">
        <v>5.1913305060127239</v>
      </c>
      <c r="CS31" s="201">
        <v>4.7631951751078834</v>
      </c>
      <c r="CT31" s="201">
        <v>0.97179777526452282</v>
      </c>
      <c r="CU31" s="201">
        <v>5.0259467644284488</v>
      </c>
      <c r="CV31" s="201">
        <v>-0.45899402657124355</v>
      </c>
      <c r="CW31" s="201">
        <v>0.39559237433684136</v>
      </c>
      <c r="CX31" s="201">
        <v>1.195615291092643</v>
      </c>
      <c r="CY31" s="201">
        <v>0.58756902714554626</v>
      </c>
      <c r="CZ31" s="201">
        <v>0.13767075603991971</v>
      </c>
      <c r="DA31" s="201">
        <v>0.1484736353224449</v>
      </c>
      <c r="DB31" s="201">
        <v>6.4108864079291894E-2</v>
      </c>
      <c r="DC31" s="202">
        <v>0.10354400223221751</v>
      </c>
      <c r="DD31" s="202">
        <v>-0.82012434654878175</v>
      </c>
      <c r="DE31" s="202">
        <v>0.22705400616679614</v>
      </c>
      <c r="DF31" s="202">
        <v>0.50167205080146737</v>
      </c>
      <c r="DG31" s="202">
        <v>0.4049639141303214</v>
      </c>
      <c r="DH31" s="202">
        <v>-1.6197989800261325</v>
      </c>
      <c r="DI31" s="201">
        <v>2.4732318747987576</v>
      </c>
      <c r="DJ31" s="201">
        <v>0.39154541036807311</v>
      </c>
      <c r="DK31" s="201">
        <v>0.35756669675650093</v>
      </c>
      <c r="DL31" s="201">
        <v>0.30084594852191604</v>
      </c>
      <c r="DM31" s="201">
        <v>1.2773915769700177</v>
      </c>
      <c r="DN31" s="201">
        <v>5.73570887848122</v>
      </c>
      <c r="DO31" s="208">
        <v>7.4551241798930343</v>
      </c>
      <c r="DP31" s="217"/>
      <c r="DQ31" s="217"/>
      <c r="DR31" s="217"/>
      <c r="DS31" s="217"/>
      <c r="DT31" s="217"/>
      <c r="DU31" s="217"/>
      <c r="DV31" s="217"/>
      <c r="DW31" s="217"/>
      <c r="DX31" s="217"/>
      <c r="DY31" s="217"/>
      <c r="DZ31" s="217"/>
      <c r="EA31" s="217"/>
      <c r="EB31" s="217"/>
      <c r="EC31" s="217"/>
      <c r="ED31" s="217"/>
      <c r="EE31" s="217"/>
      <c r="EF31" s="217"/>
      <c r="EG31" s="217"/>
      <c r="EH31" s="217"/>
      <c r="EI31" s="217"/>
      <c r="EJ31" s="217"/>
      <c r="EK31" s="217"/>
      <c r="EL31" s="217"/>
      <c r="EM31" s="217"/>
      <c r="EN31" s="217"/>
      <c r="EO31" s="217"/>
      <c r="EP31" s="217"/>
      <c r="EQ31" s="217"/>
      <c r="ER31" s="217"/>
      <c r="ES31" s="217"/>
      <c r="ET31" s="218"/>
      <c r="EU31" s="218"/>
      <c r="EV31" s="218"/>
      <c r="EW31" s="218"/>
      <c r="EX31" s="218"/>
      <c r="EY31" s="218"/>
    </row>
    <row r="32" spans="2:174" ht="25" x14ac:dyDescent="0.25">
      <c r="B32" s="199">
        <v>26</v>
      </c>
      <c r="C32" s="1912" t="s">
        <v>142</v>
      </c>
      <c r="D32" s="199">
        <v>26</v>
      </c>
      <c r="E32" s="205">
        <f>'NORTH-2'!$N$1147</f>
        <v>-100</v>
      </c>
      <c r="F32" s="1890">
        <v>-1.129882417930935</v>
      </c>
      <c r="G32" s="1890">
        <v>-3.0409902033261386E-2</v>
      </c>
      <c r="H32" s="1890">
        <v>1.3399813480936293</v>
      </c>
      <c r="I32" s="1890">
        <v>0.8327540613877934</v>
      </c>
      <c r="J32" s="1890">
        <v>1.9504469007788503</v>
      </c>
      <c r="K32" s="1890">
        <v>1.7400263478484426</v>
      </c>
      <c r="L32" s="205">
        <v>-0.44814540970492905</v>
      </c>
      <c r="M32" s="205">
        <v>0.40641957351192481</v>
      </c>
      <c r="N32" s="205">
        <v>2.468498196343365</v>
      </c>
      <c r="O32" s="202">
        <v>1.0117418508407798</v>
      </c>
      <c r="P32" s="202">
        <v>2.61912839205071</v>
      </c>
      <c r="Q32" s="202">
        <v>1.6149784221500652</v>
      </c>
      <c r="R32" s="202">
        <v>2.1442153921933995</v>
      </c>
      <c r="S32" s="202">
        <v>1.5763089850905621</v>
      </c>
      <c r="T32" s="202">
        <v>2.2993674598679061</v>
      </c>
      <c r="U32" s="202">
        <v>2.7513871068429414</v>
      </c>
      <c r="V32" s="202">
        <v>2.4419151122938856</v>
      </c>
      <c r="W32" s="202">
        <v>3.6649942385441605</v>
      </c>
      <c r="X32" s="202">
        <v>3.250934739707529</v>
      </c>
      <c r="Y32" s="202">
        <v>2.7191982910355961</v>
      </c>
      <c r="Z32" s="202">
        <v>2.6435806514820279</v>
      </c>
      <c r="AA32" s="202">
        <v>2.5532621940133513</v>
      </c>
      <c r="AB32" s="202">
        <v>3.9586145697092325</v>
      </c>
      <c r="AC32" s="202">
        <v>3.83</v>
      </c>
      <c r="AD32" s="202">
        <v>2.3966354954818296</v>
      </c>
      <c r="AE32" s="202">
        <v>2.0457082010824927</v>
      </c>
      <c r="AF32" s="202">
        <v>1.0458074405465121</v>
      </c>
      <c r="AG32" s="202">
        <v>2.5104956633336046</v>
      </c>
      <c r="AH32" s="202">
        <v>3.8908643832450935</v>
      </c>
      <c r="AI32" s="202">
        <v>3.7077048404607398</v>
      </c>
      <c r="AJ32" s="202">
        <v>-3.946791309343999</v>
      </c>
      <c r="AK32" s="202">
        <v>2.9547907408051888</v>
      </c>
      <c r="AL32" s="202">
        <v>1.7562511299132471</v>
      </c>
      <c r="AM32" s="202">
        <v>1.6371605864172416</v>
      </c>
      <c r="AN32" s="202">
        <v>2.8809125820714518</v>
      </c>
      <c r="AO32" s="202">
        <v>2.1600963468523906</v>
      </c>
      <c r="AP32" s="202">
        <v>0.1885096885411553</v>
      </c>
      <c r="AQ32" s="202">
        <v>1.6314184306849193</v>
      </c>
      <c r="AR32" s="202">
        <v>8.5601100301524166E-2</v>
      </c>
      <c r="AS32" s="202">
        <v>3.1565566539656364</v>
      </c>
      <c r="AT32" s="202">
        <v>1.4999999999999698</v>
      </c>
      <c r="AU32" s="202">
        <v>0.91869442726371064</v>
      </c>
      <c r="AV32" s="202">
        <v>4.00118777234219</v>
      </c>
      <c r="AW32" s="202"/>
      <c r="AX32" s="202">
        <v>2.0430924317054866</v>
      </c>
      <c r="AY32" s="202">
        <v>1.8197634806687839</v>
      </c>
      <c r="AZ32" s="202">
        <v>2.9474621992525663</v>
      </c>
      <c r="BA32" s="202">
        <v>0.75770697354670202</v>
      </c>
      <c r="BB32" s="202">
        <v>0.88391300307227838</v>
      </c>
      <c r="BC32" s="202">
        <v>-1.7840997627269903</v>
      </c>
      <c r="BD32" s="202">
        <v>0.14783239537916407</v>
      </c>
      <c r="BE32" s="202">
        <v>0.39783325628290206</v>
      </c>
      <c r="BF32" s="202">
        <v>1.1221542415909396</v>
      </c>
      <c r="BG32" s="202">
        <v>2.1371925754208267</v>
      </c>
      <c r="BH32" s="202">
        <v>0.23405015641299623</v>
      </c>
      <c r="BI32" s="202">
        <v>2.4470946373496973</v>
      </c>
      <c r="BJ32" s="202"/>
      <c r="BK32" s="202">
        <v>0.12661534372451869</v>
      </c>
      <c r="BL32" s="202">
        <v>0.90767871079530527</v>
      </c>
      <c r="BM32" s="202">
        <v>0.91519410485828412</v>
      </c>
      <c r="BN32" s="202">
        <v>0.48252959344121965</v>
      </c>
      <c r="BO32" s="202">
        <v>-79.071142712025093</v>
      </c>
      <c r="BP32" s="202">
        <v>-0.66005582752632053</v>
      </c>
      <c r="BQ32" s="202">
        <v>1.325203073796376</v>
      </c>
      <c r="BR32" s="202">
        <v>0.94511285194808414</v>
      </c>
      <c r="BS32" s="202">
        <v>1.188533326284271</v>
      </c>
      <c r="BT32" s="202">
        <v>1.749235940083443</v>
      </c>
      <c r="BU32" s="203">
        <v>-0.8558010494095053</v>
      </c>
      <c r="BV32" s="203">
        <v>1.1059385341528323</v>
      </c>
      <c r="BW32" s="203">
        <v>-0.84159154125461011</v>
      </c>
      <c r="BX32" s="201">
        <v>1.2139791727023221</v>
      </c>
      <c r="BY32" s="201">
        <v>2.7619627780200116</v>
      </c>
      <c r="BZ32" s="201">
        <v>-1.5822399261440401</v>
      </c>
      <c r="CA32" s="201">
        <v>-1.11729131191821</v>
      </c>
      <c r="CB32" s="201">
        <v>0.85853993147635976</v>
      </c>
      <c r="CC32" s="201">
        <v>1.7164943141791449</v>
      </c>
      <c r="CD32" s="201">
        <v>1.8711817593308386</v>
      </c>
      <c r="CE32" s="201">
        <v>-3.49814542237461E-2</v>
      </c>
      <c r="CF32" s="219">
        <v>-1.2268514494520795</v>
      </c>
      <c r="CG32" s="219">
        <v>-3.1106566573678491</v>
      </c>
      <c r="CH32" s="201">
        <v>0.83593719617251183</v>
      </c>
      <c r="CI32" s="201">
        <v>0.37973495800726931</v>
      </c>
      <c r="CJ32" s="201">
        <v>-0.20466517625928232</v>
      </c>
      <c r="CK32" s="201">
        <v>-0.32423254677323859</v>
      </c>
      <c r="CL32" s="201">
        <v>-3.1280687038511292</v>
      </c>
      <c r="CM32" s="201">
        <v>1.646210749785193</v>
      </c>
      <c r="CN32" s="201">
        <v>0.58200008221762234</v>
      </c>
      <c r="CO32" s="201">
        <v>-0.23697753556276951</v>
      </c>
      <c r="CP32" s="201">
        <v>-0.97407897491251405</v>
      </c>
      <c r="CQ32" s="201">
        <v>2.0948365796545017</v>
      </c>
      <c r="CR32" s="203">
        <v>2.0334291177644088</v>
      </c>
      <c r="CS32" s="203">
        <v>2.7133613395998553</v>
      </c>
      <c r="CT32" s="203">
        <v>1.5655708202418523</v>
      </c>
      <c r="CU32" s="203">
        <v>6.9140028681130321</v>
      </c>
      <c r="CV32" s="201">
        <v>3.6065483358844199</v>
      </c>
      <c r="CW32" s="201">
        <v>3.9062028567190423</v>
      </c>
      <c r="CX32" s="201">
        <v>3.654866126248447</v>
      </c>
      <c r="CY32" s="201">
        <v>3.3643465357401778</v>
      </c>
      <c r="CZ32" s="201">
        <v>2.6114739219120895</v>
      </c>
      <c r="DA32" s="201">
        <v>2.17</v>
      </c>
      <c r="DB32" s="201"/>
      <c r="DC32" s="202"/>
      <c r="DD32" s="202"/>
      <c r="DE32" s="202"/>
      <c r="DF32" s="202"/>
      <c r="DG32" s="202"/>
      <c r="DH32" s="202"/>
      <c r="DI32" s="201"/>
      <c r="DJ32" s="217"/>
      <c r="DK32" s="217"/>
      <c r="DL32" s="217"/>
      <c r="DM32" s="217"/>
      <c r="DN32" s="217"/>
      <c r="DO32" s="217"/>
      <c r="DP32" s="217"/>
      <c r="DQ32" s="217"/>
      <c r="DR32" s="217"/>
      <c r="DS32" s="217"/>
      <c r="DT32" s="217"/>
      <c r="DU32" s="217"/>
      <c r="DV32" s="217"/>
      <c r="DW32" s="217"/>
      <c r="DX32" s="217"/>
      <c r="DY32" s="217"/>
      <c r="DZ32" s="217"/>
      <c r="EA32" s="217"/>
      <c r="EB32" s="217"/>
      <c r="EC32" s="217"/>
      <c r="ED32" s="217"/>
      <c r="EE32" s="217"/>
      <c r="EF32" s="217"/>
      <c r="EG32" s="217"/>
      <c r="EH32" s="217"/>
      <c r="EI32" s="217"/>
      <c r="EJ32" s="217"/>
      <c r="EK32" s="217"/>
      <c r="EL32" s="217"/>
      <c r="EM32" s="217"/>
      <c r="EN32" s="217"/>
      <c r="EO32" s="217"/>
      <c r="EP32" s="217"/>
      <c r="EQ32" s="217"/>
      <c r="ER32" s="217"/>
      <c r="ES32" s="217"/>
      <c r="ET32" s="218"/>
      <c r="EU32" s="218"/>
      <c r="EV32" s="218"/>
      <c r="EW32" s="218"/>
      <c r="EX32" s="218"/>
      <c r="EY32" s="218"/>
    </row>
    <row r="33" spans="2:155" ht="14" x14ac:dyDescent="0.3">
      <c r="B33" s="199">
        <v>27</v>
      </c>
      <c r="C33" s="1893" t="s">
        <v>143</v>
      </c>
      <c r="D33" s="199">
        <v>27</v>
      </c>
      <c r="E33" s="1436">
        <f>'NORTH-1'!N538</f>
        <v>-100</v>
      </c>
      <c r="F33" s="1890">
        <v>0.44203711641986898</v>
      </c>
      <c r="G33" s="1890">
        <v>0.498570636012101</v>
      </c>
      <c r="H33" s="1890">
        <v>0.36511347353979834</v>
      </c>
      <c r="I33" s="1890">
        <v>8.0090102640305874E-2</v>
      </c>
      <c r="J33" s="1890">
        <v>0.22363134596032364</v>
      </c>
      <c r="K33" s="1890">
        <v>0.34225456455590525</v>
      </c>
      <c r="L33" s="205">
        <v>0.15524146855387561</v>
      </c>
      <c r="M33" s="205">
        <v>0.60269366132797042</v>
      </c>
      <c r="N33" s="205">
        <v>0.48850562594114205</v>
      </c>
      <c r="O33" s="202">
        <v>7.9531160190426442E-2</v>
      </c>
      <c r="P33" s="202">
        <v>0.82519194000921559</v>
      </c>
      <c r="Q33" s="202">
        <v>0.25538745016255693</v>
      </c>
      <c r="R33" s="202">
        <v>0.4361544319967714</v>
      </c>
      <c r="S33" s="202">
        <v>0.56524979165570088</v>
      </c>
      <c r="T33" s="202">
        <v>0.49999999999996669</v>
      </c>
      <c r="U33" s="202">
        <v>1.1722957109893561</v>
      </c>
      <c r="V33" s="202">
        <v>1.1310801263579946</v>
      </c>
      <c r="W33" s="202">
        <v>2.0196282968487331</v>
      </c>
      <c r="X33" s="202">
        <v>1.1991797943343265</v>
      </c>
      <c r="Y33" s="202">
        <v>1.2847715484306079</v>
      </c>
      <c r="Z33" s="202">
        <v>1.3840738833517128</v>
      </c>
      <c r="AA33" s="202">
        <v>0.84954359019578651</v>
      </c>
      <c r="AB33" s="202">
        <v>0.55684785501797163</v>
      </c>
      <c r="AC33" s="202">
        <v>0.8</v>
      </c>
      <c r="AD33" s="202">
        <v>0.82508501448179805</v>
      </c>
      <c r="AE33" s="202">
        <v>1.4752275463828128</v>
      </c>
      <c r="AF33" s="202">
        <v>0.77889735976260688</v>
      </c>
      <c r="AG33" s="202">
        <v>0.20279140676040625</v>
      </c>
      <c r="AH33" s="202">
        <v>0.44003753272254242</v>
      </c>
      <c r="AI33" s="202">
        <v>0.77227529050487465</v>
      </c>
      <c r="AJ33" s="202">
        <v>0.40755711855975624</v>
      </c>
      <c r="AK33" s="202">
        <v>1.9914323870606574</v>
      </c>
      <c r="AL33" s="202">
        <v>0.90886887676094452</v>
      </c>
      <c r="AM33" s="202">
        <v>0.97376386932221892</v>
      </c>
      <c r="AN33" s="202">
        <v>0.31731926761394358</v>
      </c>
      <c r="AO33" s="202">
        <v>0.59359390962163694</v>
      </c>
      <c r="AP33" s="202">
        <v>1.4989053211175958</v>
      </c>
      <c r="AQ33" s="202">
        <v>0.54451235392210739</v>
      </c>
      <c r="AR33" s="202">
        <v>1.7068600870029291</v>
      </c>
      <c r="AS33" s="202">
        <v>1.7957643603654811</v>
      </c>
      <c r="AT33" s="202">
        <v>1.5615106859706978</v>
      </c>
      <c r="AU33" s="202">
        <v>1.749999999999986</v>
      </c>
      <c r="AV33" s="202">
        <v>1.7520944541371768</v>
      </c>
      <c r="AW33" s="202"/>
      <c r="AX33" s="202">
        <v>1.3984288828092044</v>
      </c>
      <c r="AY33" s="202">
        <v>3.3155555876281788</v>
      </c>
      <c r="AZ33" s="202">
        <v>0.30000000000001292</v>
      </c>
      <c r="BA33" s="202">
        <v>0</v>
      </c>
      <c r="BB33" s="202">
        <v>-0.10256766124777172</v>
      </c>
      <c r="BC33" s="202">
        <v>-0.11178249242652225</v>
      </c>
      <c r="BD33" s="202">
        <v>-0.92410793796844937</v>
      </c>
      <c r="BE33" s="202">
        <v>1.4436183846889596</v>
      </c>
      <c r="BF33" s="202">
        <v>0.59363757466306</v>
      </c>
      <c r="BG33" s="202">
        <v>0.63432219164684533</v>
      </c>
      <c r="BH33" s="202">
        <v>0.36224513388915319</v>
      </c>
      <c r="BI33" s="202">
        <v>0.14355805086140591</v>
      </c>
      <c r="BJ33" s="202"/>
      <c r="BK33" s="202">
        <v>0.94919394893163123</v>
      </c>
      <c r="BL33" s="202">
        <v>0.95210520051939462</v>
      </c>
      <c r="BM33" s="202">
        <v>0.83284258421253266</v>
      </c>
      <c r="BN33" s="202">
        <v>0.66435919526684184</v>
      </c>
      <c r="BO33" s="202">
        <v>0.36176854689101495</v>
      </c>
      <c r="BP33" s="202">
        <v>0.21841444163271459</v>
      </c>
      <c r="BQ33" s="202">
        <v>0.1632783814682971</v>
      </c>
      <c r="BR33" s="202">
        <v>0.20551385467549024</v>
      </c>
      <c r="BS33" s="202">
        <v>1.4110836970377234</v>
      </c>
      <c r="BT33" s="202">
        <v>1.4942748833980408</v>
      </c>
      <c r="BU33" s="201">
        <v>1.2829342285218628</v>
      </c>
      <c r="BV33" s="201">
        <v>2.3111249673689271</v>
      </c>
      <c r="BW33" s="201">
        <v>0.30183097465420855</v>
      </c>
      <c r="BX33" s="201">
        <v>0.16476526164304869</v>
      </c>
      <c r="BY33" s="201">
        <v>0.36887907520457203</v>
      </c>
      <c r="BZ33" s="201">
        <v>0.19374481040686412</v>
      </c>
      <c r="CA33" s="201">
        <v>0.31451141018139261</v>
      </c>
      <c r="CB33" s="201">
        <v>0.22578409675183866</v>
      </c>
      <c r="CC33" s="201">
        <v>0.19821248378261497</v>
      </c>
      <c r="CD33" s="201">
        <v>0.19674744103802952</v>
      </c>
      <c r="CE33" s="201">
        <v>0.19494041026095432</v>
      </c>
      <c r="CF33" s="201">
        <v>0.19163397909990801</v>
      </c>
      <c r="CG33" s="201">
        <v>0.17705774295642165</v>
      </c>
      <c r="CH33" s="201">
        <v>0.2901187519976397</v>
      </c>
      <c r="CI33" s="201">
        <v>0.41359011443505617</v>
      </c>
      <c r="CJ33" s="201">
        <v>0.21178663202778641</v>
      </c>
      <c r="CK33" s="201">
        <v>8.0658170672689142E-2</v>
      </c>
      <c r="CL33" s="201">
        <v>0.21711954733862845</v>
      </c>
      <c r="CM33" s="201">
        <v>0.19927880053141012</v>
      </c>
      <c r="CN33" s="201">
        <v>0.17938257674391692</v>
      </c>
      <c r="CO33" s="201">
        <v>0.22257551669316375</v>
      </c>
      <c r="CP33" s="201">
        <v>0.17324242762937297</v>
      </c>
      <c r="CQ33" s="201">
        <v>0.19270793185847529</v>
      </c>
      <c r="CR33" s="201">
        <v>0.17344778927563498</v>
      </c>
      <c r="CS33" s="201">
        <v>-0.45089358911296928</v>
      </c>
      <c r="CT33" s="201">
        <v>0.91218890915975359</v>
      </c>
      <c r="CU33" s="201">
        <v>0.15632713509957102</v>
      </c>
      <c r="CV33" s="201">
        <v>0.15420766632398297</v>
      </c>
      <c r="CW33" s="201">
        <v>0</v>
      </c>
      <c r="CX33" s="201">
        <v>-0.26780931976432781</v>
      </c>
      <c r="CY33" s="201">
        <v>0.57193625409517468</v>
      </c>
      <c r="CZ33" s="201">
        <v>0.12455686499952094</v>
      </c>
      <c r="DA33" s="201"/>
      <c r="DB33" s="201"/>
      <c r="DC33" s="202"/>
      <c r="DD33" s="202"/>
      <c r="DE33" s="202"/>
      <c r="DF33" s="202"/>
      <c r="DG33" s="202"/>
      <c r="DH33" s="202"/>
      <c r="DI33" s="201"/>
      <c r="DJ33" s="217"/>
      <c r="DK33" s="217"/>
      <c r="DL33" s="217"/>
      <c r="DM33" s="217"/>
      <c r="DN33" s="217"/>
      <c r="DO33" s="217"/>
      <c r="DP33" s="217"/>
      <c r="DQ33" s="217"/>
      <c r="DR33" s="217"/>
      <c r="DS33" s="217"/>
      <c r="DT33" s="217"/>
      <c r="DU33" s="217"/>
      <c r="DV33" s="217"/>
      <c r="DW33" s="217"/>
      <c r="DX33" s="217"/>
      <c r="DY33" s="217"/>
      <c r="DZ33" s="217"/>
      <c r="EA33" s="217"/>
      <c r="EB33" s="217"/>
      <c r="EC33" s="217"/>
      <c r="ED33" s="217"/>
      <c r="EE33" s="217"/>
      <c r="EF33" s="217"/>
      <c r="EG33" s="217"/>
      <c r="EH33" s="217"/>
      <c r="EI33" s="217"/>
      <c r="EJ33" s="217"/>
      <c r="EK33" s="217"/>
      <c r="EL33" s="217"/>
      <c r="EM33" s="217"/>
      <c r="EN33" s="217"/>
      <c r="EO33" s="217"/>
      <c r="EP33" s="217"/>
      <c r="EQ33" s="217"/>
      <c r="ER33" s="217"/>
      <c r="ES33" s="217"/>
      <c r="ET33" s="218"/>
      <c r="EU33" s="218"/>
      <c r="EV33" s="218"/>
      <c r="EW33" s="218"/>
      <c r="EX33" s="218"/>
      <c r="EY33" s="218"/>
    </row>
    <row r="34" spans="2:155" ht="12.5" x14ac:dyDescent="0.25">
      <c r="B34" s="199">
        <v>28</v>
      </c>
      <c r="C34" s="1912" t="s">
        <v>144</v>
      </c>
      <c r="D34" s="199">
        <v>28</v>
      </c>
      <c r="E34" s="205">
        <f>'NORTH-1'!N574</f>
        <v>-100</v>
      </c>
      <c r="F34" s="1890">
        <v>0.60814794777757186</v>
      </c>
      <c r="G34" s="1890">
        <v>0.74173279567189221</v>
      </c>
      <c r="H34" s="1890">
        <v>1.2575778688189299</v>
      </c>
      <c r="I34" s="1890">
        <v>1.2902494597065588</v>
      </c>
      <c r="J34" s="1890">
        <v>1.4779171421359338</v>
      </c>
      <c r="K34" s="1890">
        <v>1.8286647282157575</v>
      </c>
      <c r="L34" s="205">
        <v>-4.6618685147071487E-2</v>
      </c>
      <c r="M34" s="205">
        <v>0.45481590392341165</v>
      </c>
      <c r="N34" s="205">
        <v>1.4639204656240257</v>
      </c>
      <c r="O34" s="202">
        <v>1.0237502300401446</v>
      </c>
      <c r="P34" s="202">
        <v>2.9749153527337122</v>
      </c>
      <c r="Q34" s="202">
        <v>0.5573398130962689</v>
      </c>
      <c r="R34" s="202">
        <v>-0.65567309670087848</v>
      </c>
      <c r="S34" s="202">
        <v>2.8448752728705862</v>
      </c>
      <c r="T34" s="202">
        <v>2.4987628527448886</v>
      </c>
      <c r="U34" s="202">
        <v>1.2631962567236192</v>
      </c>
      <c r="V34" s="202">
        <v>-1.558896526291415</v>
      </c>
      <c r="W34" s="202">
        <v>2.9478482705282141</v>
      </c>
      <c r="X34" s="202">
        <v>1.4505686311516461</v>
      </c>
      <c r="Y34" s="202">
        <v>2.0062246547477263</v>
      </c>
      <c r="Z34" s="202">
        <v>2.481588960177656</v>
      </c>
      <c r="AA34" s="202">
        <v>-0.57081713386533539</v>
      </c>
      <c r="AB34" s="202">
        <v>-0.17103773508504469</v>
      </c>
      <c r="AC34" s="202">
        <v>4.76</v>
      </c>
      <c r="AD34" s="202">
        <v>1.3562867287879539</v>
      </c>
      <c r="AE34" s="202">
        <v>1.682258360653248</v>
      </c>
      <c r="AF34" s="202">
        <v>-0.4691233088912416</v>
      </c>
      <c r="AG34" s="202">
        <v>3.7429174112903461</v>
      </c>
      <c r="AH34" s="202">
        <v>2.3563492152467362</v>
      </c>
      <c r="AI34" s="202">
        <v>0.9866820170867372</v>
      </c>
      <c r="AJ34" s="202">
        <v>-0.94060885003597605</v>
      </c>
      <c r="AK34" s="202">
        <v>3.1269996446172983</v>
      </c>
      <c r="AL34" s="202">
        <v>-0.2281879601636172</v>
      </c>
      <c r="AM34" s="202">
        <v>-0.1001716388732599</v>
      </c>
      <c r="AN34" s="202">
        <v>1.7123806870974103</v>
      </c>
      <c r="AO34" s="202">
        <v>2.7906584001439003</v>
      </c>
      <c r="AP34" s="202">
        <v>0.83069739458778835</v>
      </c>
      <c r="AQ34" s="202">
        <v>0.7191734365487632</v>
      </c>
      <c r="AR34" s="202">
        <v>1.4864074336055193</v>
      </c>
      <c r="AS34" s="202">
        <v>3.644293301741063</v>
      </c>
      <c r="AT34" s="202">
        <v>3.7546190383393707</v>
      </c>
      <c r="AU34" s="202">
        <v>2.1568092785946744</v>
      </c>
      <c r="AV34" s="202">
        <v>4.5129869327285128</v>
      </c>
      <c r="AW34" s="202"/>
      <c r="AX34" s="202">
        <v>2.6934987266489641</v>
      </c>
      <c r="AY34" s="202">
        <v>2.0828752174200948</v>
      </c>
      <c r="AZ34" s="202">
        <v>0.95636291677608098</v>
      </c>
      <c r="BA34" s="202">
        <v>0.46955494897547884</v>
      </c>
      <c r="BB34" s="202">
        <v>2.9876800294320938</v>
      </c>
      <c r="BC34" s="202">
        <v>1.9003639304971232</v>
      </c>
      <c r="BD34" s="202">
        <v>1.5358557819458392</v>
      </c>
      <c r="BE34" s="202">
        <v>3.3861138251790774</v>
      </c>
      <c r="BF34" s="202">
        <v>2.7771124441808808</v>
      </c>
      <c r="BG34" s="202">
        <v>0.75269758315983282</v>
      </c>
      <c r="BH34" s="202">
        <v>0.58565343681029747</v>
      </c>
      <c r="BI34" s="202">
        <v>0.40530848967894201</v>
      </c>
      <c r="BJ34" s="202"/>
      <c r="BK34" s="202">
        <v>1.0032106538633043</v>
      </c>
      <c r="BL34" s="202">
        <v>0.86715693539444039</v>
      </c>
      <c r="BM34" s="202">
        <v>0.7532555700070056</v>
      </c>
      <c r="BN34" s="202">
        <v>0.55400036816773646</v>
      </c>
      <c r="BO34" s="202">
        <v>0.27960035689194979</v>
      </c>
      <c r="BP34" s="202">
        <v>0.40956146304142449</v>
      </c>
      <c r="BQ34" s="202">
        <v>0.60630433596021927</v>
      </c>
      <c r="BR34" s="202">
        <v>0.10137100247592089</v>
      </c>
      <c r="BS34" s="202">
        <v>0.82857736053197295</v>
      </c>
      <c r="BT34" s="202">
        <v>0.69457889675074291</v>
      </c>
      <c r="BU34" s="201">
        <v>0.14564801657552484</v>
      </c>
      <c r="BV34" s="201">
        <v>2.0206026773568886</v>
      </c>
      <c r="BW34" s="201">
        <v>0.33327003908696379</v>
      </c>
      <c r="BX34" s="201">
        <v>0.85226191695288189</v>
      </c>
      <c r="BY34" s="201">
        <v>0.80524474755885644</v>
      </c>
      <c r="BZ34" s="201">
        <v>-5.7625387488493647E-3</v>
      </c>
      <c r="CA34" s="201">
        <v>-0.81783423138836131</v>
      </c>
      <c r="CB34" s="201">
        <v>0.83458060354129593</v>
      </c>
      <c r="CC34" s="201">
        <v>-8.8141581560412033E-2</v>
      </c>
      <c r="CD34" s="201">
        <v>-0.45160961780070757</v>
      </c>
      <c r="CE34" s="201">
        <v>0.51080056055984535</v>
      </c>
      <c r="CF34" s="201">
        <v>-6.8006003395727516E-2</v>
      </c>
      <c r="CG34" s="201">
        <v>1.2654546773783071</v>
      </c>
      <c r="CH34" s="201">
        <v>9.9999999999829236E-3</v>
      </c>
      <c r="CI34" s="201">
        <v>9.9999999999829236E-3</v>
      </c>
      <c r="CJ34" s="201">
        <v>1.0373293376762658</v>
      </c>
      <c r="CK34" s="201">
        <v>0.60420844586537081</v>
      </c>
      <c r="CL34" s="201">
        <v>-4.3227728993446936E-2</v>
      </c>
      <c r="CM34" s="201">
        <v>-6.1619784699873836E-2</v>
      </c>
      <c r="CN34" s="201">
        <v>0.16060040897235706</v>
      </c>
      <c r="CO34" s="201">
        <v>-9.6624190332576687E-2</v>
      </c>
      <c r="CP34" s="201">
        <v>5.4748951176487539</v>
      </c>
      <c r="CQ34" s="201">
        <v>1.5610392848130599</v>
      </c>
      <c r="CR34" s="201">
        <v>3.8244916677098417</v>
      </c>
      <c r="CS34" s="201">
        <v>-4.7293470980765386</v>
      </c>
      <c r="CT34" s="201">
        <v>-0.49743478540920638</v>
      </c>
      <c r="CU34" s="201">
        <v>-0.32959985745845455</v>
      </c>
      <c r="CV34" s="201">
        <v>-3.049808567867387</v>
      </c>
      <c r="CW34" s="201">
        <v>2.5485270349558293</v>
      </c>
      <c r="CX34" s="201">
        <v>2.2851935903926806</v>
      </c>
      <c r="CY34" s="201">
        <v>0.78643475295335896</v>
      </c>
      <c r="CZ34" s="201">
        <v>8.2530440984639899</v>
      </c>
      <c r="DA34" s="201">
        <v>-8.11</v>
      </c>
      <c r="DB34" s="201"/>
      <c r="DC34" s="201"/>
      <c r="DD34" s="201"/>
      <c r="DE34" s="201"/>
      <c r="DF34" s="201"/>
      <c r="DG34" s="201"/>
      <c r="DH34" s="201"/>
      <c r="DI34" s="201"/>
      <c r="DJ34" s="217"/>
      <c r="DK34" s="217"/>
      <c r="DL34" s="217"/>
      <c r="DM34" s="217"/>
      <c r="DN34" s="217"/>
      <c r="DO34" s="217"/>
      <c r="DP34" s="217"/>
      <c r="DQ34" s="217"/>
      <c r="DR34" s="217"/>
      <c r="DS34" s="217"/>
      <c r="DT34" s="217"/>
      <c r="DU34" s="217"/>
      <c r="DV34" s="217"/>
      <c r="DW34" s="217"/>
      <c r="DX34" s="217"/>
      <c r="DY34" s="217"/>
      <c r="DZ34" s="217"/>
      <c r="EA34" s="217"/>
      <c r="EB34" s="217"/>
      <c r="EC34" s="217"/>
      <c r="ED34" s="217"/>
      <c r="EE34" s="217"/>
      <c r="EF34" s="217"/>
      <c r="EG34" s="217"/>
      <c r="EH34" s="217"/>
      <c r="EI34" s="217"/>
      <c r="EJ34" s="217"/>
      <c r="EK34" s="217"/>
      <c r="EL34" s="217"/>
      <c r="EM34" s="217"/>
      <c r="EN34" s="217"/>
      <c r="EO34" s="217"/>
      <c r="EP34" s="217"/>
      <c r="EQ34" s="217"/>
      <c r="ER34" s="217"/>
      <c r="ES34" s="217"/>
      <c r="ET34" s="218"/>
      <c r="EU34" s="218"/>
      <c r="EV34" s="218"/>
      <c r="EW34" s="218"/>
      <c r="EX34" s="218"/>
      <c r="EY34" s="218"/>
    </row>
    <row r="35" spans="2:155" ht="12.5" x14ac:dyDescent="0.25">
      <c r="B35" s="199">
        <v>29</v>
      </c>
      <c r="C35" s="1912" t="s">
        <v>145</v>
      </c>
      <c r="D35" s="199">
        <v>29</v>
      </c>
      <c r="E35" s="205">
        <f>'NORTH-2'!$N$612</f>
        <v>-100</v>
      </c>
      <c r="F35" s="1890">
        <v>2.2270200144973278</v>
      </c>
      <c r="G35" s="1890">
        <v>0.6741722147082857</v>
      </c>
      <c r="H35" s="1890">
        <v>1.3773648668725735</v>
      </c>
      <c r="I35" s="1890">
        <v>1.002828664741924</v>
      </c>
      <c r="J35" s="1890">
        <v>0.99544116060094701</v>
      </c>
      <c r="K35" s="1890">
        <v>0.97447865102446662</v>
      </c>
      <c r="L35" s="205">
        <v>1.0729777552058219</v>
      </c>
      <c r="M35" s="205">
        <v>1.0194662126548772</v>
      </c>
      <c r="N35" s="205">
        <v>0.92012623049631759</v>
      </c>
      <c r="O35" s="202">
        <v>1.0424642322270889</v>
      </c>
      <c r="P35" s="202">
        <v>1.0151555423020571</v>
      </c>
      <c r="Q35" s="202">
        <v>0.97785667785802632</v>
      </c>
      <c r="R35" s="202">
        <v>1.3269150268012253</v>
      </c>
      <c r="S35" s="202">
        <v>0.65342425318297603</v>
      </c>
      <c r="T35" s="202">
        <v>1.1813270416176669</v>
      </c>
      <c r="U35" s="202">
        <v>1.0597808259375263</v>
      </c>
      <c r="V35" s="202">
        <v>0.15579821418919038</v>
      </c>
      <c r="W35" s="202">
        <v>1.945416076572865</v>
      </c>
      <c r="X35" s="202">
        <v>0.9752409192656013</v>
      </c>
      <c r="Y35" s="202">
        <v>1.2241872285668485</v>
      </c>
      <c r="Z35" s="202">
        <v>1.0405956378821222</v>
      </c>
      <c r="AA35" s="202">
        <v>1.040595637882094</v>
      </c>
      <c r="AB35" s="202">
        <v>1.0311692489024085</v>
      </c>
      <c r="AC35" s="202">
        <v>1.06</v>
      </c>
      <c r="AD35" s="202">
        <v>1.0914838363586101</v>
      </c>
      <c r="AE35" s="202">
        <v>1.0658998059728151</v>
      </c>
      <c r="AF35" s="202">
        <v>1.1002669047742466</v>
      </c>
      <c r="AG35" s="202">
        <v>1.0458566421538313</v>
      </c>
      <c r="AH35" s="202">
        <v>1.2775390291527184</v>
      </c>
      <c r="AI35" s="202">
        <v>1.8020203303789069</v>
      </c>
      <c r="AJ35" s="202">
        <v>0.8949168081883474</v>
      </c>
      <c r="AK35" s="202">
        <v>0.81925033650591206</v>
      </c>
      <c r="AL35" s="202">
        <v>-0.31309452867226778</v>
      </c>
      <c r="AM35" s="202">
        <v>-0.10969821728247263</v>
      </c>
      <c r="AN35" s="202">
        <v>1.3977332347115672</v>
      </c>
      <c r="AO35" s="202">
        <v>1.4923251315932111</v>
      </c>
      <c r="AP35" s="202">
        <v>3.1547708968378543</v>
      </c>
      <c r="AQ35" s="202">
        <v>1.7338402698398714</v>
      </c>
      <c r="AR35" s="202">
        <v>1.1755071748532131</v>
      </c>
      <c r="AS35" s="202">
        <v>1.4090140138505469</v>
      </c>
      <c r="AT35" s="202">
        <v>0.8207688960444518</v>
      </c>
      <c r="AU35" s="202">
        <v>1.6570662387338806</v>
      </c>
      <c r="AV35" s="202">
        <v>0.61198258841651065</v>
      </c>
      <c r="AW35" s="202"/>
      <c r="AX35" s="202">
        <v>1.3111551729797719</v>
      </c>
      <c r="AY35" s="202">
        <v>1.2479825828526527</v>
      </c>
      <c r="AZ35" s="202">
        <v>1.6125573521002932</v>
      </c>
      <c r="BA35" s="202">
        <v>2.5188472543842741</v>
      </c>
      <c r="BB35" s="202">
        <v>0.46990268159977322</v>
      </c>
      <c r="BC35" s="202">
        <v>1.2213439544495714</v>
      </c>
      <c r="BD35" s="202">
        <v>1.5940167797378364</v>
      </c>
      <c r="BE35" s="202">
        <v>1.6971844819693067</v>
      </c>
      <c r="BF35" s="202">
        <v>0.28505163849600262</v>
      </c>
      <c r="BG35" s="202">
        <v>1.2134787835318552</v>
      </c>
      <c r="BH35" s="202">
        <v>0.31994509181273956</v>
      </c>
      <c r="BI35" s="202">
        <v>1.232510605359157</v>
      </c>
      <c r="BJ35" s="202"/>
      <c r="BK35" s="202">
        <v>-1.0595968916876319</v>
      </c>
      <c r="BL35" s="202">
        <v>1.2855437025052228</v>
      </c>
      <c r="BM35" s="202">
        <v>1.2639225611166571</v>
      </c>
      <c r="BN35" s="202">
        <v>1.1576798289546153</v>
      </c>
      <c r="BO35" s="202">
        <v>0.51684123715849017</v>
      </c>
      <c r="BP35" s="202">
        <v>1.004088974388504</v>
      </c>
      <c r="BQ35" s="202">
        <v>1.1733494310145798</v>
      </c>
      <c r="BR35" s="202">
        <v>0.65541372126568076</v>
      </c>
      <c r="BS35" s="202">
        <v>-8.2522829985759175E-2</v>
      </c>
      <c r="BT35" s="202">
        <v>1.3806721838240661</v>
      </c>
      <c r="BU35" s="203">
        <v>0.28786374689235128</v>
      </c>
      <c r="BV35" s="203">
        <v>0</v>
      </c>
      <c r="BW35" s="203">
        <v>0.37470454226192423</v>
      </c>
      <c r="BX35" s="220">
        <v>0.98929062283124902</v>
      </c>
      <c r="BY35" s="201">
        <v>9.9999999999907524E-3</v>
      </c>
      <c r="BZ35" s="201">
        <v>1.0000000000007654E-2</v>
      </c>
      <c r="CA35" s="217"/>
      <c r="CB35" s="217"/>
      <c r="CC35" s="217"/>
      <c r="CD35" s="217"/>
      <c r="CE35" s="217"/>
      <c r="CF35" s="217"/>
      <c r="CG35" s="217"/>
      <c r="CH35" s="217"/>
      <c r="CI35" s="217"/>
      <c r="CJ35" s="217"/>
      <c r="CK35" s="217"/>
      <c r="CL35" s="217"/>
      <c r="CM35" s="217"/>
      <c r="CN35" s="217"/>
      <c r="CO35" s="217"/>
      <c r="CP35" s="217"/>
      <c r="CQ35" s="217"/>
      <c r="CR35" s="217"/>
      <c r="CS35" s="217"/>
      <c r="CT35" s="217"/>
      <c r="CU35" s="217"/>
      <c r="CV35" s="217"/>
      <c r="CW35" s="217"/>
      <c r="CX35" s="217"/>
      <c r="CY35" s="217"/>
      <c r="CZ35" s="217"/>
      <c r="DA35" s="217"/>
      <c r="DB35" s="217"/>
      <c r="DC35" s="217"/>
      <c r="DD35" s="217"/>
      <c r="DE35" s="217"/>
      <c r="DF35" s="217"/>
      <c r="DG35" s="217"/>
      <c r="DH35" s="217"/>
      <c r="DI35" s="217"/>
      <c r="DJ35" s="217"/>
      <c r="DK35" s="217"/>
      <c r="DL35" s="217"/>
      <c r="DM35" s="217"/>
      <c r="DN35" s="217"/>
      <c r="DO35" s="217"/>
      <c r="DP35" s="217"/>
      <c r="DQ35" s="217"/>
      <c r="DR35" s="217"/>
      <c r="DS35" s="217"/>
      <c r="DT35" s="217"/>
      <c r="DU35" s="217"/>
      <c r="DV35" s="217"/>
      <c r="DW35" s="217"/>
      <c r="DX35" s="217"/>
      <c r="DY35" s="217"/>
      <c r="DZ35" s="217"/>
      <c r="EA35" s="217"/>
      <c r="EB35" s="217"/>
      <c r="EC35" s="217"/>
      <c r="ED35" s="217"/>
      <c r="EE35" s="217"/>
      <c r="EF35" s="217"/>
      <c r="EG35" s="217"/>
      <c r="EH35" s="217"/>
      <c r="EI35" s="217"/>
      <c r="EJ35" s="217"/>
      <c r="EK35" s="217"/>
      <c r="EL35" s="217"/>
      <c r="EM35" s="217"/>
      <c r="EN35" s="217"/>
      <c r="EO35" s="217"/>
      <c r="EP35" s="217"/>
      <c r="EQ35" s="217"/>
      <c r="ER35" s="217"/>
      <c r="ES35" s="217"/>
      <c r="ET35" s="218"/>
      <c r="EU35" s="218"/>
      <c r="EV35" s="218"/>
      <c r="EW35" s="218"/>
      <c r="EX35" s="218"/>
      <c r="EY35" s="218"/>
    </row>
    <row r="36" spans="2:155" ht="14" x14ac:dyDescent="0.3">
      <c r="B36" s="199">
        <v>30</v>
      </c>
      <c r="C36" s="1893" t="s">
        <v>146</v>
      </c>
      <c r="D36" s="199">
        <v>30</v>
      </c>
      <c r="E36" s="1436">
        <f>'NORTH-1'!$N$1394</f>
        <v>-100</v>
      </c>
      <c r="F36" s="1890">
        <v>-1.1576189180833978</v>
      </c>
      <c r="G36" s="1890">
        <v>0.67904375734283262</v>
      </c>
      <c r="H36" s="1890">
        <v>0.17092994343442111</v>
      </c>
      <c r="I36" s="1890">
        <v>0.74727760404304511</v>
      </c>
      <c r="J36" s="1890">
        <v>-0.10235248257845161</v>
      </c>
      <c r="K36" s="1890">
        <v>-0.73748991528809804</v>
      </c>
      <c r="L36" s="205">
        <v>-1.4906258406904944</v>
      </c>
      <c r="M36" s="205">
        <v>0.47091261015963937</v>
      </c>
      <c r="N36" s="205">
        <v>-0.65027075825713609</v>
      </c>
      <c r="O36" s="202">
        <v>-1.3917050953343522</v>
      </c>
      <c r="P36" s="202">
        <v>-0.11126339000049307</v>
      </c>
      <c r="Q36" s="202">
        <v>0.42405242723824349</v>
      </c>
      <c r="R36" s="202">
        <v>0.7248407487515881</v>
      </c>
      <c r="S36" s="202">
        <v>-1.3021630196145402</v>
      </c>
      <c r="T36" s="202">
        <v>-0.88375688373606964</v>
      </c>
      <c r="U36" s="202">
        <v>0.48715689883985763</v>
      </c>
      <c r="V36" s="202">
        <v>0.74622060086326192</v>
      </c>
      <c r="W36" s="202">
        <v>5.5026308293940548E-2</v>
      </c>
      <c r="X36" s="202">
        <v>-0.59108518021420076</v>
      </c>
      <c r="Y36" s="202">
        <v>0.13777067187938816</v>
      </c>
      <c r="Z36" s="202">
        <v>-2.0155771251129266</v>
      </c>
      <c r="AA36" s="202">
        <v>-0.64258576035164172</v>
      </c>
      <c r="AB36" s="202">
        <v>-1.3594372938406647</v>
      </c>
      <c r="AC36" s="202">
        <v>-1.75</v>
      </c>
      <c r="AD36" s="202">
        <v>-4.2623712105182658</v>
      </c>
      <c r="AE36" s="202">
        <v>-3.4762578423633874</v>
      </c>
      <c r="AF36" s="202">
        <v>-4.7336620129917923</v>
      </c>
      <c r="AG36" s="202">
        <v>-0.77980820090861391</v>
      </c>
      <c r="AH36" s="202">
        <v>-4.4600180107859035</v>
      </c>
      <c r="AI36" s="202">
        <v>-0.26287258869625624</v>
      </c>
      <c r="AJ36" s="202">
        <v>0.21988926507528947</v>
      </c>
      <c r="AK36" s="202">
        <v>-0.61006828487379017</v>
      </c>
      <c r="AL36" s="202">
        <v>-1.7129322384093395</v>
      </c>
      <c r="AM36" s="202">
        <v>-1.4675295023590216</v>
      </c>
      <c r="AN36" s="202">
        <v>-1.1665757133407852</v>
      </c>
      <c r="AO36" s="202">
        <v>0</v>
      </c>
      <c r="AP36" s="202">
        <v>0.45201591270170932</v>
      </c>
      <c r="AQ36" s="202">
        <v>1.7483988309072984</v>
      </c>
      <c r="AR36" s="202">
        <v>0.17346346975407259</v>
      </c>
      <c r="AS36" s="202">
        <v>0.12709742479682681</v>
      </c>
      <c r="AT36" s="202">
        <v>-0.29797838804648241</v>
      </c>
      <c r="AU36" s="202">
        <v>0.43873029916372591</v>
      </c>
      <c r="AV36" s="202">
        <v>-0.6209947392936056</v>
      </c>
      <c r="AW36" s="202"/>
      <c r="AX36" s="202">
        <v>7.0508510105596903E-2</v>
      </c>
      <c r="AY36" s="202">
        <v>0.82441468535491957</v>
      </c>
      <c r="AZ36" s="202">
        <v>0.44972819965887173</v>
      </c>
      <c r="BA36" s="202">
        <v>1.2766672121105425</v>
      </c>
      <c r="BB36" s="202">
        <v>-0.72331386935830422</v>
      </c>
      <c r="BC36" s="202">
        <v>1.5479313150608727E-2</v>
      </c>
      <c r="BD36" s="202">
        <v>0</v>
      </c>
      <c r="BE36" s="202">
        <v>5.011764302825971E-3</v>
      </c>
      <c r="BF36" s="202">
        <v>-0.88588200132304273</v>
      </c>
      <c r="BG36" s="202">
        <v>0.73120805433763814</v>
      </c>
      <c r="BH36" s="202">
        <v>0.13798078215174805</v>
      </c>
      <c r="BI36" s="202">
        <v>0.22489920268236518</v>
      </c>
      <c r="BJ36" s="202"/>
      <c r="BK36" s="202">
        <v>0.40866428533909704</v>
      </c>
      <c r="BL36" s="221">
        <v>0.32258253219691624</v>
      </c>
      <c r="BM36" s="202">
        <v>8.0651126810253132E-2</v>
      </c>
      <c r="BN36" s="202">
        <v>-0.1413547818512097</v>
      </c>
      <c r="BO36" s="202">
        <v>4.1002977828609191E-2</v>
      </c>
      <c r="BP36" s="202">
        <v>-5.3623521522614369E-2</v>
      </c>
      <c r="BQ36" s="202">
        <v>0.72278294320599934</v>
      </c>
      <c r="BR36" s="202">
        <v>-0.18703741991575162</v>
      </c>
      <c r="BS36" s="202"/>
      <c r="BT36" s="202"/>
      <c r="BU36" s="203"/>
      <c r="BV36" s="203"/>
      <c r="BW36" s="203"/>
      <c r="BX36" s="217"/>
      <c r="BY36" s="217"/>
      <c r="BZ36" s="217"/>
      <c r="CA36" s="217"/>
      <c r="CB36" s="217"/>
      <c r="CC36" s="217"/>
      <c r="CD36" s="217"/>
      <c r="CE36" s="217"/>
      <c r="CF36" s="217"/>
      <c r="CG36" s="217"/>
      <c r="CH36" s="217"/>
      <c r="CI36" s="217"/>
      <c r="CJ36" s="217"/>
      <c r="CK36" s="217"/>
      <c r="CL36" s="217"/>
      <c r="CM36" s="217"/>
      <c r="CN36" s="217"/>
      <c r="CO36" s="217"/>
      <c r="CP36" s="217"/>
      <c r="CQ36" s="217"/>
      <c r="CR36" s="217"/>
      <c r="CS36" s="217"/>
      <c r="CT36" s="217"/>
      <c r="CU36" s="217"/>
      <c r="CV36" s="217"/>
      <c r="CW36" s="217"/>
      <c r="CX36" s="217"/>
      <c r="CY36" s="217"/>
      <c r="CZ36" s="217"/>
      <c r="DA36" s="217"/>
      <c r="DB36" s="217"/>
      <c r="DC36" s="217"/>
      <c r="DD36" s="217"/>
      <c r="DE36" s="217"/>
      <c r="DF36" s="217"/>
      <c r="DG36" s="217"/>
      <c r="DH36" s="217"/>
      <c r="DI36" s="217"/>
      <c r="DJ36" s="217"/>
      <c r="DK36" s="217"/>
      <c r="DL36" s="217"/>
      <c r="DM36" s="217"/>
      <c r="DN36" s="217"/>
      <c r="DO36" s="217"/>
      <c r="DP36" s="217"/>
      <c r="DQ36" s="217"/>
      <c r="DR36" s="217"/>
      <c r="DS36" s="217"/>
      <c r="DT36" s="217"/>
      <c r="DU36" s="217"/>
      <c r="DV36" s="217"/>
      <c r="DW36" s="217"/>
      <c r="DX36" s="217"/>
      <c r="DY36" s="217"/>
      <c r="DZ36" s="217"/>
      <c r="EA36" s="217"/>
      <c r="EB36" s="217"/>
      <c r="EC36" s="217"/>
      <c r="ED36" s="217"/>
      <c r="EE36" s="217"/>
      <c r="EF36" s="217"/>
      <c r="EG36" s="217"/>
      <c r="EH36" s="217"/>
      <c r="EI36" s="217"/>
      <c r="EJ36" s="217"/>
      <c r="EK36" s="217"/>
      <c r="EL36" s="217"/>
      <c r="EM36" s="217"/>
      <c r="EN36" s="217"/>
      <c r="EO36" s="217"/>
      <c r="EP36" s="217"/>
      <c r="EQ36" s="217"/>
      <c r="ER36" s="217"/>
      <c r="ES36" s="217"/>
      <c r="ET36" s="218"/>
      <c r="EU36" s="218"/>
      <c r="EV36" s="218"/>
      <c r="EW36" s="218"/>
      <c r="EX36" s="218"/>
      <c r="EY36" s="218"/>
    </row>
    <row r="37" spans="2:155" ht="12.5" x14ac:dyDescent="0.25">
      <c r="B37" s="199">
        <v>31</v>
      </c>
      <c r="C37" s="1912" t="s">
        <v>147</v>
      </c>
      <c r="D37" s="199">
        <v>31</v>
      </c>
      <c r="E37" s="205">
        <f>'NORTH-2'!$N$688</f>
        <v>-100</v>
      </c>
      <c r="F37" s="1890">
        <v>1.2440587518492852</v>
      </c>
      <c r="G37" s="1890">
        <v>1.1461487936239145</v>
      </c>
      <c r="H37" s="1890">
        <v>0</v>
      </c>
      <c r="I37" s="1890">
        <v>1.3034112495100556</v>
      </c>
      <c r="J37" s="1890">
        <v>1.7246898149559313</v>
      </c>
      <c r="K37" s="1890">
        <v>1.6736910811935104</v>
      </c>
      <c r="L37" s="205">
        <v>8.4670328477453816E-2</v>
      </c>
      <c r="M37" s="205">
        <v>1.8746907970681421</v>
      </c>
      <c r="N37" s="205">
        <v>-0.2681375864247777</v>
      </c>
      <c r="O37" s="202">
        <v>1.6831574364657178</v>
      </c>
      <c r="P37" s="202">
        <v>1.5039556382114205</v>
      </c>
      <c r="Q37" s="202">
        <v>0.73109717166750099</v>
      </c>
      <c r="R37" s="202">
        <v>-0.62434606394134506</v>
      </c>
      <c r="S37" s="202">
        <v>2.8286384990306517</v>
      </c>
      <c r="T37" s="202">
        <v>2.0741128664202955</v>
      </c>
      <c r="U37" s="202">
        <v>1.1219966680760018</v>
      </c>
      <c r="V37" s="202">
        <v>0.93981726937635779</v>
      </c>
      <c r="W37" s="202">
        <v>0.53746546256168104</v>
      </c>
      <c r="X37" s="202">
        <v>1.4967565428335927</v>
      </c>
      <c r="Y37" s="202">
        <v>1.2166367906857836</v>
      </c>
      <c r="Z37" s="202">
        <v>0.95213644554795385</v>
      </c>
      <c r="AA37" s="202">
        <v>0.18964158641123902</v>
      </c>
      <c r="AB37" s="202">
        <v>1.5892204664346228</v>
      </c>
      <c r="AC37" s="202">
        <v>1.8</v>
      </c>
      <c r="AD37" s="202">
        <v>0.94593130360846167</v>
      </c>
      <c r="AE37" s="202">
        <v>1.2594340409496387</v>
      </c>
      <c r="AF37" s="202">
        <v>1.217724951489414</v>
      </c>
      <c r="AG37" s="202">
        <v>1.4530529442982203</v>
      </c>
      <c r="AH37" s="202">
        <v>0.83881753891085031</v>
      </c>
      <c r="AI37" s="202">
        <v>2.6245239409275012</v>
      </c>
      <c r="AJ37" s="202">
        <v>-0.84168733892467429</v>
      </c>
      <c r="AK37" s="202">
        <v>0.73026244971283005</v>
      </c>
      <c r="AL37" s="202">
        <v>0.40816831992046354</v>
      </c>
      <c r="AM37" s="202">
        <v>-1.1539491440163359</v>
      </c>
      <c r="AN37" s="202">
        <v>3.891024986601427</v>
      </c>
      <c r="AO37" s="202">
        <v>1.7739592804021918</v>
      </c>
      <c r="AP37" s="202">
        <v>0.48838207248003307</v>
      </c>
      <c r="AQ37" s="202">
        <v>-0.79596292537280711</v>
      </c>
      <c r="AR37" s="202">
        <v>0.8516850575600613</v>
      </c>
      <c r="AS37" s="202">
        <v>0.15790833052997968</v>
      </c>
      <c r="AT37" s="202">
        <v>3.4655734405693903</v>
      </c>
      <c r="AU37" s="202">
        <v>0.2657769861939418</v>
      </c>
      <c r="AV37" s="202">
        <v>1.5314374590784496</v>
      </c>
      <c r="AW37" s="202"/>
      <c r="AX37" s="202">
        <v>0.8045663595506698</v>
      </c>
      <c r="AY37" s="202">
        <v>0.77413561110392537</v>
      </c>
      <c r="AZ37" s="202">
        <v>1.5321034339514787</v>
      </c>
      <c r="BA37" s="202">
        <v>-0.81788927819325619</v>
      </c>
      <c r="BB37" s="202">
        <v>0.19189341424607897</v>
      </c>
      <c r="BC37" s="202">
        <v>6.6093363965902235E-2</v>
      </c>
      <c r="BD37" s="202">
        <v>0.16519540103027344</v>
      </c>
      <c r="BE37" s="202">
        <v>0.24237106506619788</v>
      </c>
      <c r="BF37" s="202">
        <v>1.048607730562779</v>
      </c>
      <c r="BG37" s="202"/>
      <c r="BH37" s="202"/>
      <c r="BI37" s="202"/>
      <c r="BJ37" s="202"/>
      <c r="BK37" s="202"/>
      <c r="BL37" s="221"/>
      <c r="BM37" s="202"/>
      <c r="BN37" s="202"/>
      <c r="BO37" s="202"/>
      <c r="BP37" s="202"/>
      <c r="BQ37" s="202"/>
      <c r="BR37" s="202"/>
      <c r="BS37" s="202"/>
      <c r="BT37" s="202"/>
      <c r="BU37" s="203"/>
      <c r="BV37" s="203"/>
      <c r="BW37" s="203"/>
      <c r="BX37" s="217"/>
      <c r="BY37" s="217"/>
      <c r="BZ37" s="217"/>
      <c r="CA37" s="217"/>
      <c r="CB37" s="217"/>
      <c r="CC37" s="217"/>
      <c r="CD37" s="217"/>
      <c r="CE37" s="217"/>
      <c r="CF37" s="217"/>
      <c r="CG37" s="217"/>
      <c r="CH37" s="217"/>
      <c r="CI37" s="217"/>
      <c r="CJ37" s="217"/>
      <c r="CK37" s="217"/>
      <c r="CL37" s="217"/>
      <c r="CM37" s="217"/>
      <c r="CN37" s="217"/>
      <c r="CO37" s="217"/>
      <c r="CP37" s="217"/>
      <c r="CQ37" s="217"/>
      <c r="CR37" s="217"/>
      <c r="CS37" s="217"/>
      <c r="CT37" s="217"/>
      <c r="CU37" s="217"/>
      <c r="CV37" s="217"/>
      <c r="CW37" s="217"/>
      <c r="CX37" s="217"/>
      <c r="CY37" s="217"/>
      <c r="CZ37" s="217"/>
      <c r="DA37" s="217"/>
      <c r="DB37" s="217"/>
      <c r="DC37" s="217"/>
      <c r="DD37" s="217"/>
      <c r="DE37" s="217"/>
      <c r="DF37" s="217"/>
      <c r="DG37" s="217"/>
      <c r="DH37" s="217"/>
      <c r="DI37" s="217"/>
      <c r="DJ37" s="217"/>
      <c r="DK37" s="217"/>
      <c r="DL37" s="217"/>
      <c r="DM37" s="217"/>
      <c r="DN37" s="217"/>
      <c r="DO37" s="217"/>
      <c r="DP37" s="217"/>
      <c r="DQ37" s="217"/>
      <c r="DR37" s="217"/>
      <c r="DS37" s="217"/>
      <c r="DT37" s="217"/>
      <c r="DU37" s="217"/>
      <c r="DV37" s="217"/>
      <c r="DW37" s="217"/>
      <c r="DX37" s="217"/>
      <c r="DY37" s="217"/>
      <c r="DZ37" s="217"/>
      <c r="EA37" s="217"/>
      <c r="EB37" s="217"/>
      <c r="EC37" s="217"/>
      <c r="ED37" s="217"/>
      <c r="EE37" s="217"/>
      <c r="EF37" s="217"/>
      <c r="EG37" s="217"/>
      <c r="EH37" s="217"/>
      <c r="EI37" s="217"/>
      <c r="EJ37" s="217"/>
      <c r="EK37" s="217"/>
      <c r="EL37" s="217"/>
      <c r="EM37" s="217"/>
      <c r="EN37" s="217"/>
      <c r="EO37" s="217"/>
      <c r="EP37" s="217"/>
      <c r="EQ37" s="217"/>
      <c r="ER37" s="217"/>
      <c r="ES37" s="217"/>
      <c r="ET37" s="218"/>
      <c r="EU37" s="218"/>
      <c r="EV37" s="218"/>
      <c r="EW37" s="218"/>
      <c r="EX37" s="218"/>
      <c r="EY37" s="218"/>
    </row>
    <row r="38" spans="2:155" ht="12.5" x14ac:dyDescent="0.25">
      <c r="B38" s="199">
        <v>32</v>
      </c>
      <c r="C38" s="1912" t="s">
        <v>148</v>
      </c>
      <c r="D38" s="199">
        <v>32</v>
      </c>
      <c r="E38" s="205">
        <f>'NORTH-2'!$N$1225</f>
        <v>-100</v>
      </c>
      <c r="F38" s="1890">
        <v>0.3842091422524746</v>
      </c>
      <c r="G38" s="1890">
        <v>0.32909200590425725</v>
      </c>
      <c r="H38" s="1890">
        <v>0.27099625578663861</v>
      </c>
      <c r="I38" s="1890">
        <v>0.28490920694388955</v>
      </c>
      <c r="J38" s="1890">
        <v>0.22973826388198107</v>
      </c>
      <c r="K38" s="1890">
        <v>0.23672141272568517</v>
      </c>
      <c r="L38" s="205">
        <v>0.22754772986872165</v>
      </c>
      <c r="M38" s="205">
        <v>-0.39356685590401708</v>
      </c>
      <c r="N38" s="205">
        <v>0.81992086293212663</v>
      </c>
      <c r="O38" s="202">
        <v>0.46059146088184894</v>
      </c>
      <c r="P38" s="202">
        <v>0.71874942418569787</v>
      </c>
      <c r="Q38" s="202">
        <v>0.86594400436529384</v>
      </c>
      <c r="R38" s="202">
        <v>1.047871766131</v>
      </c>
      <c r="S38" s="202">
        <v>-3.3197809756470957E-2</v>
      </c>
      <c r="T38" s="202">
        <v>3.9311539871255379</v>
      </c>
      <c r="U38" s="202">
        <v>2.7052054061677957</v>
      </c>
      <c r="V38" s="202">
        <v>0.9371196411919499</v>
      </c>
      <c r="W38" s="202">
        <v>1.6304413935527295</v>
      </c>
      <c r="X38" s="202">
        <v>0.76869190714056057</v>
      </c>
      <c r="Y38" s="202">
        <v>1.5337726479209368</v>
      </c>
      <c r="Z38" s="202">
        <v>2.3084021219099964</v>
      </c>
      <c r="AA38" s="202">
        <v>-0.4972420221794141</v>
      </c>
      <c r="AB38" s="202">
        <v>0.75407606660749249</v>
      </c>
      <c r="AC38" s="202">
        <v>2.4500000000000002</v>
      </c>
      <c r="AD38" s="202">
        <v>3.5317253044509549</v>
      </c>
      <c r="AE38" s="202">
        <v>3.2776273387220924</v>
      </c>
      <c r="AF38" s="202">
        <v>1.8906174812756922</v>
      </c>
      <c r="AG38" s="202">
        <v>5.3370593464263916</v>
      </c>
      <c r="AH38" s="202">
        <v>5.5427600569398532</v>
      </c>
      <c r="AI38" s="202">
        <v>4.0609482549238196</v>
      </c>
      <c r="AJ38" s="202">
        <v>4.1256424219626702</v>
      </c>
      <c r="AK38" s="202">
        <v>5.1739444277758651</v>
      </c>
      <c r="AL38" s="202">
        <v>4.6649973914830225</v>
      </c>
      <c r="AM38" s="202">
        <v>4.7191238510254818</v>
      </c>
      <c r="AN38" s="202">
        <v>2.809093186425708</v>
      </c>
      <c r="AO38" s="202">
        <v>4.1852015267469245</v>
      </c>
      <c r="AP38" s="202">
        <v>4.3241306191006492</v>
      </c>
      <c r="AQ38" s="202">
        <v>2.9998229206023312</v>
      </c>
      <c r="AR38" s="202">
        <v>0.93031964430681768</v>
      </c>
      <c r="AS38" s="202">
        <v>5.2787715409692089</v>
      </c>
      <c r="AT38" s="202">
        <v>5.353115508411376</v>
      </c>
      <c r="AU38" s="202">
        <v>0.9538700607374091</v>
      </c>
      <c r="AV38" s="202">
        <v>1.6943534252862422</v>
      </c>
      <c r="AW38" s="202"/>
      <c r="AX38" s="202">
        <v>1.782218662245231</v>
      </c>
      <c r="AY38" s="202">
        <v>-0.95524135231103358</v>
      </c>
      <c r="AZ38" s="202">
        <v>1.4642366513161889</v>
      </c>
      <c r="BA38" s="202">
        <v>2.0446157315944529</v>
      </c>
      <c r="BB38" s="202">
        <v>3.346168431416388</v>
      </c>
      <c r="BC38" s="202">
        <v>0.59144384830275787</v>
      </c>
      <c r="BD38" s="202"/>
      <c r="BE38" s="202"/>
      <c r="BF38" s="202"/>
      <c r="BG38" s="202"/>
      <c r="BH38" s="202"/>
      <c r="BI38" s="202"/>
      <c r="BJ38" s="202"/>
      <c r="BK38" s="202"/>
      <c r="BL38" s="222"/>
      <c r="BM38" s="222"/>
      <c r="BN38" s="222"/>
      <c r="BO38" s="222"/>
      <c r="BP38" s="222"/>
      <c r="BQ38" s="222"/>
      <c r="BR38" s="222"/>
      <c r="BS38" s="222"/>
      <c r="BT38" s="222"/>
      <c r="BU38" s="223"/>
      <c r="BV38" s="223"/>
      <c r="BW38" s="223"/>
      <c r="BX38" s="217"/>
      <c r="BY38" s="217"/>
      <c r="BZ38" s="217"/>
      <c r="CA38" s="217"/>
      <c r="CB38" s="217"/>
      <c r="CC38" s="217"/>
      <c r="CD38" s="217"/>
      <c r="CE38" s="217"/>
      <c r="CF38" s="217"/>
      <c r="CG38" s="217"/>
      <c r="CH38" s="217"/>
      <c r="CI38" s="217"/>
      <c r="CJ38" s="217"/>
      <c r="CK38" s="217"/>
      <c r="CL38" s="217"/>
      <c r="CM38" s="217"/>
      <c r="CN38" s="217"/>
      <c r="CO38" s="217"/>
      <c r="CP38" s="217"/>
      <c r="CQ38" s="217"/>
      <c r="CR38" s="217"/>
      <c r="CS38" s="217"/>
      <c r="CT38" s="217"/>
      <c r="CU38" s="217"/>
      <c r="CV38" s="217"/>
      <c r="CW38" s="217"/>
      <c r="CX38" s="217"/>
      <c r="CY38" s="217"/>
      <c r="CZ38" s="217"/>
      <c r="DA38" s="217"/>
      <c r="DB38" s="217"/>
      <c r="DC38" s="217"/>
      <c r="DD38" s="217"/>
      <c r="DE38" s="217"/>
      <c r="DF38" s="217"/>
      <c r="DG38" s="217"/>
      <c r="DH38" s="217"/>
      <c r="DI38" s="217"/>
      <c r="DJ38" s="217"/>
      <c r="DK38" s="217"/>
      <c r="DL38" s="217"/>
      <c r="DM38" s="217"/>
      <c r="DN38" s="217"/>
      <c r="DO38" s="217"/>
      <c r="DP38" s="217"/>
      <c r="DQ38" s="217"/>
      <c r="DR38" s="217"/>
      <c r="DS38" s="217"/>
      <c r="DT38" s="217"/>
      <c r="DU38" s="217"/>
      <c r="DV38" s="217"/>
      <c r="DW38" s="217"/>
      <c r="DX38" s="217"/>
      <c r="DY38" s="217"/>
      <c r="DZ38" s="217"/>
      <c r="EA38" s="217"/>
      <c r="EB38" s="217"/>
      <c r="EC38" s="217"/>
      <c r="ED38" s="217"/>
      <c r="EE38" s="217"/>
      <c r="EF38" s="217"/>
      <c r="EG38" s="217"/>
      <c r="EH38" s="217"/>
      <c r="EI38" s="217"/>
      <c r="EJ38" s="217"/>
      <c r="EK38" s="217"/>
      <c r="EL38" s="217"/>
      <c r="EM38" s="217"/>
      <c r="EN38" s="217"/>
      <c r="EO38" s="217"/>
      <c r="EP38" s="217"/>
      <c r="EQ38" s="217"/>
      <c r="ER38" s="217"/>
      <c r="ES38" s="217"/>
      <c r="ET38" s="218"/>
      <c r="EU38" s="218"/>
      <c r="EV38" s="218"/>
      <c r="EW38" s="218"/>
      <c r="EX38" s="218"/>
      <c r="EY38" s="218"/>
    </row>
    <row r="39" spans="2:155" ht="12.5" x14ac:dyDescent="0.25">
      <c r="B39" s="199">
        <v>33</v>
      </c>
      <c r="C39" s="1912" t="s">
        <v>149</v>
      </c>
      <c r="D39" s="199">
        <v>33</v>
      </c>
      <c r="E39" s="205">
        <f>'NORTH-1'!$N$1790</f>
        <v>-100</v>
      </c>
      <c r="F39" s="1890">
        <v>2.02851755677885</v>
      </c>
      <c r="G39" s="1890">
        <v>0.9520994765519436</v>
      </c>
      <c r="H39" s="1890">
        <v>1.3864120372577069</v>
      </c>
      <c r="I39" s="1890">
        <v>1.033023022682563</v>
      </c>
      <c r="J39" s="1890">
        <v>1.0898250480411165</v>
      </c>
      <c r="K39" s="1890">
        <v>2.9140576694671276</v>
      </c>
      <c r="L39" s="205">
        <v>1.5525462972207116</v>
      </c>
      <c r="M39" s="205">
        <v>2.1935265069918648</v>
      </c>
      <c r="N39" s="205">
        <v>2.536107950622764</v>
      </c>
      <c r="O39" s="202">
        <v>1.2485756278177775</v>
      </c>
      <c r="P39" s="202">
        <v>-0.21757179055187462</v>
      </c>
      <c r="Q39" s="202">
        <v>1.4007388195424919</v>
      </c>
      <c r="R39" s="202">
        <v>2.5955592371545615</v>
      </c>
      <c r="S39" s="202">
        <v>0.58941801133499094</v>
      </c>
      <c r="T39" s="202">
        <v>2.7361623892117897</v>
      </c>
      <c r="U39" s="202">
        <v>2.415074571251342</v>
      </c>
      <c r="V39" s="202">
        <v>1.9340068308503846</v>
      </c>
      <c r="W39" s="202">
        <v>2.1295968931215734</v>
      </c>
      <c r="X39" s="202">
        <v>2.9430676598134111</v>
      </c>
      <c r="Y39" s="202">
        <v>0.20155124854249329</v>
      </c>
      <c r="Z39" s="202">
        <v>2.8472401196893857</v>
      </c>
      <c r="AA39" s="202">
        <v>1.9340444097004177</v>
      </c>
      <c r="AB39" s="202">
        <v>1.9059291320874658</v>
      </c>
      <c r="AC39" s="202">
        <v>4.4000000000000004</v>
      </c>
      <c r="AD39" s="202">
        <v>3.8093055286773212</v>
      </c>
      <c r="AE39" s="202">
        <v>0.5713426728552401</v>
      </c>
      <c r="AF39" s="202">
        <v>0.24736946843530774</v>
      </c>
      <c r="AG39" s="202">
        <v>4.3247353579440189</v>
      </c>
      <c r="AH39" s="202">
        <v>4.211598396069081</v>
      </c>
      <c r="AI39" s="202">
        <v>4.5305387298246131</v>
      </c>
      <c r="AJ39" s="202">
        <v>2.7413633841425651</v>
      </c>
      <c r="AK39" s="202">
        <v>2.0543385850396891</v>
      </c>
      <c r="AL39" s="202">
        <v>2.8481013993979332</v>
      </c>
      <c r="AM39" s="202">
        <v>1.3158526105980848</v>
      </c>
      <c r="AN39" s="202">
        <v>3.1341336778018349</v>
      </c>
      <c r="AO39" s="202">
        <v>-0.6692590783411051</v>
      </c>
      <c r="AP39" s="202">
        <v>0.92689094823285423</v>
      </c>
      <c r="AQ39" s="202">
        <v>1.1507646232984077</v>
      </c>
      <c r="AR39" s="202">
        <v>0.86933501470898078</v>
      </c>
      <c r="AS39" s="202">
        <v>0.72001811988704123</v>
      </c>
      <c r="AT39" s="202">
        <v>1.0123942304703515</v>
      </c>
      <c r="AU39" s="202">
        <v>1.6156746305220908</v>
      </c>
      <c r="AV39" s="202">
        <v>0.69489494350298775</v>
      </c>
      <c r="AW39" s="202"/>
      <c r="AX39" s="202">
        <v>0.35117330974361211</v>
      </c>
      <c r="AY39" s="202">
        <v>9.3479329404445135</v>
      </c>
      <c r="AZ39" s="202">
        <v>5.2716692786001458</v>
      </c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22"/>
      <c r="BM39" s="222"/>
      <c r="BN39" s="222"/>
      <c r="BO39" s="222"/>
      <c r="BP39" s="222"/>
      <c r="BQ39" s="222"/>
      <c r="BR39" s="222"/>
      <c r="BS39" s="222"/>
      <c r="BT39" s="222"/>
      <c r="BU39" s="223"/>
      <c r="BV39" s="223"/>
      <c r="BW39" s="223"/>
      <c r="BX39" s="217"/>
      <c r="BY39" s="217"/>
      <c r="BZ39" s="217"/>
      <c r="CA39" s="217"/>
      <c r="CB39" s="217"/>
      <c r="CC39" s="217"/>
      <c r="CD39" s="217"/>
      <c r="CE39" s="217"/>
      <c r="CF39" s="217"/>
      <c r="CG39" s="217"/>
      <c r="CH39" s="217"/>
      <c r="CI39" s="217"/>
      <c r="CJ39" s="217"/>
      <c r="CK39" s="217"/>
      <c r="CL39" s="217"/>
      <c r="CM39" s="217"/>
      <c r="CN39" s="217"/>
      <c r="CO39" s="217"/>
      <c r="CP39" s="217"/>
      <c r="CQ39" s="217"/>
      <c r="CR39" s="217"/>
      <c r="CS39" s="217"/>
      <c r="CT39" s="217"/>
      <c r="CU39" s="217"/>
      <c r="CV39" s="217"/>
      <c r="CW39" s="217"/>
      <c r="CX39" s="217"/>
      <c r="CY39" s="217"/>
      <c r="CZ39" s="217"/>
      <c r="DA39" s="217"/>
      <c r="DB39" s="217"/>
      <c r="DC39" s="217"/>
      <c r="DD39" s="217"/>
      <c r="DE39" s="217"/>
      <c r="DF39" s="217"/>
      <c r="DG39" s="217"/>
      <c r="DH39" s="217"/>
      <c r="DI39" s="217"/>
      <c r="DJ39" s="217"/>
      <c r="DK39" s="217"/>
      <c r="DL39" s="217"/>
      <c r="DM39" s="217"/>
      <c r="DN39" s="217"/>
      <c r="DO39" s="217"/>
      <c r="DP39" s="217"/>
      <c r="DQ39" s="217"/>
      <c r="DR39" s="217"/>
      <c r="DS39" s="217"/>
      <c r="DT39" s="217"/>
      <c r="DU39" s="217"/>
      <c r="DV39" s="217"/>
      <c r="DW39" s="217"/>
      <c r="DX39" s="217"/>
      <c r="DY39" s="217"/>
      <c r="DZ39" s="217"/>
      <c r="EA39" s="217"/>
      <c r="EB39" s="217"/>
      <c r="EC39" s="217"/>
      <c r="ED39" s="217"/>
      <c r="EE39" s="217"/>
      <c r="EF39" s="217"/>
      <c r="EG39" s="217"/>
      <c r="EH39" s="217"/>
      <c r="EI39" s="217"/>
      <c r="EJ39" s="217"/>
      <c r="EK39" s="217"/>
      <c r="EL39" s="217"/>
      <c r="EM39" s="217"/>
      <c r="EN39" s="217"/>
      <c r="EO39" s="217"/>
      <c r="EP39" s="217"/>
      <c r="EQ39" s="217"/>
      <c r="ER39" s="217"/>
      <c r="ES39" s="217"/>
      <c r="ET39" s="218"/>
      <c r="EU39" s="218"/>
      <c r="EV39" s="218"/>
      <c r="EW39" s="218"/>
      <c r="EX39" s="218"/>
      <c r="EY39" s="218"/>
    </row>
    <row r="40" spans="2:155" ht="25" x14ac:dyDescent="0.25">
      <c r="B40" s="199">
        <v>34</v>
      </c>
      <c r="C40" s="1912" t="s">
        <v>150</v>
      </c>
      <c r="D40" s="199">
        <v>34</v>
      </c>
      <c r="E40" s="205">
        <f>'NORTH-2'!$N$990</f>
        <v>-100</v>
      </c>
      <c r="F40" s="1890">
        <v>1.6082257889450606</v>
      </c>
      <c r="G40" s="1890">
        <v>1.7356241939197146</v>
      </c>
      <c r="H40" s="1890">
        <v>0.77296752312987715</v>
      </c>
      <c r="I40" s="1890">
        <v>0.18761832272278617</v>
      </c>
      <c r="J40" s="1890">
        <v>0.63906894949137327</v>
      </c>
      <c r="K40" s="1890">
        <v>0.84329388072521705</v>
      </c>
      <c r="L40" s="205">
        <v>-0.17965908944898282</v>
      </c>
      <c r="M40" s="205">
        <v>0.39870382819780409</v>
      </c>
      <c r="N40" s="205">
        <v>0.63592791924373893</v>
      </c>
      <c r="O40" s="202">
        <v>0.12070549938500889</v>
      </c>
      <c r="P40" s="202">
        <v>1.2655309928308374</v>
      </c>
      <c r="Q40" s="202">
        <v>-0.28953686940658474</v>
      </c>
      <c r="R40" s="202">
        <v>1.1018014127859082</v>
      </c>
      <c r="S40" s="202">
        <v>2.28014895445446</v>
      </c>
      <c r="T40" s="202">
        <v>1.2250350713504132</v>
      </c>
      <c r="U40" s="202">
        <v>0.99363562805848749</v>
      </c>
      <c r="V40" s="202">
        <v>0.88329597441244978</v>
      </c>
      <c r="W40" s="202">
        <v>0.92819741570254588</v>
      </c>
      <c r="X40" s="202">
        <v>1.0649915235103153</v>
      </c>
      <c r="Y40" s="202">
        <v>0.85663979159503933</v>
      </c>
      <c r="Z40" s="202">
        <v>0.944386242230701</v>
      </c>
      <c r="AA40" s="202">
        <v>0.96981532275226079</v>
      </c>
      <c r="AB40" s="202">
        <v>1.0397239888744336</v>
      </c>
      <c r="AC40" s="202">
        <v>-0.06</v>
      </c>
      <c r="AD40" s="202">
        <v>1.6648913836873163</v>
      </c>
      <c r="AE40" s="202">
        <v>1.1068309660767059</v>
      </c>
      <c r="AF40" s="202">
        <v>0.9153920674993784</v>
      </c>
      <c r="AG40" s="202">
        <v>0.8617910184882005</v>
      </c>
      <c r="AH40" s="202">
        <v>0.97860874394718</v>
      </c>
      <c r="AI40" s="202">
        <v>0.88617758630411847</v>
      </c>
      <c r="AJ40" s="202">
        <v>3.6321190823132947</v>
      </c>
      <c r="AK40" s="202">
        <v>-0.19151083334423119</v>
      </c>
      <c r="AL40" s="202">
        <v>1.2777942573380017</v>
      </c>
      <c r="AM40" s="202">
        <v>0.29638801217640465</v>
      </c>
      <c r="AN40" s="202">
        <v>3.4834388102058647</v>
      </c>
      <c r="AO40" s="202">
        <v>0.34139915081510402</v>
      </c>
      <c r="AP40" s="202">
        <v>0.15184630513115421</v>
      </c>
      <c r="AQ40" s="202">
        <v>3.3096787491536293</v>
      </c>
      <c r="AR40" s="202">
        <v>1.4999999999999964</v>
      </c>
      <c r="AS40" s="202">
        <v>5.4295055979390217</v>
      </c>
      <c r="AT40" s="202">
        <v>4.0102816563923103</v>
      </c>
      <c r="AU40" s="202">
        <v>3.6769013778886577</v>
      </c>
      <c r="AV40" s="202">
        <v>6.8987952087181812</v>
      </c>
      <c r="AW40" s="202"/>
      <c r="AX40" s="202">
        <v>4.7938132758658876</v>
      </c>
      <c r="AY40" s="202">
        <v>5.0474305348072903</v>
      </c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22"/>
      <c r="BM40" s="222"/>
      <c r="BN40" s="222"/>
      <c r="BO40" s="222"/>
      <c r="BP40" s="222"/>
      <c r="BQ40" s="222"/>
      <c r="BR40" s="222"/>
      <c r="BS40" s="222"/>
      <c r="BT40" s="222"/>
      <c r="BU40" s="223"/>
      <c r="BV40" s="223"/>
      <c r="BW40" s="223"/>
      <c r="BX40" s="217"/>
      <c r="BY40" s="217"/>
      <c r="BZ40" s="217"/>
      <c r="CA40" s="217"/>
      <c r="CB40" s="217"/>
      <c r="CC40" s="217"/>
      <c r="CD40" s="217"/>
      <c r="CE40" s="217"/>
      <c r="CF40" s="217"/>
      <c r="CG40" s="217"/>
      <c r="CH40" s="217"/>
      <c r="CI40" s="217"/>
      <c r="CJ40" s="217"/>
      <c r="CK40" s="217"/>
      <c r="CL40" s="217"/>
      <c r="CM40" s="217"/>
      <c r="CN40" s="217"/>
      <c r="CO40" s="217"/>
      <c r="CP40" s="217"/>
      <c r="CQ40" s="217"/>
      <c r="CR40" s="217"/>
      <c r="CS40" s="217"/>
      <c r="CT40" s="217"/>
      <c r="CU40" s="217"/>
      <c r="CV40" s="217"/>
      <c r="CW40" s="217"/>
      <c r="CX40" s="217"/>
      <c r="CY40" s="217"/>
      <c r="CZ40" s="217"/>
      <c r="DA40" s="217"/>
      <c r="DB40" s="217"/>
      <c r="DC40" s="217"/>
      <c r="DD40" s="217"/>
      <c r="DE40" s="217"/>
      <c r="DF40" s="217"/>
      <c r="DG40" s="217"/>
      <c r="DH40" s="217"/>
      <c r="DI40" s="217"/>
      <c r="DJ40" s="217"/>
      <c r="DK40" s="217"/>
      <c r="DL40" s="217"/>
      <c r="DM40" s="217"/>
      <c r="DN40" s="217"/>
      <c r="DO40" s="217"/>
      <c r="DP40" s="217"/>
      <c r="DQ40" s="217"/>
      <c r="DR40" s="217"/>
      <c r="DS40" s="217"/>
      <c r="DT40" s="217"/>
      <c r="DU40" s="217"/>
      <c r="DV40" s="217"/>
      <c r="DW40" s="217"/>
      <c r="DX40" s="217"/>
      <c r="DY40" s="217"/>
      <c r="DZ40" s="217"/>
      <c r="EA40" s="217"/>
      <c r="EB40" s="217"/>
      <c r="EC40" s="217"/>
      <c r="ED40" s="217"/>
      <c r="EE40" s="217"/>
      <c r="EF40" s="217"/>
      <c r="EG40" s="217"/>
      <c r="EH40" s="217"/>
      <c r="EI40" s="217"/>
      <c r="EJ40" s="217"/>
      <c r="EK40" s="217"/>
      <c r="EL40" s="217"/>
      <c r="EM40" s="217"/>
      <c r="EN40" s="217"/>
      <c r="EO40" s="217"/>
      <c r="EP40" s="217"/>
      <c r="EQ40" s="217"/>
      <c r="ER40" s="217"/>
      <c r="ES40" s="217"/>
      <c r="ET40" s="218"/>
      <c r="EU40" s="218"/>
      <c r="EV40" s="218"/>
      <c r="EW40" s="218"/>
      <c r="EX40" s="218"/>
      <c r="EY40" s="218"/>
    </row>
    <row r="41" spans="2:155" ht="12.5" x14ac:dyDescent="0.25">
      <c r="B41" s="199">
        <v>35</v>
      </c>
      <c r="C41" s="1912" t="s">
        <v>151</v>
      </c>
      <c r="D41" s="199">
        <v>35</v>
      </c>
      <c r="E41" s="205">
        <f>'NORTH-1'!N452</f>
        <v>-100</v>
      </c>
      <c r="F41" s="1890">
        <v>1.2023991467313542</v>
      </c>
      <c r="G41" s="1890">
        <v>1.4444976962579625</v>
      </c>
      <c r="H41" s="1890">
        <v>-0.43765480436969301</v>
      </c>
      <c r="I41" s="1890">
        <v>1.6695256027946814</v>
      </c>
      <c r="J41" s="1890">
        <v>0</v>
      </c>
      <c r="K41" s="1890">
        <v>0.37092149578051886</v>
      </c>
      <c r="L41" s="205">
        <v>1.7504052838169688</v>
      </c>
      <c r="M41" s="205">
        <v>0.65210276453518135</v>
      </c>
      <c r="N41" s="205">
        <v>0.76417847875116274</v>
      </c>
      <c r="O41" s="202">
        <v>0.75346394569353181</v>
      </c>
      <c r="P41" s="202">
        <v>0.37083408118501188</v>
      </c>
      <c r="Q41" s="202">
        <v>1.7387855872777862</v>
      </c>
      <c r="R41" s="202">
        <v>1.0751795833629092</v>
      </c>
      <c r="S41" s="202">
        <v>0.75401420627060245</v>
      </c>
      <c r="T41" s="202">
        <v>-0.17447584145530362</v>
      </c>
      <c r="U41" s="202">
        <v>0.39551768710534269</v>
      </c>
      <c r="V41" s="202">
        <v>0.20028831220655954</v>
      </c>
      <c r="W41" s="202">
        <v>0.6284565879332672</v>
      </c>
      <c r="X41" s="202">
        <v>0.66759106650084266</v>
      </c>
      <c r="Y41" s="202">
        <v>0.67721891407032953</v>
      </c>
      <c r="Z41" s="202">
        <v>0.63490563607208939</v>
      </c>
      <c r="AA41" s="202">
        <v>0.70654876697024938</v>
      </c>
      <c r="AB41" s="202">
        <v>1.4965296898643603</v>
      </c>
      <c r="AC41" s="202">
        <v>0.85</v>
      </c>
      <c r="AD41" s="202">
        <v>2.4875581586346969</v>
      </c>
      <c r="AE41" s="202">
        <v>1.6804744024852796</v>
      </c>
      <c r="AF41" s="202">
        <v>0.2589736491855758</v>
      </c>
      <c r="AG41" s="202">
        <v>-2.2555712486640607</v>
      </c>
      <c r="AH41" s="202">
        <v>5.9364115848583694</v>
      </c>
      <c r="AI41" s="202">
        <v>-0.6511869195400164</v>
      </c>
      <c r="AJ41" s="202">
        <v>4.2762225014026059E-2</v>
      </c>
      <c r="AK41" s="202">
        <v>1.3602195521278015</v>
      </c>
      <c r="AL41" s="202">
        <v>2.6280133773169028</v>
      </c>
      <c r="AM41" s="202">
        <v>2.1915739783779831</v>
      </c>
      <c r="AN41" s="202">
        <v>1.2093961220083844</v>
      </c>
      <c r="AO41" s="202">
        <v>1.4956528254174235</v>
      </c>
      <c r="AP41" s="202">
        <v>1.2930335293655846</v>
      </c>
      <c r="AQ41" s="202">
        <v>1.7999999999999752</v>
      </c>
      <c r="AR41" s="202">
        <v>1.4430288703932821</v>
      </c>
      <c r="AS41" s="202">
        <v>4.3187457721289304</v>
      </c>
      <c r="AT41" s="202">
        <v>-1.5352991701125878</v>
      </c>
      <c r="AU41" s="202">
        <v>0.78622492350663087</v>
      </c>
      <c r="AV41" s="202">
        <v>0.32181476171546719</v>
      </c>
      <c r="AW41" s="202"/>
      <c r="AX41" s="202">
        <v>3.3390565644349328</v>
      </c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22"/>
      <c r="BM41" s="222"/>
      <c r="BN41" s="222"/>
      <c r="BO41" s="222"/>
      <c r="BP41" s="222"/>
      <c r="BQ41" s="222"/>
      <c r="BR41" s="222"/>
      <c r="BS41" s="222"/>
      <c r="BT41" s="222"/>
      <c r="BU41" s="223"/>
      <c r="BV41" s="223"/>
      <c r="BW41" s="223"/>
      <c r="BX41" s="217"/>
      <c r="BY41" s="217"/>
      <c r="BZ41" s="217"/>
      <c r="CA41" s="217"/>
      <c r="CB41" s="217"/>
      <c r="CC41" s="217"/>
      <c r="CD41" s="217"/>
      <c r="CE41" s="217"/>
      <c r="CF41" s="217"/>
      <c r="CG41" s="217"/>
      <c r="CH41" s="217"/>
      <c r="CI41" s="217"/>
      <c r="CJ41" s="217"/>
      <c r="CK41" s="217"/>
      <c r="CL41" s="217"/>
      <c r="CM41" s="217"/>
      <c r="CN41" s="217"/>
      <c r="CO41" s="217"/>
      <c r="CP41" s="217"/>
      <c r="CQ41" s="217"/>
      <c r="CR41" s="217"/>
      <c r="CS41" s="217"/>
      <c r="CT41" s="217"/>
      <c r="CU41" s="217"/>
      <c r="CV41" s="217"/>
      <c r="CW41" s="217"/>
      <c r="CX41" s="217"/>
      <c r="CY41" s="217"/>
      <c r="CZ41" s="217"/>
      <c r="DA41" s="217"/>
      <c r="DB41" s="217"/>
      <c r="DC41" s="217"/>
      <c r="DD41" s="217"/>
      <c r="DE41" s="217"/>
      <c r="DF41" s="217"/>
      <c r="DG41" s="217"/>
      <c r="DH41" s="217"/>
      <c r="DI41" s="217"/>
      <c r="DJ41" s="217"/>
      <c r="DK41" s="217"/>
      <c r="DL41" s="217"/>
      <c r="DM41" s="217"/>
      <c r="DN41" s="217"/>
      <c r="DO41" s="217"/>
      <c r="DP41" s="217"/>
      <c r="DQ41" s="217"/>
      <c r="DR41" s="217"/>
      <c r="DS41" s="217"/>
      <c r="DT41" s="217"/>
      <c r="DU41" s="217"/>
      <c r="DV41" s="217"/>
      <c r="DW41" s="217"/>
      <c r="DX41" s="217"/>
      <c r="DY41" s="217"/>
      <c r="DZ41" s="217"/>
      <c r="EA41" s="217"/>
      <c r="EB41" s="217"/>
      <c r="EC41" s="217"/>
      <c r="ED41" s="217"/>
      <c r="EE41" s="217"/>
      <c r="EF41" s="217"/>
      <c r="EG41" s="217"/>
      <c r="EH41" s="217"/>
      <c r="EI41" s="217"/>
      <c r="EJ41" s="217"/>
      <c r="EK41" s="217"/>
      <c r="EL41" s="217"/>
      <c r="EM41" s="217"/>
      <c r="EN41" s="217"/>
      <c r="EO41" s="217"/>
      <c r="EP41" s="217"/>
      <c r="EQ41" s="217"/>
      <c r="ER41" s="217"/>
      <c r="ES41" s="217"/>
      <c r="ET41" s="218"/>
      <c r="EU41" s="218"/>
      <c r="EV41" s="218"/>
      <c r="EW41" s="218"/>
      <c r="EX41" s="218"/>
      <c r="EY41" s="218"/>
    </row>
    <row r="42" spans="2:155" ht="12.5" x14ac:dyDescent="0.25">
      <c r="B42" s="199">
        <v>36</v>
      </c>
      <c r="C42" s="1912" t="s">
        <v>152</v>
      </c>
      <c r="D42" s="199">
        <v>36</v>
      </c>
      <c r="E42" s="205">
        <f>'NORTH-1'!$N$1312</f>
        <v>-100</v>
      </c>
      <c r="F42" s="1890">
        <v>2.4237684383713329</v>
      </c>
      <c r="G42" s="1890">
        <v>0.5912214158453245</v>
      </c>
      <c r="H42" s="1890">
        <v>0.78967253903742574</v>
      </c>
      <c r="I42" s="1890">
        <v>0.62788582795087866</v>
      </c>
      <c r="J42" s="1890">
        <v>1.8915898867543672</v>
      </c>
      <c r="K42" s="1890">
        <v>0.34848086150940871</v>
      </c>
      <c r="L42" s="205">
        <v>1.4294878039204204</v>
      </c>
      <c r="M42" s="205">
        <v>1.9994077190363608</v>
      </c>
      <c r="N42" s="205">
        <v>1.0522901860767084</v>
      </c>
      <c r="O42" s="202">
        <v>1.0086183109835039</v>
      </c>
      <c r="P42" s="202">
        <v>1.2535067614493669</v>
      </c>
      <c r="Q42" s="202">
        <v>0.36676279930442424</v>
      </c>
      <c r="R42" s="202">
        <v>1.4700036079423178</v>
      </c>
      <c r="S42" s="202">
        <v>1.1419182552718417</v>
      </c>
      <c r="T42" s="202">
        <v>1.4242038633384528</v>
      </c>
      <c r="U42" s="202">
        <v>0.99532130516364081</v>
      </c>
      <c r="V42" s="202">
        <v>0.43894463708507225</v>
      </c>
      <c r="W42" s="202">
        <v>0.88647794947344749</v>
      </c>
      <c r="X42" s="202">
        <v>0.28524096350795131</v>
      </c>
      <c r="Y42" s="202">
        <v>0.65882143103190305</v>
      </c>
      <c r="Z42" s="202">
        <v>0.775115376553839</v>
      </c>
      <c r="AA42" s="202">
        <v>1.887286400906911</v>
      </c>
      <c r="AB42" s="202">
        <v>1.356071297823928</v>
      </c>
      <c r="AC42" s="202">
        <v>2.08</v>
      </c>
      <c r="AD42" s="202">
        <v>2.0256318280992147</v>
      </c>
      <c r="AE42" s="202">
        <v>1.8976656948889927</v>
      </c>
      <c r="AF42" s="202">
        <v>1.125221147964155</v>
      </c>
      <c r="AG42" s="202">
        <v>2.8740508138804648</v>
      </c>
      <c r="AH42" s="202">
        <v>3.9999999999999982</v>
      </c>
      <c r="AI42" s="202">
        <v>3.9999999999999996</v>
      </c>
      <c r="AJ42" s="202">
        <v>3.0000000000000178</v>
      </c>
      <c r="AK42" s="202">
        <v>3.0000000000000036</v>
      </c>
      <c r="AL42" s="222">
        <v>2.5000000000000009</v>
      </c>
      <c r="AM42" s="222">
        <v>2.4999999999999871</v>
      </c>
      <c r="AN42" s="222">
        <v>2.500000000000008</v>
      </c>
      <c r="AO42" s="222">
        <v>2.4999999999999867</v>
      </c>
      <c r="AP42" s="222">
        <v>2.4999999999999698</v>
      </c>
      <c r="AQ42" s="222">
        <v>2.4390243902438855</v>
      </c>
      <c r="AR42" s="222"/>
      <c r="AS42" s="222"/>
      <c r="AT42" s="222"/>
      <c r="AU42" s="222"/>
      <c r="AV42" s="222"/>
      <c r="AW42" s="222"/>
      <c r="AX42" s="222"/>
      <c r="AY42" s="222"/>
      <c r="AZ42" s="222"/>
      <c r="BA42" s="222"/>
      <c r="BB42" s="222"/>
      <c r="BC42" s="222"/>
      <c r="BD42" s="222"/>
      <c r="BE42" s="222"/>
      <c r="BF42" s="222"/>
      <c r="BG42" s="222"/>
      <c r="BH42" s="222"/>
      <c r="BI42" s="222"/>
      <c r="BJ42" s="222"/>
      <c r="BK42" s="222"/>
      <c r="BL42" s="222"/>
      <c r="BM42" s="222"/>
      <c r="BN42" s="222"/>
      <c r="BO42" s="222"/>
      <c r="BP42" s="222"/>
      <c r="BQ42" s="222"/>
      <c r="BR42" s="222"/>
      <c r="BS42" s="222"/>
      <c r="BT42" s="222"/>
      <c r="BU42" s="223"/>
      <c r="BV42" s="223"/>
      <c r="BW42" s="223"/>
      <c r="BX42" s="217"/>
      <c r="BY42" s="217"/>
      <c r="BZ42" s="217"/>
      <c r="CA42" s="217"/>
      <c r="CB42" s="217"/>
      <c r="CC42" s="217"/>
      <c r="CD42" s="217"/>
      <c r="CE42" s="217"/>
      <c r="CF42" s="217"/>
      <c r="CG42" s="217"/>
      <c r="CH42" s="217"/>
      <c r="CI42" s="217"/>
      <c r="CJ42" s="217"/>
      <c r="CK42" s="217"/>
      <c r="CL42" s="217"/>
      <c r="CM42" s="217"/>
      <c r="CN42" s="217"/>
      <c r="CO42" s="217"/>
      <c r="CP42" s="217"/>
      <c r="CQ42" s="217"/>
      <c r="CR42" s="217"/>
      <c r="CS42" s="217"/>
      <c r="CT42" s="217"/>
      <c r="CU42" s="217"/>
      <c r="CV42" s="217"/>
      <c r="CW42" s="217"/>
      <c r="CX42" s="217"/>
      <c r="CY42" s="217"/>
      <c r="CZ42" s="217"/>
      <c r="DA42" s="217"/>
      <c r="DB42" s="217"/>
      <c r="DC42" s="217"/>
      <c r="DD42" s="217"/>
      <c r="DE42" s="217"/>
      <c r="DF42" s="217"/>
      <c r="DG42" s="217"/>
      <c r="DH42" s="217"/>
      <c r="DI42" s="217"/>
      <c r="DJ42" s="217"/>
      <c r="DK42" s="217"/>
      <c r="DL42" s="217"/>
      <c r="DM42" s="217"/>
      <c r="DN42" s="217"/>
      <c r="DO42" s="217"/>
      <c r="DP42" s="217"/>
      <c r="DQ42" s="217"/>
      <c r="DR42" s="217"/>
      <c r="DS42" s="217"/>
      <c r="DT42" s="217"/>
      <c r="DU42" s="217"/>
      <c r="DV42" s="217"/>
      <c r="DW42" s="217"/>
      <c r="DX42" s="217"/>
      <c r="DY42" s="217"/>
      <c r="DZ42" s="217"/>
      <c r="EA42" s="217"/>
      <c r="EB42" s="217"/>
      <c r="EC42" s="217"/>
      <c r="ED42" s="217"/>
      <c r="EE42" s="217"/>
      <c r="EF42" s="217"/>
      <c r="EG42" s="217"/>
      <c r="EH42" s="217"/>
      <c r="EI42" s="217"/>
      <c r="EJ42" s="217"/>
      <c r="EK42" s="217"/>
      <c r="EL42" s="217"/>
      <c r="EM42" s="217"/>
      <c r="EN42" s="217"/>
      <c r="EO42" s="217"/>
      <c r="EP42" s="217"/>
      <c r="EQ42" s="217"/>
      <c r="ER42" s="217"/>
      <c r="ES42" s="217"/>
      <c r="ET42" s="218"/>
      <c r="EU42" s="218"/>
      <c r="EV42" s="218"/>
      <c r="EW42" s="218"/>
      <c r="EX42" s="218"/>
      <c r="EY42" s="218"/>
    </row>
    <row r="43" spans="2:155" ht="12.75" customHeight="1" x14ac:dyDescent="0.3">
      <c r="B43" s="199">
        <v>37</v>
      </c>
      <c r="C43" s="1893" t="s">
        <v>153</v>
      </c>
      <c r="D43" s="199">
        <v>37</v>
      </c>
      <c r="E43" s="1436">
        <f>'NORTH-1'!$N$1596</f>
        <v>-100</v>
      </c>
      <c r="F43" s="1890">
        <v>0.96151394679624669</v>
      </c>
      <c r="G43" s="1890">
        <v>0.90231562073881355</v>
      </c>
      <c r="H43" s="1890">
        <v>-0.37932344058136502</v>
      </c>
      <c r="I43" s="1890">
        <v>9.1796988547188638E-2</v>
      </c>
      <c r="J43" s="1890">
        <v>1.2206148985371601</v>
      </c>
      <c r="K43" s="1890">
        <v>0.49999999999999556</v>
      </c>
      <c r="L43" s="205">
        <v>0.93397850614690348</v>
      </c>
      <c r="M43" s="205">
        <v>1.6061476027513648</v>
      </c>
      <c r="N43" s="205">
        <v>0.59654753257712645</v>
      </c>
      <c r="O43" s="202">
        <v>-0.29574968303545479</v>
      </c>
      <c r="P43" s="202">
        <v>0.10239004187043994</v>
      </c>
      <c r="Q43" s="202">
        <v>0.25292718691876326</v>
      </c>
      <c r="R43" s="202">
        <v>0.62934091363911504</v>
      </c>
      <c r="S43" s="202">
        <v>0.83023000292089288</v>
      </c>
      <c r="T43" s="202">
        <v>3.1429589904658967E-2</v>
      </c>
      <c r="U43" s="202">
        <v>1.6275727136280966E-2</v>
      </c>
      <c r="V43" s="202">
        <v>-0.21355882146939648</v>
      </c>
      <c r="W43" s="202">
        <v>0.67957155468472807</v>
      </c>
      <c r="X43" s="202">
        <v>1.3619072237499734</v>
      </c>
      <c r="Y43" s="202">
        <v>2.0183990238477501</v>
      </c>
      <c r="Z43" s="202">
        <v>1.543270459365071E-2</v>
      </c>
      <c r="AA43" s="202">
        <v>0.71930851180639654</v>
      </c>
      <c r="AB43" s="202">
        <v>-0.99105406675363461</v>
      </c>
      <c r="AC43" s="202">
        <v>-0.91</v>
      </c>
      <c r="AD43" s="202">
        <v>-0.68239731557169092</v>
      </c>
      <c r="AE43" s="202">
        <v>3.2971824686940847</v>
      </c>
      <c r="AF43" s="202">
        <v>3.865411263213741</v>
      </c>
      <c r="AG43" s="202">
        <v>1.9641015336657095</v>
      </c>
      <c r="AH43" s="202">
        <v>2.5926159434935832</v>
      </c>
      <c r="AI43" s="202">
        <v>3.8738927493609099</v>
      </c>
      <c r="AJ43" s="202">
        <v>3.5974925787920395</v>
      </c>
      <c r="AK43" s="202"/>
      <c r="AL43" s="222"/>
      <c r="AM43" s="222"/>
      <c r="AN43" s="222"/>
      <c r="AO43" s="222"/>
      <c r="AP43" s="222"/>
      <c r="AQ43" s="222"/>
      <c r="AR43" s="222"/>
      <c r="AS43" s="222"/>
      <c r="AT43" s="222"/>
      <c r="AU43" s="222"/>
      <c r="AV43" s="222"/>
      <c r="AW43" s="222"/>
      <c r="AX43" s="222"/>
      <c r="AY43" s="222"/>
      <c r="AZ43" s="222"/>
      <c r="BA43" s="222"/>
      <c r="BB43" s="222"/>
      <c r="BC43" s="222"/>
      <c r="BD43" s="222"/>
      <c r="BE43" s="222"/>
      <c r="BF43" s="222"/>
      <c r="BG43" s="222"/>
      <c r="BH43" s="222"/>
      <c r="BI43" s="222"/>
      <c r="BJ43" s="222"/>
      <c r="BK43" s="222"/>
      <c r="BL43" s="222"/>
      <c r="BM43" s="222"/>
      <c r="BN43" s="222"/>
      <c r="BO43" s="222"/>
      <c r="BP43" s="222"/>
      <c r="BQ43" s="222"/>
      <c r="BR43" s="222"/>
      <c r="BS43" s="222"/>
      <c r="BT43" s="222"/>
      <c r="BU43" s="223"/>
      <c r="BV43" s="223"/>
      <c r="BW43" s="223"/>
      <c r="BX43" s="217"/>
      <c r="BY43" s="217"/>
      <c r="BZ43" s="217"/>
      <c r="CA43" s="217"/>
      <c r="CB43" s="217"/>
      <c r="CC43" s="217"/>
      <c r="CD43" s="217"/>
      <c r="CE43" s="217"/>
      <c r="CF43" s="217"/>
      <c r="CG43" s="217"/>
      <c r="CH43" s="217"/>
      <c r="CI43" s="217"/>
      <c r="CJ43" s="217"/>
      <c r="CK43" s="217"/>
      <c r="CL43" s="217"/>
      <c r="CM43" s="217"/>
      <c r="CN43" s="217"/>
      <c r="CO43" s="217"/>
      <c r="CP43" s="217"/>
      <c r="CQ43" s="217"/>
      <c r="CR43" s="217"/>
      <c r="CS43" s="217"/>
      <c r="CT43" s="217"/>
      <c r="CU43" s="217"/>
      <c r="CV43" s="217"/>
      <c r="CW43" s="217"/>
      <c r="CX43" s="217"/>
      <c r="CY43" s="217"/>
      <c r="CZ43" s="217"/>
      <c r="DA43" s="217"/>
      <c r="DB43" s="217"/>
      <c r="DC43" s="217"/>
      <c r="DD43" s="217"/>
      <c r="DE43" s="217"/>
      <c r="DF43" s="217"/>
      <c r="DG43" s="217"/>
      <c r="DH43" s="217"/>
      <c r="DI43" s="217"/>
      <c r="DJ43" s="217"/>
      <c r="DK43" s="217"/>
      <c r="DL43" s="217"/>
      <c r="DM43" s="217"/>
      <c r="DN43" s="217"/>
      <c r="DO43" s="217"/>
      <c r="DP43" s="217"/>
      <c r="DQ43" s="217"/>
      <c r="DR43" s="217"/>
      <c r="DS43" s="217"/>
      <c r="DT43" s="217"/>
      <c r="DU43" s="217"/>
      <c r="DV43" s="217"/>
      <c r="DW43" s="217"/>
      <c r="DX43" s="217"/>
      <c r="DY43" s="217"/>
      <c r="DZ43" s="217"/>
      <c r="EA43" s="217"/>
      <c r="EB43" s="217"/>
      <c r="EC43" s="217"/>
      <c r="ED43" s="217"/>
      <c r="EE43" s="217"/>
      <c r="EF43" s="217"/>
      <c r="EG43" s="217"/>
      <c r="EH43" s="217"/>
      <c r="EI43" s="217"/>
      <c r="EJ43" s="217"/>
      <c r="EK43" s="217"/>
      <c r="EL43" s="217"/>
      <c r="EM43" s="217"/>
      <c r="EN43" s="217"/>
      <c r="EO43" s="217"/>
      <c r="EP43" s="217"/>
      <c r="EQ43" s="217"/>
      <c r="ER43" s="217"/>
      <c r="ES43" s="217"/>
      <c r="ET43" s="218"/>
      <c r="EU43" s="218"/>
      <c r="EV43" s="218"/>
      <c r="EW43" s="218"/>
      <c r="EX43" s="218"/>
      <c r="EY43" s="218"/>
    </row>
    <row r="44" spans="2:155" ht="15" customHeight="1" x14ac:dyDescent="0.25">
      <c r="B44" s="199">
        <v>38</v>
      </c>
      <c r="C44" s="1912" t="s">
        <v>154</v>
      </c>
      <c r="D44" s="199">
        <v>38</v>
      </c>
      <c r="E44" s="205">
        <f>'NORTH-1'!$N$1635</f>
        <v>-100</v>
      </c>
      <c r="F44" s="1890">
        <v>-1.1609079197052528E-2</v>
      </c>
      <c r="G44" s="1890">
        <v>0.13206893661106545</v>
      </c>
      <c r="H44" s="1890">
        <v>1.0275590125107001</v>
      </c>
      <c r="I44" s="1890">
        <v>0</v>
      </c>
      <c r="J44" s="1890">
        <v>-1.3376136971642588E-2</v>
      </c>
      <c r="K44" s="1890">
        <v>2.5484199796205524E-2</v>
      </c>
      <c r="L44" s="205">
        <v>-3.4770514603629621E-2</v>
      </c>
      <c r="M44" s="205">
        <v>1.4999999999999811</v>
      </c>
      <c r="N44" s="205">
        <v>1.5</v>
      </c>
      <c r="O44" s="202">
        <v>1.5441423296409369</v>
      </c>
      <c r="P44" s="202">
        <v>-0.1406469760900631</v>
      </c>
      <c r="Q44" s="202">
        <v>0.84541062801935207</v>
      </c>
      <c r="R44" s="202">
        <v>0.19083969465652559</v>
      </c>
      <c r="S44" s="202">
        <v>31.032833460016935</v>
      </c>
      <c r="T44" s="202">
        <v>0</v>
      </c>
      <c r="U44" s="202">
        <v>2.9244747302668608</v>
      </c>
      <c r="V44" s="202">
        <v>0.30864197530864196</v>
      </c>
      <c r="W44" s="202">
        <v>-0.31897926634759455</v>
      </c>
      <c r="X44" s="202">
        <v>-0.38872691933920656</v>
      </c>
      <c r="Y44" s="202">
        <v>-8.726003490403432E-2</v>
      </c>
      <c r="Z44" s="202">
        <v>8.6228135008622808E-2</v>
      </c>
      <c r="AA44" s="202">
        <v>-0.10116337885685379</v>
      </c>
      <c r="AB44" s="202">
        <v>6.5616797900293025E-2</v>
      </c>
      <c r="AC44" s="202">
        <v>0</v>
      </c>
      <c r="AD44" s="202">
        <v>0</v>
      </c>
      <c r="AE44" s="202">
        <v>0</v>
      </c>
      <c r="AF44" s="202">
        <v>0</v>
      </c>
      <c r="AG44" s="202">
        <v>0</v>
      </c>
      <c r="AH44" s="202">
        <v>0</v>
      </c>
      <c r="AI44" s="202">
        <v>-0.79365079365086244</v>
      </c>
      <c r="AJ44" s="202">
        <v>0</v>
      </c>
      <c r="AK44" s="202">
        <v>0</v>
      </c>
      <c r="AL44" s="222" t="e">
        <v>#DIV/0!</v>
      </c>
      <c r="AM44" s="222">
        <v>9.5166163141993962</v>
      </c>
      <c r="AN44" s="222"/>
      <c r="AO44" s="222"/>
      <c r="AP44" s="222"/>
      <c r="AQ44" s="222"/>
      <c r="AR44" s="222"/>
      <c r="AS44" s="222"/>
      <c r="AT44" s="222"/>
      <c r="AU44" s="222"/>
      <c r="AV44" s="222"/>
      <c r="AW44" s="222"/>
      <c r="AX44" s="222"/>
      <c r="AY44" s="222"/>
      <c r="AZ44" s="222"/>
      <c r="BA44" s="222"/>
      <c r="BB44" s="222"/>
      <c r="BC44" s="222"/>
      <c r="BD44" s="222"/>
      <c r="BE44" s="222"/>
      <c r="BF44" s="222"/>
      <c r="BG44" s="222"/>
      <c r="BH44" s="222"/>
      <c r="BI44" s="222"/>
      <c r="BJ44" s="222"/>
      <c r="BK44" s="222"/>
      <c r="BL44" s="222"/>
      <c r="BM44" s="222"/>
      <c r="BN44" s="222"/>
      <c r="BO44" s="222"/>
      <c r="BP44" s="222"/>
      <c r="BQ44" s="222"/>
      <c r="BR44" s="222"/>
      <c r="BS44" s="222"/>
      <c r="BT44" s="222"/>
      <c r="BU44" s="223"/>
      <c r="BV44" s="223"/>
      <c r="BW44" s="223"/>
      <c r="BX44" s="217"/>
      <c r="BY44" s="217"/>
      <c r="BZ44" s="217"/>
      <c r="CA44" s="217"/>
      <c r="CB44" s="217"/>
      <c r="CC44" s="217"/>
      <c r="CD44" s="217"/>
      <c r="CE44" s="217"/>
      <c r="CF44" s="217"/>
      <c r="CG44" s="217"/>
      <c r="CH44" s="217"/>
      <c r="CI44" s="217"/>
      <c r="CJ44" s="217"/>
      <c r="CK44" s="217"/>
      <c r="CL44" s="217"/>
      <c r="CM44" s="217"/>
      <c r="CN44" s="217"/>
      <c r="CO44" s="217"/>
      <c r="CP44" s="217"/>
      <c r="CQ44" s="217"/>
      <c r="CR44" s="217"/>
      <c r="CS44" s="217"/>
      <c r="CT44" s="217"/>
      <c r="CU44" s="217"/>
      <c r="CV44" s="217"/>
      <c r="CW44" s="217"/>
      <c r="CX44" s="217"/>
      <c r="CY44" s="217"/>
      <c r="CZ44" s="217"/>
      <c r="DA44" s="217"/>
      <c r="DB44" s="217"/>
      <c r="DC44" s="217"/>
      <c r="DD44" s="217"/>
      <c r="DE44" s="217"/>
      <c r="DF44" s="217"/>
      <c r="DG44" s="217"/>
      <c r="DH44" s="217"/>
      <c r="DI44" s="217"/>
      <c r="DJ44" s="217"/>
      <c r="DK44" s="217"/>
      <c r="DL44" s="217"/>
      <c r="DM44" s="217"/>
      <c r="DN44" s="217"/>
      <c r="DO44" s="217"/>
      <c r="DP44" s="217"/>
      <c r="DQ44" s="217"/>
      <c r="DR44" s="217"/>
      <c r="DS44" s="217"/>
      <c r="DT44" s="217"/>
      <c r="DU44" s="217"/>
      <c r="DV44" s="217"/>
      <c r="DW44" s="217"/>
      <c r="DX44" s="217"/>
      <c r="DY44" s="217"/>
      <c r="DZ44" s="217"/>
      <c r="EA44" s="217"/>
      <c r="EB44" s="217"/>
      <c r="EC44" s="217"/>
      <c r="ED44" s="217"/>
      <c r="EE44" s="217"/>
      <c r="EF44" s="217"/>
      <c r="EG44" s="217"/>
      <c r="EH44" s="217"/>
      <c r="EI44" s="217"/>
      <c r="EJ44" s="217"/>
      <c r="EK44" s="217"/>
      <c r="EL44" s="217"/>
      <c r="EM44" s="217"/>
      <c r="EN44" s="217"/>
      <c r="EO44" s="217"/>
      <c r="EP44" s="217"/>
      <c r="EQ44" s="217"/>
      <c r="ER44" s="217"/>
      <c r="ES44" s="217"/>
      <c r="ET44" s="218"/>
      <c r="EU44" s="218"/>
      <c r="EV44" s="218"/>
      <c r="EW44" s="218"/>
      <c r="EX44" s="218"/>
      <c r="EY44" s="218"/>
    </row>
    <row r="45" spans="2:155" ht="15" customHeight="1" x14ac:dyDescent="0.25">
      <c r="B45" s="199">
        <v>39</v>
      </c>
      <c r="C45" s="1912" t="s">
        <v>155</v>
      </c>
      <c r="D45" s="199">
        <v>39</v>
      </c>
      <c r="E45" s="205">
        <f>'NORTH-2'!$N$1381</f>
        <v>-100</v>
      </c>
      <c r="F45" s="1890">
        <v>5.9273660040304161</v>
      </c>
      <c r="G45" s="1890">
        <v>-2.3188601388081995</v>
      </c>
      <c r="H45" s="1890">
        <v>2.4999999999999862</v>
      </c>
      <c r="I45" s="1890">
        <v>-0.86087100609827971</v>
      </c>
      <c r="J45" s="1890">
        <v>1.5735731065210905</v>
      </c>
      <c r="K45" s="1890">
        <v>-0.17022902394538456</v>
      </c>
      <c r="L45" s="205">
        <v>3.2331144544393746</v>
      </c>
      <c r="M45" s="205">
        <v>4.7308693724649249</v>
      </c>
      <c r="N45" s="205">
        <v>2.8364523323326845</v>
      </c>
      <c r="O45" s="202">
        <v>0.15467354371192807</v>
      </c>
      <c r="P45" s="202">
        <v>5.2094727427658576</v>
      </c>
      <c r="Q45" s="202">
        <v>-1.0032799046985599</v>
      </c>
      <c r="R45" s="202">
        <v>1.0522340346187513</v>
      </c>
      <c r="S45" s="202">
        <v>4.3065497665790415</v>
      </c>
      <c r="T45" s="202">
        <v>0.32439392117942356</v>
      </c>
      <c r="U45" s="202">
        <v>0.22589861220913215</v>
      </c>
      <c r="V45" s="202">
        <v>1.0611805511760557</v>
      </c>
      <c r="W45" s="202">
        <v>1.0424423675604435</v>
      </c>
      <c r="X45" s="202">
        <v>4.7650045086745019</v>
      </c>
      <c r="Y45" s="202">
        <v>1.9502066946336636</v>
      </c>
      <c r="Z45" s="202">
        <v>0.96488227151318773</v>
      </c>
      <c r="AA45" s="202">
        <v>0.89767159326478774</v>
      </c>
      <c r="AB45" s="202">
        <v>0.95496955689495655</v>
      </c>
      <c r="AC45" s="202">
        <v>1.71</v>
      </c>
      <c r="AD45" s="202">
        <v>2.2347918223443699</v>
      </c>
      <c r="AE45" s="202">
        <v>-0.91531467307395598</v>
      </c>
      <c r="AF45" s="202">
        <v>0.50604817336001695</v>
      </c>
      <c r="AG45" s="202">
        <v>0.68996892365716478</v>
      </c>
      <c r="AH45" s="202">
        <v>0.6382944182397231</v>
      </c>
      <c r="AI45" s="202">
        <v>5.4661049168833884</v>
      </c>
      <c r="AJ45" s="202">
        <v>-0.54678084855740272</v>
      </c>
      <c r="AK45" s="202">
        <v>4.8613004722505044</v>
      </c>
      <c r="AL45" s="222"/>
      <c r="AM45" s="222"/>
      <c r="AN45" s="222"/>
      <c r="AO45" s="222"/>
      <c r="AP45" s="222"/>
      <c r="AQ45" s="222"/>
      <c r="AR45" s="222"/>
      <c r="AS45" s="222"/>
      <c r="AT45" s="222"/>
      <c r="AU45" s="222"/>
      <c r="AV45" s="222"/>
      <c r="AW45" s="222"/>
      <c r="AX45" s="222"/>
      <c r="AY45" s="222"/>
      <c r="AZ45" s="222"/>
      <c r="BA45" s="222"/>
      <c r="BB45" s="222"/>
      <c r="BC45" s="222"/>
      <c r="BD45" s="222"/>
      <c r="BE45" s="222"/>
      <c r="BF45" s="222"/>
      <c r="BG45" s="222"/>
      <c r="BH45" s="222"/>
      <c r="BI45" s="222"/>
      <c r="BJ45" s="222"/>
      <c r="BK45" s="222"/>
      <c r="BL45" s="222"/>
      <c r="BM45" s="222"/>
      <c r="BN45" s="222"/>
      <c r="BO45" s="222"/>
      <c r="BP45" s="222"/>
      <c r="BQ45" s="222"/>
      <c r="BR45" s="222"/>
      <c r="BS45" s="222"/>
      <c r="BT45" s="222"/>
      <c r="BU45" s="223"/>
      <c r="BV45" s="223"/>
      <c r="BW45" s="223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7"/>
      <c r="CI45" s="217"/>
      <c r="CJ45" s="217"/>
      <c r="CK45" s="217"/>
      <c r="CL45" s="217"/>
      <c r="CM45" s="217"/>
      <c r="CN45" s="217"/>
      <c r="CO45" s="217"/>
      <c r="CP45" s="217"/>
      <c r="CQ45" s="217"/>
      <c r="CR45" s="217"/>
      <c r="CS45" s="217"/>
      <c r="CT45" s="217"/>
      <c r="CU45" s="217"/>
      <c r="CV45" s="217"/>
      <c r="CW45" s="217"/>
      <c r="CX45" s="217"/>
      <c r="CY45" s="217"/>
      <c r="CZ45" s="217"/>
      <c r="DA45" s="217"/>
      <c r="DB45" s="217"/>
      <c r="DC45" s="217"/>
      <c r="DD45" s="217"/>
      <c r="DE45" s="217"/>
      <c r="DF45" s="217"/>
      <c r="DG45" s="217"/>
      <c r="DH45" s="217"/>
      <c r="DI45" s="217"/>
      <c r="DJ45" s="217"/>
      <c r="DK45" s="217"/>
      <c r="DL45" s="217"/>
      <c r="DM45" s="217"/>
      <c r="DN45" s="217"/>
      <c r="DO45" s="217"/>
      <c r="DP45" s="217"/>
      <c r="DQ45" s="217"/>
      <c r="DR45" s="217"/>
      <c r="DS45" s="217"/>
      <c r="DT45" s="217"/>
      <c r="DU45" s="217"/>
      <c r="DV45" s="217"/>
      <c r="DW45" s="217"/>
      <c r="DX45" s="217"/>
      <c r="DY45" s="217"/>
      <c r="DZ45" s="217"/>
      <c r="EA45" s="217"/>
      <c r="EB45" s="217"/>
      <c r="EC45" s="217"/>
      <c r="ED45" s="217"/>
      <c r="EE45" s="217"/>
      <c r="EF45" s="217"/>
      <c r="EG45" s="217"/>
      <c r="EH45" s="217"/>
      <c r="EI45" s="217"/>
      <c r="EJ45" s="217"/>
      <c r="EK45" s="217"/>
      <c r="EL45" s="217"/>
      <c r="EM45" s="217"/>
      <c r="EN45" s="217"/>
      <c r="EO45" s="217"/>
      <c r="EP45" s="217"/>
      <c r="EQ45" s="217"/>
      <c r="ER45" s="217"/>
      <c r="ES45" s="217"/>
      <c r="ET45" s="218"/>
      <c r="EU45" s="218"/>
      <c r="EV45" s="218"/>
      <c r="EW45" s="218"/>
      <c r="EX45" s="218"/>
      <c r="EY45" s="218"/>
    </row>
    <row r="46" spans="2:155" ht="15" customHeight="1" x14ac:dyDescent="0.25">
      <c r="B46" s="199">
        <v>40</v>
      </c>
      <c r="C46" s="1912" t="s">
        <v>156</v>
      </c>
      <c r="D46" s="199">
        <v>40</v>
      </c>
      <c r="E46" s="205">
        <f>'NORTH-1'!$N$1024</f>
        <v>-100</v>
      </c>
      <c r="F46" s="1890">
        <v>0.34498807621589345</v>
      </c>
      <c r="G46" s="1890">
        <v>9.9612533741639132E-3</v>
      </c>
      <c r="H46" s="1890">
        <v>-0.10334971920966157</v>
      </c>
      <c r="I46" s="1890">
        <v>6.873514094066803E-2</v>
      </c>
      <c r="J46" s="1890">
        <v>1.7017579199689243</v>
      </c>
      <c r="K46" s="1890">
        <v>1.2085105167598049</v>
      </c>
      <c r="L46" s="205">
        <v>1.1180009257464325</v>
      </c>
      <c r="M46" s="205">
        <v>1.2303508165179406</v>
      </c>
      <c r="N46" s="205">
        <v>0.49311842202104955</v>
      </c>
      <c r="O46" s="202">
        <v>1.9322520702838606</v>
      </c>
      <c r="P46" s="202">
        <v>1.2826843901865961</v>
      </c>
      <c r="Q46" s="202">
        <v>1.2355843658863583</v>
      </c>
      <c r="R46" s="202">
        <v>1.4037368107617736</v>
      </c>
      <c r="S46" s="202">
        <v>0.47624983802432158</v>
      </c>
      <c r="T46" s="202">
        <v>1.3510996560881858</v>
      </c>
      <c r="U46" s="202">
        <v>0.68430520954617591</v>
      </c>
      <c r="V46" s="202">
        <v>0.87757737931725266</v>
      </c>
      <c r="W46" s="202">
        <v>0.83369758487438639</v>
      </c>
      <c r="X46" s="202">
        <v>0.94868222714936112</v>
      </c>
      <c r="Y46" s="202">
        <v>0.67126582137164059</v>
      </c>
      <c r="Z46" s="202">
        <v>1.2300044031539707</v>
      </c>
      <c r="AA46" s="202">
        <v>0.58351786092121849</v>
      </c>
      <c r="AB46" s="202">
        <v>0.60862841159925307</v>
      </c>
      <c r="AC46" s="202">
        <v>1.28</v>
      </c>
      <c r="AD46" s="202">
        <v>0.76342255859539532</v>
      </c>
      <c r="AE46" s="202">
        <v>1.5341948133339036</v>
      </c>
      <c r="AF46" s="202">
        <v>-0.32296594169888271</v>
      </c>
      <c r="AG46" s="202">
        <v>9.1133762829080117E-2</v>
      </c>
      <c r="AH46" s="202">
        <v>0.70062445224040415</v>
      </c>
      <c r="AI46" s="202"/>
      <c r="AJ46" s="202"/>
      <c r="AK46" s="202"/>
      <c r="AL46" s="222"/>
      <c r="AM46" s="222"/>
      <c r="AN46" s="222"/>
      <c r="AO46" s="222"/>
      <c r="AP46" s="222"/>
      <c r="AQ46" s="222"/>
      <c r="AR46" s="222"/>
      <c r="AS46" s="222"/>
      <c r="AT46" s="222"/>
      <c r="AU46" s="222"/>
      <c r="AV46" s="222"/>
      <c r="AW46" s="222"/>
      <c r="AX46" s="222"/>
      <c r="AY46" s="222"/>
      <c r="AZ46" s="222"/>
      <c r="BA46" s="222"/>
      <c r="BB46" s="222"/>
      <c r="BC46" s="222"/>
      <c r="BD46" s="222"/>
      <c r="BE46" s="222"/>
      <c r="BF46" s="222"/>
      <c r="BG46" s="222"/>
      <c r="BH46" s="222"/>
      <c r="BI46" s="222"/>
      <c r="BJ46" s="222"/>
      <c r="BK46" s="222"/>
      <c r="BL46" s="222"/>
      <c r="BM46" s="222"/>
      <c r="BN46" s="222"/>
      <c r="BO46" s="222"/>
      <c r="BP46" s="222"/>
      <c r="BQ46" s="222"/>
      <c r="BR46" s="222"/>
      <c r="BS46" s="222"/>
      <c r="BT46" s="222"/>
      <c r="BU46" s="223"/>
      <c r="BV46" s="223"/>
      <c r="BW46" s="223"/>
      <c r="BX46" s="217"/>
      <c r="BY46" s="217"/>
      <c r="BZ46" s="217"/>
      <c r="CA46" s="217"/>
      <c r="CB46" s="217"/>
      <c r="CC46" s="217"/>
      <c r="CD46" s="217"/>
      <c r="CE46" s="217"/>
      <c r="CF46" s="217"/>
      <c r="CG46" s="217"/>
      <c r="CH46" s="217"/>
      <c r="CI46" s="217"/>
      <c r="CJ46" s="217"/>
      <c r="CK46" s="217"/>
      <c r="CL46" s="217"/>
      <c r="CM46" s="217"/>
      <c r="CN46" s="217"/>
      <c r="CO46" s="217"/>
      <c r="CP46" s="217"/>
      <c r="CQ46" s="217"/>
      <c r="CR46" s="217"/>
      <c r="CS46" s="217"/>
      <c r="CT46" s="217"/>
      <c r="CU46" s="217"/>
      <c r="CV46" s="217"/>
      <c r="CW46" s="217"/>
      <c r="CX46" s="217"/>
      <c r="CY46" s="217"/>
      <c r="CZ46" s="217"/>
      <c r="DA46" s="217"/>
      <c r="DB46" s="217"/>
      <c r="DC46" s="217"/>
      <c r="DD46" s="217"/>
      <c r="DE46" s="217"/>
      <c r="DF46" s="217"/>
      <c r="DG46" s="217"/>
      <c r="DH46" s="217"/>
      <c r="DI46" s="217"/>
      <c r="DJ46" s="217"/>
      <c r="DK46" s="217"/>
      <c r="DL46" s="217"/>
      <c r="DM46" s="217"/>
      <c r="DN46" s="217"/>
      <c r="DO46" s="217"/>
      <c r="DP46" s="217"/>
      <c r="DQ46" s="217"/>
      <c r="DR46" s="217"/>
      <c r="DS46" s="217"/>
      <c r="DT46" s="217"/>
      <c r="DU46" s="217"/>
      <c r="DV46" s="217"/>
      <c r="DW46" s="217"/>
      <c r="DX46" s="217"/>
      <c r="DY46" s="217"/>
      <c r="DZ46" s="217"/>
      <c r="EA46" s="217"/>
      <c r="EB46" s="217"/>
      <c r="EC46" s="217"/>
      <c r="ED46" s="217"/>
      <c r="EE46" s="217"/>
      <c r="EF46" s="217"/>
      <c r="EG46" s="217"/>
      <c r="EH46" s="217"/>
      <c r="EI46" s="217"/>
      <c r="EJ46" s="217"/>
      <c r="EK46" s="217"/>
      <c r="EL46" s="217"/>
      <c r="EM46" s="217"/>
      <c r="EN46" s="217"/>
      <c r="EO46" s="217"/>
      <c r="EP46" s="217"/>
      <c r="EQ46" s="217"/>
      <c r="ER46" s="217"/>
      <c r="ES46" s="217"/>
      <c r="ET46" s="218"/>
      <c r="EU46" s="218"/>
      <c r="EV46" s="218"/>
      <c r="EW46" s="218"/>
      <c r="EX46" s="218"/>
      <c r="EY46" s="218"/>
    </row>
    <row r="47" spans="2:155" ht="15" customHeight="1" x14ac:dyDescent="0.25">
      <c r="B47" s="199">
        <v>41</v>
      </c>
      <c r="C47" s="1912" t="s">
        <v>157</v>
      </c>
      <c r="D47" s="199">
        <v>41</v>
      </c>
      <c r="E47" s="205">
        <f>'NORTH-1'!$N$1869</f>
        <v>-100</v>
      </c>
      <c r="F47" s="1890">
        <v>-0.22052547528748309</v>
      </c>
      <c r="G47" s="1890">
        <v>1.4079170286488891</v>
      </c>
      <c r="H47" s="1890">
        <v>1.4124027541138591</v>
      </c>
      <c r="I47" s="1890">
        <v>0.77125242179145104</v>
      </c>
      <c r="J47" s="1890">
        <v>1.2426301868466298</v>
      </c>
      <c r="K47" s="1890">
        <v>2.7817190451951816</v>
      </c>
      <c r="L47" s="205">
        <v>0.85392732874376531</v>
      </c>
      <c r="M47" s="205">
        <v>0.6704363862797782</v>
      </c>
      <c r="N47" s="205">
        <v>2.1698298516700865</v>
      </c>
      <c r="O47" s="202">
        <v>1.9846914547189443</v>
      </c>
      <c r="P47" s="202">
        <v>0.46927875959482973</v>
      </c>
      <c r="Q47" s="202">
        <v>1.8969801470333201</v>
      </c>
      <c r="R47" s="202">
        <v>0.84862528122555958</v>
      </c>
      <c r="S47" s="202">
        <v>1.260354468582243</v>
      </c>
      <c r="T47" s="202">
        <v>-0.28377341904067038</v>
      </c>
      <c r="U47" s="202">
        <v>1.7226748041300828</v>
      </c>
      <c r="V47" s="202">
        <v>-0.2962570052279922</v>
      </c>
      <c r="W47" s="202">
        <v>-0.51843413971865926</v>
      </c>
      <c r="X47" s="202">
        <v>0.97019610514996846</v>
      </c>
      <c r="Y47" s="202">
        <v>-0.41465582562067216</v>
      </c>
      <c r="Z47" s="202">
        <v>-0.35726617640605246</v>
      </c>
      <c r="AA47" s="202">
        <v>3.9688732751519651</v>
      </c>
      <c r="AB47" s="202">
        <v>0</v>
      </c>
      <c r="AC47" s="202"/>
      <c r="AD47" s="202"/>
      <c r="AE47" s="202"/>
      <c r="AF47" s="222"/>
      <c r="AG47" s="222"/>
      <c r="AH47" s="222"/>
      <c r="AI47" s="222"/>
      <c r="AJ47" s="222"/>
      <c r="AK47" s="222"/>
      <c r="AL47" s="222"/>
      <c r="AM47" s="222"/>
      <c r="AN47" s="222"/>
      <c r="AO47" s="222"/>
      <c r="AP47" s="222"/>
      <c r="AQ47" s="222"/>
      <c r="AR47" s="222"/>
      <c r="AS47" s="222"/>
      <c r="AT47" s="222"/>
      <c r="AU47" s="222"/>
      <c r="AV47" s="222"/>
      <c r="AW47" s="222"/>
      <c r="AX47" s="222"/>
      <c r="AY47" s="222"/>
      <c r="AZ47" s="222"/>
      <c r="BA47" s="222"/>
      <c r="BB47" s="222"/>
      <c r="BC47" s="222"/>
      <c r="BD47" s="222"/>
      <c r="BE47" s="222"/>
      <c r="BF47" s="222"/>
      <c r="BG47" s="222"/>
      <c r="BH47" s="222"/>
      <c r="BI47" s="222"/>
      <c r="BJ47" s="222"/>
      <c r="BK47" s="222"/>
      <c r="BL47" s="222"/>
      <c r="BM47" s="222"/>
      <c r="BN47" s="222"/>
      <c r="BO47" s="222"/>
      <c r="BP47" s="222"/>
      <c r="BQ47" s="222"/>
      <c r="BR47" s="222"/>
      <c r="BS47" s="222"/>
      <c r="BT47" s="222"/>
      <c r="BU47" s="223"/>
      <c r="BV47" s="223"/>
      <c r="BW47" s="223"/>
      <c r="BX47" s="217"/>
      <c r="BY47" s="217"/>
      <c r="BZ47" s="217"/>
      <c r="CA47" s="217"/>
      <c r="CB47" s="217"/>
      <c r="CC47" s="217"/>
      <c r="CD47" s="217"/>
      <c r="CE47" s="217"/>
      <c r="CF47" s="217"/>
      <c r="CG47" s="217"/>
      <c r="CH47" s="217"/>
      <c r="CI47" s="217"/>
      <c r="CJ47" s="217"/>
      <c r="CK47" s="217"/>
      <c r="CL47" s="217"/>
      <c r="CM47" s="217"/>
      <c r="CN47" s="217"/>
      <c r="CO47" s="217"/>
      <c r="CP47" s="217"/>
      <c r="CQ47" s="217"/>
      <c r="CR47" s="217"/>
      <c r="CS47" s="217"/>
      <c r="CT47" s="217"/>
      <c r="CU47" s="217"/>
      <c r="CV47" s="217"/>
      <c r="CW47" s="217"/>
      <c r="CX47" s="217"/>
      <c r="CY47" s="217"/>
      <c r="CZ47" s="217"/>
      <c r="DA47" s="217"/>
      <c r="DB47" s="217"/>
      <c r="DC47" s="217"/>
      <c r="DD47" s="217"/>
      <c r="DE47" s="217"/>
      <c r="DF47" s="217"/>
      <c r="DG47" s="217"/>
      <c r="DH47" s="217"/>
      <c r="DI47" s="217"/>
      <c r="DJ47" s="217"/>
      <c r="DK47" s="217"/>
      <c r="DL47" s="217"/>
      <c r="DM47" s="217"/>
      <c r="DN47" s="217"/>
      <c r="DO47" s="217"/>
      <c r="DP47" s="217"/>
      <c r="DQ47" s="217"/>
      <c r="DR47" s="217"/>
      <c r="DS47" s="217"/>
      <c r="DT47" s="217"/>
      <c r="DU47" s="217"/>
      <c r="DV47" s="217"/>
      <c r="DW47" s="217"/>
      <c r="DX47" s="217"/>
      <c r="DY47" s="217"/>
      <c r="DZ47" s="217"/>
      <c r="EA47" s="217"/>
      <c r="EB47" s="217"/>
      <c r="EC47" s="217"/>
      <c r="ED47" s="217"/>
      <c r="EE47" s="217"/>
      <c r="EF47" s="217"/>
      <c r="EG47" s="217"/>
      <c r="EH47" s="217"/>
      <c r="EI47" s="217"/>
      <c r="EJ47" s="217"/>
      <c r="EK47" s="217"/>
      <c r="EL47" s="217"/>
      <c r="EM47" s="217"/>
      <c r="EN47" s="217"/>
      <c r="EO47" s="217"/>
      <c r="EP47" s="217"/>
      <c r="EQ47" s="217"/>
      <c r="ER47" s="217"/>
      <c r="ES47" s="217"/>
      <c r="ET47" s="218"/>
      <c r="EU47" s="218"/>
      <c r="EV47" s="218"/>
      <c r="EW47" s="218"/>
      <c r="EX47" s="218"/>
      <c r="EY47" s="218"/>
    </row>
    <row r="48" spans="2:155" ht="15" customHeight="1" x14ac:dyDescent="0.3">
      <c r="B48" s="199">
        <v>42</v>
      </c>
      <c r="C48" s="1893" t="s">
        <v>158</v>
      </c>
      <c r="D48" s="199">
        <v>42</v>
      </c>
      <c r="E48" s="1436">
        <f>'NORTH-1'!$N$1109</f>
        <v>-100</v>
      </c>
      <c r="F48" s="1874">
        <v>-0.87194042892131396</v>
      </c>
      <c r="G48" s="1874">
        <v>0.23041440090007959</v>
      </c>
      <c r="H48" s="1874">
        <v>0.38310002545175298</v>
      </c>
      <c r="I48" s="1874">
        <v>0.10765888274815437</v>
      </c>
      <c r="J48" s="1874">
        <v>0.41729559781572539</v>
      </c>
      <c r="K48" s="1874">
        <v>0.18395510331939019</v>
      </c>
      <c r="L48" s="224">
        <v>0.10353468191133869</v>
      </c>
      <c r="M48" s="224">
        <v>0.12775893211154676</v>
      </c>
      <c r="N48" s="224">
        <v>0.72538860103629865</v>
      </c>
      <c r="O48" s="225">
        <v>-0.12475494564252944</v>
      </c>
      <c r="P48" s="225">
        <v>-9.9075297225891673E-2</v>
      </c>
      <c r="Q48" s="225">
        <v>0.34864643150123054</v>
      </c>
      <c r="R48" s="226">
        <v>-25.207468879668049</v>
      </c>
      <c r="S48" s="222"/>
      <c r="T48" s="222"/>
      <c r="U48" s="222"/>
      <c r="V48" s="222"/>
      <c r="W48" s="222"/>
      <c r="X48" s="222"/>
      <c r="Y48" s="222"/>
      <c r="Z48" s="222"/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2"/>
      <c r="AL48" s="222"/>
      <c r="AM48" s="222"/>
      <c r="AN48" s="222"/>
      <c r="AO48" s="222"/>
      <c r="AP48" s="222"/>
      <c r="AQ48" s="222"/>
      <c r="AR48" s="222"/>
      <c r="AS48" s="222"/>
      <c r="AT48" s="222"/>
      <c r="AU48" s="222"/>
      <c r="AV48" s="222"/>
      <c r="AW48" s="222"/>
      <c r="AX48" s="222"/>
      <c r="AY48" s="222"/>
      <c r="AZ48" s="222"/>
      <c r="BA48" s="222"/>
      <c r="BB48" s="222"/>
      <c r="BC48" s="222"/>
      <c r="BD48" s="222"/>
      <c r="BE48" s="222"/>
      <c r="BF48" s="222"/>
      <c r="BG48" s="222"/>
      <c r="BH48" s="222"/>
      <c r="BI48" s="222"/>
      <c r="BJ48" s="222"/>
      <c r="BK48" s="222"/>
      <c r="BL48" s="222"/>
      <c r="BM48" s="222"/>
      <c r="BN48" s="222"/>
      <c r="BO48" s="222"/>
      <c r="BP48" s="222"/>
      <c r="BQ48" s="222"/>
      <c r="BR48" s="222"/>
      <c r="BS48" s="222"/>
      <c r="BT48" s="222"/>
      <c r="BU48" s="223"/>
      <c r="BV48" s="223"/>
      <c r="BW48" s="223"/>
      <c r="BX48" s="217"/>
      <c r="BY48" s="217"/>
      <c r="BZ48" s="217"/>
      <c r="CA48" s="217"/>
      <c r="CB48" s="217"/>
      <c r="CC48" s="217"/>
      <c r="CD48" s="217"/>
      <c r="CE48" s="217"/>
      <c r="CF48" s="217"/>
      <c r="CG48" s="217"/>
      <c r="CH48" s="217"/>
      <c r="CI48" s="217"/>
      <c r="CJ48" s="217"/>
      <c r="CK48" s="217"/>
      <c r="CL48" s="217"/>
      <c r="CM48" s="217"/>
      <c r="CN48" s="217"/>
      <c r="CO48" s="217"/>
      <c r="CP48" s="217"/>
      <c r="CQ48" s="217"/>
      <c r="CR48" s="217"/>
      <c r="CS48" s="217"/>
      <c r="CT48" s="217"/>
      <c r="CU48" s="217"/>
      <c r="CV48" s="217"/>
      <c r="CW48" s="217"/>
      <c r="CX48" s="217"/>
      <c r="CY48" s="217"/>
      <c r="CZ48" s="217"/>
      <c r="DA48" s="217"/>
      <c r="DB48" s="217"/>
      <c r="DC48" s="217"/>
      <c r="DD48" s="217"/>
      <c r="DE48" s="217"/>
      <c r="DF48" s="217"/>
      <c r="DG48" s="217"/>
      <c r="DH48" s="217"/>
      <c r="DI48" s="217"/>
      <c r="DJ48" s="217"/>
      <c r="DK48" s="217"/>
      <c r="DL48" s="217"/>
      <c r="DM48" s="217"/>
      <c r="DN48" s="217"/>
      <c r="DO48" s="217"/>
      <c r="DP48" s="217"/>
      <c r="DQ48" s="217"/>
      <c r="DR48" s="217"/>
      <c r="DS48" s="217"/>
      <c r="DT48" s="217"/>
      <c r="DU48" s="217"/>
      <c r="DV48" s="217"/>
      <c r="DW48" s="217"/>
      <c r="DX48" s="217"/>
      <c r="DY48" s="217"/>
      <c r="DZ48" s="217"/>
      <c r="EA48" s="217"/>
      <c r="EB48" s="217"/>
      <c r="EC48" s="217"/>
      <c r="ED48" s="217"/>
      <c r="EE48" s="217"/>
      <c r="EF48" s="217"/>
      <c r="EG48" s="217"/>
      <c r="EH48" s="217"/>
      <c r="EI48" s="217"/>
      <c r="EJ48" s="217"/>
      <c r="EK48" s="217"/>
      <c r="EL48" s="217"/>
      <c r="EM48" s="217"/>
      <c r="EN48" s="217"/>
      <c r="EO48" s="217"/>
      <c r="EP48" s="217"/>
      <c r="EQ48" s="217"/>
      <c r="ER48" s="217"/>
      <c r="ES48" s="217"/>
      <c r="ET48" s="218"/>
      <c r="EU48" s="218"/>
      <c r="EV48" s="218"/>
      <c r="EW48" s="218"/>
      <c r="EX48" s="218"/>
      <c r="EY48" s="218"/>
    </row>
    <row r="49" spans="2:180" ht="15" customHeight="1" x14ac:dyDescent="0.25">
      <c r="B49" s="199">
        <v>43</v>
      </c>
      <c r="C49" s="1912" t="s">
        <v>159</v>
      </c>
      <c r="D49" s="199">
        <v>43</v>
      </c>
      <c r="E49" s="224">
        <f>'NORTH-1'!$N$1148</f>
        <v>-100</v>
      </c>
      <c r="F49" s="1874">
        <v>-5.6601410804210252E-2</v>
      </c>
      <c r="G49" s="1874">
        <v>0.457395678961458</v>
      </c>
      <c r="H49" s="1874">
        <v>0.76157451139069976</v>
      </c>
      <c r="I49" s="1874">
        <v>0.30374569217369141</v>
      </c>
      <c r="J49" s="1874">
        <v>1.5348298913633814E-2</v>
      </c>
      <c r="K49" s="1874">
        <v>0.22961185473684273</v>
      </c>
      <c r="L49" s="224">
        <v>8.3476360754224127E-2</v>
      </c>
      <c r="M49" s="224">
        <v>0.65080334709902432</v>
      </c>
      <c r="N49" s="224">
        <v>1.155000096608898</v>
      </c>
      <c r="O49" s="225">
        <v>0.43669153340317723</v>
      </c>
      <c r="P49" s="225">
        <v>0.24613439420937627</v>
      </c>
      <c r="Q49" s="225">
        <v>0.29421364146549561</v>
      </c>
      <c r="R49" s="225">
        <v>0.48459995629017349</v>
      </c>
      <c r="S49" s="222"/>
      <c r="T49" s="222"/>
      <c r="U49" s="222"/>
      <c r="V49" s="222"/>
      <c r="W49" s="222"/>
      <c r="X49" s="222"/>
      <c r="Y49" s="222"/>
      <c r="Z49" s="222"/>
      <c r="AA49" s="222"/>
      <c r="AB49" s="222"/>
      <c r="AC49" s="222"/>
      <c r="AD49" s="222"/>
      <c r="AE49" s="222"/>
      <c r="AF49" s="222"/>
      <c r="AG49" s="222"/>
      <c r="AH49" s="222"/>
      <c r="AI49" s="222"/>
      <c r="AJ49" s="222"/>
      <c r="AK49" s="222"/>
      <c r="AL49" s="222"/>
      <c r="AM49" s="222"/>
      <c r="AN49" s="222"/>
      <c r="AO49" s="222"/>
      <c r="AP49" s="222"/>
      <c r="AQ49" s="222"/>
      <c r="AR49" s="222"/>
      <c r="AS49" s="222"/>
      <c r="AT49" s="222"/>
      <c r="AU49" s="222"/>
      <c r="AV49" s="222"/>
      <c r="AW49" s="222"/>
      <c r="AX49" s="222"/>
      <c r="AY49" s="222"/>
      <c r="AZ49" s="222"/>
      <c r="BA49" s="222"/>
      <c r="BB49" s="222"/>
      <c r="BC49" s="222"/>
      <c r="BD49" s="222"/>
      <c r="BE49" s="222"/>
      <c r="BF49" s="222"/>
      <c r="BG49" s="222"/>
      <c r="BH49" s="222"/>
      <c r="BI49" s="222"/>
      <c r="BJ49" s="222"/>
      <c r="BK49" s="222"/>
      <c r="BL49" s="222"/>
      <c r="BM49" s="222"/>
      <c r="BN49" s="222"/>
      <c r="BO49" s="222"/>
      <c r="BP49" s="222"/>
      <c r="BQ49" s="222"/>
      <c r="BR49" s="222"/>
      <c r="BS49" s="222"/>
      <c r="BT49" s="222"/>
      <c r="BU49" s="223"/>
      <c r="BV49" s="223"/>
      <c r="BW49" s="223"/>
      <c r="BX49" s="217"/>
      <c r="BY49" s="217"/>
      <c r="BZ49" s="217"/>
      <c r="CA49" s="217"/>
      <c r="CB49" s="217"/>
      <c r="CC49" s="217"/>
      <c r="CD49" s="217"/>
      <c r="CE49" s="217"/>
      <c r="CF49" s="217"/>
      <c r="CG49" s="217"/>
      <c r="CH49" s="217"/>
      <c r="CI49" s="217"/>
      <c r="CJ49" s="217"/>
      <c r="CK49" s="217"/>
      <c r="CL49" s="217"/>
      <c r="CM49" s="217"/>
      <c r="CN49" s="217"/>
      <c r="CO49" s="217"/>
      <c r="CP49" s="217"/>
      <c r="CQ49" s="217"/>
      <c r="CR49" s="217"/>
      <c r="CS49" s="217"/>
      <c r="CT49" s="217"/>
      <c r="CU49" s="217"/>
      <c r="CV49" s="217"/>
      <c r="CW49" s="217"/>
      <c r="CX49" s="217"/>
      <c r="CY49" s="217"/>
      <c r="CZ49" s="217"/>
      <c r="DA49" s="217"/>
      <c r="DB49" s="217"/>
      <c r="DC49" s="217"/>
      <c r="DD49" s="217"/>
      <c r="DE49" s="217"/>
      <c r="DF49" s="217"/>
      <c r="DG49" s="217"/>
      <c r="DH49" s="217"/>
      <c r="DI49" s="217"/>
      <c r="DJ49" s="217"/>
      <c r="DK49" s="217"/>
      <c r="DL49" s="217"/>
      <c r="DM49" s="217"/>
      <c r="DN49" s="217"/>
      <c r="DO49" s="217"/>
      <c r="DP49" s="217"/>
      <c r="DQ49" s="217"/>
      <c r="DR49" s="217"/>
      <c r="DS49" s="217"/>
      <c r="DT49" s="217"/>
      <c r="DU49" s="217"/>
      <c r="DV49" s="217"/>
      <c r="DW49" s="217"/>
      <c r="DX49" s="217"/>
      <c r="DY49" s="217"/>
      <c r="DZ49" s="217"/>
      <c r="EA49" s="217"/>
      <c r="EB49" s="217"/>
      <c r="EC49" s="217"/>
      <c r="ED49" s="217"/>
      <c r="EE49" s="217"/>
      <c r="EF49" s="217"/>
      <c r="EG49" s="217"/>
      <c r="EH49" s="217"/>
      <c r="EI49" s="217"/>
      <c r="EJ49" s="217"/>
      <c r="EK49" s="217"/>
      <c r="EL49" s="217"/>
      <c r="EM49" s="217"/>
      <c r="EN49" s="217"/>
      <c r="EO49" s="217"/>
      <c r="EP49" s="217"/>
      <c r="EQ49" s="217"/>
      <c r="ER49" s="217"/>
      <c r="ES49" s="217"/>
      <c r="ET49" s="218"/>
      <c r="EU49" s="218"/>
      <c r="EV49" s="218"/>
      <c r="EW49" s="218"/>
      <c r="EX49" s="218"/>
      <c r="EY49" s="218"/>
    </row>
    <row r="50" spans="2:180" s="1872" customFormat="1" ht="15" customHeight="1" x14ac:dyDescent="0.35">
      <c r="B50" s="1873">
        <v>44</v>
      </c>
      <c r="C50" s="1897" t="s">
        <v>4612</v>
      </c>
      <c r="D50" s="1873"/>
      <c r="E50" s="1874">
        <f>'[2]NORTH '!S2616</f>
        <v>1.2831376766663276</v>
      </c>
      <c r="F50" s="1874">
        <v>0.86747654299400689</v>
      </c>
      <c r="G50" s="1874">
        <v>1.7954865640692388</v>
      </c>
      <c r="H50" s="1874">
        <v>-0.16199827229929445</v>
      </c>
      <c r="I50" s="1874">
        <v>3.7374393328320461</v>
      </c>
      <c r="J50" s="1875"/>
      <c r="K50" s="1875"/>
      <c r="L50" s="1874">
        <v>0.86747654299400689</v>
      </c>
      <c r="M50" s="1874">
        <v>1.7954865640692388</v>
      </c>
      <c r="N50" s="1874">
        <v>-0.16199827229929445</v>
      </c>
      <c r="O50" s="1874">
        <v>3.7374393328320461</v>
      </c>
      <c r="P50" s="1875"/>
      <c r="Q50" s="1875"/>
      <c r="R50" s="1875"/>
      <c r="S50" s="1875"/>
      <c r="T50" s="1875"/>
      <c r="U50" s="1875"/>
      <c r="V50" s="1876"/>
      <c r="W50" s="1876"/>
      <c r="X50" s="1876"/>
      <c r="Y50" s="1877"/>
      <c r="Z50" s="1877"/>
      <c r="AA50" s="1877"/>
      <c r="AB50" s="1877"/>
      <c r="AC50" s="1877"/>
      <c r="AD50" s="1877"/>
      <c r="AE50" s="1877"/>
      <c r="AF50" s="1877"/>
      <c r="AG50" s="1877"/>
      <c r="AH50" s="1877"/>
      <c r="AI50" s="1877"/>
      <c r="AJ50" s="1877"/>
      <c r="AK50" s="1877"/>
      <c r="AL50" s="1877"/>
      <c r="AM50" s="1877"/>
      <c r="AN50" s="1877"/>
      <c r="AO50" s="1877"/>
      <c r="AP50" s="1877"/>
      <c r="AQ50" s="1877"/>
      <c r="AR50" s="1877"/>
      <c r="AS50" s="1877"/>
      <c r="AT50" s="1877"/>
      <c r="AU50" s="1877"/>
      <c r="AV50" s="1877"/>
      <c r="AW50" s="1877"/>
      <c r="AX50" s="1877"/>
      <c r="AY50" s="1877"/>
      <c r="AZ50" s="1877"/>
      <c r="BA50" s="1877"/>
      <c r="BB50" s="1877"/>
      <c r="BC50" s="1877"/>
      <c r="BD50" s="1877"/>
      <c r="BE50" s="1877"/>
      <c r="BF50" s="1877"/>
      <c r="BG50" s="1877"/>
      <c r="BH50" s="1877"/>
      <c r="BI50" s="1877"/>
      <c r="BJ50" s="1877"/>
      <c r="BK50" s="1877"/>
      <c r="BL50" s="1877"/>
      <c r="BM50" s="1877"/>
      <c r="BN50" s="1877"/>
      <c r="BO50" s="1877"/>
      <c r="BP50" s="1877"/>
      <c r="BQ50" s="1877"/>
      <c r="BR50" s="1877"/>
      <c r="BS50" s="1877"/>
      <c r="BT50" s="1877"/>
      <c r="BU50" s="1877"/>
      <c r="BV50" s="1877"/>
      <c r="BW50" s="1877"/>
      <c r="BX50" s="1877"/>
      <c r="BY50" s="1877"/>
      <c r="BZ50" s="1877"/>
      <c r="CA50" s="1878"/>
      <c r="CB50" s="1878"/>
      <c r="CC50" s="1878"/>
      <c r="CD50" s="1879"/>
      <c r="CE50" s="1879"/>
      <c r="CF50" s="1879"/>
      <c r="CG50" s="1879"/>
      <c r="CH50" s="1879"/>
      <c r="CI50" s="1879"/>
      <c r="CJ50" s="1879"/>
      <c r="CK50" s="1879"/>
      <c r="CL50" s="1879"/>
      <c r="CM50" s="1879"/>
      <c r="CN50" s="1879"/>
      <c r="CO50" s="1879"/>
      <c r="CP50" s="1879"/>
      <c r="CQ50" s="1879"/>
      <c r="CR50" s="1879"/>
      <c r="CS50" s="1879"/>
      <c r="CT50" s="1879"/>
      <c r="CU50" s="1879"/>
      <c r="CV50" s="1879"/>
      <c r="CW50" s="1879"/>
      <c r="CX50" s="1879"/>
      <c r="CY50" s="1879"/>
      <c r="CZ50" s="1879"/>
      <c r="DA50" s="1879"/>
      <c r="DB50" s="1879"/>
      <c r="DC50" s="1879"/>
      <c r="DD50" s="1879"/>
      <c r="DE50" s="1879"/>
      <c r="DF50" s="1879"/>
      <c r="DG50" s="1879"/>
      <c r="DH50" s="1879"/>
      <c r="DI50" s="1880"/>
      <c r="DJ50" s="1880"/>
      <c r="DK50" s="1880"/>
      <c r="DL50" s="1880"/>
      <c r="DM50" s="1880"/>
      <c r="DN50" s="1880"/>
      <c r="DO50" s="1880"/>
      <c r="DP50" s="1880"/>
      <c r="DQ50" s="1880"/>
      <c r="DR50" s="1880"/>
      <c r="DS50" s="1880"/>
      <c r="DT50" s="1880"/>
      <c r="DU50" s="1880"/>
      <c r="DV50" s="1880"/>
      <c r="DW50" s="1880"/>
      <c r="DX50" s="1880"/>
      <c r="DY50" s="1880"/>
      <c r="DZ50" s="1880"/>
      <c r="EA50" s="1880"/>
      <c r="EB50" s="1880"/>
      <c r="EC50" s="1880"/>
      <c r="ED50" s="1880"/>
      <c r="EE50" s="1880"/>
      <c r="EF50" s="1880"/>
      <c r="EG50" s="1880"/>
      <c r="EH50" s="1880"/>
      <c r="EI50" s="1880"/>
      <c r="EJ50" s="1880"/>
      <c r="EK50" s="1880"/>
      <c r="EL50" s="1880"/>
      <c r="EM50" s="1880"/>
      <c r="EN50" s="1880"/>
      <c r="EO50" s="1880"/>
      <c r="EP50" s="1880"/>
      <c r="EQ50" s="1880"/>
      <c r="ER50" s="1880"/>
      <c r="ES50" s="1880"/>
      <c r="ET50" s="1880"/>
      <c r="EU50" s="1880"/>
      <c r="EV50" s="1880"/>
      <c r="EW50" s="1880"/>
      <c r="EX50" s="1880"/>
      <c r="EY50" s="1880"/>
      <c r="EZ50" s="1881"/>
      <c r="FA50" s="1881"/>
      <c r="FB50" s="1881"/>
      <c r="FC50" s="1881"/>
      <c r="FD50" s="1881"/>
      <c r="FE50" s="1881"/>
      <c r="FF50" s="1882"/>
      <c r="FG50" s="1882"/>
      <c r="FH50" s="1882"/>
      <c r="FI50" s="1882"/>
      <c r="FJ50" s="1882"/>
      <c r="FK50" s="1882"/>
      <c r="FL50" s="1882"/>
      <c r="FM50" s="1882"/>
      <c r="FN50" s="1882"/>
      <c r="FO50" s="1882"/>
      <c r="FP50" s="1882"/>
      <c r="FQ50" s="1882"/>
      <c r="FR50" s="1882"/>
      <c r="FS50" s="1882"/>
      <c r="FT50" s="1882"/>
      <c r="FU50" s="1882"/>
      <c r="FV50" s="1882"/>
      <c r="FW50" s="1882"/>
      <c r="FX50" s="1882"/>
    </row>
    <row r="51" spans="2:180" s="1872" customFormat="1" ht="15" customHeight="1" x14ac:dyDescent="0.35">
      <c r="B51" s="1873">
        <v>44</v>
      </c>
      <c r="C51" s="1897" t="s">
        <v>4613</v>
      </c>
      <c r="D51" s="1873"/>
      <c r="E51" s="1874">
        <f>'[2]NORTH '!$S$2652</f>
        <v>0.64068291432701741</v>
      </c>
      <c r="F51" s="1875">
        <v>0</v>
      </c>
      <c r="G51" s="1875">
        <v>1.7954865640692388</v>
      </c>
      <c r="H51" s="1875"/>
      <c r="I51" s="1875"/>
      <c r="J51" s="1875"/>
      <c r="K51" s="1875"/>
      <c r="L51" s="1875">
        <v>0</v>
      </c>
      <c r="M51" s="1875">
        <v>1.7954865640692388</v>
      </c>
      <c r="N51" s="1875"/>
      <c r="O51" s="1875"/>
      <c r="P51" s="1875"/>
      <c r="Q51" s="1875"/>
      <c r="R51" s="1875"/>
      <c r="S51" s="1875"/>
      <c r="T51" s="1875"/>
      <c r="U51" s="1875"/>
      <c r="V51" s="1876"/>
      <c r="W51" s="1876"/>
      <c r="X51" s="1876"/>
      <c r="Y51" s="1877"/>
      <c r="Z51" s="1877"/>
      <c r="AA51" s="1877"/>
      <c r="AB51" s="1877"/>
      <c r="AC51" s="1877"/>
      <c r="AD51" s="1877"/>
      <c r="AE51" s="1877"/>
      <c r="AF51" s="1877"/>
      <c r="AG51" s="1877"/>
      <c r="AH51" s="1877"/>
      <c r="AI51" s="1877"/>
      <c r="AJ51" s="1877"/>
      <c r="AK51" s="1877"/>
      <c r="AL51" s="1877"/>
      <c r="AM51" s="1877"/>
      <c r="AN51" s="1877"/>
      <c r="AO51" s="1877"/>
      <c r="AP51" s="1877"/>
      <c r="AQ51" s="1877"/>
      <c r="AR51" s="1877"/>
      <c r="AS51" s="1877"/>
      <c r="AT51" s="1877"/>
      <c r="AU51" s="1877"/>
      <c r="AV51" s="1877"/>
      <c r="AW51" s="1877"/>
      <c r="AX51" s="1877"/>
      <c r="AY51" s="1877"/>
      <c r="AZ51" s="1877"/>
      <c r="BA51" s="1877"/>
      <c r="BB51" s="1877"/>
      <c r="BC51" s="1877"/>
      <c r="BD51" s="1877"/>
      <c r="BE51" s="1877"/>
      <c r="BF51" s="1877"/>
      <c r="BG51" s="1877"/>
      <c r="BH51" s="1877"/>
      <c r="BI51" s="1877"/>
      <c r="BJ51" s="1877"/>
      <c r="BK51" s="1877"/>
      <c r="BL51" s="1877"/>
      <c r="BM51" s="1877"/>
      <c r="BN51" s="1877"/>
      <c r="BO51" s="1877"/>
      <c r="BP51" s="1877"/>
      <c r="BQ51" s="1877"/>
      <c r="BR51" s="1877"/>
      <c r="BS51" s="1877"/>
      <c r="BT51" s="1877"/>
      <c r="BU51" s="1877"/>
      <c r="BV51" s="1877"/>
      <c r="BW51" s="1877"/>
      <c r="BX51" s="1877"/>
      <c r="BY51" s="1877"/>
      <c r="BZ51" s="1877"/>
      <c r="CA51" s="1878"/>
      <c r="CB51" s="1878"/>
      <c r="CC51" s="1878"/>
      <c r="CD51" s="1879"/>
      <c r="CE51" s="1879"/>
      <c r="CF51" s="1879"/>
      <c r="CG51" s="1879"/>
      <c r="CH51" s="1879"/>
      <c r="CI51" s="1879"/>
      <c r="CJ51" s="1879"/>
      <c r="CK51" s="1879"/>
      <c r="CL51" s="1879"/>
      <c r="CM51" s="1879"/>
      <c r="CN51" s="1879"/>
      <c r="CO51" s="1879"/>
      <c r="CP51" s="1879"/>
      <c r="CQ51" s="1879"/>
      <c r="CR51" s="1879"/>
      <c r="CS51" s="1879"/>
      <c r="CT51" s="1879"/>
      <c r="CU51" s="1879"/>
      <c r="CV51" s="1879"/>
      <c r="CW51" s="1879"/>
      <c r="CX51" s="1879"/>
      <c r="CY51" s="1879"/>
      <c r="CZ51" s="1879"/>
      <c r="DA51" s="1879"/>
      <c r="DB51" s="1879"/>
      <c r="DC51" s="1879"/>
      <c r="DD51" s="1879"/>
      <c r="DE51" s="1879"/>
      <c r="DF51" s="1879"/>
      <c r="DG51" s="1879"/>
      <c r="DH51" s="1879"/>
      <c r="DI51" s="1880"/>
      <c r="DJ51" s="1880"/>
      <c r="DK51" s="1880"/>
      <c r="DL51" s="1880"/>
      <c r="DM51" s="1880"/>
      <c r="DN51" s="1880"/>
      <c r="DO51" s="1880"/>
      <c r="DP51" s="1880"/>
      <c r="DQ51" s="1880"/>
      <c r="DR51" s="1880"/>
      <c r="DS51" s="1880"/>
      <c r="DT51" s="1880"/>
      <c r="DU51" s="1880"/>
      <c r="DV51" s="1880"/>
      <c r="DW51" s="1880"/>
      <c r="DX51" s="1880"/>
      <c r="DY51" s="1880"/>
      <c r="DZ51" s="1880"/>
      <c r="EA51" s="1880"/>
      <c r="EB51" s="1880"/>
      <c r="EC51" s="1880"/>
      <c r="ED51" s="1880"/>
      <c r="EE51" s="1880"/>
      <c r="EF51" s="1880"/>
      <c r="EG51" s="1880"/>
      <c r="EH51" s="1880"/>
      <c r="EI51" s="1880"/>
      <c r="EJ51" s="1880"/>
      <c r="EK51" s="1880"/>
      <c r="EL51" s="1880"/>
      <c r="EM51" s="1880"/>
      <c r="EN51" s="1880"/>
      <c r="EO51" s="1880"/>
      <c r="EP51" s="1880"/>
      <c r="EQ51" s="1880"/>
      <c r="ER51" s="1880"/>
      <c r="ES51" s="1880"/>
      <c r="ET51" s="1880"/>
      <c r="EU51" s="1880"/>
      <c r="EV51" s="1880"/>
      <c r="EW51" s="1880"/>
      <c r="EX51" s="1880"/>
      <c r="EY51" s="1880"/>
      <c r="EZ51" s="1881"/>
      <c r="FA51" s="1881"/>
      <c r="FB51" s="1881"/>
      <c r="FC51" s="1881"/>
      <c r="FD51" s="1881"/>
      <c r="FE51" s="1881"/>
      <c r="FF51" s="1882"/>
      <c r="FG51" s="1882"/>
      <c r="FH51" s="1882"/>
      <c r="FI51" s="1882"/>
      <c r="FJ51" s="1882"/>
      <c r="FK51" s="1882"/>
      <c r="FL51" s="1882"/>
      <c r="FM51" s="1882"/>
      <c r="FN51" s="1882"/>
      <c r="FO51" s="1882"/>
      <c r="FP51" s="1882"/>
      <c r="FQ51" s="1882"/>
      <c r="FR51" s="1882"/>
      <c r="FS51" s="1882"/>
      <c r="FT51" s="1882"/>
      <c r="FU51" s="1882"/>
      <c r="FV51" s="1882"/>
      <c r="FW51" s="1882"/>
      <c r="FX51" s="1882"/>
    </row>
    <row r="52" spans="2:180" ht="15" customHeight="1" x14ac:dyDescent="0.25">
      <c r="B52" s="1868"/>
      <c r="C52" s="1869"/>
      <c r="D52" s="1868"/>
      <c r="E52" s="1870"/>
      <c r="F52" s="1891"/>
      <c r="G52" s="1891"/>
      <c r="H52" s="1891"/>
      <c r="I52" s="1891"/>
      <c r="J52" s="1891"/>
      <c r="K52" s="1891"/>
      <c r="L52" s="1870"/>
      <c r="M52" s="1870"/>
      <c r="N52" s="1870"/>
      <c r="O52" s="1871"/>
      <c r="P52" s="1871"/>
      <c r="Q52" s="1871"/>
      <c r="R52" s="1871"/>
      <c r="S52" s="222"/>
      <c r="T52" s="222"/>
      <c r="U52" s="222"/>
      <c r="V52" s="222"/>
      <c r="W52" s="222"/>
      <c r="X52" s="222"/>
      <c r="Y52" s="222"/>
      <c r="Z52" s="222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2"/>
      <c r="AL52" s="222"/>
      <c r="AM52" s="222"/>
      <c r="AN52" s="222"/>
      <c r="AO52" s="222"/>
      <c r="AP52" s="222"/>
      <c r="AQ52" s="222"/>
      <c r="AR52" s="222"/>
      <c r="AS52" s="222"/>
      <c r="AT52" s="222"/>
      <c r="AU52" s="222"/>
      <c r="AV52" s="222"/>
      <c r="AW52" s="222"/>
      <c r="AX52" s="222"/>
      <c r="AY52" s="222"/>
      <c r="AZ52" s="222"/>
      <c r="BA52" s="222"/>
      <c r="BB52" s="222"/>
      <c r="BC52" s="222"/>
      <c r="BD52" s="222"/>
      <c r="BE52" s="222"/>
      <c r="BF52" s="222"/>
      <c r="BG52" s="222"/>
      <c r="BH52" s="222"/>
      <c r="BI52" s="222"/>
      <c r="BJ52" s="222"/>
      <c r="BK52" s="222"/>
      <c r="BL52" s="222"/>
      <c r="BM52" s="222"/>
      <c r="BN52" s="222"/>
      <c r="BO52" s="222"/>
      <c r="BP52" s="222"/>
      <c r="BQ52" s="222"/>
      <c r="BR52" s="222"/>
      <c r="BS52" s="222"/>
      <c r="BT52" s="222"/>
      <c r="BU52" s="223"/>
      <c r="BV52" s="223"/>
      <c r="BW52" s="223"/>
      <c r="BX52" s="217"/>
      <c r="BY52" s="217"/>
      <c r="BZ52" s="217"/>
      <c r="CA52" s="217"/>
      <c r="CB52" s="217"/>
      <c r="CC52" s="217"/>
      <c r="CD52" s="217"/>
      <c r="CE52" s="217"/>
      <c r="CF52" s="217"/>
      <c r="CG52" s="217"/>
      <c r="CH52" s="217"/>
      <c r="CI52" s="217"/>
      <c r="CJ52" s="217"/>
      <c r="CK52" s="217"/>
      <c r="CL52" s="217"/>
      <c r="CM52" s="217"/>
      <c r="CN52" s="217"/>
      <c r="CO52" s="217"/>
      <c r="CP52" s="217"/>
      <c r="CQ52" s="217"/>
      <c r="CR52" s="217"/>
      <c r="CS52" s="217"/>
      <c r="CT52" s="217"/>
      <c r="CU52" s="217"/>
      <c r="CV52" s="217"/>
      <c r="CW52" s="217"/>
      <c r="CX52" s="217"/>
      <c r="CY52" s="217"/>
      <c r="CZ52" s="217"/>
      <c r="DA52" s="217"/>
      <c r="DB52" s="217"/>
      <c r="DC52" s="217"/>
      <c r="DD52" s="217"/>
      <c r="DE52" s="217"/>
      <c r="DF52" s="217"/>
      <c r="DG52" s="217"/>
      <c r="DH52" s="217"/>
      <c r="DI52" s="217"/>
      <c r="DJ52" s="217"/>
      <c r="DK52" s="217"/>
      <c r="DL52" s="217"/>
      <c r="DM52" s="217"/>
      <c r="DN52" s="217"/>
      <c r="DO52" s="217"/>
      <c r="DP52" s="217"/>
      <c r="DQ52" s="217"/>
      <c r="DR52" s="217"/>
      <c r="DS52" s="217"/>
      <c r="DT52" s="217"/>
      <c r="DU52" s="217"/>
      <c r="DV52" s="217"/>
      <c r="DW52" s="217"/>
      <c r="DX52" s="217"/>
      <c r="DY52" s="217"/>
      <c r="DZ52" s="217"/>
      <c r="EA52" s="217"/>
      <c r="EB52" s="217"/>
      <c r="EC52" s="217"/>
      <c r="ED52" s="217"/>
      <c r="EE52" s="217"/>
      <c r="EF52" s="217"/>
      <c r="EG52" s="217"/>
      <c r="EH52" s="217"/>
      <c r="EI52" s="217"/>
      <c r="EJ52" s="217"/>
      <c r="EK52" s="217"/>
      <c r="EL52" s="217"/>
      <c r="EM52" s="217"/>
      <c r="EN52" s="217"/>
      <c r="EO52" s="217"/>
      <c r="EP52" s="217"/>
      <c r="EQ52" s="217"/>
      <c r="ER52" s="217"/>
      <c r="ES52" s="217"/>
      <c r="ET52" s="218"/>
      <c r="EU52" s="218"/>
      <c r="EV52" s="218"/>
      <c r="EW52" s="218"/>
      <c r="EX52" s="218"/>
      <c r="EY52" s="218"/>
    </row>
    <row r="53" spans="2:180" x14ac:dyDescent="0.35">
      <c r="C53" s="172" t="s">
        <v>868</v>
      </c>
      <c r="D53" s="173"/>
      <c r="E53" s="174"/>
      <c r="F53" s="1886"/>
      <c r="G53" s="1886"/>
      <c r="H53" s="1886"/>
      <c r="I53" s="1886"/>
      <c r="J53" s="1886"/>
      <c r="K53" s="1886"/>
      <c r="L53" s="174"/>
      <c r="M53" s="174"/>
      <c r="N53" s="174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227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7"/>
      <c r="EU53" s="177"/>
      <c r="EV53" s="177"/>
      <c r="EW53" s="177"/>
      <c r="EX53" s="177"/>
      <c r="EY53" s="177"/>
      <c r="EZ53" s="177"/>
      <c r="FA53" s="177"/>
      <c r="FB53" s="177"/>
      <c r="FC53" s="177"/>
      <c r="FD53" s="177"/>
      <c r="FE53" s="177"/>
      <c r="FF53" s="177"/>
      <c r="FG53" s="177"/>
      <c r="FH53" s="177"/>
      <c r="FI53" s="177"/>
      <c r="FJ53" s="177"/>
      <c r="FK53" s="177"/>
      <c r="FL53" s="177"/>
      <c r="FM53" s="177"/>
      <c r="FN53" s="177"/>
      <c r="FO53" s="177"/>
    </row>
    <row r="54" spans="2:180" s="198" customFormat="1" ht="39" x14ac:dyDescent="0.2">
      <c r="B54" s="190" t="s">
        <v>0</v>
      </c>
      <c r="C54" s="228" t="s">
        <v>704</v>
      </c>
      <c r="D54" s="191" t="s">
        <v>705</v>
      </c>
      <c r="E54" s="192" t="str">
        <f>E6</f>
        <v>February-2023
% of Loss</v>
      </c>
      <c r="F54" s="1888" t="s">
        <v>4618</v>
      </c>
      <c r="G54" s="1888" t="s">
        <v>4614</v>
      </c>
      <c r="H54" s="1888" t="s">
        <v>4615</v>
      </c>
      <c r="I54" s="1888" t="s">
        <v>4616</v>
      </c>
      <c r="J54" s="1888" t="s">
        <v>4617</v>
      </c>
      <c r="K54" s="1888" t="s">
        <v>706</v>
      </c>
      <c r="L54" s="192" t="s">
        <v>707</v>
      </c>
      <c r="M54" s="192" t="s">
        <v>708</v>
      </c>
      <c r="N54" s="192" t="s">
        <v>709</v>
      </c>
      <c r="O54" s="193" t="s">
        <v>710</v>
      </c>
      <c r="P54" s="193" t="s">
        <v>711</v>
      </c>
      <c r="Q54" s="193" t="s">
        <v>712</v>
      </c>
      <c r="R54" s="193" t="s">
        <v>725</v>
      </c>
      <c r="S54" s="193" t="s">
        <v>714</v>
      </c>
      <c r="T54" s="193" t="s">
        <v>715</v>
      </c>
      <c r="U54" s="193" t="s">
        <v>716</v>
      </c>
      <c r="V54" s="193" t="s">
        <v>717</v>
      </c>
      <c r="W54" s="193" t="s">
        <v>718</v>
      </c>
      <c r="X54" s="193" t="s">
        <v>719</v>
      </c>
      <c r="Y54" s="193" t="s">
        <v>720</v>
      </c>
      <c r="Z54" s="193" t="s">
        <v>721</v>
      </c>
      <c r="AA54" s="193" t="s">
        <v>722</v>
      </c>
      <c r="AB54" s="193" t="s">
        <v>723</v>
      </c>
      <c r="AC54" s="193" t="s">
        <v>724</v>
      </c>
      <c r="AD54" s="193" t="s">
        <v>725</v>
      </c>
      <c r="AE54" s="193" t="s">
        <v>726</v>
      </c>
      <c r="AF54" s="193" t="s">
        <v>727</v>
      </c>
      <c r="AG54" s="193" t="s">
        <v>728</v>
      </c>
      <c r="AH54" s="193" t="s">
        <v>729</v>
      </c>
      <c r="AI54" s="193" t="s">
        <v>730</v>
      </c>
      <c r="AJ54" s="193" t="s">
        <v>731</v>
      </c>
      <c r="AK54" s="193" t="s">
        <v>732</v>
      </c>
      <c r="AL54" s="193" t="s">
        <v>733</v>
      </c>
      <c r="AM54" s="193" t="s">
        <v>734</v>
      </c>
      <c r="AN54" s="193" t="s">
        <v>735</v>
      </c>
      <c r="AO54" s="193" t="s">
        <v>736</v>
      </c>
      <c r="AP54" s="193" t="s">
        <v>737</v>
      </c>
      <c r="AQ54" s="193" t="s">
        <v>738</v>
      </c>
      <c r="AR54" s="193" t="s">
        <v>739</v>
      </c>
      <c r="AS54" s="193" t="s">
        <v>740</v>
      </c>
      <c r="AT54" s="193" t="s">
        <v>741</v>
      </c>
      <c r="AU54" s="193" t="s">
        <v>742</v>
      </c>
      <c r="AV54" s="193" t="s">
        <v>743</v>
      </c>
      <c r="AW54" s="193"/>
      <c r="AX54" s="193" t="s">
        <v>744</v>
      </c>
      <c r="AY54" s="193" t="s">
        <v>745</v>
      </c>
      <c r="AZ54" s="193" t="s">
        <v>746</v>
      </c>
      <c r="BA54" s="193" t="s">
        <v>747</v>
      </c>
      <c r="BB54" s="193" t="s">
        <v>748</v>
      </c>
      <c r="BC54" s="193" t="s">
        <v>749</v>
      </c>
      <c r="BD54" s="193" t="s">
        <v>750</v>
      </c>
      <c r="BE54" s="193" t="s">
        <v>751</v>
      </c>
      <c r="BF54" s="193" t="s">
        <v>752</v>
      </c>
      <c r="BG54" s="193" t="s">
        <v>753</v>
      </c>
      <c r="BH54" s="193" t="s">
        <v>754</v>
      </c>
      <c r="BI54" s="191" t="s">
        <v>869</v>
      </c>
      <c r="BJ54" s="191"/>
      <c r="BK54" s="191" t="s">
        <v>756</v>
      </c>
      <c r="BL54" s="191" t="s">
        <v>757</v>
      </c>
      <c r="BM54" s="191" t="s">
        <v>769</v>
      </c>
      <c r="BN54" s="191" t="s">
        <v>870</v>
      </c>
      <c r="BO54" s="191" t="s">
        <v>760</v>
      </c>
      <c r="BP54" s="191" t="s">
        <v>760</v>
      </c>
      <c r="BQ54" s="191" t="s">
        <v>762</v>
      </c>
      <c r="BR54" s="191" t="s">
        <v>763</v>
      </c>
      <c r="BS54" s="191" t="s">
        <v>764</v>
      </c>
      <c r="BT54" s="191" t="s">
        <v>765</v>
      </c>
      <c r="BU54" s="191" t="s">
        <v>766</v>
      </c>
      <c r="BV54" s="191" t="s">
        <v>767</v>
      </c>
      <c r="BW54" s="191" t="s">
        <v>768</v>
      </c>
      <c r="BX54" s="191" t="s">
        <v>769</v>
      </c>
      <c r="BY54" s="191" t="s">
        <v>770</v>
      </c>
      <c r="BZ54" s="191" t="s">
        <v>771</v>
      </c>
      <c r="CA54" s="191" t="s">
        <v>772</v>
      </c>
      <c r="CB54" s="191" t="s">
        <v>773</v>
      </c>
      <c r="CC54" s="191" t="s">
        <v>774</v>
      </c>
      <c r="CD54" s="191" t="s">
        <v>775</v>
      </c>
      <c r="CE54" s="191" t="s">
        <v>776</v>
      </c>
      <c r="CF54" s="191" t="s">
        <v>777</v>
      </c>
      <c r="CG54" s="191" t="s">
        <v>778</v>
      </c>
      <c r="CH54" s="191" t="s">
        <v>779</v>
      </c>
      <c r="CI54" s="191" t="s">
        <v>780</v>
      </c>
      <c r="CJ54" s="191" t="s">
        <v>781</v>
      </c>
      <c r="CK54" s="191" t="s">
        <v>782</v>
      </c>
      <c r="CL54" s="191" t="s">
        <v>783</v>
      </c>
      <c r="CM54" s="191" t="s">
        <v>784</v>
      </c>
      <c r="CN54" s="191" t="s">
        <v>785</v>
      </c>
      <c r="CO54" s="191" t="s">
        <v>786</v>
      </c>
      <c r="CP54" s="191" t="s">
        <v>787</v>
      </c>
      <c r="CQ54" s="191" t="s">
        <v>788</v>
      </c>
      <c r="CR54" s="191" t="s">
        <v>789</v>
      </c>
      <c r="CS54" s="191" t="s">
        <v>871</v>
      </c>
      <c r="CT54" s="191" t="s">
        <v>791</v>
      </c>
      <c r="CU54" s="191" t="s">
        <v>792</v>
      </c>
      <c r="CV54" s="191" t="str">
        <f>CV6</f>
        <v>March-15 
% of Loss</v>
      </c>
      <c r="CW54" s="191" t="str">
        <f>CW6</f>
        <v>February--15 
% of Loss</v>
      </c>
      <c r="CX54" s="191" t="s">
        <v>795</v>
      </c>
      <c r="CY54" s="191" t="str">
        <f>CY6</f>
        <v>December--14 
% of Loss</v>
      </c>
      <c r="CZ54" s="191" t="s">
        <v>797</v>
      </c>
      <c r="DA54" s="191" t="str">
        <f>DA6</f>
        <v>October--14 
% of Loss</v>
      </c>
      <c r="DB54" s="191" t="str">
        <f>DB6</f>
        <v>Sept--14 
% of Loss</v>
      </c>
      <c r="DC54" s="191" t="s">
        <v>800</v>
      </c>
      <c r="DD54" s="191" t="s">
        <v>801</v>
      </c>
      <c r="DE54" s="191" t="s">
        <v>872</v>
      </c>
      <c r="DF54" s="191" t="str">
        <f>DF6</f>
        <v>April--14 
% of Loss</v>
      </c>
      <c r="DG54" s="191" t="s">
        <v>804</v>
      </c>
      <c r="DH54" s="191" t="s">
        <v>805</v>
      </c>
      <c r="DI54" s="191" t="s">
        <v>806</v>
      </c>
      <c r="DJ54" s="191" t="s">
        <v>807</v>
      </c>
      <c r="DK54" s="191" t="s">
        <v>808</v>
      </c>
      <c r="DL54" s="191" t="s">
        <v>809</v>
      </c>
      <c r="DM54" s="191" t="s">
        <v>810</v>
      </c>
      <c r="DN54" s="191" t="s">
        <v>811</v>
      </c>
      <c r="DO54" s="191" t="s">
        <v>812</v>
      </c>
      <c r="DP54" s="191" t="s">
        <v>813</v>
      </c>
      <c r="DQ54" s="191" t="s">
        <v>814</v>
      </c>
      <c r="DR54" s="191" t="s">
        <v>815</v>
      </c>
      <c r="DS54" s="191" t="s">
        <v>816</v>
      </c>
      <c r="DT54" s="191" t="s">
        <v>817</v>
      </c>
      <c r="DU54" s="191" t="s">
        <v>818</v>
      </c>
      <c r="DV54" s="191" t="s">
        <v>819</v>
      </c>
      <c r="DW54" s="191" t="s">
        <v>820</v>
      </c>
      <c r="DX54" s="191" t="s">
        <v>821</v>
      </c>
      <c r="DY54" s="191" t="s">
        <v>822</v>
      </c>
      <c r="DZ54" s="191" t="s">
        <v>823</v>
      </c>
      <c r="EA54" s="191" t="s">
        <v>824</v>
      </c>
      <c r="EB54" s="191" t="s">
        <v>825</v>
      </c>
      <c r="EC54" s="191" t="s">
        <v>826</v>
      </c>
      <c r="ED54" s="191" t="s">
        <v>827</v>
      </c>
      <c r="EE54" s="195" t="s">
        <v>828</v>
      </c>
      <c r="EF54" s="191" t="s">
        <v>829</v>
      </c>
      <c r="EG54" s="191" t="s">
        <v>830</v>
      </c>
      <c r="EH54" s="191" t="s">
        <v>831</v>
      </c>
      <c r="EI54" s="191" t="s">
        <v>832</v>
      </c>
      <c r="EJ54" s="191" t="str">
        <f>EJ6</f>
        <v>October-11 
% of Loss</v>
      </c>
      <c r="EK54" s="191" t="str">
        <f>EK6</f>
        <v>September-11 
% of Loss</v>
      </c>
      <c r="EL54" s="191" t="s">
        <v>835</v>
      </c>
      <c r="EM54" s="191" t="s">
        <v>836</v>
      </c>
      <c r="EN54" s="191" t="s">
        <v>837</v>
      </c>
      <c r="EO54" s="191" t="s">
        <v>838</v>
      </c>
      <c r="EP54" s="191" t="s">
        <v>873</v>
      </c>
      <c r="EQ54" s="191" t="s">
        <v>840</v>
      </c>
      <c r="ER54" s="191" t="s">
        <v>841</v>
      </c>
      <c r="ES54" s="191" t="str">
        <f>ES6</f>
        <v>January-11 
% of Loss</v>
      </c>
      <c r="ET54" s="196">
        <v>40887</v>
      </c>
      <c r="EU54" s="196">
        <v>40857</v>
      </c>
      <c r="EV54" s="197" t="s">
        <v>843</v>
      </c>
      <c r="EW54" s="197" t="s">
        <v>844</v>
      </c>
      <c r="EX54" s="197" t="str">
        <f>EX6</f>
        <v>July-10  
% of Loss</v>
      </c>
      <c r="EY54" s="197" t="s">
        <v>846</v>
      </c>
      <c r="EZ54" s="197" t="s">
        <v>847</v>
      </c>
      <c r="FA54" s="197" t="str">
        <f>FA6</f>
        <v>April-10  
% of Loss</v>
      </c>
      <c r="FB54" s="197" t="s">
        <v>849</v>
      </c>
      <c r="FC54" s="197" t="s">
        <v>850</v>
      </c>
      <c r="FD54" s="197" t="s">
        <v>851</v>
      </c>
      <c r="FE54" s="197" t="s">
        <v>852</v>
      </c>
      <c r="FF54" s="197" t="s">
        <v>874</v>
      </c>
      <c r="FG54" s="197" t="s">
        <v>875</v>
      </c>
      <c r="FH54" s="197" t="s">
        <v>855</v>
      </c>
      <c r="FI54" s="197" t="s">
        <v>856</v>
      </c>
      <c r="FJ54" s="197" t="str">
        <f>FJ6</f>
        <v>JUly  % of Loss</v>
      </c>
      <c r="FK54" s="197" t="str">
        <f>FK6</f>
        <v>June  % of Loss</v>
      </c>
      <c r="FL54" s="197" t="str">
        <f>FL6</f>
        <v>May  % of Loss</v>
      </c>
      <c r="FM54" s="197" t="str">
        <f>FM6</f>
        <v>April % of Loss</v>
      </c>
      <c r="FN54" s="197" t="str">
        <f>FN6</f>
        <v>March % of Loss</v>
      </c>
      <c r="FO54" s="197" t="s">
        <v>862</v>
      </c>
      <c r="FP54" s="197" t="s">
        <v>863</v>
      </c>
      <c r="FQ54" s="164"/>
      <c r="FR54" s="164"/>
    </row>
    <row r="55" spans="2:180" ht="14" x14ac:dyDescent="0.3">
      <c r="B55" s="229">
        <v>1</v>
      </c>
      <c r="C55" s="1961" t="s">
        <v>160</v>
      </c>
      <c r="D55" s="199">
        <v>1</v>
      </c>
      <c r="E55" s="1436">
        <f>'SOUTH-2'!$N$573</f>
        <v>-100</v>
      </c>
      <c r="F55" s="1890">
        <v>0.34597990120222144</v>
      </c>
      <c r="G55" s="1890">
        <v>0.94782731478626758</v>
      </c>
      <c r="H55" s="1890">
        <v>0.61128175516105954</v>
      </c>
      <c r="I55" s="1890">
        <v>0.80127283495772528</v>
      </c>
      <c r="J55" s="1890">
        <v>1.481645836236255</v>
      </c>
      <c r="K55" s="1890">
        <v>0.15512827303941742</v>
      </c>
      <c r="L55" s="205">
        <v>0.79607261899394854</v>
      </c>
      <c r="M55" s="205">
        <v>1.5973645643602394</v>
      </c>
      <c r="N55" s="205">
        <v>3.9461917673682144E-2</v>
      </c>
      <c r="O55" s="202">
        <v>1.9908268052643527</v>
      </c>
      <c r="P55" s="202">
        <v>0.32998532539823483</v>
      </c>
      <c r="Q55" s="202">
        <v>0.41971563251157384</v>
      </c>
      <c r="R55" s="202">
        <v>0.41512262602873445</v>
      </c>
      <c r="S55" s="202">
        <v>0.23228424973766559</v>
      </c>
      <c r="T55" s="202">
        <v>-5.0862456746312817E-2</v>
      </c>
      <c r="U55" s="202">
        <v>0.84208286790421172</v>
      </c>
      <c r="V55" s="202">
        <v>1.2767214191937275</v>
      </c>
      <c r="W55" s="202">
        <v>1.8661923961944877</v>
      </c>
      <c r="X55" s="202">
        <v>2.2373290497786922</v>
      </c>
      <c r="Y55" s="202">
        <v>1.7013725194454317</v>
      </c>
      <c r="Z55" s="202">
        <v>3.1481045310268509</v>
      </c>
      <c r="AA55" s="202">
        <v>-0.14433119823301213</v>
      </c>
      <c r="AB55" s="202">
        <v>2.6879698330550599</v>
      </c>
      <c r="AC55" s="202">
        <v>0.55000000000000004</v>
      </c>
      <c r="AD55" s="202">
        <v>1.8403543132721623</v>
      </c>
      <c r="AE55" s="202">
        <v>1.3332407281915957</v>
      </c>
      <c r="AF55" s="202">
        <v>-0.84549386067636711</v>
      </c>
      <c r="AG55" s="202">
        <v>2.1869593625090524</v>
      </c>
      <c r="AH55" s="202">
        <v>2.485480572985844</v>
      </c>
      <c r="AI55" s="202">
        <v>1.0176327555680558</v>
      </c>
      <c r="AJ55" s="202">
        <v>0.22897244897982444</v>
      </c>
      <c r="AK55" s="202">
        <v>2.2719891383314739</v>
      </c>
      <c r="AL55" s="202">
        <v>0.31549234793584124</v>
      </c>
      <c r="AM55" s="202">
        <v>0.15760422153833986</v>
      </c>
      <c r="AN55" s="202">
        <v>1.8969208863452189</v>
      </c>
      <c r="AO55" s="202">
        <v>3.3852549544475306</v>
      </c>
      <c r="AP55" s="202">
        <v>3.0586973704000866</v>
      </c>
      <c r="AQ55" s="202">
        <v>0.96412559915922258</v>
      </c>
      <c r="AR55" s="202">
        <v>0.64620715387543415</v>
      </c>
      <c r="AS55" s="202">
        <v>1.9208164902732694</v>
      </c>
      <c r="AT55" s="202">
        <v>3.8403968127823256</v>
      </c>
      <c r="AU55" s="202">
        <v>2.6392336547905066</v>
      </c>
      <c r="AV55" s="202">
        <v>3.8118534283216885</v>
      </c>
      <c r="AW55" s="202"/>
      <c r="AX55" s="202">
        <v>3.0188050199114747</v>
      </c>
      <c r="AY55" s="202">
        <v>3.1123803898969609</v>
      </c>
      <c r="AZ55" s="202">
        <v>1.5842800941734581</v>
      </c>
      <c r="BA55" s="202">
        <v>0.66777020489902894</v>
      </c>
      <c r="BB55" s="202">
        <v>-0.60973054437217733</v>
      </c>
      <c r="BC55" s="202">
        <v>-1.5591130892834821</v>
      </c>
      <c r="BD55" s="202">
        <v>-0.76340524504538765</v>
      </c>
      <c r="BE55" s="202">
        <v>0.19999999999996063</v>
      </c>
      <c r="BF55" s="202">
        <v>4.9999999999994722E-2</v>
      </c>
      <c r="BG55" s="202">
        <v>0.52166702346758087</v>
      </c>
      <c r="BH55" s="202">
        <v>0.46393402527179167</v>
      </c>
      <c r="BI55" s="202">
        <v>1.2299016624504979</v>
      </c>
      <c r="BJ55" s="202"/>
      <c r="BK55" s="202">
        <v>-0.36529954614691268</v>
      </c>
      <c r="BL55" s="202">
        <v>-7.6675550663686778</v>
      </c>
      <c r="BM55" s="202">
        <v>-0.26675692626355668</v>
      </c>
      <c r="BN55" s="202">
        <v>0.98698492554790285</v>
      </c>
      <c r="BO55" s="202">
        <v>1.655139029376242E-2</v>
      </c>
      <c r="BP55" s="202">
        <v>0.72081573759748951</v>
      </c>
      <c r="BQ55" s="202">
        <v>0.45888532912059321</v>
      </c>
      <c r="BR55" s="202">
        <v>0.41911720660416185</v>
      </c>
      <c r="BS55" s="202">
        <v>0.90593415470819005</v>
      </c>
      <c r="BT55" s="202">
        <v>0.18293213446783774</v>
      </c>
      <c r="BU55" s="203">
        <v>2.844736936800341</v>
      </c>
      <c r="BV55" s="203">
        <v>-3.8788323402680556</v>
      </c>
      <c r="BW55" s="203">
        <v>2.4339595558342499</v>
      </c>
      <c r="BX55" s="202">
        <v>0.25033498978738644</v>
      </c>
      <c r="BY55" s="202">
        <v>1.1669093332528893</v>
      </c>
      <c r="BZ55" s="202">
        <v>0.99811149655405429</v>
      </c>
      <c r="CA55" s="202">
        <v>0.37531652505685831</v>
      </c>
      <c r="CB55" s="202">
        <v>0.56082968455778481</v>
      </c>
      <c r="CC55" s="202">
        <v>0.732064769850714</v>
      </c>
      <c r="CD55" s="202">
        <v>4.7680097862604498</v>
      </c>
      <c r="CE55" s="202">
        <v>0.35000000000000642</v>
      </c>
      <c r="CF55" s="202">
        <v>0.39111729682044921</v>
      </c>
      <c r="CG55" s="202">
        <v>0.33927096118347172</v>
      </c>
      <c r="CH55" s="202">
        <v>0.90500563564086323</v>
      </c>
      <c r="CI55" s="202">
        <v>-0.57907667793265338</v>
      </c>
      <c r="CJ55" s="202">
        <v>0.25474284705052391</v>
      </c>
      <c r="CK55" s="202">
        <v>1.2158094493904776</v>
      </c>
      <c r="CL55" s="202">
        <v>-0.14626609144108696</v>
      </c>
      <c r="CM55" s="202">
        <v>-0.41270033467085609</v>
      </c>
      <c r="CN55" s="202">
        <v>1.2620159084330911</v>
      </c>
      <c r="CO55" s="202">
        <v>1.4317033074260366</v>
      </c>
      <c r="CP55" s="202">
        <v>8.1137573365526094</v>
      </c>
      <c r="CQ55" s="202">
        <v>-5.5253044273316467</v>
      </c>
      <c r="CR55" s="201">
        <v>0.80007445047687886</v>
      </c>
      <c r="CS55" s="201">
        <v>0.53335935972108039</v>
      </c>
      <c r="CT55" s="201">
        <v>-0.55697179527639595</v>
      </c>
      <c r="CU55" s="201">
        <v>0.31573778597421487</v>
      </c>
      <c r="CV55" s="201">
        <v>0.96547916375833209</v>
      </c>
      <c r="CW55" s="201">
        <v>2.383243045043526</v>
      </c>
      <c r="CX55" s="201">
        <v>-1.4869626971713716</v>
      </c>
      <c r="CY55" s="201">
        <v>-1.2319704619975831</v>
      </c>
      <c r="CZ55" s="201">
        <v>1.8953406571416576</v>
      </c>
      <c r="DA55" s="201">
        <v>0.34878949389957581</v>
      </c>
      <c r="DB55" s="201">
        <v>0.31533567133709112</v>
      </c>
      <c r="DC55" s="201">
        <v>0.1983502442249499</v>
      </c>
      <c r="DD55" s="201">
        <v>0.23050320579541145</v>
      </c>
      <c r="DE55" s="201">
        <v>-4.8875443865400665E-2</v>
      </c>
      <c r="DF55" s="201">
        <v>0.45707946338792466</v>
      </c>
      <c r="DG55" s="201">
        <v>0.35157685748943202</v>
      </c>
      <c r="DH55" s="201">
        <v>-0.2856186778549038</v>
      </c>
      <c r="DI55" s="201">
        <v>1.6932610105427977</v>
      </c>
      <c r="DJ55" s="201">
        <v>0.79562850499638738</v>
      </c>
      <c r="DK55" s="201">
        <v>-1.1751075574550689</v>
      </c>
      <c r="DL55" s="201">
        <v>-0.11981587532743866</v>
      </c>
      <c r="DM55" s="201">
        <v>1.4095842788315343</v>
      </c>
      <c r="DN55" s="201">
        <v>0.53224021833009105</v>
      </c>
      <c r="DO55" s="201">
        <v>1.4943707336469474</v>
      </c>
      <c r="DP55" s="201">
        <v>0.31442568563687495</v>
      </c>
      <c r="DQ55" s="201">
        <v>0.24160571267042097</v>
      </c>
      <c r="DR55" s="201">
        <v>0.31899624100913315</v>
      </c>
      <c r="DS55" s="201">
        <v>0.21471609563872485</v>
      </c>
      <c r="DT55" s="201">
        <v>0.15235388883509546</v>
      </c>
      <c r="DU55" s="201">
        <v>0.3095984357988148</v>
      </c>
      <c r="DV55" s="201">
        <v>0.68871993896145911</v>
      </c>
      <c r="DW55" s="201">
        <v>0.51651861076037497</v>
      </c>
      <c r="DX55" s="201">
        <v>0.29398475466733381</v>
      </c>
      <c r="DY55" s="201">
        <v>0.26084672074001947</v>
      </c>
      <c r="DZ55" s="201">
        <v>0.24119447354065335</v>
      </c>
      <c r="EA55" s="201">
        <v>0.31278571172774922</v>
      </c>
      <c r="EB55" s="201">
        <v>0.2223077066012811</v>
      </c>
      <c r="EC55" s="201">
        <v>0.26688642301710785</v>
      </c>
      <c r="ED55" s="201">
        <v>0.20247090069766116</v>
      </c>
      <c r="EE55" s="201">
        <v>0.19703710840322544</v>
      </c>
      <c r="EF55" s="201">
        <v>-0.13000509518232864</v>
      </c>
      <c r="EG55" s="201">
        <v>-9.7576160794756867E-2</v>
      </c>
      <c r="EH55" s="201">
        <v>-0.14341986063780085</v>
      </c>
      <c r="EI55" s="201">
        <v>-0.29082093394043174</v>
      </c>
      <c r="EJ55" s="201">
        <v>-0.579979293764327</v>
      </c>
      <c r="EK55" s="201">
        <v>-0.50022284213406742</v>
      </c>
      <c r="EL55" s="201">
        <v>-0.51334923551033518</v>
      </c>
      <c r="EM55" s="201">
        <v>-0.48256319890783606</v>
      </c>
      <c r="EN55" s="201">
        <v>-0.40703262536144602</v>
      </c>
      <c r="EO55" s="201">
        <v>-0.33223409938040038</v>
      </c>
      <c r="EP55" s="201">
        <v>-0.49683105064691124</v>
      </c>
      <c r="EQ55" s="201">
        <v>-0.29466760635264849</v>
      </c>
      <c r="ER55" s="201">
        <v>-0.27466288371892977</v>
      </c>
      <c r="ES55" s="201">
        <v>0.10667632714482345</v>
      </c>
      <c r="ET55" s="204">
        <v>7.9303568937319241E-2</v>
      </c>
      <c r="EU55" s="204">
        <v>-5.0929976261627184E-4</v>
      </c>
      <c r="EV55" s="204">
        <v>0.10058583910493182</v>
      </c>
      <c r="EW55" s="204">
        <v>1.0210703923864903</v>
      </c>
      <c r="EX55" s="204">
        <v>-1.4524807127580235E-2</v>
      </c>
      <c r="EY55" s="204">
        <v>-3.312794418906382E-2</v>
      </c>
      <c r="EZ55" s="204">
        <v>-4.5173655012818614E-2</v>
      </c>
      <c r="FA55" s="204">
        <v>-5.9511795525882913E-2</v>
      </c>
      <c r="FB55" s="204">
        <v>-1.1204194835621212E-2</v>
      </c>
      <c r="FC55" s="204">
        <v>-2.4725939228821725E-3</v>
      </c>
      <c r="FD55" s="204">
        <v>-0.49281773135973217</v>
      </c>
      <c r="FE55" s="204">
        <v>1.1264855530087217</v>
      </c>
      <c r="FF55" s="204">
        <v>-3.5741462326794919E-2</v>
      </c>
      <c r="FG55" s="204">
        <v>-0.68993337827153944</v>
      </c>
      <c r="FH55" s="204">
        <v>0.18128206479940911</v>
      </c>
      <c r="FI55" s="204">
        <v>-0.17498157742044015</v>
      </c>
      <c r="FJ55" s="204">
        <v>-0.10330904501723516</v>
      </c>
      <c r="FK55" s="204">
        <v>-6.5016008946127024E-2</v>
      </c>
      <c r="FL55" s="204">
        <v>-3.2409532534317421E-2</v>
      </c>
      <c r="FM55" s="204">
        <v>-4.4595049750227697E-2</v>
      </c>
      <c r="FN55" s="204">
        <v>-5.21888628683271E-2</v>
      </c>
      <c r="FO55" s="204">
        <v>-5.21888628683271E-2</v>
      </c>
      <c r="FP55" s="204">
        <v>6.8627575157676493E-2</v>
      </c>
      <c r="FU55" s="230"/>
    </row>
    <row r="56" spans="2:180" ht="14" x14ac:dyDescent="0.3">
      <c r="B56" s="229">
        <v>2</v>
      </c>
      <c r="C56" s="1894" t="s">
        <v>161</v>
      </c>
      <c r="D56" s="199">
        <v>2</v>
      </c>
      <c r="E56" s="1436">
        <f>'SOUTH-2'!$N$649</f>
        <v>-100</v>
      </c>
      <c r="F56" s="1890">
        <v>0.34146123159245872</v>
      </c>
      <c r="G56" s="1890">
        <v>0.18723738106876664</v>
      </c>
      <c r="H56" s="1890">
        <v>2.3428715381670576E-2</v>
      </c>
      <c r="I56" s="1890">
        <v>0.16365842131281044</v>
      </c>
      <c r="J56" s="1890">
        <v>-0.20409336959917274</v>
      </c>
      <c r="K56" s="1890">
        <v>0.19950595163874396</v>
      </c>
      <c r="L56" s="205">
        <v>-0.1341354182660007</v>
      </c>
      <c r="M56" s="205">
        <v>0.51524558690366007</v>
      </c>
      <c r="N56" s="205">
        <v>0.14421064583051099</v>
      </c>
      <c r="O56" s="202">
        <v>0.20410347424685221</v>
      </c>
      <c r="P56" s="202">
        <v>0.28464770492951053</v>
      </c>
      <c r="Q56" s="202">
        <v>0.75152871745463345</v>
      </c>
      <c r="R56" s="202">
        <v>0.34867451484095163</v>
      </c>
      <c r="S56" s="202">
        <v>0</v>
      </c>
      <c r="T56" s="202">
        <v>0.41295021292926543</v>
      </c>
      <c r="U56" s="202">
        <v>0.26401637945018658</v>
      </c>
      <c r="V56" s="202">
        <v>-1.3169654511333744E-2</v>
      </c>
      <c r="W56" s="202">
        <v>2.6962763500748235E-2</v>
      </c>
      <c r="X56" s="202">
        <v>0.21626222126161274</v>
      </c>
      <c r="Y56" s="202">
        <v>0.61166375119974747</v>
      </c>
      <c r="Z56" s="202">
        <v>0.83843804750623052</v>
      </c>
      <c r="AA56" s="202">
        <v>0.7755633851304703</v>
      </c>
      <c r="AB56" s="202">
        <v>0.53796495320271309</v>
      </c>
      <c r="AC56" s="202">
        <v>0.34</v>
      </c>
      <c r="AD56" s="202">
        <v>0.12324292259145884</v>
      </c>
      <c r="AE56" s="202">
        <v>-0.45120754039476496</v>
      </c>
      <c r="AF56" s="202">
        <v>0.23233926074138067</v>
      </c>
      <c r="AG56" s="202">
        <v>0.45506588010657795</v>
      </c>
      <c r="AH56" s="202">
        <v>0.19128135930251663</v>
      </c>
      <c r="AI56" s="202">
        <v>1.6180304032494996E-2</v>
      </c>
      <c r="AJ56" s="202">
        <v>0.16072224684339501</v>
      </c>
      <c r="AK56" s="202">
        <v>1.1009194214570097</v>
      </c>
      <c r="AL56" s="202">
        <v>-0.15848322327955114</v>
      </c>
      <c r="AM56" s="202">
        <v>0.5269688447823434</v>
      </c>
      <c r="AN56" s="202">
        <v>0.11273368476556417</v>
      </c>
      <c r="AO56" s="202">
        <v>0.77313859041460375</v>
      </c>
      <c r="AP56" s="202">
        <v>0.89325799869316891</v>
      </c>
      <c r="AQ56" s="202">
        <v>-0.22975061370902697</v>
      </c>
      <c r="AR56" s="202">
        <v>-0.67803739226232773</v>
      </c>
      <c r="AS56" s="202">
        <v>0.26862124087393924</v>
      </c>
      <c r="AT56" s="202">
        <v>-0.48303062816162201</v>
      </c>
      <c r="AU56" s="202">
        <v>0.82395079438292007</v>
      </c>
      <c r="AV56" s="202">
        <v>0.81860610328439543</v>
      </c>
      <c r="AW56" s="202"/>
      <c r="AX56" s="202">
        <v>1.5307917372054951</v>
      </c>
      <c r="AY56" s="202">
        <v>0.88014161798406676</v>
      </c>
      <c r="AZ56" s="202">
        <v>0.35100422915463625</v>
      </c>
      <c r="BA56" s="202">
        <v>0.17330321372110213</v>
      </c>
      <c r="BB56" s="202">
        <v>-0.10695208914949801</v>
      </c>
      <c r="BC56" s="202">
        <v>0.22127390110579964</v>
      </c>
      <c r="BD56" s="202">
        <v>0.28503513637322569</v>
      </c>
      <c r="BE56" s="202">
        <v>-0.3759039272882253</v>
      </c>
      <c r="BF56" s="202">
        <v>6.0631696876588953E-2</v>
      </c>
      <c r="BG56" s="202">
        <v>0.87123880170372825</v>
      </c>
      <c r="BH56" s="202">
        <v>0.34896750440244056</v>
      </c>
      <c r="BI56" s="202">
        <v>0.36450962734311027</v>
      </c>
      <c r="BJ56" s="202"/>
      <c r="BK56" s="202">
        <v>0.46142055218096673</v>
      </c>
      <c r="BL56" s="202">
        <v>0.30904808926100252</v>
      </c>
      <c r="BM56" s="202">
        <v>-0.42608694128541058</v>
      </c>
      <c r="BN56" s="202">
        <v>0.4258698311235683</v>
      </c>
      <c r="BO56" s="202">
        <v>-4.5884350147070534E-2</v>
      </c>
      <c r="BP56" s="202">
        <v>-0.16183927699301193</v>
      </c>
      <c r="BQ56" s="202">
        <v>0.11474101938593038</v>
      </c>
      <c r="BR56" s="202">
        <v>-6.0131130882291516E-2</v>
      </c>
      <c r="BS56" s="202">
        <v>0.98442996006596961</v>
      </c>
      <c r="BT56" s="202">
        <v>-0.74527991219111833</v>
      </c>
      <c r="BU56" s="203">
        <v>-1.3596101745551565</v>
      </c>
      <c r="BV56" s="203">
        <v>2.3313126053659565</v>
      </c>
      <c r="BW56" s="203">
        <v>0.59003774702159384</v>
      </c>
      <c r="BX56" s="202">
        <v>0.49071313918896242</v>
      </c>
      <c r="BY56" s="202">
        <v>-4.7851867265076765E-2</v>
      </c>
      <c r="BZ56" s="202">
        <v>-9.98593816863666E-2</v>
      </c>
      <c r="CA56" s="202">
        <v>-0.10684031171048268</v>
      </c>
      <c r="CB56" s="202">
        <v>0.22582293503900275</v>
      </c>
      <c r="CC56" s="202">
        <v>1.7923658251358953E-2</v>
      </c>
      <c r="CD56" s="202">
        <v>6.0937709470198134E-3</v>
      </c>
      <c r="CE56" s="202">
        <v>-0.26207736869926129</v>
      </c>
      <c r="CF56" s="202">
        <v>-0.14338888057689439</v>
      </c>
      <c r="CG56" s="202">
        <v>-5.4057880602190841E-2</v>
      </c>
      <c r="CH56" s="202">
        <v>1.7940020840385689E-2</v>
      </c>
      <c r="CI56" s="202">
        <v>0.20390785878703441</v>
      </c>
      <c r="CJ56" s="202">
        <v>9.7734783692898008E-2</v>
      </c>
      <c r="CK56" s="202">
        <v>0.23982737008403149</v>
      </c>
      <c r="CL56" s="202">
        <v>0.29408715864152724</v>
      </c>
      <c r="CM56" s="202">
        <v>-0.23209036051442053</v>
      </c>
      <c r="CN56" s="202">
        <v>0.47309343126786757</v>
      </c>
      <c r="CO56" s="202">
        <v>0.38928474497937549</v>
      </c>
      <c r="CP56" s="202">
        <v>0.58176347851216392</v>
      </c>
      <c r="CQ56" s="202">
        <v>0.52260780917790939</v>
      </c>
      <c r="CR56" s="201">
        <v>0.20772312853635572</v>
      </c>
      <c r="CS56" s="201">
        <v>0.24896743275692537</v>
      </c>
      <c r="CT56" s="201">
        <v>7.9043762956846272E-2</v>
      </c>
      <c r="CU56" s="201">
        <v>1.4490061031187371</v>
      </c>
      <c r="CV56" s="201">
        <v>0.62482224113656704</v>
      </c>
      <c r="CW56" s="201">
        <v>1.0294645798313018</v>
      </c>
      <c r="CX56" s="201">
        <v>0.89532024666514631</v>
      </c>
      <c r="CY56" s="201">
        <v>0.25295536838379218</v>
      </c>
      <c r="CZ56" s="201">
        <v>-0.16431113662913774</v>
      </c>
      <c r="DA56" s="201">
        <v>-5.694150516346231E-2</v>
      </c>
      <c r="DB56" s="201">
        <v>0.2819724176664658</v>
      </c>
      <c r="DC56" s="201">
        <v>0.4833187616808915</v>
      </c>
      <c r="DD56" s="201">
        <v>-1.353320884468046</v>
      </c>
      <c r="DE56" s="201">
        <v>0</v>
      </c>
      <c r="DF56" s="201">
        <v>-0.14132600272914886</v>
      </c>
      <c r="DG56" s="201">
        <v>-0.11015760130608687</v>
      </c>
      <c r="DH56" s="201">
        <v>0.14804057912250171</v>
      </c>
      <c r="DI56" s="201">
        <v>0.25179587693423716</v>
      </c>
      <c r="DJ56" s="201">
        <v>-0.22304588242031986</v>
      </c>
      <c r="DK56" s="201">
        <v>0.18804420401399941</v>
      </c>
      <c r="DL56" s="201">
        <v>0.279222996726391</v>
      </c>
      <c r="DM56" s="201">
        <v>0.37760242170019398</v>
      </c>
      <c r="DN56" s="201">
        <v>0.15075089110134995</v>
      </c>
      <c r="DO56" s="201">
        <v>0.18310782469422746</v>
      </c>
      <c r="DP56" s="201">
        <v>0.67213566914595879</v>
      </c>
      <c r="DQ56" s="201">
        <v>-7.900218040955051E-2</v>
      </c>
      <c r="DR56" s="201">
        <v>0.21529018368410807</v>
      </c>
      <c r="DS56" s="201">
        <v>0.18510346084902257</v>
      </c>
      <c r="DT56" s="201">
        <v>0.22397779290634742</v>
      </c>
      <c r="DU56" s="201">
        <v>0.4117713724454769</v>
      </c>
      <c r="DV56" s="201">
        <v>-0.28741253479880524</v>
      </c>
      <c r="DW56" s="201">
        <v>-0.32116788321126188</v>
      </c>
      <c r="DX56" s="201">
        <v>-9.9642913915486714E-2</v>
      </c>
      <c r="DY56" s="201">
        <v>-0.24037105165209577</v>
      </c>
      <c r="DZ56" s="201">
        <v>0.1380178696824054</v>
      </c>
      <c r="EA56" s="201">
        <v>0.29612462984431115</v>
      </c>
      <c r="EB56" s="201">
        <v>6.8598511620043059E-2</v>
      </c>
      <c r="EC56" s="201">
        <v>3.1415793319299716E-2</v>
      </c>
      <c r="ED56" s="201">
        <v>0.55079028147107578</v>
      </c>
      <c r="EE56" s="201">
        <v>0.68754712697751774</v>
      </c>
      <c r="EF56" s="201">
        <v>0.31115075101873957</v>
      </c>
      <c r="EG56" s="201">
        <v>0.47528993597464164</v>
      </c>
      <c r="EH56" s="201">
        <v>0.41371183995633309</v>
      </c>
      <c r="EI56" s="201">
        <v>0.35109143642203083</v>
      </c>
      <c r="EJ56" s="201">
        <v>8.259587020648966E-2</v>
      </c>
      <c r="EK56" s="201">
        <v>0.17660464741369392</v>
      </c>
      <c r="EL56" s="201">
        <v>0.19476345354926478</v>
      </c>
      <c r="EM56" s="201">
        <v>0.77142361531584769</v>
      </c>
      <c r="EN56" s="201">
        <v>0.76272013609058409</v>
      </c>
      <c r="EO56" s="201">
        <v>0.74277510767087096</v>
      </c>
      <c r="EP56" s="201">
        <v>0.81121893546595003</v>
      </c>
      <c r="EQ56" s="201">
        <v>0.82249933669350184</v>
      </c>
      <c r="ER56" s="201">
        <v>0.25063594194267702</v>
      </c>
      <c r="ES56" s="201">
        <v>0.64773558555584454</v>
      </c>
      <c r="ET56" s="204">
        <v>0.22524644358945073</v>
      </c>
      <c r="EU56" s="204">
        <v>0.26050533933378361</v>
      </c>
      <c r="EV56" s="204">
        <v>0.24639117276874326</v>
      </c>
      <c r="EW56" s="204">
        <v>0.21991852199025</v>
      </c>
      <c r="EX56" s="204">
        <v>8.8630289909165563E-2</v>
      </c>
      <c r="EY56" s="204">
        <v>0.35169988276653363</v>
      </c>
      <c r="EZ56" s="204">
        <v>0.19</v>
      </c>
      <c r="FA56" s="204"/>
      <c r="FB56" s="204"/>
      <c r="FC56" s="204"/>
      <c r="FD56" s="204"/>
      <c r="FE56" s="204"/>
      <c r="FF56" s="204"/>
      <c r="FG56" s="204"/>
      <c r="FH56" s="204"/>
      <c r="FI56" s="204"/>
      <c r="FJ56" s="204"/>
      <c r="FK56" s="204"/>
      <c r="FL56" s="204"/>
      <c r="FM56" s="204"/>
      <c r="FN56" s="204"/>
      <c r="FO56" s="204"/>
      <c r="FP56" s="204"/>
      <c r="FU56" s="230"/>
    </row>
    <row r="57" spans="2:180" ht="12.5" x14ac:dyDescent="0.25">
      <c r="B57" s="229">
        <v>3</v>
      </c>
      <c r="C57" s="1961" t="s">
        <v>162</v>
      </c>
      <c r="D57" s="199">
        <v>3</v>
      </c>
      <c r="E57" s="205">
        <f>'SOUTH-2'!$N$689</f>
        <v>-100</v>
      </c>
      <c r="F57" s="1890">
        <v>0.96825060709606958</v>
      </c>
      <c r="G57" s="1890">
        <v>-0.7238983192547116</v>
      </c>
      <c r="H57" s="1890">
        <v>0.20744507567835896</v>
      </c>
      <c r="I57" s="1890">
        <v>-0.5876863514414602</v>
      </c>
      <c r="J57" s="1890">
        <v>0.52955037953550155</v>
      </c>
      <c r="K57" s="1890">
        <v>0.55136924580860103</v>
      </c>
      <c r="L57" s="202">
        <v>1.9689193019314668</v>
      </c>
      <c r="M57" s="205">
        <v>2.4325649411969614</v>
      </c>
      <c r="N57" s="205">
        <v>0.90687114403544444</v>
      </c>
      <c r="O57" s="202">
        <v>1.2649608892843107</v>
      </c>
      <c r="P57" s="202">
        <v>0.98497312603559095</v>
      </c>
      <c r="Q57" s="202">
        <v>4.0491990093968172E-2</v>
      </c>
      <c r="R57" s="202">
        <v>1.1605470346074576</v>
      </c>
      <c r="S57" s="202">
        <v>0</v>
      </c>
      <c r="T57" s="202">
        <v>0.32885060908048136</v>
      </c>
      <c r="U57" s="202">
        <v>1.1720987911620664</v>
      </c>
      <c r="V57" s="202">
        <v>-5.7260661591027787E-2</v>
      </c>
      <c r="W57" s="202">
        <v>0.50165477364748257</v>
      </c>
      <c r="X57" s="202">
        <v>0.40371321127462961</v>
      </c>
      <c r="Y57" s="202">
        <v>0.56535799406076315</v>
      </c>
      <c r="Z57" s="202">
        <v>0.69159189929774556</v>
      </c>
      <c r="AA57" s="202">
        <v>0.52057534445336484</v>
      </c>
      <c r="AB57" s="202">
        <v>0.72395682666815997</v>
      </c>
      <c r="AC57" s="202">
        <v>0.37</v>
      </c>
      <c r="AD57" s="202">
        <v>-0.37007096574192949</v>
      </c>
      <c r="AE57" s="202">
        <v>-0.18316178653746762</v>
      </c>
      <c r="AF57" s="202">
        <v>0.42529641153732706</v>
      </c>
      <c r="AG57" s="202">
        <v>1.0968496090095061</v>
      </c>
      <c r="AH57" s="202">
        <v>0.74782280620245356</v>
      </c>
      <c r="AI57" s="202">
        <v>0.95656142496281826</v>
      </c>
      <c r="AJ57" s="202">
        <v>0.83102113260999666</v>
      </c>
      <c r="AK57" s="202">
        <v>1.2165926835850251</v>
      </c>
      <c r="AL57" s="202">
        <v>1.2500841550759281</v>
      </c>
      <c r="AM57" s="202">
        <v>0.55500140917923213</v>
      </c>
      <c r="AN57" s="202">
        <v>0.50558538645055096</v>
      </c>
      <c r="AO57" s="202">
        <v>0.36270264954302178</v>
      </c>
      <c r="AP57" s="202">
        <v>1.1496777182345688</v>
      </c>
      <c r="AQ57" s="202">
        <v>1.9275089039788247</v>
      </c>
      <c r="AR57" s="202">
        <v>3.5060884932460059</v>
      </c>
      <c r="AS57" s="202">
        <v>1.8999999999999906</v>
      </c>
      <c r="AT57" s="202">
        <v>1.7999999999999725</v>
      </c>
      <c r="AU57" s="202">
        <v>1.4999999999999885</v>
      </c>
      <c r="AV57" s="202">
        <v>1.4958255810912751</v>
      </c>
      <c r="AW57" s="202"/>
      <c r="AX57" s="202">
        <v>1.9597795986943172</v>
      </c>
      <c r="AY57" s="202">
        <v>-0.4075457144445403</v>
      </c>
      <c r="AZ57" s="202">
        <v>3.1370152074805029E-2</v>
      </c>
      <c r="BA57" s="202">
        <v>0.74747880526306298</v>
      </c>
      <c r="BB57" s="202">
        <v>0.49765701986777888</v>
      </c>
      <c r="BC57" s="202">
        <v>0.21243932149465788</v>
      </c>
      <c r="BD57" s="202">
        <v>9.1869675570978269E-3</v>
      </c>
      <c r="BE57" s="202">
        <v>0.54247320181133141</v>
      </c>
      <c r="BF57" s="202">
        <v>0.22663673704983964</v>
      </c>
      <c r="BG57" s="202">
        <v>0.27916926771630146</v>
      </c>
      <c r="BH57" s="202">
        <v>0.20222304043691183</v>
      </c>
      <c r="BI57" s="202">
        <v>0.41828953733465191</v>
      </c>
      <c r="BJ57" s="202"/>
      <c r="BK57" s="202">
        <v>2.671639166364193</v>
      </c>
      <c r="BL57" s="202">
        <v>6.3055129628142028</v>
      </c>
      <c r="BM57" s="202">
        <v>-0.10715473961410513</v>
      </c>
      <c r="BN57" s="202">
        <v>-0.8495124211862074</v>
      </c>
      <c r="BO57" s="202">
        <v>0.10977018501296792</v>
      </c>
      <c r="BP57" s="202">
        <v>-0.33691458721807921</v>
      </c>
      <c r="BQ57" s="202">
        <v>-1.1980201227472245</v>
      </c>
      <c r="BR57" s="202">
        <v>1.692204365205555</v>
      </c>
      <c r="BS57" s="202">
        <v>-0.6454270791264225</v>
      </c>
      <c r="BT57" s="202">
        <v>1.5014853132581378</v>
      </c>
      <c r="BU57" s="202">
        <v>-0.86640822542797413</v>
      </c>
      <c r="BV57" s="202">
        <v>2.0234038979455602</v>
      </c>
      <c r="BW57" s="202">
        <v>-3.0547493471073608</v>
      </c>
      <c r="BX57" s="202">
        <v>1.4833397714721033</v>
      </c>
      <c r="BY57" s="202">
        <v>0.516649954956656</v>
      </c>
      <c r="BZ57" s="202">
        <v>-0.21467081901546561</v>
      </c>
      <c r="CA57" s="202">
        <v>-1.0609369811113465</v>
      </c>
      <c r="CB57" s="202">
        <v>0.60982984574181964</v>
      </c>
      <c r="CC57" s="202">
        <v>1.9189149314625909E-3</v>
      </c>
      <c r="CD57" s="202">
        <v>0.3616922044412002</v>
      </c>
      <c r="CE57" s="202">
        <v>0.51737322616195003</v>
      </c>
      <c r="CF57" s="202">
        <v>0.78653086276285933</v>
      </c>
      <c r="CG57" s="202">
        <v>0.80538880533160095</v>
      </c>
      <c r="CH57" s="202">
        <v>0.79637166154869488</v>
      </c>
      <c r="CI57" s="202">
        <v>-0.92130105543340113</v>
      </c>
      <c r="CJ57" s="202">
        <v>2.358852320942264</v>
      </c>
      <c r="CK57" s="202">
        <v>0.42953110894433516</v>
      </c>
      <c r="CL57" s="202">
        <v>-0.13571783227672696</v>
      </c>
      <c r="CM57" s="202">
        <v>0.25236002388448675</v>
      </c>
      <c r="CN57" s="202">
        <v>1.7589560420395449</v>
      </c>
      <c r="CO57" s="202">
        <v>1.3521211050789868</v>
      </c>
      <c r="CP57" s="202">
        <v>1.1014355705403669</v>
      </c>
      <c r="CQ57" s="202">
        <v>1.5296912416648367</v>
      </c>
      <c r="CR57" s="201">
        <v>1.0939260256830599</v>
      </c>
      <c r="CS57" s="201">
        <v>0.8999309475420556</v>
      </c>
      <c r="CT57" s="201">
        <v>0.49529274478537033</v>
      </c>
      <c r="CU57" s="201">
        <v>2.6840785826297675</v>
      </c>
      <c r="CV57" s="201">
        <v>1.8057200086355929</v>
      </c>
      <c r="CW57" s="201">
        <v>-2.4357196350134752E-2</v>
      </c>
      <c r="CX57" s="201">
        <v>0.10589175456127932</v>
      </c>
      <c r="CY57" s="201">
        <v>1.7759710040633296</v>
      </c>
      <c r="CZ57" s="201">
        <v>0.60775225337337124</v>
      </c>
      <c r="DA57" s="201">
        <v>0.91964246839490171</v>
      </c>
      <c r="DB57" s="201">
        <v>1.4296429311328915</v>
      </c>
      <c r="DC57" s="201">
        <v>1.8053887691746711</v>
      </c>
      <c r="DD57" s="201">
        <v>4.9633873361609453E-2</v>
      </c>
      <c r="DE57" s="201">
        <v>1.2566370115078562</v>
      </c>
      <c r="DF57" s="201">
        <v>1.4549650079648224</v>
      </c>
      <c r="DG57" s="201">
        <v>0.42091324918119316</v>
      </c>
      <c r="DH57" s="201">
        <v>0.96089168166744154</v>
      </c>
      <c r="DI57" s="201">
        <v>0.7467531809574437</v>
      </c>
      <c r="DJ57" s="201">
        <v>0.61578572352142713</v>
      </c>
      <c r="DK57" s="201">
        <v>1.2127665077028904</v>
      </c>
      <c r="DL57" s="201">
        <v>1.301624717109811</v>
      </c>
      <c r="DM57" s="201">
        <v>1.4923132619432591</v>
      </c>
      <c r="DN57" s="201">
        <v>1.0910445686190047</v>
      </c>
      <c r="DO57" s="201">
        <v>1.4735354082640837</v>
      </c>
      <c r="DP57" s="201">
        <v>0.52321084288291464</v>
      </c>
      <c r="DQ57" s="201">
        <v>1.8271632575827761</v>
      </c>
      <c r="DR57" s="201">
        <v>0.99546209924623374</v>
      </c>
      <c r="DS57" s="201">
        <v>0.97442739395696365</v>
      </c>
      <c r="DT57" s="201">
        <v>1.1331125442543422</v>
      </c>
      <c r="DU57" s="201">
        <v>0.7384816200006119</v>
      </c>
      <c r="DV57" s="201">
        <v>-0.49275497692741477</v>
      </c>
      <c r="DW57" s="201">
        <v>-0.36083067597344537</v>
      </c>
      <c r="DX57" s="201">
        <v>0.11867130861920425</v>
      </c>
      <c r="DY57" s="201">
        <v>2.2376819333924988E-2</v>
      </c>
      <c r="DZ57" s="201">
        <v>-0.32590723750120204</v>
      </c>
      <c r="EA57" s="201">
        <v>0.62295687859211502</v>
      </c>
      <c r="EB57" s="201">
        <v>0.74793012870387976</v>
      </c>
      <c r="EC57" s="201">
        <v>1.3395322673336247</v>
      </c>
      <c r="ED57" s="201">
        <v>0.99161411569853986</v>
      </c>
      <c r="EE57" s="201">
        <v>-0.30804878871127639</v>
      </c>
      <c r="EF57" s="201">
        <v>1.9642119203292532</v>
      </c>
      <c r="EG57" s="201">
        <v>1.8002837076762819</v>
      </c>
      <c r="EH57" s="201">
        <v>2.0486457448724926</v>
      </c>
      <c r="EI57" s="201">
        <v>1.8518311787933655</v>
      </c>
      <c r="EJ57" s="202">
        <v>1.4414048900757701</v>
      </c>
      <c r="EK57" s="202">
        <v>1.2746475828737309</v>
      </c>
      <c r="EL57" s="202">
        <v>1.959589961933518</v>
      </c>
      <c r="EM57" s="202">
        <v>1.3217566615257839</v>
      </c>
      <c r="EN57" s="201">
        <v>0.98177464817933313</v>
      </c>
      <c r="EO57" s="201">
        <v>0.98153829573042495</v>
      </c>
      <c r="EP57" s="201">
        <v>1.0813519144705579</v>
      </c>
      <c r="EQ57" s="201">
        <v>0.67249874303907609</v>
      </c>
      <c r="ER57" s="201">
        <v>1.7321614919337436</v>
      </c>
      <c r="ES57" s="201">
        <v>2.0045041217281661</v>
      </c>
      <c r="ET57" s="204">
        <v>2.0018105139293043</v>
      </c>
      <c r="EU57" s="204">
        <v>1.8276895189364408</v>
      </c>
      <c r="EV57" s="204">
        <v>1.758650536021944</v>
      </c>
      <c r="EW57" s="204">
        <v>1.8247208381581754</v>
      </c>
      <c r="EX57" s="204">
        <v>1.7041982289898969</v>
      </c>
      <c r="EY57" s="204">
        <v>1.7397260986103871</v>
      </c>
      <c r="EZ57" s="204">
        <v>1.6525093185320634</v>
      </c>
      <c r="FA57" s="204">
        <v>1.506918988632169</v>
      </c>
      <c r="FB57" s="204">
        <v>1.5941408363373135</v>
      </c>
      <c r="FC57" s="204">
        <v>5.9921448026539259E-2</v>
      </c>
      <c r="FD57" s="204">
        <v>0.65904592264777129</v>
      </c>
      <c r="FE57" s="204">
        <v>0.40703154266092278</v>
      </c>
      <c r="FF57" s="204">
        <v>0.5562682672817254</v>
      </c>
      <c r="FG57" s="204">
        <v>1.102524201847954</v>
      </c>
      <c r="FH57" s="204">
        <v>0.71624104505309272</v>
      </c>
      <c r="FI57" s="204">
        <v>1.9010890074090712</v>
      </c>
      <c r="FJ57" s="204">
        <v>0.43652148507247268</v>
      </c>
      <c r="FK57" s="204">
        <v>0.28177349935404356</v>
      </c>
      <c r="FL57" s="204">
        <v>0.41689791259779196</v>
      </c>
      <c r="FM57" s="204">
        <v>0.29672480174572113</v>
      </c>
      <c r="FN57" s="204">
        <v>1.0543013863177273</v>
      </c>
      <c r="FO57" s="204">
        <v>1.0543013863177273</v>
      </c>
      <c r="FP57" s="204">
        <v>0.33617664439729666</v>
      </c>
      <c r="FU57" s="230"/>
    </row>
    <row r="58" spans="2:180" ht="12.5" x14ac:dyDescent="0.25">
      <c r="B58" s="229">
        <v>4</v>
      </c>
      <c r="C58" s="1961" t="s">
        <v>163</v>
      </c>
      <c r="D58" s="199">
        <v>4</v>
      </c>
      <c r="E58" s="205">
        <f>'SOUTH-2'!$N$772</f>
        <v>-100</v>
      </c>
      <c r="F58" s="1890">
        <v>-0.23825107696812861</v>
      </c>
      <c r="G58" s="1890">
        <v>0.77498992816911094</v>
      </c>
      <c r="H58" s="1890">
        <v>9.0593638572785989E-2</v>
      </c>
      <c r="I58" s="1890">
        <v>0.61996647570439112</v>
      </c>
      <c r="J58" s="1890">
        <v>1.5296243164666792</v>
      </c>
      <c r="K58" s="1890">
        <v>1.0888640878855251</v>
      </c>
      <c r="L58" s="205">
        <v>0.10127834792129473</v>
      </c>
      <c r="M58" s="205">
        <v>1.9079932117505174</v>
      </c>
      <c r="N58" s="205">
        <v>0.80105553737106794</v>
      </c>
      <c r="O58" s="202">
        <v>1.854845811801932</v>
      </c>
      <c r="P58" s="202">
        <v>0.59709906002746616</v>
      </c>
      <c r="Q58" s="202">
        <v>0.25467474487937647</v>
      </c>
      <c r="R58" s="202">
        <v>1.6877597137565079</v>
      </c>
      <c r="S58" s="202">
        <v>1.8512688685243552</v>
      </c>
      <c r="T58" s="202">
        <v>2.2467417079390652</v>
      </c>
      <c r="U58" s="202">
        <v>0.81455867654396907</v>
      </c>
      <c r="V58" s="202">
        <v>0.49174721383503867</v>
      </c>
      <c r="W58" s="202">
        <v>0.63094983247164327</v>
      </c>
      <c r="X58" s="202">
        <v>0.54796557294900872</v>
      </c>
      <c r="Y58" s="202">
        <v>2.008519073135445</v>
      </c>
      <c r="Z58" s="202">
        <v>2.44956797394115</v>
      </c>
      <c r="AA58" s="202">
        <v>-0.80832995666389362</v>
      </c>
      <c r="AB58" s="202">
        <v>-0.42726481713611342</v>
      </c>
      <c r="AC58" s="202">
        <v>0.55000000000000004</v>
      </c>
      <c r="AD58" s="202">
        <v>0.82824764584734223</v>
      </c>
      <c r="AE58" s="202">
        <v>0.31963907549392728</v>
      </c>
      <c r="AF58" s="202">
        <v>0.37769673660652048</v>
      </c>
      <c r="AG58" s="202">
        <v>0.79390162478832649</v>
      </c>
      <c r="AH58" s="202">
        <v>5.1406300927167407E-2</v>
      </c>
      <c r="AI58" s="202">
        <v>0.99449455701100165</v>
      </c>
      <c r="AJ58" s="202">
        <v>1.7311123949148961</v>
      </c>
      <c r="AK58" s="202">
        <v>1.2675261526504102</v>
      </c>
      <c r="AL58" s="202">
        <v>1.6170502661533093</v>
      </c>
      <c r="AM58" s="202">
        <v>4.9326014405003733E-2</v>
      </c>
      <c r="AN58" s="202">
        <v>1.4678468197532506</v>
      </c>
      <c r="AO58" s="202">
        <v>0.55851124275335573</v>
      </c>
      <c r="AP58" s="202">
        <v>0.88293991625688328</v>
      </c>
      <c r="AQ58" s="202">
        <v>0.51014519687640214</v>
      </c>
      <c r="AR58" s="202">
        <v>-0.3569775173592219</v>
      </c>
      <c r="AS58" s="202">
        <v>0.70914535238931897</v>
      </c>
      <c r="AT58" s="202">
        <v>0.51099696312941012</v>
      </c>
      <c r="AU58" s="202">
        <v>1.8610798443050212</v>
      </c>
      <c r="AV58" s="202">
        <v>-4.3527310386865449E-2</v>
      </c>
      <c r="AW58" s="202"/>
      <c r="AX58" s="202">
        <v>0.52988265346690422</v>
      </c>
      <c r="AY58" s="202">
        <v>1.9000000000000219</v>
      </c>
      <c r="AZ58" s="202">
        <v>1.8654949519343427</v>
      </c>
      <c r="BA58" s="202">
        <v>-0.14589359131469667</v>
      </c>
      <c r="BB58" s="202">
        <v>0.90577107629368159</v>
      </c>
      <c r="BC58" s="202">
        <v>0.38432579338264677</v>
      </c>
      <c r="BD58" s="202">
        <v>1.7314377277417117</v>
      </c>
      <c r="BE58" s="202">
        <v>1.2112458264265873</v>
      </c>
      <c r="BF58" s="202">
        <v>1.3527535322896165</v>
      </c>
      <c r="BG58" s="202">
        <v>1.096974413572892</v>
      </c>
      <c r="BH58" s="202">
        <v>0.43706215802726794</v>
      </c>
      <c r="BI58" s="202">
        <v>0.45171863891350716</v>
      </c>
      <c r="BJ58" s="202"/>
      <c r="BK58" s="202">
        <v>0.56000780609655787</v>
      </c>
      <c r="BL58" s="202">
        <v>0.46815744337409138</v>
      </c>
      <c r="BM58" s="202">
        <v>1.1422315221429513</v>
      </c>
      <c r="BN58" s="202">
        <v>1.1780396699047992</v>
      </c>
      <c r="BO58" s="202">
        <v>1.9548657874605881</v>
      </c>
      <c r="BP58" s="202">
        <v>1.0107870373399546</v>
      </c>
      <c r="BQ58" s="202">
        <v>2.0674865654460928</v>
      </c>
      <c r="BR58" s="202">
        <v>-0.22366495992015642</v>
      </c>
      <c r="BS58" s="202">
        <v>0.34664033362397978</v>
      </c>
      <c r="BT58" s="202">
        <v>1.3951865094504887</v>
      </c>
      <c r="BU58" s="202">
        <v>1.0593444735577047</v>
      </c>
      <c r="BV58" s="202">
        <v>3.8136692981012827</v>
      </c>
      <c r="BW58" s="202">
        <v>-7.6189535343664877E-2</v>
      </c>
      <c r="BX58" s="202">
        <v>2.0715696861521549</v>
      </c>
      <c r="BY58" s="202">
        <v>-0.67493800776980195</v>
      </c>
      <c r="BZ58" s="202">
        <v>2.7382272590089021</v>
      </c>
      <c r="CA58" s="202">
        <v>-1.9719329651985948</v>
      </c>
      <c r="CB58" s="202">
        <v>1.2799673205215543</v>
      </c>
      <c r="CC58" s="202">
        <v>0.73089380509633828</v>
      </c>
      <c r="CD58" s="202">
        <v>0.87196104967207277</v>
      </c>
      <c r="CE58" s="202">
        <v>0.93024087918145115</v>
      </c>
      <c r="CF58" s="202">
        <v>0.80493466507226419</v>
      </c>
      <c r="CG58" s="202">
        <v>0.46410578926105778</v>
      </c>
      <c r="CH58" s="202">
        <v>0.99999999999999745</v>
      </c>
      <c r="CI58" s="202">
        <v>0.93342908469647812</v>
      </c>
      <c r="CJ58" s="202">
        <v>1.0021818085307572</v>
      </c>
      <c r="CK58" s="202">
        <v>0.91455084784075602</v>
      </c>
      <c r="CL58" s="202">
        <v>0.80743385291317349</v>
      </c>
      <c r="CM58" s="202">
        <v>1.2674943377399506</v>
      </c>
      <c r="CN58" s="202">
        <v>1.1583910624367963</v>
      </c>
      <c r="CO58" s="202">
        <v>0.41159255352848828</v>
      </c>
      <c r="CP58" s="202">
        <v>1.01759887330757</v>
      </c>
      <c r="CQ58" s="202">
        <v>0.63838653128111411</v>
      </c>
      <c r="CR58" s="201">
        <v>0.75620131868746365</v>
      </c>
      <c r="CS58" s="201">
        <v>-0.9922458947979359</v>
      </c>
      <c r="CT58" s="201">
        <v>2.0676237406982283</v>
      </c>
      <c r="CU58" s="201">
        <v>3.753957757326488</v>
      </c>
      <c r="CV58" s="201">
        <v>0</v>
      </c>
      <c r="CW58" s="201">
        <v>0.74580922718654696</v>
      </c>
      <c r="CX58" s="201">
        <v>0.6829007908177146</v>
      </c>
      <c r="CY58" s="201">
        <v>0.33150284764493704</v>
      </c>
      <c r="CZ58" s="201">
        <v>0.1738053674177773</v>
      </c>
      <c r="DA58" s="201">
        <v>-1.0600544347568024</v>
      </c>
      <c r="DB58" s="201">
        <v>1.2498246778082003</v>
      </c>
      <c r="DC58" s="201">
        <v>-1.6504626780026892</v>
      </c>
      <c r="DD58" s="201">
        <v>3.3255661188729579</v>
      </c>
      <c r="DE58" s="201">
        <v>2.1277059885595526</v>
      </c>
      <c r="DF58" s="201">
        <v>0.82350990332480689</v>
      </c>
      <c r="DG58" s="201">
        <v>0.47562962377233109</v>
      </c>
      <c r="DH58" s="201">
        <v>0.82606043378691729</v>
      </c>
      <c r="DI58" s="201">
        <v>0.74218003398274002</v>
      </c>
      <c r="DJ58" s="201">
        <v>1.0514192813538681</v>
      </c>
      <c r="DK58" s="201">
        <v>1.4361703834380859</v>
      </c>
      <c r="DL58" s="201">
        <v>1.3775846070269142</v>
      </c>
      <c r="DM58" s="201">
        <v>1.2870547721438057</v>
      </c>
      <c r="DN58" s="201">
        <v>1.2318381148390467</v>
      </c>
      <c r="DO58" s="201">
        <v>1.3336906415954572</v>
      </c>
      <c r="DP58" s="201">
        <v>1.5511346327921405</v>
      </c>
      <c r="DQ58" s="201">
        <v>0.44070478332809288</v>
      </c>
      <c r="DR58" s="201">
        <v>0.79194904656654497</v>
      </c>
      <c r="DS58" s="201">
        <v>0.61535495644882632</v>
      </c>
      <c r="DT58" s="201">
        <v>0.65497624889516437</v>
      </c>
      <c r="DU58" s="201">
        <v>1.0509959665512278</v>
      </c>
      <c r="DV58" s="201">
        <v>2.9525417420819609</v>
      </c>
      <c r="DW58" s="201">
        <v>0.73079890613330567</v>
      </c>
      <c r="DX58" s="201">
        <v>0.9125711863117052</v>
      </c>
      <c r="DY58" s="201">
        <v>0.75365487614467952</v>
      </c>
      <c r="DZ58" s="201">
        <v>1.2595207663333905</v>
      </c>
      <c r="EA58" s="201">
        <v>1.3264357177508761</v>
      </c>
      <c r="EB58" s="201">
        <v>1.4007202067789819</v>
      </c>
      <c r="EC58" s="201">
        <v>1.0201783037230971</v>
      </c>
      <c r="ED58" s="201">
        <v>1.5201167973094076</v>
      </c>
      <c r="EE58" s="202">
        <v>1.5119907635505878</v>
      </c>
      <c r="EF58" s="202">
        <v>1.0468129401424968</v>
      </c>
      <c r="EG58" s="202">
        <v>1.2291450270571129</v>
      </c>
      <c r="EH58" s="202">
        <v>1.2374530942433504</v>
      </c>
      <c r="EI58" s="202">
        <v>1.0225295310423745</v>
      </c>
      <c r="EJ58" s="202">
        <v>1.0480139761785137</v>
      </c>
      <c r="EK58" s="202">
        <v>0.86711315950079482</v>
      </c>
      <c r="EL58" s="202">
        <v>1.5388627956748935</v>
      </c>
      <c r="EM58" s="202">
        <v>2.0907039095649624</v>
      </c>
      <c r="EN58" s="202">
        <v>1.5422688349188105</v>
      </c>
      <c r="EO58" s="202">
        <v>1.4976515271361683</v>
      </c>
      <c r="EP58" s="202">
        <v>1.6186468092161566</v>
      </c>
      <c r="EQ58" s="202">
        <v>1.417762934741577</v>
      </c>
      <c r="ER58" s="202">
        <v>0.95941711207884384</v>
      </c>
      <c r="ES58" s="202">
        <v>1.3961305102852783</v>
      </c>
      <c r="ET58" s="204">
        <v>0.77259479453047597</v>
      </c>
      <c r="EU58" s="204">
        <v>0.91843261067117865</v>
      </c>
      <c r="EV58" s="204">
        <v>1.0190337918019883</v>
      </c>
      <c r="EW58" s="204">
        <v>1.0288021500725968</v>
      </c>
      <c r="EX58" s="204">
        <v>0.82217569845278593</v>
      </c>
      <c r="EY58" s="204">
        <v>1.2667939378986768</v>
      </c>
      <c r="EZ58" s="204">
        <v>1.0127233549026535</v>
      </c>
      <c r="FA58" s="204">
        <v>1.0021458904386165</v>
      </c>
      <c r="FB58" s="204">
        <v>0.78197000168105202</v>
      </c>
      <c r="FC58" s="204">
        <v>-0.97016946915644209</v>
      </c>
      <c r="FD58" s="204">
        <v>-0.1808516250235436</v>
      </c>
      <c r="FE58" s="204">
        <v>-0.45084570241958533</v>
      </c>
      <c r="FF58" s="204">
        <v>-0.52090048612307516</v>
      </c>
      <c r="FG58" s="204">
        <v>0.23848461766444543</v>
      </c>
      <c r="FH58" s="204">
        <v>-0.20466932092418538</v>
      </c>
      <c r="FI58" s="204">
        <v>5.565572946471143E-2</v>
      </c>
      <c r="FJ58" s="204">
        <v>-1.027799719745186</v>
      </c>
      <c r="FK58" s="204">
        <v>-0.85643800379870527</v>
      </c>
      <c r="FL58" s="204">
        <v>-0.77714559559080709</v>
      </c>
      <c r="FM58" s="204">
        <v>-1.1905318110113965</v>
      </c>
      <c r="FN58" s="204">
        <v>-1.3897367394492914</v>
      </c>
      <c r="FO58" s="204">
        <v>-1.3897367394492914</v>
      </c>
      <c r="FP58" s="204">
        <v>-0.65373887844266854</v>
      </c>
      <c r="FU58" s="230"/>
    </row>
    <row r="59" spans="2:180" ht="14" x14ac:dyDescent="0.3">
      <c r="B59" s="229">
        <v>5</v>
      </c>
      <c r="C59" s="1892" t="s">
        <v>164</v>
      </c>
      <c r="D59" s="199">
        <v>5</v>
      </c>
      <c r="E59" s="1436">
        <f>'SOUTH-2'!$N$72</f>
        <v>-100</v>
      </c>
      <c r="F59" s="1890">
        <v>-0.7050624835608762</v>
      </c>
      <c r="G59" s="1890">
        <v>0.89284764301523434</v>
      </c>
      <c r="H59" s="1890">
        <v>0.6519580487500356</v>
      </c>
      <c r="I59" s="1890">
        <v>0.4496204011490002</v>
      </c>
      <c r="J59" s="1890">
        <v>0.34955543648059778</v>
      </c>
      <c r="K59" s="1890">
        <v>0.35880947076131275</v>
      </c>
      <c r="L59" s="205">
        <v>0.24779185861983291</v>
      </c>
      <c r="M59" s="205">
        <v>-0.12414295483250898</v>
      </c>
      <c r="N59" s="205">
        <v>0.23336282921413176</v>
      </c>
      <c r="O59" s="202">
        <v>0.1943362340224776</v>
      </c>
      <c r="P59" s="202">
        <v>0.51345484606479419</v>
      </c>
      <c r="Q59" s="202">
        <v>0.51749503300900768</v>
      </c>
      <c r="R59" s="202">
        <v>-3.9241235499398466E-2</v>
      </c>
      <c r="S59" s="202">
        <v>-1.2556433587732035E-2</v>
      </c>
      <c r="T59" s="202">
        <v>0.29999999999998656</v>
      </c>
      <c r="U59" s="202">
        <v>0.42615730277939473</v>
      </c>
      <c r="V59" s="202">
        <v>0.32518798132916732</v>
      </c>
      <c r="W59" s="202">
        <v>0.29498861676625582</v>
      </c>
      <c r="X59" s="202">
        <v>0.22474136973988559</v>
      </c>
      <c r="Y59" s="202">
        <v>-2.4107465482360039E-2</v>
      </c>
      <c r="Z59" s="202">
        <v>0.5683603951421623</v>
      </c>
      <c r="AA59" s="202">
        <v>0.20676590845523363</v>
      </c>
      <c r="AB59" s="202">
        <v>-0.18904061616124998</v>
      </c>
      <c r="AC59" s="202">
        <v>0.4</v>
      </c>
      <c r="AD59" s="202">
        <v>0.49966745808719215</v>
      </c>
      <c r="AE59" s="202">
        <v>0.18292620760555089</v>
      </c>
      <c r="AF59" s="202">
        <v>-0.15263976208572386</v>
      </c>
      <c r="AG59" s="202">
        <v>0.77788490971347946</v>
      </c>
      <c r="AH59" s="202">
        <v>0.81913030845984225</v>
      </c>
      <c r="AI59" s="202">
        <v>0.63672765004731202</v>
      </c>
      <c r="AJ59" s="202">
        <v>3.6306170895498022E-2</v>
      </c>
      <c r="AK59" s="202">
        <v>0.60404947199697923</v>
      </c>
      <c r="AL59" s="202">
        <v>0.65447644919027148</v>
      </c>
      <c r="AM59" s="202">
        <v>1.6990085714581276</v>
      </c>
      <c r="AN59" s="202">
        <v>3.8826609285230185E-2</v>
      </c>
      <c r="AO59" s="202">
        <v>0.48227478185545719</v>
      </c>
      <c r="AP59" s="202">
        <v>0.79341991238984189</v>
      </c>
      <c r="AQ59" s="202">
        <v>1.0466638588067141</v>
      </c>
      <c r="AR59" s="202">
        <v>-0.18820481221037469</v>
      </c>
      <c r="AS59" s="202">
        <v>0.17859046476484358</v>
      </c>
      <c r="AT59" s="202">
        <v>0.40727955929374438</v>
      </c>
      <c r="AU59" s="202">
        <v>0.76227793857760862</v>
      </c>
      <c r="AV59" s="202">
        <v>0.84199326944009667</v>
      </c>
      <c r="AW59" s="202"/>
      <c r="AX59" s="202">
        <v>1.280248685942144</v>
      </c>
      <c r="AY59" s="202">
        <v>0.92997664550884318</v>
      </c>
      <c r="AZ59" s="202">
        <v>-0.15133726002284895</v>
      </c>
      <c r="BA59" s="202">
        <v>2.6185132670239832E-2</v>
      </c>
      <c r="BB59" s="202">
        <v>0.73217380642317298</v>
      </c>
      <c r="BC59" s="202">
        <v>0.65793979757090515</v>
      </c>
      <c r="BD59" s="202">
        <v>0.46372636776647846</v>
      </c>
      <c r="BE59" s="202">
        <v>1.465616475830783</v>
      </c>
      <c r="BF59" s="202">
        <v>0.77887352310033287</v>
      </c>
      <c r="BG59" s="202">
        <v>0.48789895030828012</v>
      </c>
      <c r="BH59" s="202">
        <v>0.29550822700794854</v>
      </c>
      <c r="BI59" s="202">
        <v>-0.45708117655259095</v>
      </c>
      <c r="BJ59" s="202"/>
      <c r="BK59" s="202">
        <v>0.98148633899886661</v>
      </c>
      <c r="BL59" s="202">
        <v>0.18580344583242633</v>
      </c>
      <c r="BM59" s="202">
        <v>0.1508975273731617</v>
      </c>
      <c r="BN59" s="202">
        <v>0.27753264452970089</v>
      </c>
      <c r="BO59" s="202">
        <v>0.3522599617173926</v>
      </c>
      <c r="BP59" s="202">
        <v>0.50350719616664963</v>
      </c>
      <c r="BQ59" s="202">
        <v>0.31521239395762934</v>
      </c>
      <c r="BR59" s="202">
        <v>0.33446136143644445</v>
      </c>
      <c r="BS59" s="202">
        <v>2.3469491467037411E-2</v>
      </c>
      <c r="BT59" s="202">
        <v>-0.74914362817050484</v>
      </c>
      <c r="BU59" s="202">
        <v>0.75344947488395619</v>
      </c>
      <c r="BV59" s="202">
        <v>0.96497650944627134</v>
      </c>
      <c r="BW59" s="202">
        <v>1.1068756719431696</v>
      </c>
      <c r="BX59" s="202">
        <v>0.1760975520756525</v>
      </c>
      <c r="BY59" s="202">
        <v>0.53034676692919847</v>
      </c>
      <c r="BZ59" s="202">
        <v>-0.49377665687007199</v>
      </c>
      <c r="CA59" s="202">
        <v>0.55048253698308514</v>
      </c>
      <c r="CB59" s="202">
        <v>0.83675747969982639</v>
      </c>
      <c r="CC59" s="202">
        <v>0.4053236029512528</v>
      </c>
      <c r="CD59" s="202">
        <v>0.37032656162068289</v>
      </c>
      <c r="CE59" s="202">
        <v>0.19999999999999696</v>
      </c>
      <c r="CF59" s="202">
        <v>0.64370179948584483</v>
      </c>
      <c r="CG59" s="202">
        <v>0.2</v>
      </c>
      <c r="CH59" s="202">
        <v>0.38555772040840125</v>
      </c>
      <c r="CI59" s="202">
        <v>0.20845446275222368</v>
      </c>
      <c r="CJ59" s="202">
        <v>-0.45491258871003803</v>
      </c>
      <c r="CK59" s="202">
        <v>0.31686058519822585</v>
      </c>
      <c r="CL59" s="202">
        <v>0.3376305662438841</v>
      </c>
      <c r="CM59" s="202">
        <v>9.9977597851062638E-2</v>
      </c>
      <c r="CN59" s="202">
        <v>0.73899386265764599</v>
      </c>
      <c r="CO59" s="202">
        <v>-2.1966858356053644E-2</v>
      </c>
      <c r="CP59" s="202">
        <v>0.20000000000000356</v>
      </c>
      <c r="CQ59" s="202">
        <v>0.2</v>
      </c>
      <c r="CR59" s="201">
        <v>0.2</v>
      </c>
      <c r="CS59" s="201">
        <v>-0.10782199568713235</v>
      </c>
      <c r="CT59" s="201">
        <v>0.49999999999998612</v>
      </c>
      <c r="CU59" s="201">
        <v>1.6311284758693276</v>
      </c>
      <c r="CV59" s="201">
        <v>0</v>
      </c>
      <c r="CW59" s="201">
        <v>0</v>
      </c>
      <c r="CX59" s="201">
        <v>0</v>
      </c>
      <c r="CY59" s="201">
        <v>0.25156612242884624</v>
      </c>
      <c r="CZ59" s="201">
        <v>6.8097876269635746E-2</v>
      </c>
      <c r="DA59" s="201">
        <v>0.1283198018439137</v>
      </c>
      <c r="DB59" s="201">
        <v>0.36571108498629423</v>
      </c>
      <c r="DC59" s="201">
        <v>0.11870180260339104</v>
      </c>
      <c r="DD59" s="201">
        <v>0.19577636562039891</v>
      </c>
      <c r="DE59" s="201">
        <v>0.39083523411654514</v>
      </c>
      <c r="DF59" s="201">
        <v>0.15480365210248634</v>
      </c>
      <c r="DG59" s="201">
        <v>0.16141337111221588</v>
      </c>
      <c r="DH59" s="201">
        <v>0.2133642955062946</v>
      </c>
      <c r="DI59" s="201">
        <v>0.45319872125630917</v>
      </c>
      <c r="DJ59" s="201">
        <v>0.1546502225989575</v>
      </c>
      <c r="DK59" s="201">
        <v>0.1359358841554047</v>
      </c>
      <c r="DL59" s="201">
        <v>-8.4821183756270568E-2</v>
      </c>
      <c r="DM59" s="201">
        <v>0.69446635659818523</v>
      </c>
      <c r="DN59" s="201">
        <v>0.60358665004161871</v>
      </c>
      <c r="DO59" s="201">
        <v>0.86040941421741435</v>
      </c>
      <c r="DP59" s="201">
        <v>0</v>
      </c>
      <c r="DQ59" s="201">
        <v>0.22060100436756441</v>
      </c>
      <c r="DR59" s="201">
        <v>0.30788817677280711</v>
      </c>
      <c r="DS59" s="201">
        <v>0.24265605563852422</v>
      </c>
      <c r="DT59" s="201">
        <v>0.18219059461305231</v>
      </c>
      <c r="DU59" s="201">
        <v>0.30848108227945559</v>
      </c>
      <c r="DV59" s="201">
        <v>0.19884157512676728</v>
      </c>
      <c r="DW59" s="201">
        <v>0.26355342827982337</v>
      </c>
      <c r="DX59" s="201">
        <v>0.25719084314865037</v>
      </c>
      <c r="DY59" s="201">
        <v>2.8359358387907587</v>
      </c>
      <c r="DZ59" s="201">
        <v>-1.4551965389657333</v>
      </c>
      <c r="EA59" s="201">
        <v>0.27205813694777192</v>
      </c>
      <c r="EB59" s="201">
        <v>0.31434580504811988</v>
      </c>
      <c r="EC59" s="201">
        <v>0.25938635119047876</v>
      </c>
      <c r="ED59" s="201">
        <v>0.25791647149979458</v>
      </c>
      <c r="EE59" s="201">
        <v>0.26413913183249793</v>
      </c>
      <c r="EF59" s="201">
        <v>0.19429879489292226</v>
      </c>
      <c r="EG59" s="201">
        <v>0.19630958574202939</v>
      </c>
      <c r="EH59" s="201">
        <v>9.9907728984747729E-2</v>
      </c>
      <c r="EI59" s="201">
        <v>0</v>
      </c>
      <c r="EJ59" s="201">
        <v>0</v>
      </c>
      <c r="EK59" s="201">
        <v>0</v>
      </c>
      <c r="EL59" s="201">
        <v>0</v>
      </c>
      <c r="EM59" s="201">
        <v>0.20790472805095181</v>
      </c>
      <c r="EN59" s="201">
        <v>0.12149326264696565</v>
      </c>
      <c r="EO59" s="201">
        <v>0.26341430668203469</v>
      </c>
      <c r="EP59" s="201">
        <v>0.20059928145758776</v>
      </c>
      <c r="EQ59" s="201">
        <v>0.48574504670489682</v>
      </c>
      <c r="ER59" s="201">
        <v>0.29609607375325681</v>
      </c>
      <c r="ES59" s="201">
        <v>-3.4045282009351016E-2</v>
      </c>
      <c r="ET59" s="204">
        <v>3.0727055890209166E-2</v>
      </c>
      <c r="EU59" s="204">
        <v>-4.8506339865710249E-2</v>
      </c>
      <c r="EV59" s="204">
        <v>0.56044632491024937</v>
      </c>
      <c r="EW59" s="204">
        <v>-0.14122344147176702</v>
      </c>
      <c r="EX59" s="204">
        <v>0.19691358108057852</v>
      </c>
      <c r="EY59" s="204">
        <v>0.19542092391706978</v>
      </c>
      <c r="EZ59" s="204">
        <v>0.2358719217211053</v>
      </c>
      <c r="FA59" s="204">
        <v>0.25485869690778046</v>
      </c>
      <c r="FB59" s="204">
        <v>0.20101157931231844</v>
      </c>
      <c r="FC59" s="204">
        <v>0.26470559778832153</v>
      </c>
      <c r="FD59" s="204">
        <v>0.2631440528773521</v>
      </c>
      <c r="FE59" s="204">
        <v>0.23492126197953572</v>
      </c>
      <c r="FF59" s="204">
        <v>0.209511778750504</v>
      </c>
      <c r="FG59" s="204">
        <v>0.19748085562827816</v>
      </c>
      <c r="FH59" s="204">
        <v>0.23629761973382848</v>
      </c>
      <c r="FI59" s="204"/>
      <c r="FJ59" s="204"/>
      <c r="FK59" s="204"/>
      <c r="FL59" s="204"/>
      <c r="FM59" s="204"/>
      <c r="FN59" s="204"/>
      <c r="FO59" s="204">
        <v>-1.4845160256524623</v>
      </c>
      <c r="FP59" s="204">
        <v>5.0514151878924345</v>
      </c>
      <c r="FU59" s="230"/>
    </row>
    <row r="60" spans="2:180" ht="12.5" x14ac:dyDescent="0.25">
      <c r="B60" s="229">
        <v>26</v>
      </c>
      <c r="C60" s="1982" t="s">
        <v>185</v>
      </c>
      <c r="D60" s="199">
        <v>26</v>
      </c>
      <c r="E60" s="205">
        <f>'SOUTH-2'!$N$110</f>
        <v>-100</v>
      </c>
      <c r="F60" s="1890">
        <v>0.26376977009094554</v>
      </c>
      <c r="G60" s="1890">
        <v>0.74888696040792879</v>
      </c>
      <c r="H60" s="1890">
        <v>0.84096194038711813</v>
      </c>
      <c r="I60" s="1890">
        <v>5.8436273332777705E-2</v>
      </c>
      <c r="J60" s="1890">
        <v>0.48762687496255264</v>
      </c>
      <c r="K60" s="1890">
        <v>0.46874377682561924</v>
      </c>
      <c r="L60" s="205">
        <v>0.29580931660648602</v>
      </c>
      <c r="M60" s="205">
        <v>-0.32497651788007442</v>
      </c>
      <c r="N60" s="205">
        <v>1.3241399892897039</v>
      </c>
      <c r="O60" s="202">
        <v>1.7938334102489895</v>
      </c>
      <c r="P60" s="202">
        <v>2.2816645296123563</v>
      </c>
      <c r="Q60" s="202">
        <v>2.2380880297229702</v>
      </c>
      <c r="R60" s="202">
        <v>2.0306834583518647</v>
      </c>
      <c r="S60" s="202">
        <v>0.86447836714724435</v>
      </c>
      <c r="T60" s="202">
        <v>0.18867902093633027</v>
      </c>
      <c r="U60" s="202">
        <v>1.0006453835859894</v>
      </c>
      <c r="V60" s="202">
        <v>0.88892271420604774</v>
      </c>
      <c r="W60" s="202">
        <v>1.24690890808223</v>
      </c>
      <c r="X60" s="202">
        <v>0.69046255232839393</v>
      </c>
      <c r="Y60" s="202">
        <v>0.3849824330143975</v>
      </c>
      <c r="Z60" s="202">
        <v>1.2623429305153093</v>
      </c>
      <c r="AA60" s="202">
        <v>0.20784759872275013</v>
      </c>
      <c r="AB60" s="202">
        <v>0.1683112730662327</v>
      </c>
      <c r="AC60" s="202">
        <v>1.25</v>
      </c>
      <c r="AD60" s="202">
        <v>-4.4278790406192996E-3</v>
      </c>
      <c r="AE60" s="202">
        <v>1.4206094115125736</v>
      </c>
      <c r="AF60" s="202">
        <v>0.18835032980776739</v>
      </c>
      <c r="AG60" s="202">
        <v>2.0281241128472209</v>
      </c>
      <c r="AH60" s="202">
        <v>6.0251406772487934</v>
      </c>
      <c r="AI60" s="202">
        <v>-0.61960310861271595</v>
      </c>
      <c r="AJ60" s="202">
        <v>0.87389789140860963</v>
      </c>
      <c r="AK60" s="202">
        <v>2.3694855263237247</v>
      </c>
      <c r="AL60" s="202">
        <v>2.3844101243949392</v>
      </c>
      <c r="AM60" s="202">
        <v>2.8088727680723036</v>
      </c>
      <c r="AN60" s="202">
        <v>1.7282740037516291</v>
      </c>
      <c r="AO60" s="202">
        <v>4.8310709721144498</v>
      </c>
      <c r="AP60" s="202">
        <v>5.10393787965676</v>
      </c>
      <c r="AQ60" s="202">
        <v>5.773717692819945</v>
      </c>
      <c r="AR60" s="202">
        <v>3.499999999999992</v>
      </c>
      <c r="AS60" s="202">
        <v>3.0024547074181189</v>
      </c>
      <c r="AT60" s="202">
        <v>5.1674067076762</v>
      </c>
      <c r="AU60" s="202">
        <v>5.201042732416461</v>
      </c>
      <c r="AV60" s="202">
        <v>4.9106757036135837</v>
      </c>
      <c r="AW60" s="202"/>
      <c r="AX60" s="202">
        <v>5.4317354829625</v>
      </c>
      <c r="AY60" s="202">
        <v>5.8070527712826276</v>
      </c>
      <c r="AZ60" s="202">
        <v>4.5764774056816098</v>
      </c>
      <c r="BA60" s="202">
        <v>5.14968047011872</v>
      </c>
      <c r="BB60" s="202">
        <v>6.2046799154237045</v>
      </c>
      <c r="BC60" s="202">
        <v>1.1067255602157795</v>
      </c>
      <c r="BD60" s="202">
        <v>0.95101634871038176</v>
      </c>
      <c r="BE60" s="202">
        <v>8.4268799486760351</v>
      </c>
      <c r="BF60" s="202">
        <v>7.9663315671558559</v>
      </c>
      <c r="BG60" s="202">
        <v>3.2489764744472649</v>
      </c>
      <c r="BH60" s="202">
        <v>0.56422098607088478</v>
      </c>
      <c r="BI60" s="202">
        <v>-0.21343822590794162</v>
      </c>
      <c r="BJ60" s="202"/>
      <c r="BK60" s="202">
        <v>1.5895815375284374</v>
      </c>
      <c r="BL60" s="202">
        <v>0.89618474586112828</v>
      </c>
      <c r="BM60" s="202">
        <v>1.8407484602739717</v>
      </c>
      <c r="BN60" s="202">
        <v>0.26420148632017826</v>
      </c>
      <c r="BO60" s="202">
        <v>1.9022195128797468</v>
      </c>
      <c r="BP60" s="202">
        <v>0.49451434442267145</v>
      </c>
      <c r="BQ60" s="202">
        <v>1.8634088919100824</v>
      </c>
      <c r="BR60" s="202">
        <v>-2.3328646702791649</v>
      </c>
      <c r="BS60" s="202">
        <v>-2.0522078980788736</v>
      </c>
      <c r="BT60" s="202">
        <v>2.4860748673812556E-2</v>
      </c>
      <c r="BU60" s="202">
        <v>0.54195596504055088</v>
      </c>
      <c r="BV60" s="202">
        <v>1.2597922630267635</v>
      </c>
      <c r="BW60" s="202">
        <v>1.1585620784365445</v>
      </c>
      <c r="BX60" s="202">
        <v>1.4580558424033305</v>
      </c>
      <c r="BY60" s="202">
        <v>0.23978454352175654</v>
      </c>
      <c r="BZ60" s="202">
        <v>2.1331182474506725</v>
      </c>
      <c r="CA60" s="202">
        <v>4.4335024838939043</v>
      </c>
      <c r="CB60" s="202">
        <v>8.6452407467115897</v>
      </c>
      <c r="CC60" s="202">
        <v>0.68915483483861073</v>
      </c>
      <c r="CD60" s="202">
        <v>2.0263937812027182</v>
      </c>
      <c r="CE60" s="202">
        <v>8.6500909987983515E-2</v>
      </c>
      <c r="CF60" s="202">
        <v>-0.65365815611870481</v>
      </c>
      <c r="CG60" s="202">
        <v>0.78569441475596136</v>
      </c>
      <c r="CH60" s="202">
        <v>0.90663730713048363</v>
      </c>
      <c r="CI60" s="202">
        <v>1.3621571760330748</v>
      </c>
      <c r="CJ60" s="202">
        <v>8.3919612275508454E-2</v>
      </c>
      <c r="CK60" s="202">
        <v>0.99372809398414719</v>
      </c>
      <c r="CL60" s="202">
        <v>0.94273537887023218</v>
      </c>
      <c r="CM60" s="202">
        <v>0.49505488452423424</v>
      </c>
      <c r="CN60" s="202">
        <v>1.2448581470592543</v>
      </c>
      <c r="CO60" s="202">
        <v>0.1879518292754141</v>
      </c>
      <c r="CP60" s="202">
        <v>0.87804678344615117</v>
      </c>
      <c r="CQ60" s="202">
        <v>0.91424379014899237</v>
      </c>
      <c r="CR60" s="201">
        <v>-0.17531637860746832</v>
      </c>
      <c r="CS60" s="201">
        <v>2.6140918135731628</v>
      </c>
      <c r="CT60" s="201">
        <v>2.3975488702007914</v>
      </c>
      <c r="CU60" s="201">
        <v>0.30713839461296244</v>
      </c>
      <c r="CV60" s="201">
        <v>2.3999999999999964</v>
      </c>
      <c r="CW60" s="201">
        <v>2.7968031582420489</v>
      </c>
      <c r="CX60" s="201">
        <v>0.10403657982838539</v>
      </c>
      <c r="CY60" s="201">
        <v>-0.56443744661459105</v>
      </c>
      <c r="CZ60" s="201">
        <v>-0.3085488434355087</v>
      </c>
      <c r="DA60" s="201">
        <v>-0.24719291415538741</v>
      </c>
      <c r="DB60" s="201">
        <v>-0.10734951896425131</v>
      </c>
      <c r="DC60" s="201">
        <v>-0.25022641748577251</v>
      </c>
      <c r="DD60" s="201">
        <v>9.1926994082633662E-2</v>
      </c>
      <c r="DE60" s="201">
        <v>0.20452932373667515</v>
      </c>
      <c r="DF60" s="201">
        <v>0.38125410683726429</v>
      </c>
      <c r="DG60" s="201">
        <v>0.43750972707057034</v>
      </c>
      <c r="DH60" s="201">
        <v>0.51336501125992462</v>
      </c>
      <c r="DI60" s="201">
        <v>0.75248674418559303</v>
      </c>
      <c r="DJ60" s="201">
        <v>0.36515879323504419</v>
      </c>
      <c r="DK60" s="201">
        <v>0.43080400338742864</v>
      </c>
      <c r="DL60" s="201">
        <v>0.19783659247703581</v>
      </c>
      <c r="DM60" s="201">
        <v>0.92456518349843586</v>
      </c>
      <c r="DN60" s="201">
        <v>0.90760760364307325</v>
      </c>
      <c r="DO60" s="201">
        <v>1.0875786098350724</v>
      </c>
      <c r="DP60" s="201">
        <v>0.17924410122057041</v>
      </c>
      <c r="DQ60" s="201">
        <v>0.39524443553704069</v>
      </c>
      <c r="DR60" s="201">
        <v>0.45366785894206724</v>
      </c>
      <c r="DS60" s="201">
        <v>0.56878943825470862</v>
      </c>
      <c r="DT60" s="201">
        <v>0.32381196353032193</v>
      </c>
      <c r="DU60" s="201">
        <v>0.40777285437055089</v>
      </c>
      <c r="DV60" s="201">
        <v>0.46194568406483072</v>
      </c>
      <c r="DW60" s="201">
        <v>0.3113253784619015</v>
      </c>
      <c r="DX60" s="201">
        <v>0.35265353129071125</v>
      </c>
      <c r="DY60" s="201">
        <v>3.2293451059357006</v>
      </c>
      <c r="DZ60" s="201">
        <v>-2.6330934784432571</v>
      </c>
      <c r="EA60" s="201">
        <v>0.57159929542327126</v>
      </c>
      <c r="EB60" s="201">
        <v>0.33475982693746897</v>
      </c>
      <c r="EC60" s="201">
        <v>0.31465680530406476</v>
      </c>
      <c r="ED60" s="201">
        <v>0.37643632153004769</v>
      </c>
      <c r="EE60" s="201">
        <v>0.25598903611947027</v>
      </c>
      <c r="EF60" s="201">
        <v>0.22280763623993005</v>
      </c>
      <c r="EG60" s="201">
        <v>0.30493684863645482</v>
      </c>
      <c r="EH60" s="201">
        <v>0.16323830688543617</v>
      </c>
      <c r="EI60" s="201">
        <v>-4.333030516143576E-2</v>
      </c>
      <c r="EJ60" s="201">
        <v>1.0310341272280163E-2</v>
      </c>
      <c r="EK60" s="201">
        <v>-0.59768344548532071</v>
      </c>
      <c r="EL60" s="201">
        <v>-0.30992063187351576</v>
      </c>
      <c r="EM60" s="201">
        <v>2.4583206018704677</v>
      </c>
      <c r="EN60" s="180"/>
      <c r="EO60" s="180"/>
      <c r="EP60" s="180"/>
      <c r="EQ60" s="180"/>
      <c r="ER60" s="180"/>
      <c r="ES60" s="180"/>
      <c r="ET60" s="214"/>
      <c r="EU60" s="214"/>
      <c r="EV60" s="214"/>
      <c r="EW60" s="214"/>
      <c r="EX60" s="214"/>
      <c r="EY60" s="214"/>
      <c r="EZ60" s="214"/>
      <c r="FA60" s="214"/>
      <c r="FB60" s="214"/>
      <c r="FC60" s="214"/>
    </row>
    <row r="61" spans="2:180" ht="14" x14ac:dyDescent="0.3">
      <c r="B61" s="229">
        <v>6</v>
      </c>
      <c r="C61" s="1892" t="s">
        <v>165</v>
      </c>
      <c r="D61" s="199">
        <v>6</v>
      </c>
      <c r="E61" s="1436">
        <f>'NORTH-2'!$N$412</f>
        <v>-100</v>
      </c>
      <c r="F61" s="1890">
        <v>0.13390458209222211</v>
      </c>
      <c r="G61" s="1890">
        <v>-4.5535303020455525E-2</v>
      </c>
      <c r="H61" s="1890">
        <v>-0.81566207373485344</v>
      </c>
      <c r="I61" s="1890">
        <v>0</v>
      </c>
      <c r="J61" s="1890">
        <v>0</v>
      </c>
      <c r="K61" s="1890">
        <v>0</v>
      </c>
      <c r="L61" s="205">
        <v>0</v>
      </c>
      <c r="M61" s="205">
        <v>0</v>
      </c>
      <c r="N61" s="205">
        <v>0</v>
      </c>
      <c r="O61" s="202">
        <v>-1.0363356610249292</v>
      </c>
      <c r="P61" s="202">
        <v>0.10729389811526581</v>
      </c>
      <c r="Q61" s="202">
        <v>-0.36563662837696881</v>
      </c>
      <c r="R61" s="202">
        <v>-0.13195867903136069</v>
      </c>
      <c r="S61" s="202">
        <v>6.8308010105980407E-2</v>
      </c>
      <c r="T61" s="202">
        <v>0.16335096668512553</v>
      </c>
      <c r="U61" s="202">
        <v>0.10815222173337559</v>
      </c>
      <c r="V61" s="202">
        <v>-9.2581943646004139E-2</v>
      </c>
      <c r="W61" s="202">
        <v>-9.3632423253627153E-2</v>
      </c>
      <c r="X61" s="202">
        <v>0.11383854750776064</v>
      </c>
      <c r="Y61" s="202">
        <v>0.28773455645433854</v>
      </c>
      <c r="Z61" s="202">
        <v>-1.3267464889833878E-2</v>
      </c>
      <c r="AA61" s="202">
        <v>-0.13564661673067965</v>
      </c>
      <c r="AB61" s="202">
        <v>-0.23698502560294149</v>
      </c>
      <c r="AC61" s="202">
        <v>0.56999999999999995</v>
      </c>
      <c r="AD61" s="202">
        <v>-0.39504007329852536</v>
      </c>
      <c r="AE61" s="202">
        <v>9.4252646111282201E-2</v>
      </c>
      <c r="AF61" s="202">
        <v>6.6169497003196465E-2</v>
      </c>
      <c r="AG61" s="202">
        <v>0.26963143814637236</v>
      </c>
      <c r="AH61" s="202">
        <v>0.49409298143546559</v>
      </c>
      <c r="AI61" s="202">
        <v>0.38287780548146605</v>
      </c>
      <c r="AJ61" s="202">
        <v>-0.18943795138401268</v>
      </c>
      <c r="AK61" s="202">
        <v>-0.18674739395222642</v>
      </c>
      <c r="AL61" s="202">
        <v>-0.54225010809113827</v>
      </c>
      <c r="AM61" s="202">
        <v>-0.34936628023483962</v>
      </c>
      <c r="AN61" s="202">
        <v>2.8508971195803548E-2</v>
      </c>
      <c r="AO61" s="202">
        <v>0.30256586209054936</v>
      </c>
      <c r="AP61" s="202">
        <v>0.33454402637634756</v>
      </c>
      <c r="AQ61" s="202">
        <v>0.51078146505579047</v>
      </c>
      <c r="AR61" s="202">
        <v>0.1</v>
      </c>
      <c r="AS61" s="202">
        <v>1.3283288316762976</v>
      </c>
      <c r="AT61" s="202">
        <v>-0.17535675082329158</v>
      </c>
      <c r="AU61" s="202">
        <v>0.15955601803715491</v>
      </c>
      <c r="AV61" s="202">
        <v>0.18961625282139014</v>
      </c>
      <c r="AW61" s="202"/>
      <c r="AX61" s="202">
        <v>0.2351994382025463</v>
      </c>
      <c r="AY61" s="202">
        <v>0.23266604303065677</v>
      </c>
      <c r="AZ61" s="202">
        <v>0.28499875363549837</v>
      </c>
      <c r="BA61" s="202">
        <v>0.26522191400829309</v>
      </c>
      <c r="BB61" s="202">
        <v>0.2780645161290119</v>
      </c>
      <c r="BC61" s="202">
        <v>0.36984679665736164</v>
      </c>
      <c r="BD61" s="202">
        <v>0.23977181745394455</v>
      </c>
      <c r="BE61" s="202">
        <v>0.27564154456407353</v>
      </c>
      <c r="BF61" s="202">
        <v>0.26388968894009218</v>
      </c>
      <c r="BG61" s="202">
        <v>0.22965890978640827</v>
      </c>
      <c r="BH61" s="202">
        <v>0.25477616747180765</v>
      </c>
      <c r="BI61" s="202">
        <v>0.24821889519874896</v>
      </c>
      <c r="BJ61" s="202"/>
      <c r="BK61" s="202">
        <v>2.0925943237488826E-2</v>
      </c>
      <c r="BL61" s="202">
        <v>0.30852662192391983</v>
      </c>
      <c r="BM61" s="202">
        <v>-0.68031120142745094</v>
      </c>
      <c r="BN61" s="202">
        <v>-0.14284277572913173</v>
      </c>
      <c r="BO61" s="202">
        <v>-0.11468442811172493</v>
      </c>
      <c r="BP61" s="202">
        <v>-9.7031203566020824E-2</v>
      </c>
      <c r="BQ61" s="202">
        <v>-0.2056170583115515</v>
      </c>
      <c r="BR61" s="202">
        <v>-0.26421099392338265</v>
      </c>
      <c r="BS61" s="202">
        <v>-0.34948693525555824</v>
      </c>
      <c r="BT61" s="202">
        <v>-0.49282767049620163</v>
      </c>
      <c r="BU61" s="202">
        <v>0.2076761407714611</v>
      </c>
      <c r="BV61" s="202">
        <v>-0.58063150860376256</v>
      </c>
      <c r="BW61" s="202">
        <v>-0.68490886998789458</v>
      </c>
      <c r="BX61" s="202">
        <v>0.60032338674130792</v>
      </c>
      <c r="BY61" s="202">
        <v>0.15222063037249284</v>
      </c>
      <c r="BZ61" s="202">
        <v>0.16347289074561802</v>
      </c>
      <c r="CA61" s="202">
        <v>-3.3967391304347823</v>
      </c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1"/>
      <c r="CS61" s="201"/>
      <c r="CT61" s="201"/>
      <c r="CU61" s="201"/>
      <c r="CV61" s="201"/>
      <c r="CW61" s="201"/>
      <c r="CX61" s="201"/>
      <c r="CY61" s="201"/>
      <c r="CZ61" s="201"/>
      <c r="DA61" s="201"/>
      <c r="DB61" s="201"/>
      <c r="DC61" s="201"/>
      <c r="DD61" s="201"/>
      <c r="DE61" s="201"/>
      <c r="DF61" s="201"/>
      <c r="DG61" s="201"/>
      <c r="DH61" s="201"/>
      <c r="DI61" s="201"/>
      <c r="DJ61" s="201"/>
      <c r="DK61" s="201"/>
      <c r="DL61" s="201"/>
      <c r="DM61" s="201"/>
      <c r="DN61" s="201"/>
      <c r="DO61" s="201"/>
      <c r="DP61" s="201"/>
      <c r="DQ61" s="201"/>
      <c r="DR61" s="201"/>
      <c r="DS61" s="201"/>
      <c r="DT61" s="201"/>
      <c r="DU61" s="201"/>
      <c r="DV61" s="201"/>
      <c r="DW61" s="201"/>
      <c r="DX61" s="201"/>
      <c r="DY61" s="201"/>
      <c r="DZ61" s="201"/>
      <c r="EA61" s="201"/>
      <c r="EB61" s="201"/>
      <c r="EC61" s="201"/>
      <c r="ED61" s="201"/>
      <c r="EE61" s="201"/>
      <c r="EF61" s="201"/>
      <c r="EG61" s="201"/>
      <c r="EH61" s="201"/>
      <c r="EI61" s="201"/>
      <c r="EJ61" s="201"/>
      <c r="EK61" s="201"/>
      <c r="EL61" s="201"/>
      <c r="EM61" s="201"/>
      <c r="EN61" s="201"/>
      <c r="EO61" s="201"/>
      <c r="EP61" s="201"/>
      <c r="EQ61" s="201"/>
      <c r="ER61" s="201"/>
      <c r="ES61" s="201"/>
      <c r="ET61" s="204"/>
      <c r="EU61" s="204"/>
      <c r="EV61" s="204"/>
      <c r="EW61" s="204"/>
      <c r="EX61" s="204"/>
      <c r="EY61" s="204"/>
      <c r="EZ61" s="204"/>
      <c r="FA61" s="204"/>
      <c r="FB61" s="204"/>
      <c r="FC61" s="204"/>
      <c r="FD61" s="204"/>
      <c r="FE61" s="204"/>
      <c r="FF61" s="204"/>
      <c r="FG61" s="204"/>
      <c r="FH61" s="204"/>
      <c r="FI61" s="204"/>
      <c r="FJ61" s="204"/>
      <c r="FK61" s="204"/>
      <c r="FL61" s="204"/>
      <c r="FM61" s="204"/>
      <c r="FN61" s="204"/>
      <c r="FO61" s="204"/>
      <c r="FP61" s="204"/>
      <c r="FU61" s="230"/>
    </row>
    <row r="62" spans="2:180" ht="15" customHeight="1" x14ac:dyDescent="0.25">
      <c r="B62" s="229">
        <v>7</v>
      </c>
      <c r="C62" s="1962" t="s">
        <v>166</v>
      </c>
      <c r="D62" s="199">
        <v>7</v>
      </c>
      <c r="E62" s="205">
        <f>'NORTH-2'!$N$448</f>
        <v>-100</v>
      </c>
      <c r="F62" s="1890">
        <v>2.8384423642244685</v>
      </c>
      <c r="G62" s="1890">
        <v>2.5008988057609103</v>
      </c>
      <c r="H62" s="1890">
        <v>1.699112360372159</v>
      </c>
      <c r="I62" s="1890">
        <v>2.0610376436237363</v>
      </c>
      <c r="J62" s="1890">
        <v>2.2343120054475425</v>
      </c>
      <c r="K62" s="1890">
        <v>2.3384242573175751</v>
      </c>
      <c r="L62" s="205">
        <v>2.347093394449391</v>
      </c>
      <c r="M62" s="205">
        <v>2.0475746313114875</v>
      </c>
      <c r="N62" s="205">
        <v>2.3379747710325942</v>
      </c>
      <c r="O62" s="202">
        <v>0.32345648360161933</v>
      </c>
      <c r="P62" s="202">
        <v>2.2679695224702758</v>
      </c>
      <c r="Q62" s="202">
        <v>2.4220058729000038</v>
      </c>
      <c r="R62" s="202">
        <v>1.9834138922071114</v>
      </c>
      <c r="S62" s="202">
        <v>2.739206327181066</v>
      </c>
      <c r="T62" s="202">
        <v>2.9709773854231716</v>
      </c>
      <c r="U62" s="202">
        <v>1.8348774237885126</v>
      </c>
      <c r="V62" s="202">
        <v>2.1673874056129869</v>
      </c>
      <c r="W62" s="202">
        <v>2.1647102948071391</v>
      </c>
      <c r="X62" s="202">
        <v>1.4999999999999603</v>
      </c>
      <c r="Y62" s="202">
        <v>1.8315152810040476</v>
      </c>
      <c r="Z62" s="202">
        <v>2.4275391734997331</v>
      </c>
      <c r="AA62" s="202">
        <v>2.0000000000000089</v>
      </c>
      <c r="AB62" s="202">
        <v>3.4947610004491829</v>
      </c>
      <c r="AC62" s="202">
        <v>3.16</v>
      </c>
      <c r="AD62" s="202">
        <v>2.0348145371175281</v>
      </c>
      <c r="AE62" s="202">
        <v>3.5082656107694503</v>
      </c>
      <c r="AF62" s="202">
        <v>1.8489080210580027</v>
      </c>
      <c r="AG62" s="202">
        <v>2.9357115082655874</v>
      </c>
      <c r="AH62" s="202">
        <v>1.6920036301227581</v>
      </c>
      <c r="AI62" s="202">
        <v>3.0068562305102553</v>
      </c>
      <c r="AJ62" s="202">
        <v>3.8868833981830746</v>
      </c>
      <c r="AK62" s="202">
        <v>2.8055954373830843</v>
      </c>
      <c r="AL62" s="202">
        <v>1.3003351968926222</v>
      </c>
      <c r="AM62" s="202">
        <v>2.6145393508122829</v>
      </c>
      <c r="AN62" s="202">
        <v>2.3911277938890088</v>
      </c>
      <c r="AO62" s="202">
        <v>1.6172501868937348</v>
      </c>
      <c r="AP62" s="202">
        <v>1.7122588938496743</v>
      </c>
      <c r="AQ62" s="202">
        <v>0.36356164210587272</v>
      </c>
      <c r="AR62" s="202">
        <v>-1.6244170550722665</v>
      </c>
      <c r="AS62" s="202">
        <v>0.41127704854743558</v>
      </c>
      <c r="AT62" s="202">
        <v>2.8168900283465321</v>
      </c>
      <c r="AU62" s="202">
        <v>2.941169167065774</v>
      </c>
      <c r="AV62" s="202">
        <v>0.46282026508612267</v>
      </c>
      <c r="AW62" s="202"/>
      <c r="AX62" s="202">
        <v>0.20000000000002116</v>
      </c>
      <c r="AY62" s="202">
        <v>0.30000000000002802</v>
      </c>
      <c r="AZ62" s="202">
        <v>0.91536853263899776</v>
      </c>
      <c r="BA62" s="202">
        <v>1.071539843386009</v>
      </c>
      <c r="BB62" s="202">
        <v>-0.50000000000001765</v>
      </c>
      <c r="BC62" s="202">
        <v>-0.54746262200000984</v>
      </c>
      <c r="BD62" s="202">
        <v>1.6970571781899777</v>
      </c>
      <c r="BE62" s="202">
        <v>1.3281584919999878</v>
      </c>
      <c r="BF62" s="202">
        <v>0.63688058027638184</v>
      </c>
      <c r="BG62" s="202">
        <v>1.1824657347136134</v>
      </c>
      <c r="BH62" s="202">
        <v>0.25206733419918304</v>
      </c>
      <c r="BI62" s="202">
        <v>0.56270440824600487</v>
      </c>
      <c r="BJ62" s="202"/>
      <c r="BK62" s="202">
        <v>1.1642945693757716</v>
      </c>
      <c r="BL62" s="202">
        <v>0.8877994841382183</v>
      </c>
      <c r="BM62" s="202">
        <v>1.8421058230226657</v>
      </c>
      <c r="BN62" s="202">
        <v>3.4313262931858692</v>
      </c>
      <c r="BO62" s="202">
        <v>3.6541761066538667</v>
      </c>
      <c r="BP62" s="202">
        <v>3.3827073390285429</v>
      </c>
      <c r="BQ62" s="202">
        <v>2.815031850708658</v>
      </c>
      <c r="BR62" s="202">
        <v>-4.7388839819495807</v>
      </c>
      <c r="BS62" s="202">
        <v>2.9856245695072938</v>
      </c>
      <c r="BT62" s="202">
        <v>2.544465891547369</v>
      </c>
      <c r="BU62" s="202">
        <v>3.8767579025580803</v>
      </c>
      <c r="BV62" s="202">
        <v>3.673843684319241</v>
      </c>
      <c r="BW62" s="202">
        <v>3.4806004844644676</v>
      </c>
      <c r="BX62" s="202">
        <v>2.5194837604416431</v>
      </c>
      <c r="BY62" s="202">
        <v>0.99999999999999833</v>
      </c>
      <c r="BZ62" s="202">
        <v>4.4325891521257166</v>
      </c>
      <c r="CA62" s="202">
        <v>0.12596392756979138</v>
      </c>
      <c r="CB62" s="202">
        <v>3.1269532684539039</v>
      </c>
      <c r="CC62" s="202">
        <v>3.3861383072772431</v>
      </c>
      <c r="CD62" s="202">
        <v>0.38083024887739997</v>
      </c>
      <c r="CE62" s="202">
        <v>1.055170706518449</v>
      </c>
      <c r="CF62" s="231">
        <v>3.3208703646859274</v>
      </c>
      <c r="CG62" s="231">
        <v>3.0237643628282034</v>
      </c>
      <c r="CH62" s="202">
        <v>2.3597480595889295</v>
      </c>
      <c r="CI62" s="202">
        <v>9.9999999999965238E-3</v>
      </c>
      <c r="CJ62" s="202">
        <v>2.7202340012948323</v>
      </c>
      <c r="CK62" s="202">
        <v>2.7679592053244284</v>
      </c>
      <c r="CL62" s="202">
        <v>2.5542628134741316</v>
      </c>
      <c r="CM62" s="202">
        <v>-3.1710107995217687</v>
      </c>
      <c r="CN62" s="202">
        <v>1.4836446038814775</v>
      </c>
      <c r="CO62" s="202">
        <v>1.9374981633901067</v>
      </c>
      <c r="CP62" s="202">
        <v>2.2103167369026919</v>
      </c>
      <c r="CQ62" s="202">
        <v>1.3028386209473666</v>
      </c>
      <c r="CR62" s="203">
        <v>3.6799906757212835</v>
      </c>
      <c r="CS62" s="203">
        <v>1.7488717992793896</v>
      </c>
      <c r="CT62" s="203">
        <v>0.9356615808728973</v>
      </c>
      <c r="CU62" s="203">
        <v>2.2067724362534404</v>
      </c>
      <c r="CV62" s="203">
        <v>1.2747019865995284</v>
      </c>
      <c r="CW62" s="203">
        <v>1.748355479824949</v>
      </c>
      <c r="CX62" s="203">
        <v>1.5816194522290827</v>
      </c>
      <c r="CY62" s="203">
        <v>1.2281753769211095</v>
      </c>
      <c r="CZ62" s="203">
        <v>2.8268558889225792</v>
      </c>
      <c r="DA62" s="203">
        <v>0.58919145272500295</v>
      </c>
      <c r="DB62" s="201">
        <v>1.0364637433340902</v>
      </c>
      <c r="DC62" s="201">
        <v>0.62727665271594013</v>
      </c>
      <c r="DD62" s="201">
        <v>3.5402068717382669</v>
      </c>
      <c r="DE62" s="201">
        <v>2.2577907005123032</v>
      </c>
      <c r="DF62" s="201">
        <v>1.9508108837061566</v>
      </c>
      <c r="DG62" s="201">
        <v>1.7469792199228138</v>
      </c>
      <c r="DH62" s="201">
        <v>1.9983976590349128</v>
      </c>
      <c r="DI62" s="201">
        <v>1.7910106124023515</v>
      </c>
      <c r="DJ62" s="201">
        <v>2.4424804670271225</v>
      </c>
      <c r="DK62" s="201">
        <v>1.816008597835796</v>
      </c>
      <c r="DL62" s="201">
        <v>1.6986347099689447</v>
      </c>
      <c r="DM62" s="201">
        <v>1.4768572524075576</v>
      </c>
      <c r="DN62" s="201">
        <v>1.4912577716950837</v>
      </c>
      <c r="DO62" s="201">
        <v>1.5112715366021745</v>
      </c>
      <c r="DP62" s="201">
        <v>1.24655842702931</v>
      </c>
      <c r="DQ62" s="201">
        <v>1.3575995901538795</v>
      </c>
      <c r="DR62" s="201">
        <v>1.4447289669447816</v>
      </c>
      <c r="DS62" s="201">
        <v>2.3600886308387565</v>
      </c>
      <c r="DT62" s="201">
        <v>2.819433734969865</v>
      </c>
      <c r="DU62" s="201">
        <v>1.8849134963292684</v>
      </c>
      <c r="DV62" s="201">
        <v>2.2541618215123784</v>
      </c>
      <c r="DW62" s="201">
        <v>3.2169279546352416</v>
      </c>
      <c r="DX62" s="201">
        <v>2.5418458239768538</v>
      </c>
      <c r="DY62" s="201">
        <v>5.1853449012404216</v>
      </c>
      <c r="DZ62" s="201">
        <v>0.52849355676465415</v>
      </c>
      <c r="EA62" s="201">
        <v>2.4401249056645065</v>
      </c>
      <c r="EB62" s="201">
        <v>2.3862109523131929</v>
      </c>
      <c r="EC62" s="201">
        <v>2.579170925528409</v>
      </c>
      <c r="ED62" s="201">
        <v>2.2764157799776483</v>
      </c>
      <c r="EE62" s="201">
        <v>1.4066070365016017</v>
      </c>
      <c r="EF62" s="201">
        <v>2.2246800601873007</v>
      </c>
      <c r="EG62" s="201">
        <v>2.2036199280063253</v>
      </c>
      <c r="EH62" s="201">
        <v>2.35730298802225</v>
      </c>
      <c r="EI62" s="201">
        <v>2.1340440110369086</v>
      </c>
      <c r="EJ62" s="206">
        <v>2.1357512338576727</v>
      </c>
      <c r="EK62" s="201">
        <v>2.0088055847771957</v>
      </c>
      <c r="EL62" s="201">
        <v>2.503820209872734</v>
      </c>
      <c r="EM62" s="201">
        <v>1.3990440893736376</v>
      </c>
      <c r="EN62" s="201">
        <v>1.512556442408119</v>
      </c>
      <c r="EO62" s="201">
        <v>1.7273356651797256</v>
      </c>
      <c r="EP62" s="201">
        <v>1.8479209521758231</v>
      </c>
      <c r="EQ62" s="201">
        <v>1.9279948573271717</v>
      </c>
      <c r="ER62" s="201">
        <v>1.5005774092955451</v>
      </c>
      <c r="ES62" s="201">
        <v>1.3194381303557647</v>
      </c>
      <c r="ET62" s="204">
        <v>1.5003507330826191</v>
      </c>
      <c r="EU62" s="204">
        <v>1.3135601481740709</v>
      </c>
      <c r="EV62" s="204">
        <v>2.0247260934936748</v>
      </c>
      <c r="EW62" s="204">
        <v>1.3249218033955017</v>
      </c>
      <c r="EX62" s="204">
        <v>1.7701297267845597</v>
      </c>
      <c r="EY62" s="204">
        <v>1.8554941374376923</v>
      </c>
      <c r="EZ62" s="204">
        <v>-0.62279056219139861</v>
      </c>
      <c r="FA62" s="204">
        <v>3.5515921344267078</v>
      </c>
      <c r="FB62" s="204">
        <v>3.5893186989854575</v>
      </c>
      <c r="FC62" s="204">
        <v>3.7895779949561987</v>
      </c>
      <c r="FD62" s="204">
        <v>5.7013916549101795</v>
      </c>
      <c r="FE62" s="204">
        <v>5.3954199643094833</v>
      </c>
      <c r="FF62" s="204">
        <v>2.5356051494442333</v>
      </c>
      <c r="FG62" s="204">
        <v>2.9877449234381968</v>
      </c>
      <c r="FH62" s="204">
        <v>3.7441181989563832</v>
      </c>
      <c r="FI62" s="204">
        <v>3.3541454367635612</v>
      </c>
      <c r="FJ62" s="204">
        <v>5.0422780986667899</v>
      </c>
      <c r="FK62" s="204">
        <v>3.7989239346058961</v>
      </c>
      <c r="FL62" s="204">
        <v>3.7477110934531148</v>
      </c>
      <c r="FM62" s="204">
        <v>2.5212574212258998</v>
      </c>
      <c r="FN62" s="204">
        <v>-1.4845160256524623</v>
      </c>
      <c r="FO62" s="204">
        <v>2.0541310125500143</v>
      </c>
      <c r="FP62" s="204">
        <v>1.9174275737756905</v>
      </c>
      <c r="FU62" s="230"/>
    </row>
    <row r="63" spans="2:180" ht="14" x14ac:dyDescent="0.3">
      <c r="B63" s="199">
        <v>39</v>
      </c>
      <c r="C63" s="1893" t="s">
        <v>198</v>
      </c>
      <c r="D63" s="199">
        <v>39</v>
      </c>
      <c r="E63" s="1436">
        <f>'SOUTH-2'!$N$942</f>
        <v>-100</v>
      </c>
      <c r="F63" s="1890">
        <v>9.1713152704498688E-2</v>
      </c>
      <c r="G63" s="1890">
        <v>7.9264100354718953E-2</v>
      </c>
      <c r="H63" s="1890">
        <v>0.16754174159961899</v>
      </c>
      <c r="I63" s="1890">
        <v>6.8020113524287343E-2</v>
      </c>
      <c r="J63" s="1890">
        <v>0.25021428637964926</v>
      </c>
      <c r="K63" s="1890">
        <v>-0.11308236666432726</v>
      </c>
      <c r="L63" s="205">
        <v>8.0582539650966734E-2</v>
      </c>
      <c r="M63" s="205">
        <v>0.32956202224900605</v>
      </c>
      <c r="N63" s="205">
        <v>0.23486131369303817</v>
      </c>
      <c r="O63" s="202">
        <v>0.24707939560446326</v>
      </c>
      <c r="P63" s="202">
        <v>0.25654366878565221</v>
      </c>
      <c r="Q63" s="202">
        <v>5.7593823098736584E-2</v>
      </c>
      <c r="R63" s="202">
        <v>2.3250101186672867E-2</v>
      </c>
      <c r="S63" s="202">
        <v>0.17062520404828058</v>
      </c>
      <c r="T63" s="202">
        <v>0.47776969323894242</v>
      </c>
      <c r="U63" s="202">
        <v>-0.63293732695884897</v>
      </c>
      <c r="V63" s="202">
        <v>0.20279245200753804</v>
      </c>
      <c r="W63" s="225">
        <v>0.31719593390022283</v>
      </c>
      <c r="X63" s="225">
        <v>0.3146658991069996</v>
      </c>
      <c r="Y63" s="225">
        <v>0.70816410800632756</v>
      </c>
      <c r="Z63" s="225">
        <v>0.58513840581035148</v>
      </c>
      <c r="AA63" s="225">
        <v>4.7154684381033407</v>
      </c>
      <c r="CQ63" s="162"/>
    </row>
    <row r="64" spans="2:180" ht="13" x14ac:dyDescent="0.25">
      <c r="B64" s="229">
        <v>8</v>
      </c>
      <c r="C64" s="1961" t="s">
        <v>167</v>
      </c>
      <c r="D64" s="199">
        <v>8</v>
      </c>
      <c r="E64" s="200">
        <f>'SOUTH-2'!$N$996</f>
        <v>-100</v>
      </c>
      <c r="F64" s="1889">
        <v>2.6914129115113674</v>
      </c>
      <c r="G64" s="1889">
        <v>2.6103328868950753</v>
      </c>
      <c r="H64" s="1889">
        <v>2.4999999999999933</v>
      </c>
      <c r="I64" s="1889">
        <v>-0.10250928970753109</v>
      </c>
      <c r="J64" s="1889">
        <v>2.2151136438405659</v>
      </c>
      <c r="K64" s="1889">
        <v>1.5173086231619302</v>
      </c>
      <c r="L64" s="200">
        <v>2.7243517643169306</v>
      </c>
      <c r="M64" s="200">
        <v>2.5552628331478671</v>
      </c>
      <c r="N64" s="200">
        <v>1.4740781643312655</v>
      </c>
      <c r="O64" s="201">
        <v>1.5064234476846925</v>
      </c>
      <c r="P64" s="202">
        <v>2.5483344854815666</v>
      </c>
      <c r="Q64" s="202">
        <v>1.3816031240748106</v>
      </c>
      <c r="R64" s="202">
        <v>1.2125930704252033</v>
      </c>
      <c r="S64" s="202">
        <v>9.3688627975067038E-2</v>
      </c>
      <c r="T64" s="202">
        <v>1.5396980120093782</v>
      </c>
      <c r="U64" s="202">
        <v>1.9149607860641211</v>
      </c>
      <c r="V64" s="202">
        <v>1.5814849790628891</v>
      </c>
      <c r="W64" s="202">
        <v>1.5508746111015788</v>
      </c>
      <c r="X64" s="202">
        <v>0.98443742843369808</v>
      </c>
      <c r="Y64" s="202">
        <v>1.8965323861198762</v>
      </c>
      <c r="Z64" s="202">
        <v>-0.27364917304780861</v>
      </c>
      <c r="AA64" s="202">
        <v>2.2263631494283858</v>
      </c>
      <c r="AB64" s="202">
        <v>2.0027127906895861</v>
      </c>
      <c r="AC64" s="202">
        <v>1.3</v>
      </c>
      <c r="AD64" s="202">
        <v>1.5571576045601256</v>
      </c>
      <c r="AE64" s="202">
        <v>1.4028168105306629</v>
      </c>
      <c r="AF64" s="202">
        <v>2.1769098604848987</v>
      </c>
      <c r="AG64" s="202">
        <v>1.2884119169877553</v>
      </c>
      <c r="AH64" s="202">
        <v>2.6371850437142754</v>
      </c>
      <c r="AI64" s="202">
        <v>2.6032548477210251</v>
      </c>
      <c r="AJ64" s="202">
        <v>1.5328652521258899</v>
      </c>
      <c r="AK64" s="202">
        <v>2.3391111154966358</v>
      </c>
      <c r="AL64" s="202">
        <v>1.7182714869295888</v>
      </c>
      <c r="AM64" s="202">
        <v>1.6581791668517765</v>
      </c>
      <c r="AN64" s="202">
        <v>0.72971567871493048</v>
      </c>
      <c r="AO64" s="202">
        <v>1.6627043038911806</v>
      </c>
      <c r="AP64" s="202">
        <v>2.564026738788832</v>
      </c>
      <c r="AQ64" s="202">
        <v>2.2071234734941965</v>
      </c>
      <c r="AR64" s="202">
        <v>3.0206616825384298</v>
      </c>
      <c r="AS64" s="202">
        <v>3.2514402000362939</v>
      </c>
      <c r="AT64" s="202">
        <v>2.8168900283465321</v>
      </c>
      <c r="AU64" s="202">
        <v>1.9932516136076994</v>
      </c>
      <c r="AV64" s="202">
        <v>3.2491976055848033</v>
      </c>
      <c r="AW64" s="202"/>
      <c r="AX64" s="202">
        <v>1.7543975123209543</v>
      </c>
      <c r="AY64" s="202">
        <v>2.0415469417658718</v>
      </c>
      <c r="AZ64" s="202">
        <v>0.48758523415039884</v>
      </c>
      <c r="BA64" s="202">
        <v>0.33587014915653091</v>
      </c>
      <c r="BB64" s="202">
        <v>-0.60529918302213181</v>
      </c>
      <c r="BC64" s="202">
        <v>1.0315754608979988</v>
      </c>
      <c r="BD64" s="202">
        <v>0.6388824352365744</v>
      </c>
      <c r="BE64" s="202">
        <v>2.6913488138440282</v>
      </c>
      <c r="BF64" s="202">
        <v>1.2072375214865751</v>
      </c>
      <c r="BG64" s="202">
        <v>1.0200051305227371</v>
      </c>
      <c r="BH64" s="202">
        <v>0.92137889966037667</v>
      </c>
      <c r="BI64" s="202">
        <v>0.43406914758797172</v>
      </c>
      <c r="BJ64" s="202"/>
      <c r="BK64" s="202">
        <v>2.8588253303469644</v>
      </c>
      <c r="BL64" s="202">
        <v>0.47585387652633548</v>
      </c>
      <c r="BM64" s="202">
        <v>2.5888238141932978</v>
      </c>
      <c r="BN64" s="202">
        <v>0.5346323967544051</v>
      </c>
      <c r="BO64" s="202">
        <v>1.0268631633409591</v>
      </c>
      <c r="BP64" s="202">
        <v>2.1721518788531333</v>
      </c>
      <c r="BQ64" s="202">
        <v>1.2641076325370697</v>
      </c>
      <c r="BR64" s="202">
        <v>2.048472070971195</v>
      </c>
      <c r="BS64" s="202">
        <v>1.1636958234237553</v>
      </c>
      <c r="BT64" s="202">
        <v>3.3247564728102805</v>
      </c>
      <c r="BU64" s="202">
        <v>-0.78306151007956071</v>
      </c>
      <c r="BV64" s="202">
        <v>5.6927509789220831</v>
      </c>
      <c r="BW64" s="202">
        <v>6.6384056093976405</v>
      </c>
      <c r="BX64" s="202">
        <v>-1.8356648456286742</v>
      </c>
      <c r="BY64" s="202">
        <v>1.1828992279951891</v>
      </c>
      <c r="BZ64" s="202">
        <v>0.49847540878068125</v>
      </c>
      <c r="CA64" s="202">
        <v>1.1306796385379376</v>
      </c>
      <c r="CB64" s="202">
        <v>2.3249625113628598</v>
      </c>
      <c r="CC64" s="202">
        <v>2.1302796178101553</v>
      </c>
      <c r="CD64" s="202">
        <v>1.9364718254464317</v>
      </c>
      <c r="CE64" s="202">
        <v>3.3104649959049515</v>
      </c>
      <c r="CF64" s="202">
        <v>1.0434526953345231</v>
      </c>
      <c r="CG64" s="202">
        <v>4.1550510100837823E-2</v>
      </c>
      <c r="CH64" s="202">
        <v>3.7092703421600814E-2</v>
      </c>
      <c r="CI64" s="202">
        <v>3.6039718464741674E-2</v>
      </c>
      <c r="CJ64" s="202">
        <v>1.5094105826144615</v>
      </c>
      <c r="CK64" s="202">
        <v>0.1523366777002958</v>
      </c>
      <c r="CL64" s="202">
        <v>1.3557620731684177</v>
      </c>
      <c r="CM64" s="202">
        <v>0.26759046693974187</v>
      </c>
      <c r="CN64" s="202">
        <v>3.081540242112629</v>
      </c>
      <c r="CO64" s="202">
        <v>-1.3339378057783933E-2</v>
      </c>
      <c r="CP64" s="207">
        <v>3.1780321862575569</v>
      </c>
      <c r="CQ64" s="202">
        <v>2.740368823687851</v>
      </c>
      <c r="CR64" s="208">
        <v>2.0791378182664699</v>
      </c>
      <c r="CS64" s="208">
        <v>1.1674610467254283</v>
      </c>
      <c r="CT64" s="208">
        <v>1.8109649663671203</v>
      </c>
      <c r="CU64" s="208">
        <v>2.6008126851037607</v>
      </c>
      <c r="CV64" s="208">
        <v>3.989006669607388</v>
      </c>
      <c r="CW64" s="208">
        <v>1.6087665082540976</v>
      </c>
      <c r="CX64" s="208">
        <v>0.51247170433103584</v>
      </c>
      <c r="CY64" s="208">
        <v>4.4029380406729812</v>
      </c>
      <c r="CZ64" s="206">
        <v>0.82739313013172111</v>
      </c>
      <c r="DA64" s="206">
        <v>1.6674238262076411</v>
      </c>
      <c r="DB64" s="206">
        <v>0.62203086437876109</v>
      </c>
      <c r="DC64" s="207">
        <v>-2.6690997717168257</v>
      </c>
      <c r="DD64" s="207">
        <v>3.7980086213917201</v>
      </c>
      <c r="DE64" s="208">
        <v>1.5133225688234202</v>
      </c>
      <c r="DF64" s="201">
        <v>2.3209855958894163</v>
      </c>
      <c r="DG64" s="201">
        <v>0.30325481696534246</v>
      </c>
      <c r="DH64" s="201">
        <v>2.3391480969346441</v>
      </c>
      <c r="DI64" s="208">
        <v>1.7674154307289494</v>
      </c>
      <c r="DJ64" s="208">
        <v>3.9156066463955295</v>
      </c>
      <c r="DK64" s="203">
        <v>1.6986013014160823</v>
      </c>
      <c r="DL64" s="203">
        <v>2.5410600513250921</v>
      </c>
      <c r="DM64" s="203">
        <v>2.456331008911711</v>
      </c>
      <c r="DN64" s="203">
        <v>3.807731839566344</v>
      </c>
      <c r="DO64" s="202">
        <v>1.1809752303951548</v>
      </c>
      <c r="DP64" s="202">
        <v>2.639759866394142</v>
      </c>
      <c r="DQ64" s="202">
        <v>3.2168243517065669</v>
      </c>
      <c r="DR64" s="202">
        <v>-0.54480868993367959</v>
      </c>
      <c r="DS64" s="202">
        <v>1.3494986394242448E-2</v>
      </c>
      <c r="DT64" s="202">
        <v>-0.72543368172367528</v>
      </c>
      <c r="DU64" s="202">
        <v>-4.7022120953459839E-2</v>
      </c>
      <c r="DV64" s="202">
        <v>0.94571938697727109</v>
      </c>
      <c r="DW64" s="202">
        <v>1.3360287902174033</v>
      </c>
      <c r="DX64" s="202">
        <v>2.9378244055483953</v>
      </c>
      <c r="DY64" s="202">
        <v>4.2638815100418483</v>
      </c>
      <c r="DZ64" s="202">
        <v>0.18000447318767901</v>
      </c>
      <c r="EA64" s="202">
        <v>-7.3043591332064381E-2</v>
      </c>
      <c r="EB64" s="201">
        <v>3.3303383630100334</v>
      </c>
      <c r="EC64" s="201">
        <v>3.6032523278739506</v>
      </c>
      <c r="ED64" s="201">
        <v>4.1207606047363825</v>
      </c>
      <c r="EE64" s="201">
        <v>3.3010937003268124</v>
      </c>
      <c r="EF64" s="201">
        <v>3.4967999454089052</v>
      </c>
      <c r="EG64" s="201">
        <v>1.6532911811028217</v>
      </c>
      <c r="EH64" s="201">
        <v>1.4294145568498495</v>
      </c>
      <c r="EI64" s="201">
        <v>1.805334186589163</v>
      </c>
      <c r="EJ64" s="201">
        <v>1.877567498676352</v>
      </c>
      <c r="EK64" s="201">
        <v>2.3885748177999853</v>
      </c>
      <c r="EL64" s="201">
        <v>3.1575131392377762</v>
      </c>
      <c r="EM64" s="206">
        <v>2.43452290620727</v>
      </c>
      <c r="EN64" s="206">
        <v>2.819934982544209</v>
      </c>
      <c r="EO64" s="206">
        <v>2.7020084135050304</v>
      </c>
      <c r="EP64" s="206">
        <v>2.4275076366199815</v>
      </c>
      <c r="EQ64" s="206">
        <v>6.2463585856783137</v>
      </c>
      <c r="ER64" s="201">
        <v>3.2743260335638236</v>
      </c>
      <c r="ES64" s="201">
        <v>1.4379952632635953</v>
      </c>
      <c r="ET64" s="204">
        <v>2.040371364835508</v>
      </c>
      <c r="EU64" s="204">
        <v>2.0079989676765053</v>
      </c>
      <c r="EV64" s="204">
        <v>2.8377132924133583</v>
      </c>
      <c r="EW64" s="204">
        <v>3.1645114891324404</v>
      </c>
      <c r="EX64" s="204">
        <v>3.3340847949047929</v>
      </c>
      <c r="EY64" s="204">
        <v>2.988123119410715</v>
      </c>
      <c r="EZ64" s="204">
        <v>3.2785648736878827</v>
      </c>
      <c r="FA64" s="204">
        <v>3.1168235471614048</v>
      </c>
      <c r="FB64" s="204">
        <v>2.6508498423534204</v>
      </c>
      <c r="FC64" s="204">
        <v>1.8806321144526084</v>
      </c>
      <c r="FD64" s="204">
        <v>1.615943129128852</v>
      </c>
      <c r="FE64" s="204">
        <v>2.8698187231155843</v>
      </c>
      <c r="FF64" s="204">
        <v>4.2254383100063357</v>
      </c>
      <c r="FG64" s="204">
        <v>2.9721592878117042</v>
      </c>
      <c r="FH64" s="204">
        <v>3.4362784879176753</v>
      </c>
      <c r="FI64" s="204">
        <v>4.1316665935402828</v>
      </c>
      <c r="FJ64" s="204">
        <v>4.3913992001785491</v>
      </c>
      <c r="FK64" s="204">
        <v>3.5870080430354361</v>
      </c>
      <c r="FL64" s="204">
        <v>4.265840247546195</v>
      </c>
      <c r="FM64" s="204">
        <v>2.311240470062887</v>
      </c>
      <c r="FN64" s="204">
        <v>2.0541310125500143</v>
      </c>
      <c r="FO64" s="204">
        <v>0.56144807925157625</v>
      </c>
      <c r="FP64" s="204">
        <v>-0.7188517522094825</v>
      </c>
      <c r="FU64" s="230"/>
    </row>
    <row r="65" spans="2:177" ht="14" x14ac:dyDescent="0.3">
      <c r="B65" s="229">
        <v>9</v>
      </c>
      <c r="C65" s="1894" t="s">
        <v>168</v>
      </c>
      <c r="D65" s="199">
        <v>9</v>
      </c>
      <c r="E65" s="1436">
        <f>'SOUTH-2'!$N$1091</f>
        <v>-100</v>
      </c>
      <c r="F65" s="1890">
        <v>0.32080677780539835</v>
      </c>
      <c r="G65" s="1890">
        <v>0.46208096128108167</v>
      </c>
      <c r="H65" s="1890">
        <v>0.14047279122075204</v>
      </c>
      <c r="I65" s="1890">
        <v>0.21102977448604252</v>
      </c>
      <c r="J65" s="1890">
        <v>0.38635153553330337</v>
      </c>
      <c r="K65" s="1890">
        <v>0.60470161208355211</v>
      </c>
      <c r="L65" s="205">
        <v>0.5097537158246892</v>
      </c>
      <c r="M65" s="205">
        <v>0.43264416548632567</v>
      </c>
      <c r="N65" s="205">
        <v>1.1551024182479923</v>
      </c>
      <c r="O65" s="202">
        <v>4.1437574240483374E-2</v>
      </c>
      <c r="P65" s="202">
        <v>1.2276819211846503E-14</v>
      </c>
      <c r="Q65" s="202">
        <v>0.14980089060410487</v>
      </c>
      <c r="R65" s="202">
        <v>0.21640469409619548</v>
      </c>
      <c r="S65" s="202">
        <v>0.2282116757975225</v>
      </c>
      <c r="T65" s="202">
        <v>0.44725604130116714</v>
      </c>
      <c r="U65" s="202">
        <v>0.81090266088643848</v>
      </c>
      <c r="V65" s="202">
        <v>4.7133286258784574E-2</v>
      </c>
      <c r="W65" s="202">
        <v>1.0815224835914394</v>
      </c>
      <c r="X65" s="202">
        <v>0</v>
      </c>
      <c r="Y65" s="202">
        <v>0.94321465025505213</v>
      </c>
      <c r="Z65" s="202">
        <v>1.2383932861027238</v>
      </c>
      <c r="AA65" s="202">
        <v>0.68009758331247139</v>
      </c>
      <c r="AB65" s="202">
        <v>0.95288302849869688</v>
      </c>
      <c r="AC65" s="202">
        <v>0.28000000000000003</v>
      </c>
      <c r="AD65" s="202">
        <v>0.59944598582499098</v>
      </c>
      <c r="AE65" s="202">
        <v>0.11105812206891198</v>
      </c>
      <c r="AF65" s="202">
        <v>0.1270313108654926</v>
      </c>
      <c r="AG65" s="202">
        <v>0.36913625481653822</v>
      </c>
      <c r="AH65" s="202">
        <v>0.66602056569273371</v>
      </c>
      <c r="AI65" s="202">
        <v>0.48346614307149649</v>
      </c>
      <c r="AJ65" s="202">
        <v>0.61458711738892036</v>
      </c>
      <c r="AK65" s="202">
        <v>0.30171315752154748</v>
      </c>
      <c r="AL65" s="202">
        <v>0.51510357763549075</v>
      </c>
      <c r="AM65" s="202">
        <v>-8.2697138625253963E-2</v>
      </c>
      <c r="AN65" s="202">
        <v>0.4085266766121024</v>
      </c>
      <c r="AO65" s="202">
        <v>0.49733049622586206</v>
      </c>
      <c r="AP65" s="202">
        <v>0.30329331291048722</v>
      </c>
      <c r="AQ65" s="202">
        <v>0.52568575529833661</v>
      </c>
      <c r="AR65" s="202">
        <v>0.54986990586611084</v>
      </c>
      <c r="AS65" s="202">
        <v>1.3696787047913237</v>
      </c>
      <c r="AT65" s="202">
        <v>0.93456275447068127</v>
      </c>
      <c r="AU65" s="202">
        <v>0.44770262916146936</v>
      </c>
      <c r="AV65" s="202">
        <v>0.92300727150928974</v>
      </c>
      <c r="AW65" s="202"/>
      <c r="AX65" s="202">
        <v>0.8320818794476742</v>
      </c>
      <c r="AY65" s="202">
        <v>0.18646168051235848</v>
      </c>
      <c r="AZ65" s="202">
        <v>0.29730662417998277</v>
      </c>
      <c r="BA65" s="202">
        <v>0.12844451816091634</v>
      </c>
      <c r="BB65" s="202">
        <v>1.1141783328562411</v>
      </c>
      <c r="BC65" s="202">
        <v>0.97161734549388101</v>
      </c>
      <c r="BD65" s="202">
        <v>0.22006537649249414</v>
      </c>
      <c r="BE65" s="202">
        <v>0.50630252530694975</v>
      </c>
      <c r="BF65" s="202">
        <v>0.74975176145936406</v>
      </c>
      <c r="BG65" s="202">
        <v>-3.817653081888854E-2</v>
      </c>
      <c r="BH65" s="202">
        <v>0.44323783875280276</v>
      </c>
      <c r="BI65" s="202">
        <v>7.9474932938619944E-2</v>
      </c>
      <c r="BJ65" s="202"/>
      <c r="BK65" s="202">
        <v>0.84676823106091281</v>
      </c>
      <c r="BL65" s="202">
        <v>0.74296016621259164</v>
      </c>
      <c r="BM65" s="202">
        <v>0.25995730718856941</v>
      </c>
      <c r="BN65" s="202">
        <v>0.1476616857806943</v>
      </c>
      <c r="BO65" s="202">
        <v>0.55473203165148477</v>
      </c>
      <c r="BP65" s="202">
        <v>0.33274683515801029</v>
      </c>
      <c r="BQ65" s="202">
        <v>1.415020923884345</v>
      </c>
      <c r="BR65" s="202">
        <v>-0.55400020828625252</v>
      </c>
      <c r="BS65" s="202">
        <v>0.89566708996415967</v>
      </c>
      <c r="BT65" s="202">
        <v>0.30067178832014563</v>
      </c>
      <c r="BU65" s="202">
        <v>-0.69479887640581539</v>
      </c>
      <c r="BV65" s="202">
        <v>1.7552633659054266</v>
      </c>
      <c r="BW65" s="202">
        <v>-1.5565890872218303E-2</v>
      </c>
      <c r="BX65" s="202">
        <v>0.10000000000002045</v>
      </c>
      <c r="BY65" s="202">
        <v>9.9999999999969783E-3</v>
      </c>
      <c r="BZ65" s="202">
        <v>-1.1678582342781726E-2</v>
      </c>
      <c r="CA65" s="202">
        <v>0.9195572543544519</v>
      </c>
      <c r="CB65" s="202">
        <v>-9.8664676750744029E-2</v>
      </c>
      <c r="CC65" s="202">
        <v>-0.49299625613984671</v>
      </c>
      <c r="CD65" s="202">
        <v>1.6172400094238714E-2</v>
      </c>
      <c r="CE65" s="202">
        <v>0.22160186456093076</v>
      </c>
      <c r="CF65" s="202">
        <v>0.25683544141983305</v>
      </c>
      <c r="CG65" s="202">
        <v>9.9999999999971945E-2</v>
      </c>
      <c r="CH65" s="202">
        <v>9.9999999999768625E-3</v>
      </c>
      <c r="CI65" s="202">
        <v>9.9999999999986731E-3</v>
      </c>
      <c r="CJ65" s="202">
        <v>0.20000000000000726</v>
      </c>
      <c r="CK65" s="202">
        <v>0.23416484022756212</v>
      </c>
      <c r="CL65" s="202">
        <v>0.26209370394297188</v>
      </c>
      <c r="CM65" s="202">
        <v>0.26310511321670188</v>
      </c>
      <c r="CN65" s="202">
        <v>-0.91321693753876299</v>
      </c>
      <c r="CO65" s="202">
        <v>0</v>
      </c>
      <c r="CP65" s="202">
        <v>0</v>
      </c>
      <c r="CQ65" s="202">
        <v>0.10363252065388096</v>
      </c>
      <c r="CR65" s="201">
        <v>0.24999999999999969</v>
      </c>
      <c r="CS65" s="201">
        <v>0.25000000000001771</v>
      </c>
      <c r="CT65" s="201">
        <v>0.25000000000001105</v>
      </c>
      <c r="CU65" s="201">
        <v>0.24999999999999181</v>
      </c>
      <c r="CV65" s="201">
        <v>0.24999999999999623</v>
      </c>
      <c r="CW65" s="201">
        <v>0.24999999999998579</v>
      </c>
      <c r="CX65" s="201">
        <v>0.24999999999999145</v>
      </c>
      <c r="CY65" s="201">
        <v>0.24999999999999922</v>
      </c>
      <c r="CZ65" s="201">
        <v>0.24999999999998426</v>
      </c>
      <c r="DA65" s="201">
        <v>0.25000000000000383</v>
      </c>
      <c r="DB65" s="201">
        <v>0.25000000000001016</v>
      </c>
      <c r="DC65" s="201">
        <v>0.24999999999997957</v>
      </c>
      <c r="DD65" s="201">
        <v>0.24999999999998926</v>
      </c>
      <c r="DE65" s="201">
        <v>0.24999999999996075</v>
      </c>
      <c r="DF65" s="201">
        <v>0.29999999999997418</v>
      </c>
      <c r="DG65" s="201">
        <v>0.29999999999999832</v>
      </c>
      <c r="DH65" s="201">
        <v>0.29999999999997407</v>
      </c>
      <c r="DI65" s="201">
        <v>0.30000000000000593</v>
      </c>
      <c r="DJ65" s="201">
        <v>0.29999999999999638</v>
      </c>
      <c r="DK65" s="201">
        <v>0.29999999999999938</v>
      </c>
      <c r="DL65" s="201">
        <v>0.14999999999998975</v>
      </c>
      <c r="DM65" s="201">
        <v>0</v>
      </c>
      <c r="DN65" s="201">
        <v>-0.21665046657453491</v>
      </c>
      <c r="DO65" s="201">
        <v>0.17255815516923503</v>
      </c>
      <c r="DP65" s="201">
        <v>-0.38370293331136757</v>
      </c>
      <c r="DQ65" s="201">
        <v>0.19768346806885878</v>
      </c>
      <c r="DR65" s="201">
        <v>3.8976086798053818E-2</v>
      </c>
      <c r="DS65" s="201">
        <v>0.12129234660297743</v>
      </c>
      <c r="DT65" s="201">
        <v>0</v>
      </c>
      <c r="DU65" s="201">
        <v>-3.0112921246242198E-2</v>
      </c>
      <c r="DV65" s="201">
        <v>-3.661279097531954E-2</v>
      </c>
      <c r="DW65" s="201">
        <v>-0.31133870357542914</v>
      </c>
      <c r="DX65" s="201">
        <v>1.74132232039356E-2</v>
      </c>
      <c r="DY65" s="201">
        <v>2.5566872835629684</v>
      </c>
      <c r="DZ65" s="201">
        <v>-3.2171046256863622</v>
      </c>
      <c r="EA65" s="201">
        <v>-0.66700208956330176</v>
      </c>
      <c r="EB65" s="201">
        <v>0.17229848565373113</v>
      </c>
      <c r="EC65" s="201">
        <v>2.1344698098712509E-2</v>
      </c>
      <c r="ED65" s="201">
        <v>-0.2073924310404642</v>
      </c>
      <c r="EE65" s="201">
        <v>7.3597233408661922E-2</v>
      </c>
      <c r="EF65" s="201">
        <v>0.53092232183381172</v>
      </c>
      <c r="EG65" s="201">
        <v>0.25476238752537284</v>
      </c>
      <c r="EH65" s="201">
        <v>5.0428047894778408E-2</v>
      </c>
      <c r="EI65" s="201">
        <v>0.37524169942068214</v>
      </c>
      <c r="EJ65" s="201">
        <v>0.28143172883150663</v>
      </c>
      <c r="EK65" s="201">
        <v>0.59671562873553807</v>
      </c>
      <c r="EL65" s="201">
        <v>6.2373687220420602E-2</v>
      </c>
      <c r="EM65" s="201">
        <v>0.32592107036715989</v>
      </c>
      <c r="EN65" s="201">
        <v>5.5709359136583148E-2</v>
      </c>
      <c r="EO65" s="201">
        <v>0.45372929487366864</v>
      </c>
      <c r="EP65" s="201">
        <v>-0.19024169270243418</v>
      </c>
      <c r="EQ65" s="201">
        <v>0.76897277200189129</v>
      </c>
      <c r="ER65" s="201">
        <v>-0.28522279675923401</v>
      </c>
      <c r="ES65" s="201">
        <v>4.5932641885953446E-2</v>
      </c>
      <c r="ET65" s="204">
        <v>-0.2412780206109143</v>
      </c>
      <c r="EU65" s="204">
        <v>-0.45448249912058519</v>
      </c>
      <c r="EV65" s="204">
        <v>-3.8465937065997727E-2</v>
      </c>
      <c r="EW65" s="204">
        <v>-0.18077746683795112</v>
      </c>
      <c r="EX65" s="204">
        <v>0.20117350144666571</v>
      </c>
      <c r="EY65" s="204">
        <v>0.22179738607013411</v>
      </c>
      <c r="EZ65" s="204">
        <v>0.21541206477728347</v>
      </c>
      <c r="FA65" s="204">
        <v>-9.9248993363053345E-2</v>
      </c>
      <c r="FB65" s="204">
        <v>-4.0580702278099116E-2</v>
      </c>
      <c r="FC65" s="204">
        <v>0.28404784738213434</v>
      </c>
      <c r="FD65" s="204">
        <v>-0.36671981033318524</v>
      </c>
      <c r="FE65" s="204">
        <v>-0.3652783978816832</v>
      </c>
      <c r="FF65" s="204">
        <v>-2.1147387146364539E-2</v>
      </c>
      <c r="FG65" s="204">
        <v>0.74217165252329698</v>
      </c>
      <c r="FH65" s="204">
        <v>0.30717048350339105</v>
      </c>
      <c r="FI65" s="204">
        <v>0.19258640540167443</v>
      </c>
      <c r="FJ65" s="204">
        <v>9.4162887108342475E-2</v>
      </c>
      <c r="FK65" s="204">
        <v>1.6216054032638236E-2</v>
      </c>
      <c r="FL65" s="204">
        <v>-0.33955749455299733</v>
      </c>
      <c r="FM65" s="204">
        <v>-0.31759167481192291</v>
      </c>
      <c r="FN65" s="204">
        <v>0.56144807925157625</v>
      </c>
      <c r="FO65" s="204">
        <v>7.0602448064065708</v>
      </c>
      <c r="FP65" s="204">
        <v>19.501726619953097</v>
      </c>
      <c r="FU65" s="230"/>
    </row>
    <row r="66" spans="2:177" ht="12.5" x14ac:dyDescent="0.25">
      <c r="B66" s="229">
        <v>10</v>
      </c>
      <c r="C66" s="1961" t="s">
        <v>169</v>
      </c>
      <c r="D66" s="232">
        <v>10</v>
      </c>
      <c r="E66" s="205">
        <f>'SOUTH-2'!$N$1151</f>
        <v>-100</v>
      </c>
      <c r="F66" s="1890">
        <v>-0.14438802167664599</v>
      </c>
      <c r="G66" s="1890">
        <v>-4.6801794893114451E-2</v>
      </c>
      <c r="H66" s="1890">
        <v>7.3091482350756118E-2</v>
      </c>
      <c r="I66" s="1890">
        <v>0.33016877023727575</v>
      </c>
      <c r="J66" s="1890">
        <v>2.1993236775403182</v>
      </c>
      <c r="K66" s="1890">
        <v>-4.1542950402944957E-2</v>
      </c>
      <c r="L66" s="205">
        <v>0.18881708761281066</v>
      </c>
      <c r="M66" s="205">
        <v>0.63230357638384138</v>
      </c>
      <c r="N66" s="205">
        <v>0.23634084016185206</v>
      </c>
      <c r="O66" s="202">
        <v>-0.37587588704911018</v>
      </c>
      <c r="P66" s="202">
        <v>1.7938423830686234</v>
      </c>
      <c r="Q66" s="202">
        <v>0.8079984330124893</v>
      </c>
      <c r="R66" s="202">
        <v>3.3864167441411755E-3</v>
      </c>
      <c r="S66" s="202">
        <v>0.63557999421212641</v>
      </c>
      <c r="T66" s="202">
        <v>1.3231453648832177</v>
      </c>
      <c r="U66" s="202">
        <v>-0.15316076069113457</v>
      </c>
      <c r="V66" s="202">
        <v>1.2005061508334915</v>
      </c>
      <c r="W66" s="202">
        <v>1.4300981413775438</v>
      </c>
      <c r="X66" s="202">
        <v>0.24345029370433563</v>
      </c>
      <c r="Y66" s="202">
        <v>1.1124286721593224</v>
      </c>
      <c r="Z66" s="202">
        <v>1.6849216054787983</v>
      </c>
      <c r="AA66" s="202">
        <v>0.79605207596986116</v>
      </c>
      <c r="AB66" s="202">
        <v>0.89182311724478225</v>
      </c>
      <c r="AC66" s="202">
        <v>0.49</v>
      </c>
      <c r="AD66" s="202">
        <v>0.57750057616607242</v>
      </c>
      <c r="AE66" s="202">
        <v>0.77525869071200737</v>
      </c>
      <c r="AF66" s="202">
        <v>-0.12024258047658828</v>
      </c>
      <c r="AG66" s="202">
        <v>-0.29291299124109854</v>
      </c>
      <c r="AH66" s="202">
        <v>0.58960365748792698</v>
      </c>
      <c r="AI66" s="202">
        <v>1.0101543001738684</v>
      </c>
      <c r="AJ66" s="202">
        <v>0.97796746025152081</v>
      </c>
      <c r="AK66" s="202">
        <v>2.2347657844754352</v>
      </c>
      <c r="AL66" s="221">
        <v>0</v>
      </c>
      <c r="AM66" s="221">
        <v>0.85704746001286769</v>
      </c>
      <c r="AN66" s="221">
        <v>0.75451398912512846</v>
      </c>
      <c r="AO66" s="221">
        <v>-1.1994895811537074</v>
      </c>
      <c r="AP66" s="221">
        <v>2.9296270407440459</v>
      </c>
      <c r="AQ66" s="221">
        <v>0.98334426131014585</v>
      </c>
      <c r="AR66" s="221">
        <v>1.2676374439899833</v>
      </c>
      <c r="AS66" s="202">
        <v>1.7845102983642718</v>
      </c>
      <c r="AT66" s="202">
        <v>0.99783031292324309</v>
      </c>
      <c r="AU66" s="202">
        <v>1.4701023872372159</v>
      </c>
      <c r="AV66" s="202">
        <v>1.7218601033262151</v>
      </c>
      <c r="AW66" s="202"/>
      <c r="AX66" s="202">
        <v>0.12210819603065654</v>
      </c>
      <c r="AY66" s="202">
        <v>0.56454676666051595</v>
      </c>
      <c r="AZ66" s="202">
        <v>1.7847820300499699</v>
      </c>
      <c r="BA66" s="202">
        <v>1.2318700118123285</v>
      </c>
      <c r="BB66" s="202">
        <v>2.037861455485193</v>
      </c>
      <c r="BC66" s="202">
        <v>0.68376789575504038</v>
      </c>
      <c r="BD66" s="202">
        <v>1.9372947145313595</v>
      </c>
      <c r="BE66" s="202">
        <v>1.7886879270600453</v>
      </c>
      <c r="BF66" s="202">
        <v>1.0219495436240333</v>
      </c>
      <c r="BG66" s="202">
        <v>-0.2046880415430804</v>
      </c>
      <c r="BH66" s="202">
        <v>1.0251229109163726</v>
      </c>
      <c r="BI66" s="202">
        <v>0.21752310286717508</v>
      </c>
      <c r="BJ66" s="202"/>
      <c r="BK66" s="202">
        <v>0.14996236192844634</v>
      </c>
      <c r="BL66" s="202">
        <v>1.9522692428420454</v>
      </c>
      <c r="BM66" s="202">
        <v>2.2046954785523805</v>
      </c>
      <c r="BN66" s="202">
        <v>1.0960325672482274</v>
      </c>
      <c r="BO66" s="202">
        <v>1.3054838065398775</v>
      </c>
      <c r="BP66" s="202">
        <v>1.645435234676178</v>
      </c>
      <c r="BQ66" s="202">
        <v>1.422303483389211</v>
      </c>
      <c r="BR66" s="202">
        <v>-0.21587021103675205</v>
      </c>
      <c r="BS66" s="202">
        <v>0.25502424260433121</v>
      </c>
      <c r="BT66" s="202">
        <v>2.5400062996081458</v>
      </c>
      <c r="BU66" s="202">
        <v>0.62063662174173906</v>
      </c>
      <c r="BV66" s="202">
        <v>1.2800962662122284</v>
      </c>
      <c r="BW66" s="202">
        <v>0.82867181246672628</v>
      </c>
      <c r="BX66" s="202">
        <v>1.4161859845585649</v>
      </c>
      <c r="BY66" s="202">
        <v>2.6210488336233864</v>
      </c>
      <c r="BZ66" s="202">
        <v>0.35218910314067092</v>
      </c>
      <c r="CA66" s="202">
        <v>2.9217180950978316</v>
      </c>
      <c r="CB66" s="202">
        <v>3.4945695740492555</v>
      </c>
      <c r="CC66" s="202">
        <v>2.5494525115602444</v>
      </c>
      <c r="CD66" s="202">
        <v>0.67260270697069457</v>
      </c>
      <c r="CE66" s="202">
        <v>1.4608372099525868</v>
      </c>
      <c r="CF66" s="202">
        <v>-0.25188969553677565</v>
      </c>
      <c r="CG66" s="202">
        <v>2.6286649215135536</v>
      </c>
      <c r="CH66" s="202">
        <v>-0.19392749772665771</v>
      </c>
      <c r="CI66" s="202">
        <v>1.2897821806821266</v>
      </c>
      <c r="CJ66" s="202">
        <v>0.80719961628306292</v>
      </c>
      <c r="CK66" s="202">
        <v>1.3849827947937612</v>
      </c>
      <c r="CL66" s="202">
        <v>2.9357359687640932</v>
      </c>
      <c r="CM66" s="202">
        <v>0.82874932393051104</v>
      </c>
      <c r="CN66" s="202">
        <v>3.0510231641162342</v>
      </c>
      <c r="CO66" s="202">
        <v>2.1090683283013996</v>
      </c>
      <c r="CP66" s="202">
        <v>2.7509339447648822</v>
      </c>
      <c r="CQ66" s="202">
        <v>1.9183456898457862</v>
      </c>
      <c r="CR66" s="201">
        <v>2.5139400430201504</v>
      </c>
      <c r="CS66" s="201">
        <v>1.6817729729660329</v>
      </c>
      <c r="CT66" s="201">
        <v>1.9351468422357128</v>
      </c>
      <c r="CU66" s="201">
        <v>-0.1817685204389114</v>
      </c>
      <c r="CV66" s="201">
        <v>1.097674251757718</v>
      </c>
      <c r="CW66" s="201">
        <v>0.27518552070690705</v>
      </c>
      <c r="CX66" s="201">
        <v>2.0061590464688526</v>
      </c>
      <c r="CY66" s="201">
        <v>2.3956151358313202</v>
      </c>
      <c r="CZ66" s="201">
        <v>-0.14018398714344305</v>
      </c>
      <c r="DA66" s="201">
        <v>0.4675373712901838</v>
      </c>
      <c r="DB66" s="201">
        <v>0.17817120924279325</v>
      </c>
      <c r="DC66" s="201">
        <v>0.45506275301896437</v>
      </c>
      <c r="DD66" s="201">
        <v>0.40835275725955644</v>
      </c>
      <c r="DE66" s="201">
        <v>0.1794515492451243</v>
      </c>
      <c r="DF66" s="201">
        <v>0.10036322168403466</v>
      </c>
      <c r="DG66" s="201">
        <v>0.4690945076204841</v>
      </c>
      <c r="DH66" s="201">
        <v>1.175005846616157</v>
      </c>
      <c r="DI66" s="201">
        <v>0.45308779644237812</v>
      </c>
      <c r="DJ66" s="201">
        <v>1.0115631612797014</v>
      </c>
      <c r="DK66" s="201">
        <v>1.2424201724815844</v>
      </c>
      <c r="DL66" s="201">
        <v>1.9376426273882874</v>
      </c>
      <c r="DM66" s="201">
        <v>0.13809390551137801</v>
      </c>
      <c r="DN66" s="201">
        <v>0.38683234116437931</v>
      </c>
      <c r="DO66" s="201">
        <v>1.0430792686711621</v>
      </c>
      <c r="DP66" s="201">
        <v>-0.51834334430097562</v>
      </c>
      <c r="DQ66" s="201">
        <v>0.76806415248134685</v>
      </c>
      <c r="DR66" s="201">
        <v>0.49199948751058059</v>
      </c>
      <c r="DS66" s="201">
        <v>0.4340613971631454</v>
      </c>
      <c r="DT66" s="201">
        <v>1.0293062859927706</v>
      </c>
      <c r="DU66" s="201">
        <v>1.2492370778539747E-2</v>
      </c>
      <c r="DV66" s="201">
        <v>0.58166321973551538</v>
      </c>
      <c r="DW66" s="201">
        <v>0.6023138938401017</v>
      </c>
      <c r="DX66" s="201">
        <v>1.5302398127816541</v>
      </c>
      <c r="DY66" s="201">
        <v>4.5447391834122213</v>
      </c>
      <c r="DZ66" s="201">
        <v>-0.21792740219443138</v>
      </c>
      <c r="EA66" s="201">
        <v>1.1125316475706506</v>
      </c>
      <c r="EB66" s="201">
        <v>0.76278148241555888</v>
      </c>
      <c r="EC66" s="201">
        <v>0.51031966194094591</v>
      </c>
      <c r="ED66" s="201">
        <v>3.3230809630572336</v>
      </c>
      <c r="EE66" s="201">
        <v>-0.68904842829026314</v>
      </c>
      <c r="EF66" s="201">
        <v>1.1097359318544355</v>
      </c>
      <c r="EG66" s="201">
        <v>0.87852821732756836</v>
      </c>
      <c r="EH66" s="201">
        <v>-8.0214007823105254E-2</v>
      </c>
      <c r="EI66" s="201">
        <v>1.1996428267206065</v>
      </c>
      <c r="EJ66" s="201">
        <v>1.7960768117116652</v>
      </c>
      <c r="EK66" s="201">
        <v>1.860348189047617</v>
      </c>
      <c r="EL66" s="201">
        <v>1.605564638437923</v>
      </c>
      <c r="EM66" s="201">
        <v>1.9570213874347899</v>
      </c>
      <c r="EN66" s="201">
        <v>1.1160016380692386</v>
      </c>
      <c r="EO66" s="201">
        <v>1.0788016890842993</v>
      </c>
      <c r="EP66" s="201">
        <v>1.0787992051712887</v>
      </c>
      <c r="EQ66" s="201">
        <v>0.73243710884974322</v>
      </c>
      <c r="ER66" s="201">
        <v>3.9947718943800559E-2</v>
      </c>
      <c r="ES66" s="201">
        <v>0.24626522526180936</v>
      </c>
      <c r="ET66" s="204">
        <v>-0.2047191137835874</v>
      </c>
      <c r="EU66" s="204">
        <v>0.21661804106824778</v>
      </c>
      <c r="EV66" s="204">
        <v>1.0096663630713496</v>
      </c>
      <c r="EW66" s="204">
        <v>0.69299611600342981</v>
      </c>
      <c r="EX66" s="204">
        <v>1.6073357473269421</v>
      </c>
      <c r="EY66" s="204">
        <v>1.2813225292253292</v>
      </c>
      <c r="EZ66" s="204">
        <v>2.4271165962689558</v>
      </c>
      <c r="FA66" s="204">
        <v>2.7071490775888893</v>
      </c>
      <c r="FB66" s="204">
        <v>3.6341130103347585</v>
      </c>
      <c r="FC66" s="204">
        <v>2.6462204774734355</v>
      </c>
      <c r="FD66" s="204">
        <v>3.3711685238666091</v>
      </c>
      <c r="FE66" s="204">
        <v>2.5272480605908592</v>
      </c>
      <c r="FF66" s="204">
        <v>3.4491550597472593</v>
      </c>
      <c r="FG66" s="204">
        <v>4.0942656700978279</v>
      </c>
      <c r="FH66" s="204">
        <v>7.7967650487063018</v>
      </c>
      <c r="FI66" s="204">
        <v>3.9063286319205677</v>
      </c>
      <c r="FJ66" s="204">
        <v>3.9790019833969894</v>
      </c>
      <c r="FK66" s="204">
        <v>4.1640551662917238</v>
      </c>
      <c r="FL66" s="204">
        <v>3.7754834852020616</v>
      </c>
      <c r="FM66" s="204">
        <v>4.364556822598975</v>
      </c>
      <c r="FN66" s="204">
        <v>7.0602448064065708</v>
      </c>
      <c r="FO66" s="204">
        <v>3.492625410455779</v>
      </c>
      <c r="FP66" s="204">
        <v>7.3346506024149107</v>
      </c>
      <c r="FU66" s="230"/>
    </row>
    <row r="67" spans="2:177" ht="12.5" x14ac:dyDescent="0.25">
      <c r="B67" s="229">
        <v>11</v>
      </c>
      <c r="C67" s="1961" t="s">
        <v>170</v>
      </c>
      <c r="D67" s="232">
        <v>11</v>
      </c>
      <c r="E67" s="205">
        <f>'SOUTH-2'!$N$1231</f>
        <v>-100</v>
      </c>
      <c r="F67" s="1890">
        <v>0.59139723484398077</v>
      </c>
      <c r="G67" s="1890">
        <v>-0.43053185110126579</v>
      </c>
      <c r="H67" s="1890">
        <v>-0.88279954266993621</v>
      </c>
      <c r="I67" s="1890">
        <v>0.14745939333555252</v>
      </c>
      <c r="J67" s="1890">
        <v>-0.49544390052368481</v>
      </c>
      <c r="K67" s="1890">
        <v>-0.18561437538537107</v>
      </c>
      <c r="L67" s="202">
        <v>-0.24974491685343306</v>
      </c>
      <c r="M67" s="205">
        <v>1.2179256779478853</v>
      </c>
      <c r="N67" s="205">
        <v>0.1436339722724613</v>
      </c>
      <c r="O67" s="202">
        <v>0.33811526644935269</v>
      </c>
      <c r="P67" s="202">
        <v>0.76249698430344215</v>
      </c>
      <c r="Q67" s="202">
        <v>1.8535013201152046</v>
      </c>
      <c r="R67" s="202">
        <v>-0.847586748112792</v>
      </c>
      <c r="S67" s="202">
        <v>2.0779122473902247</v>
      </c>
      <c r="T67" s="202">
        <v>1.5160000000000031</v>
      </c>
      <c r="U67" s="202">
        <v>0.76561222522522465</v>
      </c>
      <c r="V67" s="202">
        <v>1.0655308072910876</v>
      </c>
      <c r="W67" s="202">
        <v>2.7182031823942339</v>
      </c>
      <c r="X67" s="202">
        <v>-0.48385165845024741</v>
      </c>
      <c r="Y67" s="202">
        <v>2.1023315946469112</v>
      </c>
      <c r="Z67" s="202">
        <v>2.4189830447532366</v>
      </c>
      <c r="AA67" s="202">
        <v>1.8225851783402038</v>
      </c>
      <c r="AB67" s="202">
        <v>2.3587730313366193</v>
      </c>
      <c r="AC67" s="202">
        <v>0.96</v>
      </c>
      <c r="AD67" s="202">
        <v>1.3403292382480418</v>
      </c>
      <c r="AE67" s="202">
        <v>-0.28984461426049984</v>
      </c>
      <c r="AF67" s="202">
        <v>0.27353559243026071</v>
      </c>
      <c r="AG67" s="202">
        <v>-0.78744241227560874</v>
      </c>
      <c r="AH67" s="202">
        <v>0.52688326613639147</v>
      </c>
      <c r="AI67" s="202">
        <v>1.910719462074302</v>
      </c>
      <c r="AJ67" s="202">
        <v>-1.3489568643687273</v>
      </c>
      <c r="AK67" s="202">
        <v>-2.2235749460755447</v>
      </c>
      <c r="AL67" s="221">
        <v>-1.536597835675731</v>
      </c>
      <c r="AM67" s="221">
        <v>-1.8727151906922497</v>
      </c>
      <c r="AN67" s="221">
        <v>-0.76006759369532173</v>
      </c>
      <c r="AO67" s="221">
        <v>2.4228529506707881</v>
      </c>
      <c r="AP67" s="221">
        <v>3.5332377106806076E-2</v>
      </c>
      <c r="AQ67" s="221">
        <v>2.2937497671648694</v>
      </c>
      <c r="AR67" s="221">
        <v>1.1399783392224034</v>
      </c>
      <c r="AS67" s="202">
        <v>4.5500767457140654</v>
      </c>
      <c r="AT67" s="202">
        <v>3.508197819087068</v>
      </c>
      <c r="AU67" s="202">
        <v>3.3475591258848199</v>
      </c>
      <c r="AV67" s="202">
        <v>4.4243298914789255</v>
      </c>
      <c r="AW67" s="202"/>
      <c r="AX67" s="202">
        <v>-1.3824996566774836</v>
      </c>
      <c r="AY67" s="202">
        <v>3.7088360898126465</v>
      </c>
      <c r="AZ67" s="202">
        <v>1.529795645585726</v>
      </c>
      <c r="BA67" s="202">
        <v>1.9796230386275857</v>
      </c>
      <c r="BB67" s="202">
        <v>2.1944799925006815</v>
      </c>
      <c r="BC67" s="202">
        <v>-0.86536176868936521</v>
      </c>
      <c r="BD67" s="202">
        <v>1.8977884209469973</v>
      </c>
      <c r="BE67" s="202">
        <v>0.94037824927038915</v>
      </c>
      <c r="BF67" s="202">
        <v>0.84945706758759265</v>
      </c>
      <c r="BG67" s="202">
        <v>1.2086700297256596</v>
      </c>
      <c r="BH67" s="202">
        <v>1.1569134486901802</v>
      </c>
      <c r="BI67" s="202">
        <v>0.641250741164334</v>
      </c>
      <c r="BJ67" s="202"/>
      <c r="BK67" s="202">
        <v>1.7618999526131687</v>
      </c>
      <c r="BL67" s="202">
        <v>0.18050042951928325</v>
      </c>
      <c r="BM67" s="202">
        <v>1.9112708119574253</v>
      </c>
      <c r="BN67" s="202">
        <v>0.39439353994343435</v>
      </c>
      <c r="BO67" s="202">
        <v>-1.4801089850303242</v>
      </c>
      <c r="BP67" s="202">
        <v>1.3630207140381834</v>
      </c>
      <c r="BQ67" s="202">
        <v>2.3459670785627074</v>
      </c>
      <c r="BR67" s="202">
        <v>1.5380392218219792</v>
      </c>
      <c r="BS67" s="202">
        <v>1.0880983168048541</v>
      </c>
      <c r="BT67" s="202">
        <v>1.0661332480910821</v>
      </c>
      <c r="BU67" s="202">
        <v>0.24561397239493998</v>
      </c>
      <c r="BV67" s="202">
        <v>2.6405346227608151</v>
      </c>
      <c r="BW67" s="202">
        <v>0.92897605072468581</v>
      </c>
      <c r="BX67" s="202">
        <v>0.97554193224717833</v>
      </c>
      <c r="BY67" s="202">
        <v>0.53829113017134156</v>
      </c>
      <c r="BZ67" s="202">
        <v>0.90395453022408156</v>
      </c>
      <c r="CA67" s="202">
        <v>1.8992602224497821</v>
      </c>
      <c r="CB67" s="202">
        <v>0.4897033991360828</v>
      </c>
      <c r="CC67" s="202">
        <v>0.49472609066956152</v>
      </c>
      <c r="CD67" s="202">
        <v>1.1098943790664175</v>
      </c>
      <c r="CE67" s="202">
        <v>0.82588037485278665</v>
      </c>
      <c r="CF67" s="202">
        <v>1.5252364764206798</v>
      </c>
      <c r="CG67" s="202">
        <v>0.85552669577647433</v>
      </c>
      <c r="CH67" s="202">
        <v>0.94413830623480599</v>
      </c>
      <c r="CI67" s="202">
        <v>0.50000000000000855</v>
      </c>
      <c r="CJ67" s="202">
        <v>1.0041424723495496</v>
      </c>
      <c r="CK67" s="202">
        <v>0.97950772725543567</v>
      </c>
      <c r="CL67" s="202">
        <v>0.1189850786145248</v>
      </c>
      <c r="CM67" s="202">
        <v>0.5666835967089171</v>
      </c>
      <c r="CN67" s="202">
        <v>1.9138508306070758</v>
      </c>
      <c r="CO67" s="202">
        <v>1.0335608429110816</v>
      </c>
      <c r="CP67" s="202">
        <v>0.69533949600185285</v>
      </c>
      <c r="CQ67" s="202">
        <v>0.81393797446383809</v>
      </c>
      <c r="CR67" s="201">
        <v>1.1414361571174032</v>
      </c>
      <c r="CS67" s="201">
        <v>1.1170194092967574</v>
      </c>
      <c r="CT67" s="201">
        <v>1.229882007149349</v>
      </c>
      <c r="CU67" s="201">
        <v>1.2961870043210246</v>
      </c>
      <c r="CV67" s="201">
        <v>0.86756853051305138</v>
      </c>
      <c r="CW67" s="201">
        <v>1.2094044495214749</v>
      </c>
      <c r="CX67" s="201">
        <v>1.2740134242724157</v>
      </c>
      <c r="CY67" s="201">
        <v>0.98041597288760463</v>
      </c>
      <c r="CZ67" s="201">
        <v>1.0192591264373601</v>
      </c>
      <c r="DA67" s="201">
        <v>1.3058964130929827</v>
      </c>
      <c r="DB67" s="201">
        <v>1.2335162665021251</v>
      </c>
      <c r="DC67" s="201">
        <v>1.3018994903753904</v>
      </c>
      <c r="DD67" s="201">
        <v>1.4114548737423511</v>
      </c>
      <c r="DE67" s="201">
        <v>1.1828498540297339</v>
      </c>
      <c r="DF67" s="201">
        <v>2.5899990187440802</v>
      </c>
      <c r="DG67" s="201">
        <v>1.6779289518259153</v>
      </c>
      <c r="DH67" s="201">
        <v>0.83050870302606106</v>
      </c>
      <c r="DI67" s="201">
        <v>1.0877827354454235</v>
      </c>
      <c r="DJ67" s="201">
        <v>1.3579251044313143</v>
      </c>
      <c r="DK67" s="201">
        <v>0.97235928986142872</v>
      </c>
      <c r="DL67" s="201">
        <v>1.377293142920557</v>
      </c>
      <c r="DM67" s="201">
        <v>0.81831364932340378</v>
      </c>
      <c r="DN67" s="201">
        <v>0.87198074852271756</v>
      </c>
      <c r="DO67" s="201">
        <v>1.2564556571898791</v>
      </c>
      <c r="DP67" s="201">
        <v>0.26656790025948895</v>
      </c>
      <c r="DQ67" s="201">
        <v>1.2561366028403032</v>
      </c>
      <c r="DR67" s="201">
        <v>1.0018265589427415</v>
      </c>
      <c r="DS67" s="201">
        <v>1.0934697326253968</v>
      </c>
      <c r="DT67" s="201">
        <v>1.2962787846857911</v>
      </c>
      <c r="DU67" s="201">
        <v>1.0092087846864792</v>
      </c>
      <c r="DV67" s="201">
        <v>0.3060232843876351</v>
      </c>
      <c r="DW67" s="201">
        <v>2.1697517254768974</v>
      </c>
      <c r="DX67" s="201">
        <v>0.97036434670540705</v>
      </c>
      <c r="DY67" s="201">
        <v>3.6674797576030289</v>
      </c>
      <c r="DZ67" s="201">
        <v>-1.774088775668123</v>
      </c>
      <c r="EA67" s="201">
        <v>0.34733325022395506</v>
      </c>
      <c r="EB67" s="201">
        <v>0.76343613153336609</v>
      </c>
      <c r="EC67" s="201">
        <v>-0.16099149583762773</v>
      </c>
      <c r="ED67" s="201">
        <v>1.7703766018830316</v>
      </c>
      <c r="EE67" s="203">
        <v>2.7811343162547164</v>
      </c>
      <c r="EF67" s="201">
        <v>1.5600436332908696</v>
      </c>
      <c r="EG67" s="201">
        <v>-0.44933442905216431</v>
      </c>
      <c r="EH67" s="201">
        <v>0.99267785111766904</v>
      </c>
      <c r="EI67" s="201">
        <v>1.36065141372377</v>
      </c>
      <c r="EJ67" s="201">
        <v>1.3211256283929151</v>
      </c>
      <c r="EK67" s="201">
        <v>1.6060558682818391</v>
      </c>
      <c r="EL67" s="201">
        <v>1.0364363199880937</v>
      </c>
      <c r="EM67" s="201">
        <v>2.7686922050744913</v>
      </c>
      <c r="EN67" s="201">
        <v>-0.45631612346622813</v>
      </c>
      <c r="EO67" s="201">
        <v>1.4450185169110015</v>
      </c>
      <c r="EP67" s="201">
        <v>0.70600764307307629</v>
      </c>
      <c r="EQ67" s="201">
        <v>1.8861477320324067</v>
      </c>
      <c r="ER67" s="201">
        <v>0.88155900481038885</v>
      </c>
      <c r="ES67" s="201">
        <v>2.3294160724570903</v>
      </c>
      <c r="ET67" s="204">
        <v>1.0531718449450449</v>
      </c>
      <c r="EU67" s="204">
        <v>4.1307354775271095E-2</v>
      </c>
      <c r="EV67" s="204">
        <v>1.7450153118435574</v>
      </c>
      <c r="EW67" s="204">
        <v>0.85926391893864673</v>
      </c>
      <c r="EX67" s="204">
        <v>1.2444617754916034</v>
      </c>
      <c r="EY67" s="204">
        <v>3.6855423535834264</v>
      </c>
      <c r="EZ67" s="204">
        <v>1.2477735192104946</v>
      </c>
      <c r="FA67" s="204">
        <v>5.3063046598806247</v>
      </c>
      <c r="FB67" s="204">
        <v>2.9610397229698031</v>
      </c>
      <c r="FC67" s="204">
        <v>4.9875343144521453</v>
      </c>
      <c r="FD67" s="204">
        <v>3.2458108529927032</v>
      </c>
      <c r="FE67" s="204">
        <v>1.3043096847303883</v>
      </c>
      <c r="FF67" s="204">
        <v>1.5176693342604517</v>
      </c>
      <c r="FG67" s="204">
        <v>1.9230988224809045</v>
      </c>
      <c r="FH67" s="204">
        <v>3.2281398972884534</v>
      </c>
      <c r="FI67" s="204">
        <v>3.3257429174532693</v>
      </c>
      <c r="FJ67" s="204">
        <v>1.7399719872425632</v>
      </c>
      <c r="FK67" s="204">
        <v>1.2789797966495293</v>
      </c>
      <c r="FL67" s="204">
        <v>0.93855973215725452</v>
      </c>
      <c r="FM67" s="204">
        <v>2.0146937470118695</v>
      </c>
      <c r="FN67" s="204">
        <v>3.492625410455779</v>
      </c>
      <c r="FO67" s="204">
        <v>-2.7761637124366656</v>
      </c>
      <c r="FP67" s="204">
        <v>3.4016180516147356</v>
      </c>
      <c r="FU67" s="230"/>
    </row>
    <row r="68" spans="2:177" ht="12.5" x14ac:dyDescent="0.25">
      <c r="B68" s="199">
        <v>43</v>
      </c>
      <c r="C68" s="1893" t="s">
        <v>202</v>
      </c>
      <c r="D68" s="199">
        <v>43</v>
      </c>
      <c r="E68" s="205">
        <f>'SOUTH-2'!$N$1403</f>
        <v>-100</v>
      </c>
      <c r="F68" s="1890">
        <v>0.27344956042305207</v>
      </c>
      <c r="G68" s="1890">
        <v>0.33441018110619886</v>
      </c>
      <c r="H68" s="1890">
        <v>0.2663291740938793</v>
      </c>
      <c r="I68" s="1890">
        <v>0.14804178313968375</v>
      </c>
      <c r="J68" s="1890">
        <v>0.12875104777874388</v>
      </c>
      <c r="K68" s="1890">
        <v>0.15169898548864183</v>
      </c>
      <c r="L68" s="205">
        <v>0.12299823153313096</v>
      </c>
      <c r="M68" s="205">
        <v>0.53542192132396615</v>
      </c>
      <c r="N68" s="205">
        <v>0.61107825744137145</v>
      </c>
      <c r="O68" s="202">
        <v>0.11945887749847868</v>
      </c>
      <c r="P68" s="202">
        <v>4.3536196319018474</v>
      </c>
      <c r="Q68" s="202"/>
      <c r="R68" s="202"/>
      <c r="S68" s="202"/>
      <c r="T68" s="202"/>
      <c r="CQ68" s="162"/>
    </row>
    <row r="69" spans="2:177" ht="13" x14ac:dyDescent="0.25">
      <c r="B69" s="229">
        <v>12</v>
      </c>
      <c r="C69" s="1963" t="s">
        <v>171</v>
      </c>
      <c r="D69" s="232">
        <v>12</v>
      </c>
      <c r="E69" s="205">
        <f>'SOUTH-2'!$N$1452</f>
        <v>-100</v>
      </c>
      <c r="F69" s="1890">
        <v>0.6779733863738362</v>
      </c>
      <c r="G69" s="1890">
        <v>1.0830983389940709</v>
      </c>
      <c r="H69" s="1890">
        <v>0.20017776116287145</v>
      </c>
      <c r="I69" s="1890">
        <v>4.9934193854317008E-2</v>
      </c>
      <c r="J69" s="1890">
        <v>0.2994645036077217</v>
      </c>
      <c r="K69" s="1890">
        <v>0.37917818412671317</v>
      </c>
      <c r="L69" s="205">
        <v>0.11596794608000416</v>
      </c>
      <c r="M69" s="205">
        <v>0.57622713526739788</v>
      </c>
      <c r="N69" s="205">
        <v>0.20670557987155694</v>
      </c>
      <c r="O69" s="202">
        <v>-3.0855409751021851E-3</v>
      </c>
      <c r="P69" s="202">
        <v>0.40241775299002647</v>
      </c>
      <c r="Q69" s="202">
        <v>0.9534930350480223</v>
      </c>
      <c r="R69" s="202">
        <v>1.7974257916194429</v>
      </c>
      <c r="S69" s="202">
        <v>1.0440486386682637</v>
      </c>
      <c r="T69" s="202">
        <v>1.954571712027954</v>
      </c>
      <c r="U69" s="202">
        <v>0.98203822347944802</v>
      </c>
      <c r="V69" s="202">
        <v>0.79262269228925397</v>
      </c>
      <c r="W69" s="202">
        <v>2.5738341327830341</v>
      </c>
      <c r="X69" s="202">
        <v>-0.65619870821607285</v>
      </c>
      <c r="Y69" s="202">
        <v>1.6496273603220573</v>
      </c>
      <c r="Z69" s="202">
        <v>1.4799788452272611</v>
      </c>
      <c r="AA69" s="202">
        <v>3.6260578370807131</v>
      </c>
      <c r="AB69" s="202">
        <v>0.15790374925136394</v>
      </c>
      <c r="AC69" s="202">
        <v>0.93</v>
      </c>
      <c r="AD69" s="202">
        <v>2.0147981251352021</v>
      </c>
      <c r="AE69" s="202">
        <v>1.4242161366620845</v>
      </c>
      <c r="AF69" s="202">
        <v>0.35452011258017424</v>
      </c>
      <c r="AG69" s="202">
        <v>1.7417561230230048</v>
      </c>
      <c r="AH69" s="202">
        <v>2.9741141832470848</v>
      </c>
      <c r="AI69" s="202">
        <v>1.6042080805901988</v>
      </c>
      <c r="AJ69" s="202">
        <v>2.0456477919117031</v>
      </c>
      <c r="AK69" s="202">
        <v>1.7729470842798682</v>
      </c>
      <c r="AL69" s="221">
        <v>1.4218403452503385</v>
      </c>
      <c r="AM69" s="221">
        <v>1.0207871431573539</v>
      </c>
      <c r="AN69" s="221">
        <v>2.698610866197988</v>
      </c>
      <c r="AO69" s="221">
        <v>1.8103080604837625</v>
      </c>
      <c r="AP69" s="221">
        <v>1.8717512314450357</v>
      </c>
      <c r="AQ69" s="221">
        <v>1.1561097911458402</v>
      </c>
      <c r="AR69" s="221">
        <v>-1.1198237155653281</v>
      </c>
      <c r="AS69" s="202">
        <v>2.215446738726186</v>
      </c>
      <c r="AT69" s="202">
        <v>2.3390029206178915</v>
      </c>
      <c r="AU69" s="202">
        <v>3.9844010861363617</v>
      </c>
      <c r="AV69" s="202">
        <v>0.81359376451336596</v>
      </c>
      <c r="AW69" s="202"/>
      <c r="AX69" s="202">
        <v>1.8067187009620924</v>
      </c>
      <c r="AY69" s="202">
        <v>2.3529275518986941</v>
      </c>
      <c r="AZ69" s="202">
        <v>4.2433421342360962</v>
      </c>
      <c r="BA69" s="202">
        <v>2.1916640326678785</v>
      </c>
      <c r="BB69" s="202">
        <v>3.1802542119019219</v>
      </c>
      <c r="BC69" s="202">
        <v>0.39475285794679271</v>
      </c>
      <c r="BD69" s="202">
        <v>1.8815239966069726</v>
      </c>
      <c r="BE69" s="202">
        <v>0.65041648081064984</v>
      </c>
      <c r="BF69" s="202">
        <v>1.1062637404786253</v>
      </c>
      <c r="BG69" s="202">
        <v>1.3684814537957186</v>
      </c>
      <c r="BH69" s="202">
        <v>0.21484736457063916</v>
      </c>
      <c r="BI69" s="202">
        <v>0.18232117841038892</v>
      </c>
      <c r="BJ69" s="202"/>
      <c r="BK69" s="202">
        <v>0.16500907637703729</v>
      </c>
      <c r="BL69" s="202">
        <v>0.2051999876280961</v>
      </c>
      <c r="BM69" s="202">
        <v>0.18904940964567821</v>
      </c>
      <c r="BN69" s="202">
        <v>0.15200771721121453</v>
      </c>
      <c r="BO69" s="202">
        <v>0.18274863435984823</v>
      </c>
      <c r="BP69" s="202">
        <v>1.1867854402550984</v>
      </c>
      <c r="BQ69" s="202">
        <v>2.2321027326120362</v>
      </c>
      <c r="BR69" s="202">
        <v>0.27923650445420722</v>
      </c>
      <c r="BS69" s="202">
        <v>1.6019367595939054</v>
      </c>
      <c r="BT69" s="202">
        <v>0.80217514726174088</v>
      </c>
      <c r="BU69" s="202">
        <v>-0.1982728707878546</v>
      </c>
      <c r="BV69" s="202">
        <v>2.264039682734909</v>
      </c>
      <c r="BW69" s="202">
        <v>-1.5565890872229374E-2</v>
      </c>
      <c r="BX69" s="202">
        <v>0.60049999999999171</v>
      </c>
      <c r="BY69" s="202">
        <v>0.51004999999998824</v>
      </c>
      <c r="BZ69" s="202">
        <v>0.48826302474546496</v>
      </c>
      <c r="CA69" s="202">
        <v>1.9999999999994311E-2</v>
      </c>
      <c r="CB69" s="202">
        <v>0.14356355599655735</v>
      </c>
      <c r="CC69" s="202">
        <v>-0.2808540057206444</v>
      </c>
      <c r="CD69" s="202">
        <v>0.51625326209468314</v>
      </c>
      <c r="CE69" s="202">
        <v>0.56154837500937838</v>
      </c>
      <c r="CF69" s="202">
        <v>1.2478174055581961</v>
      </c>
      <c r="CG69" s="202">
        <v>-0.25833794840140789</v>
      </c>
      <c r="CH69" s="202">
        <v>-0.44999999999997942</v>
      </c>
      <c r="CI69" s="202">
        <v>-0.4500000000000004</v>
      </c>
      <c r="CJ69" s="202">
        <v>1.9139053288325614</v>
      </c>
      <c r="CK69" s="202">
        <v>0.74284290093520378</v>
      </c>
      <c r="CL69" s="202">
        <v>2.4635690667162744</v>
      </c>
      <c r="CM69" s="202">
        <v>1.1271282371428648</v>
      </c>
      <c r="CN69" s="202">
        <v>-0.12288140386706367</v>
      </c>
      <c r="CO69" s="202">
        <v>1.0592356483125798</v>
      </c>
      <c r="CP69" s="207">
        <v>0.85490897899430829</v>
      </c>
      <c r="CQ69" s="202">
        <v>-2.0429097197037582</v>
      </c>
      <c r="CR69" s="206">
        <v>1.0385850693255323</v>
      </c>
      <c r="CS69" s="206">
        <v>1.231062544747535</v>
      </c>
      <c r="CT69" s="206">
        <v>1.1640512206531348</v>
      </c>
      <c r="CU69" s="206">
        <v>-0.5475348138699887</v>
      </c>
      <c r="CV69" s="206">
        <v>2.6823533771291039</v>
      </c>
      <c r="CW69" s="206">
        <v>-0.23622718447993638</v>
      </c>
      <c r="CX69" s="206">
        <v>0.98365905877270021</v>
      </c>
      <c r="CY69" s="206">
        <v>1.0251993520305021</v>
      </c>
      <c r="CZ69" s="206">
        <v>0.13093044787523347</v>
      </c>
      <c r="DA69" s="206">
        <v>1.1205746603977016</v>
      </c>
      <c r="DB69" s="206">
        <v>1.1645069739357228</v>
      </c>
      <c r="DC69" s="208">
        <v>1.1858910934050104</v>
      </c>
      <c r="DD69" s="208">
        <v>3.3766721802542339</v>
      </c>
      <c r="DE69" s="208">
        <v>1.1783385116684755</v>
      </c>
      <c r="DF69" s="201">
        <v>1.7370945589083091</v>
      </c>
      <c r="DG69" s="201">
        <v>1.2090955262004532</v>
      </c>
      <c r="DH69" s="201">
        <v>1.1286582127188955</v>
      </c>
      <c r="DI69" s="201">
        <v>1.0372675932593822</v>
      </c>
      <c r="DJ69" s="201">
        <v>1.2493693897979654</v>
      </c>
      <c r="DK69" s="201">
        <v>1.211195436328993</v>
      </c>
      <c r="DL69" s="201">
        <v>1.0701249416932208</v>
      </c>
      <c r="DM69" s="201">
        <v>0.890802663753131</v>
      </c>
      <c r="DN69" s="201">
        <v>0.63226314151849827</v>
      </c>
      <c r="DO69" s="201">
        <v>-0.79802914772463562</v>
      </c>
      <c r="DP69" s="201">
        <v>-0.16422444851959248</v>
      </c>
      <c r="DQ69" s="201">
        <v>2.0065215825896576</v>
      </c>
      <c r="DR69" s="201">
        <v>0.54070178470348051</v>
      </c>
      <c r="DS69" s="201">
        <v>0.28000058989617754</v>
      </c>
      <c r="DT69" s="201">
        <v>-8.1863463307335266E-2</v>
      </c>
      <c r="DU69" s="201">
        <v>2.1812455198297904</v>
      </c>
      <c r="DV69" s="201">
        <v>0.43263336020590032</v>
      </c>
      <c r="DW69" s="201">
        <v>0.75525141534019402</v>
      </c>
      <c r="DX69" s="201">
        <v>1.1453873211277679</v>
      </c>
      <c r="DY69" s="201">
        <v>3.5651752898673386</v>
      </c>
      <c r="DZ69" s="201">
        <v>-1.7516863150392925</v>
      </c>
      <c r="EA69" s="201">
        <v>0.45131021446426173</v>
      </c>
      <c r="EB69" s="201">
        <v>1.3798954869630913</v>
      </c>
      <c r="EC69" s="201">
        <v>-0.37127840647303501</v>
      </c>
      <c r="ED69" s="201">
        <v>2.4598927990777133</v>
      </c>
      <c r="EE69" s="201">
        <v>-0.32854716974961956</v>
      </c>
      <c r="EF69" s="201">
        <v>1.3354420929448334</v>
      </c>
      <c r="EG69" s="201">
        <v>-0.71487061560815246</v>
      </c>
      <c r="EH69" s="201">
        <v>-6.3214243594900354E-2</v>
      </c>
      <c r="EI69" s="201">
        <v>0.10349398623157387</v>
      </c>
      <c r="EJ69" s="201">
        <v>0.54111220493676315</v>
      </c>
      <c r="EK69" s="201">
        <v>2.3392735936014514E-2</v>
      </c>
      <c r="EL69" s="201">
        <v>0.97779542610879377</v>
      </c>
      <c r="EM69" s="201">
        <v>1.4953030573289805</v>
      </c>
      <c r="EN69" s="201">
        <v>0.8720700633566093</v>
      </c>
      <c r="EO69" s="201">
        <v>0.95631429062664774</v>
      </c>
      <c r="EP69" s="201">
        <v>0.13425200449549179</v>
      </c>
      <c r="EQ69" s="201">
        <v>-3.3126270224956997E-2</v>
      </c>
      <c r="ER69" s="201">
        <v>-0.24273993081223522</v>
      </c>
      <c r="ES69" s="201">
        <v>-1.4551483801304788</v>
      </c>
      <c r="ET69" s="204">
        <v>-0.91408362562227474</v>
      </c>
      <c r="EU69" s="204">
        <v>0.46814167709327681</v>
      </c>
      <c r="EV69" s="204">
        <v>-0.95581248229717175</v>
      </c>
      <c r="EW69" s="204">
        <v>-0.17017982138374943</v>
      </c>
      <c r="EX69" s="204">
        <v>-0.84161886355617277</v>
      </c>
      <c r="EY69" s="204">
        <v>0.61798897163735766</v>
      </c>
      <c r="EZ69" s="204">
        <v>0.43734627906677315</v>
      </c>
      <c r="FA69" s="204">
        <v>-1.1037852111632206E-2</v>
      </c>
      <c r="FB69" s="204">
        <v>8.4467583683278918E-2</v>
      </c>
      <c r="FC69" s="204">
        <v>1.174944373241058</v>
      </c>
      <c r="FD69" s="204">
        <v>2.1259072879560388</v>
      </c>
      <c r="FE69" s="204">
        <v>3.8987254404533296</v>
      </c>
      <c r="FF69" s="204">
        <v>0.66834703484238589</v>
      </c>
      <c r="FG69" s="204">
        <v>1.9586679369488964</v>
      </c>
      <c r="FH69" s="204">
        <v>1.3872860270098324</v>
      </c>
      <c r="FI69" s="204">
        <v>1.5344263899732</v>
      </c>
      <c r="FJ69" s="204">
        <v>1.5400714040409971</v>
      </c>
      <c r="FK69" s="204">
        <v>1.2067667875618748</v>
      </c>
      <c r="FL69" s="204">
        <v>8.9469423677000908</v>
      </c>
      <c r="FM69" s="204">
        <v>7.718798689327544</v>
      </c>
      <c r="FN69" s="204">
        <v>-2.7761637124366656</v>
      </c>
      <c r="FO69" s="204">
        <v>2.7986908220271598</v>
      </c>
      <c r="FP69" s="204">
        <v>2.7468466035403241</v>
      </c>
      <c r="FU69" s="230"/>
    </row>
    <row r="70" spans="2:177" ht="13" x14ac:dyDescent="0.25">
      <c r="B70" s="229">
        <v>13</v>
      </c>
      <c r="C70" s="1912" t="s">
        <v>229</v>
      </c>
      <c r="D70" s="199">
        <v>13</v>
      </c>
      <c r="E70" s="205">
        <f>'SOUTH-1'!$N$662</f>
        <v>-100</v>
      </c>
      <c r="F70" s="1890">
        <v>0.10681921904315819</v>
      </c>
      <c r="G70" s="1890">
        <v>0.27654796544404048</v>
      </c>
      <c r="H70" s="1890">
        <v>1.164720304155004</v>
      </c>
      <c r="I70" s="1890">
        <v>0.551642930260409</v>
      </c>
      <c r="J70" s="1890">
        <v>0.3002113353717098</v>
      </c>
      <c r="K70" s="1890">
        <v>0.56408577344273136</v>
      </c>
      <c r="L70" s="205">
        <v>0.53436198776329147</v>
      </c>
      <c r="M70" s="205">
        <v>0.3721600655657859</v>
      </c>
      <c r="N70" s="205">
        <v>-5.1060790828020598E-2</v>
      </c>
      <c r="O70" s="202">
        <v>0.36996529897010877</v>
      </c>
      <c r="P70" s="202">
        <v>0.30596302641038647</v>
      </c>
      <c r="Q70" s="202">
        <v>0.65663608978888399</v>
      </c>
      <c r="R70" s="202">
        <v>7.0571259462275295E-3</v>
      </c>
      <c r="S70" s="202">
        <v>-0.41038083508041578</v>
      </c>
      <c r="T70" s="202">
        <v>1.0475931049324092</v>
      </c>
      <c r="U70" s="202">
        <v>0.22592211301176537</v>
      </c>
      <c r="V70" s="202">
        <v>8.8594222398493794E-2</v>
      </c>
      <c r="W70" s="202">
        <v>0.85503641505894012</v>
      </c>
      <c r="X70" s="202">
        <v>-0.23148957845555554</v>
      </c>
      <c r="Y70" s="202">
        <v>0.86898283154145994</v>
      </c>
      <c r="Z70" s="202">
        <v>0.22759474073042199</v>
      </c>
      <c r="AA70" s="202">
        <v>-0.15043545259590779</v>
      </c>
      <c r="AB70" s="202">
        <v>0.4820991173618297</v>
      </c>
      <c r="AC70" s="202">
        <v>0.02</v>
      </c>
      <c r="AD70" s="202">
        <v>-0.17696813788281959</v>
      </c>
      <c r="AE70" s="202">
        <v>-0.37517102838101213</v>
      </c>
      <c r="AF70" s="202">
        <v>1.5283740435755202</v>
      </c>
      <c r="AG70" s="202">
        <v>1.2384638557681011</v>
      </c>
      <c r="AH70" s="202">
        <v>0.87375049231774127</v>
      </c>
      <c r="AI70" s="202">
        <v>0</v>
      </c>
      <c r="AJ70" s="202">
        <v>-0.74900978684186814</v>
      </c>
      <c r="AK70" s="202">
        <v>0.80792315109162083</v>
      </c>
      <c r="AL70" s="202">
        <v>1.1846116368365887</v>
      </c>
      <c r="AM70" s="202">
        <v>0.40800917903424289</v>
      </c>
      <c r="AN70" s="202">
        <v>1.032875804828814</v>
      </c>
      <c r="AO70" s="202">
        <v>1.0102818971983918</v>
      </c>
      <c r="AP70" s="202">
        <v>2.0010227450761824</v>
      </c>
      <c r="AQ70" s="202">
        <v>2.262199180874267</v>
      </c>
      <c r="AR70" s="202">
        <v>3.5043103172742334</v>
      </c>
      <c r="AS70" s="202">
        <v>2.8983268916646936</v>
      </c>
      <c r="AT70" s="202">
        <v>2.2596030094031172</v>
      </c>
      <c r="AU70" s="202">
        <v>2.4999999999999813</v>
      </c>
      <c r="AV70" s="202">
        <v>1.4999999999999987</v>
      </c>
      <c r="AW70" s="202"/>
      <c r="AX70" s="202">
        <v>2.2990195177947417</v>
      </c>
      <c r="AY70" s="202">
        <v>3.9709719487001376</v>
      </c>
      <c r="AZ70" s="202">
        <v>2.7290590618930359</v>
      </c>
      <c r="BA70" s="202">
        <v>1.5072915403884226</v>
      </c>
      <c r="BB70" s="202">
        <v>2.5483257426453667</v>
      </c>
      <c r="BC70" s="202">
        <v>1.561222594253715</v>
      </c>
      <c r="BD70" s="202">
        <v>1.3934044558450187</v>
      </c>
      <c r="BE70" s="202">
        <v>1.760654564258636</v>
      </c>
      <c r="BF70" s="202">
        <v>2.1468731366950768</v>
      </c>
      <c r="BG70" s="202">
        <v>1.3732271634323097</v>
      </c>
      <c r="BH70" s="202">
        <v>0.63091909365155829</v>
      </c>
      <c r="BI70" s="202">
        <v>0.64132535410445124</v>
      </c>
      <c r="BJ70" s="202"/>
      <c r="BK70" s="202">
        <v>2.2969707743253083</v>
      </c>
      <c r="BL70" s="202">
        <v>0.800259851891711</v>
      </c>
      <c r="BM70" s="202">
        <v>2.6168323865647878</v>
      </c>
      <c r="BN70" s="202">
        <v>1.9681357642079234</v>
      </c>
      <c r="BO70" s="202">
        <v>2.0765127836683352</v>
      </c>
      <c r="BP70" s="202">
        <v>1.8360632907700691</v>
      </c>
      <c r="BQ70" s="202">
        <v>2.0779404548653062</v>
      </c>
      <c r="BR70" s="202">
        <v>3.820145329880408</v>
      </c>
      <c r="BS70" s="202">
        <v>1.1643428110233511</v>
      </c>
      <c r="BT70" s="202">
        <v>1.5848899291422831</v>
      </c>
      <c r="BU70" s="202">
        <v>1.594070621124307</v>
      </c>
      <c r="BV70" s="202">
        <v>2.2957665308024651</v>
      </c>
      <c r="BW70" s="202">
        <v>1.9495340064060298</v>
      </c>
      <c r="BX70" s="202">
        <v>2.0772838263836277</v>
      </c>
      <c r="BY70" s="202">
        <v>2.5043907576181028</v>
      </c>
      <c r="BZ70" s="202">
        <v>1.7357670536344287</v>
      </c>
      <c r="CA70" s="202">
        <v>1.1751745510020517</v>
      </c>
      <c r="CB70" s="202">
        <v>-0.6891997541499818</v>
      </c>
      <c r="CC70" s="202">
        <v>2.7529604860995569</v>
      </c>
      <c r="CD70" s="202">
        <v>1.3195748496850042</v>
      </c>
      <c r="CE70" s="202">
        <v>3.0039502675947656</v>
      </c>
      <c r="CF70" s="208">
        <v>1.4070271419126104</v>
      </c>
      <c r="CG70" s="208">
        <v>3.898548308084842</v>
      </c>
      <c r="CH70" s="202">
        <v>0.62864594955726771</v>
      </c>
      <c r="CI70" s="202">
        <v>-1.3154380094605275E-2</v>
      </c>
      <c r="CJ70" s="202">
        <v>2.5593650419512741</v>
      </c>
      <c r="CK70" s="202">
        <v>2.2695266027404974</v>
      </c>
      <c r="CL70" s="202">
        <v>0.97921835537624247</v>
      </c>
      <c r="CM70" s="202">
        <v>2.2718600080802749</v>
      </c>
      <c r="CN70" s="202">
        <v>2.3192638328388515</v>
      </c>
      <c r="CO70" s="202">
        <v>1.9275851217075712</v>
      </c>
      <c r="CP70" s="207">
        <v>4.0241911201457921</v>
      </c>
      <c r="CQ70" s="202">
        <v>2.6397623098176299</v>
      </c>
      <c r="CR70" s="206">
        <v>2.1901062562149769</v>
      </c>
      <c r="CS70" s="206">
        <v>2.0664739563068419</v>
      </c>
      <c r="CT70" s="206">
        <v>2.9982142365952851</v>
      </c>
      <c r="CU70" s="206">
        <v>2.7714868442180771</v>
      </c>
      <c r="CV70" s="206">
        <v>-1.5227383042693194</v>
      </c>
      <c r="CW70" s="206">
        <v>2.3116623548872202</v>
      </c>
      <c r="CX70" s="206">
        <v>2.0258259209735541</v>
      </c>
      <c r="CY70" s="206">
        <v>0.99212082941341895</v>
      </c>
      <c r="CZ70" s="206">
        <v>3.9173589477057091</v>
      </c>
      <c r="DA70" s="206">
        <v>0.4504413409177021</v>
      </c>
      <c r="DB70" s="206">
        <v>2.1126655351077974</v>
      </c>
      <c r="DC70" s="208">
        <v>1.9415251881634978</v>
      </c>
      <c r="DD70" s="208">
        <v>1.5408362533574127</v>
      </c>
      <c r="DE70" s="208">
        <v>2.0566469029759449</v>
      </c>
      <c r="DF70" s="201">
        <v>1.4224428388658161</v>
      </c>
      <c r="DG70" s="201">
        <v>1.4910690156271611</v>
      </c>
      <c r="DH70" s="201">
        <v>1.5633137615175967</v>
      </c>
      <c r="DI70" s="201">
        <v>1.7203612198640295</v>
      </c>
      <c r="DJ70" s="201">
        <v>1.3805742473421925</v>
      </c>
      <c r="DK70" s="201">
        <v>0.87641059459948911</v>
      </c>
      <c r="DL70" s="201">
        <v>1.1320252643925388</v>
      </c>
      <c r="DM70" s="201">
        <v>1.4370526443012166</v>
      </c>
      <c r="DN70" s="201">
        <v>1.6364544499735794</v>
      </c>
      <c r="DO70" s="201">
        <v>-0.12189494468125164</v>
      </c>
      <c r="DP70" s="201">
        <v>1.6283766610555659</v>
      </c>
      <c r="DQ70" s="201">
        <v>2.955508834338648</v>
      </c>
      <c r="DR70" s="201">
        <v>2.614453085436327</v>
      </c>
      <c r="DS70" s="201">
        <v>0.59632559384078054</v>
      </c>
      <c r="DT70" s="201">
        <v>2.301675553111493</v>
      </c>
      <c r="DU70" s="201">
        <v>1.739700623489937</v>
      </c>
      <c r="DV70" s="201">
        <v>1.1112246204137635</v>
      </c>
      <c r="DW70" s="201">
        <v>1.3947839188674567</v>
      </c>
      <c r="DX70" s="201">
        <v>2.0939825978895588</v>
      </c>
      <c r="DY70" s="201">
        <v>4.8749139737911538</v>
      </c>
      <c r="DZ70" s="201">
        <v>-0.50369737137234238</v>
      </c>
      <c r="EA70" s="206">
        <v>2.2676811473291929</v>
      </c>
      <c r="EB70" s="206">
        <v>2.7993260821935815</v>
      </c>
      <c r="EC70" s="206">
        <v>1.0118637979994789</v>
      </c>
      <c r="ED70" s="206">
        <v>4.3114807353461755</v>
      </c>
      <c r="EE70" s="206">
        <v>1.1211545917121943</v>
      </c>
      <c r="EF70" s="206">
        <v>2.7517076693494578</v>
      </c>
      <c r="EG70" s="206">
        <v>2.4969427987317077</v>
      </c>
      <c r="EH70" s="206">
        <v>1.1727544427264613</v>
      </c>
      <c r="EI70" s="206">
        <v>2.9268934104786948</v>
      </c>
      <c r="EJ70" s="206">
        <v>1.9570412485214919</v>
      </c>
      <c r="EK70" s="206">
        <v>2.1757814375602829</v>
      </c>
      <c r="EL70" s="206">
        <v>1.9550487301840846</v>
      </c>
      <c r="EM70" s="206">
        <v>1.8678786274845913</v>
      </c>
      <c r="EN70" s="206">
        <v>2.0207151977190101</v>
      </c>
      <c r="EO70" s="206">
        <v>2.4881349881622947</v>
      </c>
      <c r="EP70" s="206">
        <v>2.5874718171269686</v>
      </c>
      <c r="EQ70" s="201">
        <v>1.9358484546886396</v>
      </c>
      <c r="ER70" s="201">
        <v>3.6753431275023369</v>
      </c>
      <c r="ES70" s="201">
        <v>3.1859022926153564</v>
      </c>
      <c r="ET70" s="204">
        <v>2.6816735744547695</v>
      </c>
      <c r="EU70" s="204">
        <v>1.3643042814001218</v>
      </c>
      <c r="EV70" s="204">
        <v>4.7947281661862373</v>
      </c>
      <c r="EW70" s="204">
        <v>3.9781152012579852</v>
      </c>
      <c r="EX70" s="204">
        <v>1.1913730844966501</v>
      </c>
      <c r="EY70" s="204">
        <v>1.638699907115579</v>
      </c>
      <c r="EZ70" s="204">
        <v>3.5456469814768776</v>
      </c>
      <c r="FA70" s="204">
        <v>3.6034704486441629</v>
      </c>
      <c r="FB70" s="204">
        <v>3.5072407308512763</v>
      </c>
      <c r="FC70" s="204">
        <v>1.2469295300481893</v>
      </c>
      <c r="FD70" s="204">
        <v>4.009076909565441</v>
      </c>
      <c r="FE70" s="204">
        <v>3.1469247181274236</v>
      </c>
      <c r="FF70" s="204">
        <v>2.627644462440585</v>
      </c>
      <c r="FG70" s="204">
        <v>3.826595972598938</v>
      </c>
      <c r="FH70" s="204">
        <v>3.1615254691412269</v>
      </c>
      <c r="FI70" s="204">
        <v>2.8226095701620344</v>
      </c>
      <c r="FJ70" s="204">
        <v>2.97999710775421</v>
      </c>
      <c r="FK70" s="204">
        <v>2.4633892683901633</v>
      </c>
      <c r="FL70" s="204">
        <v>1.6593160271683645</v>
      </c>
      <c r="FM70" s="204">
        <v>3.3251648904264699</v>
      </c>
      <c r="FN70" s="204">
        <v>2.7986908220271598</v>
      </c>
      <c r="FO70" s="204">
        <v>-1.6330616375516287</v>
      </c>
      <c r="FP70" s="204">
        <v>-1.3379534087425353</v>
      </c>
      <c r="FU70" s="230"/>
    </row>
    <row r="71" spans="2:177" ht="12.5" x14ac:dyDescent="0.25">
      <c r="B71" s="229">
        <v>14</v>
      </c>
      <c r="C71" s="1892" t="s">
        <v>173</v>
      </c>
      <c r="D71" s="199">
        <v>14</v>
      </c>
      <c r="E71" s="205">
        <f>'SOUTH-1'!$N$999</f>
        <v>-100</v>
      </c>
      <c r="F71" s="1890">
        <v>6.4266446620115561E-2</v>
      </c>
      <c r="G71" s="1890">
        <v>0.18357972850155768</v>
      </c>
      <c r="H71" s="1890">
        <v>0.1352049596004738</v>
      </c>
      <c r="I71" s="1890">
        <v>8.0802496968509149E-2</v>
      </c>
      <c r="J71" s="1890">
        <v>0.19231341545523484</v>
      </c>
      <c r="K71" s="1890">
        <v>0.11332315884212951</v>
      </c>
      <c r="L71" s="205">
        <v>0.1741305219467166</v>
      </c>
      <c r="M71" s="205">
        <v>0.44191709172423516</v>
      </c>
      <c r="N71" s="205">
        <v>0.37264468575701826</v>
      </c>
      <c r="O71" s="202">
        <v>0.1693449354834749</v>
      </c>
      <c r="P71" s="202">
        <v>0.22177847899410752</v>
      </c>
      <c r="Q71" s="202">
        <v>-2.3485027937601034E-2</v>
      </c>
      <c r="R71" s="202">
        <v>-2.3215314688987004E-2</v>
      </c>
      <c r="S71" s="202">
        <v>0.1072136525716499</v>
      </c>
      <c r="T71" s="202">
        <v>1.9405853923416344E-2</v>
      </c>
      <c r="U71" s="202">
        <v>2.562170699280384E-2</v>
      </c>
      <c r="V71" s="202">
        <v>1.695618266689709E-2</v>
      </c>
      <c r="W71" s="201">
        <v>8.7996687766461135E-2</v>
      </c>
      <c r="X71" s="201">
        <v>-3.9618223505036576E-2</v>
      </c>
      <c r="Y71" s="201">
        <v>5.2092465176576189E-2</v>
      </c>
      <c r="Z71" s="201">
        <v>3.2613709053154041E-2</v>
      </c>
      <c r="AA71" s="201">
        <v>6.3475210742175756E-2</v>
      </c>
      <c r="AB71" s="201">
        <v>9.4415108215107443E-2</v>
      </c>
      <c r="AC71" s="201">
        <v>0.04</v>
      </c>
      <c r="AD71" s="201">
        <v>-0.39417178724250845</v>
      </c>
      <c r="AE71" s="201">
        <v>-0.10236735903959722</v>
      </c>
      <c r="AF71" s="201">
        <v>-0.14835715033500008</v>
      </c>
      <c r="AG71" s="201">
        <v>0.14419400092164233</v>
      </c>
      <c r="AH71" s="201">
        <v>0.1389571789220117</v>
      </c>
      <c r="AI71" s="201">
        <v>8.291448262175409E-2</v>
      </c>
      <c r="AJ71" s="201">
        <v>0.11766281108640535</v>
      </c>
      <c r="AK71" s="201">
        <v>-9.7193925272862858E-2</v>
      </c>
      <c r="AL71" s="201">
        <v>-0.11611253083147195</v>
      </c>
      <c r="AM71" s="201">
        <v>-3.0301586539683553E-2</v>
      </c>
      <c r="AN71" s="202">
        <v>-0.21853907762542663</v>
      </c>
      <c r="AO71" s="202">
        <v>0.20066785785080618</v>
      </c>
      <c r="AP71" s="202">
        <v>-8.4601711060441093E-2</v>
      </c>
      <c r="AQ71" s="202">
        <v>0.1620877145733145</v>
      </c>
      <c r="AR71" s="202">
        <v>0.25725772599571489</v>
      </c>
      <c r="AS71" s="202">
        <v>0.37803863532324333</v>
      </c>
      <c r="AT71" s="202">
        <v>0.3578315404133382</v>
      </c>
      <c r="AU71" s="202">
        <v>1.453098534839853E-2</v>
      </c>
      <c r="AV71" s="202">
        <v>0.33333139982545573</v>
      </c>
      <c r="AW71" s="202"/>
      <c r="AX71" s="202">
        <v>0.92326335853747366</v>
      </c>
      <c r="AY71" s="202">
        <v>0.4020996790744501</v>
      </c>
      <c r="AZ71" s="202">
        <v>9.5154393590525438E-2</v>
      </c>
      <c r="BA71" s="202">
        <v>7.9401234367405579E-2</v>
      </c>
      <c r="BB71" s="202">
        <v>-0.48785386857081281</v>
      </c>
      <c r="BC71" s="202">
        <v>-0.98313874197573614</v>
      </c>
      <c r="BD71" s="202">
        <v>1.5136129712696365</v>
      </c>
      <c r="BE71" s="202">
        <v>1.0567596213023371</v>
      </c>
      <c r="BF71" s="202">
        <v>0.19437645471195153</v>
      </c>
      <c r="BG71" s="202">
        <v>0.14360040478624322</v>
      </c>
      <c r="BH71" s="202">
        <v>5.1825960450852478E-2</v>
      </c>
      <c r="BI71" s="202">
        <v>0.9060226802963024</v>
      </c>
      <c r="BJ71" s="202"/>
      <c r="BK71" s="202">
        <v>0.67406125853648591</v>
      </c>
      <c r="BL71" s="202">
        <v>-0.38051087582723525</v>
      </c>
      <c r="BM71" s="202">
        <v>0.35873578659871702</v>
      </c>
      <c r="BN71" s="202">
        <v>-1.3961647747291914</v>
      </c>
      <c r="BO71" s="202">
        <v>0.11021478997744846</v>
      </c>
      <c r="BP71" s="202">
        <v>0.16838856057415066</v>
      </c>
      <c r="BQ71" s="202">
        <v>0.19176201020636774</v>
      </c>
      <c r="BR71" s="202">
        <v>0.4384582532544698</v>
      </c>
      <c r="BS71" s="202">
        <v>0.19501589001169214</v>
      </c>
      <c r="BT71" s="202">
        <v>7.9818435226035288E-3</v>
      </c>
      <c r="BU71" s="202">
        <v>0.11097849174818335</v>
      </c>
      <c r="BV71" s="202">
        <v>-9.7922347121969927E-2</v>
      </c>
      <c r="BW71" s="202">
        <v>8.4705475992081433E-2</v>
      </c>
      <c r="BX71" s="202">
        <v>-0.19808578332127935</v>
      </c>
      <c r="BY71" s="202">
        <v>0.44410559176378173</v>
      </c>
      <c r="BZ71" s="202">
        <v>-0.16866267705616905</v>
      </c>
      <c r="CA71" s="202">
        <v>-0.31065197469687567</v>
      </c>
      <c r="CB71" s="202">
        <v>3.5163338664430013E-2</v>
      </c>
      <c r="CC71" s="202">
        <v>-7.2081934810265952E-2</v>
      </c>
      <c r="CD71" s="202">
        <v>0.21557788089291455</v>
      </c>
      <c r="CE71" s="202">
        <v>0.27843637775901858</v>
      </c>
      <c r="CF71" s="202">
        <v>-0.72691632250694893</v>
      </c>
      <c r="CG71" s="202">
        <v>0.11191483670477055</v>
      </c>
      <c r="CH71" s="202">
        <v>-0.67644511304613508</v>
      </c>
      <c r="CI71" s="202">
        <v>0.18749861264479076</v>
      </c>
      <c r="CJ71" s="202">
        <v>0.10023475504855382</v>
      </c>
      <c r="CK71" s="202">
        <v>0.12588382356478361</v>
      </c>
      <c r="CL71" s="202">
        <v>0.11529894980128132</v>
      </c>
      <c r="CM71" s="202">
        <v>0.20192899886371674</v>
      </c>
      <c r="CN71" s="202">
        <v>0.35274816437999734</v>
      </c>
      <c r="CO71" s="202">
        <v>-8.4805834420209891E-2</v>
      </c>
      <c r="CP71" s="202">
        <v>0.12690851489918939</v>
      </c>
      <c r="CQ71" s="202">
        <v>0.1370122858249965</v>
      </c>
      <c r="CR71" s="201">
        <v>1.8193841026982103E-2</v>
      </c>
      <c r="CS71" s="201">
        <v>0.1125007002447358</v>
      </c>
      <c r="CT71" s="201">
        <v>-6.500117283763919E-2</v>
      </c>
      <c r="CU71" s="201">
        <v>5.6758257759043876E-2</v>
      </c>
      <c r="CV71" s="201">
        <v>0.53104684087221377</v>
      </c>
      <c r="CW71" s="201">
        <v>-0.11706773781180724</v>
      </c>
      <c r="CX71" s="201">
        <v>0.16048343031390952</v>
      </c>
      <c r="CY71" s="201">
        <v>-8.3798935534296098E-2</v>
      </c>
      <c r="CZ71" s="201">
        <v>9.429645129269984E-2</v>
      </c>
      <c r="DA71" s="201">
        <v>-0.55237522475809553</v>
      </c>
      <c r="DB71" s="201">
        <v>0.1879909558508574</v>
      </c>
      <c r="DC71" s="201">
        <v>0.2077739171271179</v>
      </c>
      <c r="DD71" s="201">
        <v>0.10989383294028711</v>
      </c>
      <c r="DE71" s="201">
        <v>-0.62596456936625777</v>
      </c>
      <c r="DF71" s="201">
        <v>0.26726602467649718</v>
      </c>
      <c r="DG71" s="201">
        <v>0.16315627565842811</v>
      </c>
      <c r="DH71" s="201">
        <v>0.12811431045687338</v>
      </c>
      <c r="DI71" s="201">
        <v>0.18081621348005433</v>
      </c>
      <c r="DJ71" s="201">
        <v>7.2485429686217642E-2</v>
      </c>
      <c r="DK71" s="201">
        <v>0.17156332056513954</v>
      </c>
      <c r="DL71" s="201">
        <v>0.27235090866594452</v>
      </c>
      <c r="DM71" s="201">
        <v>0.12067504084498902</v>
      </c>
      <c r="DN71" s="201">
        <v>-0.30213363389879411</v>
      </c>
      <c r="DO71" s="201">
        <v>0.53073727647347668</v>
      </c>
      <c r="DP71" s="201">
        <v>0.18101696467773196</v>
      </c>
      <c r="DQ71" s="201">
        <v>0.15682177930465349</v>
      </c>
      <c r="DR71" s="201">
        <v>0.18412453677958282</v>
      </c>
      <c r="DS71" s="201">
        <v>0.22276187236106199</v>
      </c>
      <c r="DT71" s="201">
        <v>0.10864201004463772</v>
      </c>
      <c r="DU71" s="201">
        <v>0.18554767755150828</v>
      </c>
      <c r="DV71" s="201">
        <v>0.17119693715357792</v>
      </c>
      <c r="DW71" s="201">
        <v>0.21356722968777869</v>
      </c>
      <c r="DX71" s="201">
        <v>-8.3890365675349226E-3</v>
      </c>
      <c r="DY71" s="201">
        <v>1.4113693512188184E-2</v>
      </c>
      <c r="DZ71" s="201">
        <v>7.5935128433322313E-2</v>
      </c>
      <c r="EA71" s="201">
        <v>3.9680196588309853E-2</v>
      </c>
      <c r="EB71" s="201">
        <v>0.14558352435497693</v>
      </c>
      <c r="EC71" s="201">
        <v>2.5168572088143226E-2</v>
      </c>
      <c r="ED71" s="201">
        <v>3.1906393611487284E-3</v>
      </c>
      <c r="EE71" s="201">
        <v>-3.711862483066011E-3</v>
      </c>
      <c r="EF71" s="201">
        <v>8.1977898710056646E-2</v>
      </c>
      <c r="EG71" s="201">
        <v>1.7042964142832788E-2</v>
      </c>
      <c r="EH71" s="201">
        <v>6.3791721509132288E-2</v>
      </c>
      <c r="EI71" s="201">
        <v>1.8899845916795065E-2</v>
      </c>
      <c r="EJ71" s="201">
        <v>0.15612666466637432</v>
      </c>
      <c r="EK71" s="201">
        <v>0.1242666811163716</v>
      </c>
      <c r="EL71" s="201">
        <v>7.5261122940571662E-2</v>
      </c>
      <c r="EM71" s="201">
        <v>0.12800697404495232</v>
      </c>
      <c r="EN71" s="201">
        <v>-7.6313860476100073E-2</v>
      </c>
      <c r="EO71" s="201">
        <v>-7.6370802078942229E-2</v>
      </c>
      <c r="EP71" s="201">
        <v>-6.1550440229367148E-2</v>
      </c>
      <c r="EQ71" s="201">
        <v>-4.4992934680264919E-2</v>
      </c>
      <c r="ER71" s="201">
        <v>-5.9491418498882051E-2</v>
      </c>
      <c r="ES71" s="201">
        <v>0.49766994308712253</v>
      </c>
      <c r="ET71" s="204">
        <v>-0.21726390512158258</v>
      </c>
      <c r="EU71" s="204">
        <v>1.024856487864563</v>
      </c>
      <c r="EV71" s="204">
        <v>-2.517272229343151E-2</v>
      </c>
      <c r="EW71" s="204">
        <v>0.72725099946378091</v>
      </c>
      <c r="EX71" s="204">
        <v>9.1644205687063607E-2</v>
      </c>
      <c r="EY71" s="204">
        <v>-0.73886893566471101</v>
      </c>
      <c r="EZ71" s="204">
        <v>0.31663916659089564</v>
      </c>
      <c r="FA71" s="204">
        <v>0.35967551965335809</v>
      </c>
      <c r="FB71" s="204">
        <v>0.31935983706853327</v>
      </c>
      <c r="FC71" s="204">
        <v>0.31559370949969573</v>
      </c>
      <c r="FD71" s="204">
        <v>-0.19747089836719159</v>
      </c>
      <c r="FE71" s="204">
        <v>0.44025154732651633</v>
      </c>
      <c r="FF71" s="204">
        <v>-2.5640567536939884</v>
      </c>
      <c r="FG71" s="204">
        <v>0.18205138032251125</v>
      </c>
      <c r="FH71" s="204">
        <v>-0.41169109760462175</v>
      </c>
      <c r="FI71" s="204">
        <v>-0.11765304532204385</v>
      </c>
      <c r="FJ71" s="204">
        <v>-3.4062381381974038E-2</v>
      </c>
      <c r="FK71" s="204">
        <v>-0.38739047900359302</v>
      </c>
      <c r="FL71" s="204">
        <v>-4.29</v>
      </c>
      <c r="FM71" s="204"/>
      <c r="FN71" s="204"/>
      <c r="FO71" s="204">
        <v>-3.0919264561522732</v>
      </c>
      <c r="FP71" s="204">
        <v>4.7393530431199089</v>
      </c>
      <c r="FQ71" s="2206" t="s">
        <v>865</v>
      </c>
      <c r="FR71" s="2207"/>
      <c r="FU71" s="230"/>
    </row>
    <row r="72" spans="2:177" ht="12.5" x14ac:dyDescent="0.25">
      <c r="B72" s="229">
        <v>15</v>
      </c>
      <c r="C72" s="1961" t="s">
        <v>174</v>
      </c>
      <c r="D72" s="199">
        <v>15</v>
      </c>
      <c r="E72" s="205">
        <f>'SOUTH-1'!$N$1033</f>
        <v>-100</v>
      </c>
      <c r="F72" s="1890">
        <v>0.17829448341102058</v>
      </c>
      <c r="G72" s="1890">
        <v>0.35500049960835578</v>
      </c>
      <c r="H72" s="1890">
        <v>0.17320781692806167</v>
      </c>
      <c r="I72" s="1890">
        <v>0.33194902600556986</v>
      </c>
      <c r="J72" s="1890">
        <v>5.4544251541153617E-2</v>
      </c>
      <c r="K72" s="1890">
        <v>0.26016825204690769</v>
      </c>
      <c r="L72" s="205">
        <v>0.24309401397460784</v>
      </c>
      <c r="M72" s="205">
        <v>0.25864670066126877</v>
      </c>
      <c r="N72" s="205">
        <v>0.54077471508798958</v>
      </c>
      <c r="O72" s="202">
        <v>0.27039481098767754</v>
      </c>
      <c r="P72" s="202">
        <v>0.21083626261349039</v>
      </c>
      <c r="Q72" s="202">
        <v>4.273128639723079E-2</v>
      </c>
      <c r="R72" s="202">
        <v>7.3196921233892903E-2</v>
      </c>
      <c r="S72" s="202">
        <v>0.1977370719728456</v>
      </c>
      <c r="T72" s="202">
        <v>0.12175330022143084</v>
      </c>
      <c r="U72" s="202">
        <v>0.14913192795714683</v>
      </c>
      <c r="V72" s="202">
        <v>0.13011167721131844</v>
      </c>
      <c r="W72" s="202">
        <v>0.17598004046311777</v>
      </c>
      <c r="X72" s="202">
        <v>1.1157106539894841E-2</v>
      </c>
      <c r="Y72" s="202">
        <v>9.7591365232107832E-2</v>
      </c>
      <c r="Z72" s="202">
        <v>2.316218390378005E-2</v>
      </c>
      <c r="AA72" s="202">
        <v>0.11131851086224354</v>
      </c>
      <c r="AB72" s="202">
        <v>0.14680568346838224</v>
      </c>
      <c r="AC72" s="202">
        <v>0.18</v>
      </c>
      <c r="AD72" s="202">
        <v>0.67039453435781249</v>
      </c>
      <c r="AE72" s="202">
        <v>0.8601101846961523</v>
      </c>
      <c r="AF72" s="202">
        <v>-0.12882603801272183</v>
      </c>
      <c r="AG72" s="202">
        <v>7.0880439575459045E-2</v>
      </c>
      <c r="AH72" s="202">
        <v>0.19989389005416439</v>
      </c>
      <c r="AI72" s="202">
        <v>0.20774310717700165</v>
      </c>
      <c r="AJ72" s="202">
        <v>0.19607067622458715</v>
      </c>
      <c r="AK72" s="202">
        <v>1.2175422469448223</v>
      </c>
      <c r="AL72" s="202">
        <v>0.24335309535903912</v>
      </c>
      <c r="AM72" s="202">
        <v>0.67208159035358639</v>
      </c>
      <c r="AN72" s="202">
        <v>0.74143236513477673</v>
      </c>
      <c r="AO72" s="202">
        <v>0.46253791361991453</v>
      </c>
      <c r="AP72" s="202">
        <v>0.20584239196439189</v>
      </c>
      <c r="AQ72" s="202">
        <v>1.3122884245245241</v>
      </c>
      <c r="AR72" s="202">
        <v>0.48988501470882218</v>
      </c>
      <c r="AS72" s="202">
        <v>0.64040671647240566</v>
      </c>
      <c r="AT72" s="202">
        <v>0.57478706660415535</v>
      </c>
      <c r="AU72" s="202">
        <v>0.25917471717645096</v>
      </c>
      <c r="AV72" s="202">
        <v>0.33451031230873529</v>
      </c>
      <c r="AW72" s="202"/>
      <c r="AX72" s="202">
        <v>0.38967873741057096</v>
      </c>
      <c r="AY72" s="202">
        <v>2.4285043872768131</v>
      </c>
      <c r="AZ72" s="202">
        <v>0.4787251856044023</v>
      </c>
      <c r="BA72" s="202">
        <v>0.46948573978261626</v>
      </c>
      <c r="BB72" s="202">
        <v>3.4564817829244823E-2</v>
      </c>
      <c r="BC72" s="202">
        <v>-0.41051136534375521</v>
      </c>
      <c r="BD72" s="202">
        <v>2.1280867739497991</v>
      </c>
      <c r="BE72" s="202">
        <v>1.4905398646381818</v>
      </c>
      <c r="BF72" s="202">
        <v>0.58808896658715182</v>
      </c>
      <c r="BG72" s="202">
        <v>0.56820227196128381</v>
      </c>
      <c r="BH72" s="202">
        <v>0.55031898854615624</v>
      </c>
      <c r="BI72" s="202">
        <v>1.4293444507911295</v>
      </c>
      <c r="BJ72" s="202"/>
      <c r="BK72" s="202">
        <v>1.1668057425836236</v>
      </c>
      <c r="BL72" s="202">
        <v>3.7691531618776385E-2</v>
      </c>
      <c r="BM72" s="202">
        <v>0.83849998891942878</v>
      </c>
      <c r="BN72" s="202">
        <v>-0.90384387681670897</v>
      </c>
      <c r="BO72" s="202">
        <v>7.5914247331117984E-2</v>
      </c>
      <c r="BP72" s="202">
        <v>-0.15470630410523706</v>
      </c>
      <c r="BQ72" s="202">
        <v>-0.39282151009994271</v>
      </c>
      <c r="BR72" s="202">
        <v>-0.11188412466638657</v>
      </c>
      <c r="BS72" s="202">
        <v>-0.24601750291426672</v>
      </c>
      <c r="BT72" s="202">
        <v>-0.1207979115436514</v>
      </c>
      <c r="BU72" s="202">
        <v>3.9447148025134778E-2</v>
      </c>
      <c r="BV72" s="202">
        <v>-4.5856758129989877E-2</v>
      </c>
      <c r="BW72" s="202">
        <v>-3.1903301226468792</v>
      </c>
      <c r="BX72" s="202">
        <v>5.8548362088039942</v>
      </c>
      <c r="BY72" s="202">
        <v>-0.42010169991341229</v>
      </c>
      <c r="BZ72" s="202">
        <v>4.2483956109459009E-3</v>
      </c>
      <c r="CA72" s="202">
        <v>-0.30066680357092551</v>
      </c>
      <c r="CB72" s="202">
        <v>-0.27692879987471858</v>
      </c>
      <c r="CC72" s="202">
        <v>0.22250561732748306</v>
      </c>
      <c r="CD72" s="202">
        <v>0.42668439364796257</v>
      </c>
      <c r="CE72" s="202">
        <v>0.55135610031064886</v>
      </c>
      <c r="CF72" s="202">
        <v>1.5260154074955085E-2</v>
      </c>
      <c r="CG72" s="202">
        <v>0.49999999999999595</v>
      </c>
      <c r="CH72" s="202">
        <v>-5.7674127712065388</v>
      </c>
      <c r="CI72" s="202">
        <v>1.4207730898527249</v>
      </c>
      <c r="CJ72" s="202">
        <v>0.46313867192643315</v>
      </c>
      <c r="CK72" s="202">
        <v>0.39807439619710006</v>
      </c>
      <c r="CL72" s="202">
        <v>0.47986721648832287</v>
      </c>
      <c r="CM72" s="202">
        <v>0.53188487347675306</v>
      </c>
      <c r="CN72" s="202">
        <v>0.79781704599186953</v>
      </c>
      <c r="CO72" s="202">
        <v>0.4550400168101203</v>
      </c>
      <c r="CP72" s="202">
        <v>0.55830838800238147</v>
      </c>
      <c r="CQ72" s="202">
        <v>0.47307844676773658</v>
      </c>
      <c r="CR72" s="201">
        <v>0.43029602364301928</v>
      </c>
      <c r="CS72" s="201">
        <v>0.62374714308709844</v>
      </c>
      <c r="CT72" s="201">
        <v>0.2574256162326623</v>
      </c>
      <c r="CU72" s="201">
        <v>0.53417092496605034</v>
      </c>
      <c r="CV72" s="201">
        <v>0.93822647224231814</v>
      </c>
      <c r="CW72" s="201">
        <v>0.28190198980248893</v>
      </c>
      <c r="CX72" s="201">
        <v>0.59532460691220546</v>
      </c>
      <c r="CY72" s="201">
        <v>0.3573709143843693</v>
      </c>
      <c r="CZ72" s="201">
        <v>0.54391719798699778</v>
      </c>
      <c r="DA72" s="201">
        <v>-1.1431192308265907</v>
      </c>
      <c r="DB72" s="201">
        <v>0.59029169618114419</v>
      </c>
      <c r="DC72" s="201">
        <v>0.50413057464745914</v>
      </c>
      <c r="DD72" s="201">
        <v>0.55034061804518897</v>
      </c>
      <c r="DE72" s="201">
        <v>-0.21072220006597642</v>
      </c>
      <c r="DF72" s="201">
        <v>0.71238313918416107</v>
      </c>
      <c r="DG72" s="201">
        <v>0.60540500266301533</v>
      </c>
      <c r="DH72" s="201">
        <v>0.53153308747983952</v>
      </c>
      <c r="DI72" s="201">
        <v>0.47609351483759593</v>
      </c>
      <c r="DJ72" s="201">
        <v>0.60231338049110439</v>
      </c>
      <c r="DK72" s="201">
        <v>0.46938606233392494</v>
      </c>
      <c r="DL72" s="201">
        <v>0.76857114520463177</v>
      </c>
      <c r="DM72" s="201">
        <v>0.63810842606722651</v>
      </c>
      <c r="DN72" s="201">
        <v>-0.2291763856071988</v>
      </c>
      <c r="DO72" s="201">
        <v>1.3439801316779938</v>
      </c>
      <c r="DP72" s="201">
        <v>0.62273455387131182</v>
      </c>
      <c r="DQ72" s="201">
        <v>0.69603186286937069</v>
      </c>
      <c r="DR72" s="201">
        <v>0.73261410548979033</v>
      </c>
      <c r="DS72" s="201">
        <v>0.71973467858927254</v>
      </c>
      <c r="DT72" s="201">
        <v>0.51275757212996353</v>
      </c>
      <c r="DU72" s="201">
        <v>0.60382470355671336</v>
      </c>
      <c r="DV72" s="201">
        <v>0.43755497070947591</v>
      </c>
      <c r="DW72" s="201">
        <v>0.76674993487394982</v>
      </c>
      <c r="DX72" s="201">
        <v>0.49462605188377756</v>
      </c>
      <c r="DY72" s="201">
        <v>0.42831803414436259</v>
      </c>
      <c r="DZ72" s="201">
        <v>0.49059785789999011</v>
      </c>
      <c r="EA72" s="201">
        <v>0.48140076687617761</v>
      </c>
      <c r="EB72" s="201">
        <v>0.5267743946025949</v>
      </c>
      <c r="EC72" s="201">
        <v>0.43188631220000662</v>
      </c>
      <c r="ED72" s="201">
        <v>0.42082178647215551</v>
      </c>
      <c r="EE72" s="201">
        <v>0.41057659728465556</v>
      </c>
      <c r="EF72" s="201">
        <v>0.39390361784452249</v>
      </c>
      <c r="EG72" s="201">
        <v>0.29063430986699113</v>
      </c>
      <c r="EH72" s="201">
        <v>0.37195720824294026</v>
      </c>
      <c r="EI72" s="201">
        <v>0.37288322179616862</v>
      </c>
      <c r="EJ72" s="201">
        <v>0.51226841200469497</v>
      </c>
      <c r="EK72" s="201">
        <v>0.11331764239315258</v>
      </c>
      <c r="EL72" s="201">
        <v>8.2816872941162425E-2</v>
      </c>
      <c r="EM72" s="201">
        <v>7.2711733886097557E-2</v>
      </c>
      <c r="EN72" s="201">
        <v>-9.571776212991806E-2</v>
      </c>
      <c r="EO72" s="201">
        <v>-0.16008396261736718</v>
      </c>
      <c r="EP72" s="201">
        <v>-0.15103750365624793</v>
      </c>
      <c r="EQ72" s="201">
        <v>-0.11577481796763256</v>
      </c>
      <c r="ER72" s="201">
        <v>-0.18087354905584876</v>
      </c>
      <c r="ES72" s="201">
        <v>-0.87557998316248509</v>
      </c>
      <c r="ET72" s="204">
        <v>0.21892853179210889</v>
      </c>
      <c r="EU72" s="204">
        <v>0.96127218908736056</v>
      </c>
      <c r="EV72" s="204">
        <v>-0.10915557255091195</v>
      </c>
      <c r="EW72" s="204">
        <v>0.66959351635961872</v>
      </c>
      <c r="EX72" s="204">
        <v>5.9906240220524203E-2</v>
      </c>
      <c r="EY72" s="204">
        <v>1.8451190502301651</v>
      </c>
      <c r="EZ72" s="204">
        <v>0.31663916659089525</v>
      </c>
      <c r="FA72" s="204">
        <v>0.34013903957522129</v>
      </c>
      <c r="FB72" s="204">
        <v>0.26944383790553267</v>
      </c>
      <c r="FC72" s="204">
        <v>0.26237528721003617</v>
      </c>
      <c r="FD72" s="204">
        <v>1.1844558555128009</v>
      </c>
      <c r="FE72" s="204">
        <v>-0.56873593987627769</v>
      </c>
      <c r="FF72" s="204">
        <v>-3.0807701261206835</v>
      </c>
      <c r="FG72" s="204">
        <v>-6.8431849897271788E-2</v>
      </c>
      <c r="FH72" s="204">
        <v>0.17122206195751902</v>
      </c>
      <c r="FI72" s="204">
        <v>0.20809508584123826</v>
      </c>
      <c r="FJ72" s="204">
        <v>0.53356403560856303</v>
      </c>
      <c r="FK72" s="204">
        <v>0.16077548639671693</v>
      </c>
      <c r="FL72" s="204">
        <v>-3.8415501128343443</v>
      </c>
      <c r="FM72" s="204">
        <v>-1.7911399274624311</v>
      </c>
      <c r="FN72" s="204">
        <v>-1.6330616375516287</v>
      </c>
      <c r="FO72" s="204">
        <v>1.2308919106532767</v>
      </c>
      <c r="FP72" s="204">
        <v>0.99393357604091981</v>
      </c>
      <c r="FU72" s="230"/>
    </row>
    <row r="73" spans="2:177" ht="25" x14ac:dyDescent="0.25">
      <c r="B73" s="229">
        <v>16</v>
      </c>
      <c r="C73" s="1961" t="s">
        <v>175</v>
      </c>
      <c r="D73" s="199">
        <v>16</v>
      </c>
      <c r="E73" s="205">
        <f>'SOUTH-1'!$N$1245</f>
        <v>-100</v>
      </c>
      <c r="F73" s="1890">
        <v>1.0571873562620639</v>
      </c>
      <c r="G73" s="1890">
        <v>1.5651924084824576</v>
      </c>
      <c r="H73" s="1890">
        <v>1.257876613356592</v>
      </c>
      <c r="I73" s="1890">
        <v>1.1804139620757201</v>
      </c>
      <c r="J73" s="1890">
        <v>2.4816056722121567</v>
      </c>
      <c r="K73" s="1890">
        <v>1.9024792233171026</v>
      </c>
      <c r="L73" s="202">
        <v>0.4398500811210731</v>
      </c>
      <c r="M73" s="205">
        <v>1.8014652701697134</v>
      </c>
      <c r="N73" s="205">
        <v>1.1625480775079016</v>
      </c>
      <c r="O73" s="202">
        <v>1.3470798840723253</v>
      </c>
      <c r="P73" s="202">
        <v>1.2039429772969532</v>
      </c>
      <c r="Q73" s="202">
        <v>1.5062373812205294</v>
      </c>
      <c r="R73" s="202">
        <v>-0.50822429449320816</v>
      </c>
      <c r="S73" s="202">
        <v>0.6461932591842201</v>
      </c>
      <c r="T73" s="202">
        <v>0.45999679099026497</v>
      </c>
      <c r="U73" s="202">
        <v>1.4475162144594378</v>
      </c>
      <c r="V73" s="202">
        <v>1.6918990437677521</v>
      </c>
      <c r="W73" s="202">
        <v>2.3366637959451797</v>
      </c>
      <c r="X73" s="202">
        <v>1.0937569468653972</v>
      </c>
      <c r="Y73" s="202">
        <v>1.9285517169973763</v>
      </c>
      <c r="Z73" s="202">
        <v>1.6963080841536651</v>
      </c>
      <c r="AA73" s="202">
        <v>1.4463741067250651</v>
      </c>
      <c r="AB73" s="202">
        <v>0.1906344980433049</v>
      </c>
      <c r="AC73" s="202">
        <v>0.05</v>
      </c>
      <c r="AD73" s="202">
        <v>0.64484312181556924</v>
      </c>
      <c r="AE73" s="202">
        <v>9.9972666509684699E-2</v>
      </c>
      <c r="AF73" s="202">
        <v>-0.20921235326794149</v>
      </c>
      <c r="AG73" s="202">
        <v>1.2466860184538751</v>
      </c>
      <c r="AH73" s="202">
        <v>1.8766157242459638</v>
      </c>
      <c r="AI73" s="202">
        <v>3.2793994760496057</v>
      </c>
      <c r="AJ73" s="202">
        <v>1.1518459918790873</v>
      </c>
      <c r="AK73" s="202">
        <v>0.7324695355677866</v>
      </c>
      <c r="AL73" s="202">
        <v>-0.24952152795753957</v>
      </c>
      <c r="AM73" s="202">
        <v>-0.53791748892083224</v>
      </c>
      <c r="AN73" s="202">
        <v>2.7976643850182303</v>
      </c>
      <c r="AO73" s="202">
        <v>3.4592098380381744</v>
      </c>
      <c r="AP73" s="202">
        <v>0.75537090497025328</v>
      </c>
      <c r="AQ73" s="202">
        <v>2.5534503544580209</v>
      </c>
      <c r="AR73" s="202">
        <v>2.0555186295789651</v>
      </c>
      <c r="AS73" s="202">
        <v>1.4161645475731293</v>
      </c>
      <c r="AT73" s="202">
        <v>0.83743923329349934</v>
      </c>
      <c r="AU73" s="202">
        <v>1.9453805664228898</v>
      </c>
      <c r="AV73" s="202">
        <v>2.0678456113842305</v>
      </c>
      <c r="AW73" s="202"/>
      <c r="AX73" s="202">
        <v>2.3708514656344248</v>
      </c>
      <c r="AY73" s="202">
        <v>2.3210318275194313</v>
      </c>
      <c r="AZ73" s="202">
        <v>2.6779333326720671</v>
      </c>
      <c r="BA73" s="202">
        <v>0.92805451131903594</v>
      </c>
      <c r="BB73" s="202">
        <v>1.4558831812864743</v>
      </c>
      <c r="BC73" s="202">
        <v>1.9484646267105266</v>
      </c>
      <c r="BD73" s="202">
        <v>1.305453878741706</v>
      </c>
      <c r="BE73" s="202">
        <v>2.4100590059485514</v>
      </c>
      <c r="BF73" s="202">
        <v>1.8057676104175382</v>
      </c>
      <c r="BG73" s="202">
        <v>1.7470402446709936</v>
      </c>
      <c r="BH73" s="202">
        <v>1.6989492835820159</v>
      </c>
      <c r="BI73" s="202">
        <v>1.4254965127388595</v>
      </c>
      <c r="BJ73" s="202"/>
      <c r="BK73" s="202">
        <v>-1.4808544012287399</v>
      </c>
      <c r="BL73" s="202">
        <v>-3.2430952913161566E-2</v>
      </c>
      <c r="BM73" s="202">
        <v>1.142714623903734</v>
      </c>
      <c r="BN73" s="202">
        <v>1.1054630032685855</v>
      </c>
      <c r="BO73" s="202">
        <v>-8.4310518518716446E-2</v>
      </c>
      <c r="BP73" s="202">
        <v>0.83228910188603544</v>
      </c>
      <c r="BQ73" s="202">
        <v>2.517658403958468</v>
      </c>
      <c r="BR73" s="202">
        <v>1.1993858288777282</v>
      </c>
      <c r="BS73" s="202">
        <v>1.6428750619777475</v>
      </c>
      <c r="BT73" s="202">
        <v>2.0985074441096598</v>
      </c>
      <c r="BU73" s="202">
        <v>1.3857852099577401</v>
      </c>
      <c r="BV73" s="202">
        <v>0.85872388807088917</v>
      </c>
      <c r="BW73" s="202">
        <v>2.9911555678480388</v>
      </c>
      <c r="BX73" s="202">
        <v>-1.6590380667756133</v>
      </c>
      <c r="BY73" s="202">
        <v>2.4081333712163366</v>
      </c>
      <c r="BZ73" s="202">
        <v>0.22564828044004892</v>
      </c>
      <c r="CA73" s="202">
        <v>-1.1323690278186032</v>
      </c>
      <c r="CB73" s="202">
        <v>0.10502834743861995</v>
      </c>
      <c r="CC73" s="202">
        <v>-0.68434942752401795</v>
      </c>
      <c r="CD73" s="202">
        <v>2.2038801082687782</v>
      </c>
      <c r="CE73" s="202">
        <v>0.17073537662216939</v>
      </c>
      <c r="CF73" s="202">
        <v>0.44628961359198793</v>
      </c>
      <c r="CG73" s="202">
        <v>0.42770239070240224</v>
      </c>
      <c r="CH73" s="202">
        <v>2.6749699225455532</v>
      </c>
      <c r="CI73" s="202">
        <v>0.90111719960653236</v>
      </c>
      <c r="CJ73" s="202">
        <v>1.4690247345342737</v>
      </c>
      <c r="CK73" s="202">
        <v>1.1639904248428985</v>
      </c>
      <c r="CL73" s="202">
        <v>1.0129728318201718</v>
      </c>
      <c r="CM73" s="202">
        <v>1.1860346011826175</v>
      </c>
      <c r="CN73" s="202">
        <v>2.1132537202642423</v>
      </c>
      <c r="CO73" s="202">
        <v>1.3631826155902993</v>
      </c>
      <c r="CP73" s="202">
        <v>0.69479416312982101</v>
      </c>
      <c r="CQ73" s="202">
        <v>2.0403095577477517</v>
      </c>
      <c r="CR73" s="201">
        <v>1.3006273202595235</v>
      </c>
      <c r="CS73" s="201">
        <v>1.3597271956554791</v>
      </c>
      <c r="CT73" s="201">
        <v>1.4473654120263957</v>
      </c>
      <c r="CU73" s="201">
        <v>1.398768148080328</v>
      </c>
      <c r="CV73" s="201">
        <v>1.7727748935970389</v>
      </c>
      <c r="CW73" s="201">
        <v>1.0482645094256799</v>
      </c>
      <c r="CX73" s="201">
        <v>0.56901068849106562</v>
      </c>
      <c r="CY73" s="201">
        <v>0.82488872271690694</v>
      </c>
      <c r="CZ73" s="201">
        <v>0.4747997120557938</v>
      </c>
      <c r="DA73" s="201">
        <v>0.76018633930594803</v>
      </c>
      <c r="DB73" s="201">
        <v>1.6921619315651966</v>
      </c>
      <c r="DC73" s="201">
        <v>1.5284671142041537</v>
      </c>
      <c r="DD73" s="201">
        <v>1.5339264960210133</v>
      </c>
      <c r="DE73" s="201">
        <v>0.6564025551153031</v>
      </c>
      <c r="DF73" s="201">
        <v>1.9405766690107513</v>
      </c>
      <c r="DG73" s="201">
        <v>1.3101393931248742</v>
      </c>
      <c r="DH73" s="201">
        <v>0.80612239317481749</v>
      </c>
      <c r="DI73" s="201">
        <v>1.2306411207442194</v>
      </c>
      <c r="DJ73" s="201">
        <v>1.178699305356256</v>
      </c>
      <c r="DK73" s="201">
        <v>1.274577613782353</v>
      </c>
      <c r="DL73" s="201">
        <v>1.7004475175982456</v>
      </c>
      <c r="DM73" s="201">
        <v>1.4725181274535049</v>
      </c>
      <c r="DN73" s="201">
        <v>0.71880513038117622</v>
      </c>
      <c r="DO73" s="201">
        <v>0.26871704778303979</v>
      </c>
      <c r="DP73" s="201">
        <v>0.88057597125384379</v>
      </c>
      <c r="DQ73" s="201">
        <v>0.88057597125384623</v>
      </c>
      <c r="DR73" s="201">
        <v>0.88057889618121754</v>
      </c>
      <c r="DS73" s="201">
        <v>0.88057638950895145</v>
      </c>
      <c r="DT73" s="201">
        <v>0.80108466414826329</v>
      </c>
      <c r="DU73" s="201">
        <v>1.7661251600097843</v>
      </c>
      <c r="DV73" s="201">
        <v>1.7465521323648532</v>
      </c>
      <c r="DW73" s="201">
        <v>1.9304252789896066</v>
      </c>
      <c r="DX73" s="201">
        <v>1.2058811290374614</v>
      </c>
      <c r="DY73" s="201">
        <v>2.0074699565770322</v>
      </c>
      <c r="DZ73" s="201">
        <v>1.1181166861818963</v>
      </c>
      <c r="EA73" s="201">
        <v>1.6511409569673146</v>
      </c>
      <c r="EB73" s="201">
        <v>1.4966287951028341</v>
      </c>
      <c r="EC73" s="201">
        <v>1.6001165687108725</v>
      </c>
      <c r="ED73" s="201">
        <v>0.63220415228470972</v>
      </c>
      <c r="EE73" s="201">
        <v>1.380846805890438</v>
      </c>
      <c r="EF73" s="201">
        <v>1.0135967021136381</v>
      </c>
      <c r="EG73" s="201">
        <v>0.94256809977230438</v>
      </c>
      <c r="EH73" s="201">
        <v>1.0963540829709955</v>
      </c>
      <c r="EI73" s="201">
        <v>0.99899123613623153</v>
      </c>
      <c r="EJ73" s="201">
        <v>1.3704407665484419</v>
      </c>
      <c r="EK73" s="201">
        <v>1.4825395026943684</v>
      </c>
      <c r="EL73" s="201">
        <v>1.4414492383408739</v>
      </c>
      <c r="EM73" s="201">
        <v>1.6916060838694484</v>
      </c>
      <c r="EN73" s="201">
        <v>1.0494079274125909</v>
      </c>
      <c r="EO73" s="201">
        <v>1.3267763857656365</v>
      </c>
      <c r="EP73" s="201">
        <v>1.2731408503292942</v>
      </c>
      <c r="EQ73" s="201">
        <v>1.3620171509332775</v>
      </c>
      <c r="ER73" s="201">
        <v>0.1313176622680283</v>
      </c>
      <c r="ES73" s="201">
        <v>1.7071312559412237</v>
      </c>
      <c r="ET73" s="204">
        <v>1.1766379777496818</v>
      </c>
      <c r="EU73" s="204">
        <v>9.3378737043688029E-2</v>
      </c>
      <c r="EV73" s="204">
        <v>0.61985445589488675</v>
      </c>
      <c r="EW73" s="204">
        <v>0.85584634759750988</v>
      </c>
      <c r="EX73" s="204">
        <v>2.104736106708827</v>
      </c>
      <c r="EY73" s="204">
        <v>0.90247316845596637</v>
      </c>
      <c r="EZ73" s="204">
        <v>1.2512501726098704</v>
      </c>
      <c r="FA73" s="204">
        <v>1.3586076132946303</v>
      </c>
      <c r="FB73" s="204">
        <v>1.4166282921324984</v>
      </c>
      <c r="FC73" s="204">
        <v>1.4299298935922002</v>
      </c>
      <c r="FD73" s="204">
        <v>0.86501696478184109</v>
      </c>
      <c r="FE73" s="204">
        <v>1.391597716212694</v>
      </c>
      <c r="FF73" s="204">
        <v>-0.18682139465314623</v>
      </c>
      <c r="FG73" s="204">
        <v>1.0271748898810744</v>
      </c>
      <c r="FH73" s="204">
        <v>1.7603607110227335</v>
      </c>
      <c r="FI73" s="204" t="s">
        <v>876</v>
      </c>
      <c r="FJ73" s="204">
        <v>1.5389160685241838</v>
      </c>
      <c r="FK73" s="204">
        <v>1.2099873610550675</v>
      </c>
      <c r="FL73" s="204">
        <v>-2.723402537198961</v>
      </c>
      <c r="FM73" s="204">
        <v>0.86219503340899539</v>
      </c>
      <c r="FN73" s="204">
        <v>-3.0919264561522732</v>
      </c>
      <c r="FO73" s="204">
        <v>-0.7866522157332223</v>
      </c>
      <c r="FP73" s="204">
        <v>-1.1644803933424344</v>
      </c>
      <c r="FU73" s="230"/>
    </row>
    <row r="74" spans="2:177" ht="12.5" x14ac:dyDescent="0.25">
      <c r="B74" s="229">
        <v>17</v>
      </c>
      <c r="C74" s="1898" t="s">
        <v>176</v>
      </c>
      <c r="D74" s="199">
        <v>17</v>
      </c>
      <c r="E74" s="205" t="e">
        <f>#REF!</f>
        <v>#REF!</v>
      </c>
      <c r="F74" s="1890" t="e">
        <v>#DIV/0!</v>
      </c>
      <c r="G74" s="1890" t="e">
        <v>#DIV/0!</v>
      </c>
      <c r="H74" s="1890" t="e">
        <v>#DIV/0!</v>
      </c>
      <c r="I74" s="1890" t="e">
        <v>#DIV/0!</v>
      </c>
      <c r="J74" s="1890" t="e">
        <v>#DIV/0!</v>
      </c>
      <c r="K74" s="1890" t="e">
        <v>#DIV/0!</v>
      </c>
      <c r="L74" s="205" t="e">
        <v>#DIV/0!</v>
      </c>
      <c r="M74" s="205" t="e">
        <v>#DIV/0!</v>
      </c>
      <c r="N74" s="205" t="e">
        <v>#DIV/0!</v>
      </c>
      <c r="O74" s="202" t="e">
        <v>#DIV/0!</v>
      </c>
      <c r="P74" s="202" t="e">
        <v>#DIV/0!</v>
      </c>
      <c r="Q74" s="202" t="e">
        <v>#DIV/0!</v>
      </c>
      <c r="R74" s="202">
        <v>1.4211153943165755</v>
      </c>
      <c r="S74" s="202">
        <v>0.7366892923973295</v>
      </c>
      <c r="T74" s="202">
        <v>0.74591811400582553</v>
      </c>
      <c r="U74" s="202">
        <v>1.2187263740763021</v>
      </c>
      <c r="V74" s="202">
        <v>0.60781043610010022</v>
      </c>
      <c r="W74" s="202">
        <v>0.52665210638134252</v>
      </c>
      <c r="X74" s="202">
        <v>0.95977038163706763</v>
      </c>
      <c r="Y74" s="202">
        <v>0.577283487908967</v>
      </c>
      <c r="Z74" s="202">
        <v>1.6346748052126399</v>
      </c>
      <c r="AA74" s="202">
        <v>0.20986220518385007</v>
      </c>
      <c r="AB74" s="202">
        <v>0.92083007303455333</v>
      </c>
      <c r="AC74" s="202">
        <v>0.57999999999999996</v>
      </c>
      <c r="AD74" s="202">
        <v>0.49385832772361055</v>
      </c>
      <c r="AE74" s="202">
        <v>0.91234398503119007</v>
      </c>
      <c r="AF74" s="202">
        <v>0.88170529341127823</v>
      </c>
      <c r="AG74" s="202">
        <v>0.80536551550062474</v>
      </c>
      <c r="AH74" s="202">
        <v>1.042177860807898</v>
      </c>
      <c r="AI74" s="202">
        <v>1.0762801760423291</v>
      </c>
      <c r="AJ74" s="202">
        <v>1.6314902436577503</v>
      </c>
      <c r="AK74" s="202">
        <v>1.5775898716215468</v>
      </c>
      <c r="AL74" s="202">
        <v>2.3894213633516661</v>
      </c>
      <c r="AM74" s="202">
        <v>2.5027245090318342</v>
      </c>
      <c r="AN74" s="202">
        <v>-0.24887671553789442</v>
      </c>
      <c r="AO74" s="202">
        <v>1.1688867639744436</v>
      </c>
      <c r="AP74" s="202">
        <v>1.2093652696673249</v>
      </c>
      <c r="AQ74" s="202">
        <v>1.7426475285651544</v>
      </c>
      <c r="AR74" s="202">
        <v>2.8613818247065734</v>
      </c>
      <c r="AS74" s="202">
        <v>2.2214742666189684</v>
      </c>
      <c r="AT74" s="202">
        <v>1.1496930098661244</v>
      </c>
      <c r="AU74" s="202">
        <v>0.71004024530502219</v>
      </c>
      <c r="AV74" s="202">
        <v>1.1492040379492865</v>
      </c>
      <c r="AW74" s="202"/>
      <c r="AX74" s="202">
        <v>2.1202703681986379</v>
      </c>
      <c r="AY74" s="202">
        <v>0.71172219525101998</v>
      </c>
      <c r="AZ74" s="202">
        <v>0.78253290540535803</v>
      </c>
      <c r="BA74" s="202">
        <v>1.1994803770829578</v>
      </c>
      <c r="BB74" s="202">
        <v>-0.5468766424139766</v>
      </c>
      <c r="BC74" s="202">
        <v>0.51359816393772784</v>
      </c>
      <c r="BD74" s="202">
        <v>1.3104416082666028</v>
      </c>
      <c r="BE74" s="202">
        <v>1.8433781557271225</v>
      </c>
      <c r="BF74" s="202">
        <v>1.0812542808665417</v>
      </c>
      <c r="BG74" s="202">
        <v>0.90928152553816766</v>
      </c>
      <c r="BH74" s="202">
        <v>0.62419823422089049</v>
      </c>
      <c r="BI74" s="202">
        <v>1.7476020690357486</v>
      </c>
      <c r="BJ74" s="202"/>
      <c r="BK74" s="202">
        <v>2.1144769427656009</v>
      </c>
      <c r="BL74" s="202">
        <v>0.60885040568012982</v>
      </c>
      <c r="BM74" s="202">
        <v>1.1239169751111211</v>
      </c>
      <c r="BN74" s="202">
        <v>-0.55407210171929633</v>
      </c>
      <c r="BO74" s="202">
        <v>0.89087981352492884</v>
      </c>
      <c r="BP74" s="202">
        <v>1.0624667619996486</v>
      </c>
      <c r="BQ74" s="202">
        <v>0.89447461256198968</v>
      </c>
      <c r="BR74" s="202">
        <v>1.1896166719149277</v>
      </c>
      <c r="BS74" s="202">
        <v>0.80413106253321531</v>
      </c>
      <c r="BT74" s="202">
        <v>0.64893861873967451</v>
      </c>
      <c r="BU74" s="202">
        <v>0.61858801882145942</v>
      </c>
      <c r="BV74" s="202">
        <v>0.47160954071313477</v>
      </c>
      <c r="BW74" s="202">
        <v>0.64330973510810796</v>
      </c>
      <c r="BX74" s="202">
        <v>0.55853874551907479</v>
      </c>
      <c r="BY74" s="202">
        <v>0.4625078971957316</v>
      </c>
      <c r="BZ74" s="202">
        <v>0.61817606214263732</v>
      </c>
      <c r="CA74" s="202">
        <v>-1.9671620305248949</v>
      </c>
      <c r="CB74" s="202">
        <v>0.18987678194145444</v>
      </c>
      <c r="CC74" s="202">
        <v>1.1155889847003293</v>
      </c>
      <c r="CD74" s="202">
        <v>1.0602173339901881</v>
      </c>
      <c r="CE74" s="202">
        <v>1.3126250460960009</v>
      </c>
      <c r="CF74" s="202">
        <v>-2.0457886505278609</v>
      </c>
      <c r="CG74" s="202">
        <v>1.0522320821010611</v>
      </c>
      <c r="CH74" s="202">
        <v>9.9846319997606611E-2</v>
      </c>
      <c r="CI74" s="202">
        <v>1.0430473570282355</v>
      </c>
      <c r="CJ74" s="202">
        <v>0.97546384460486923</v>
      </c>
      <c r="CK74" s="202">
        <v>1.1996216746060324</v>
      </c>
      <c r="CL74" s="202">
        <v>2.5848725711321152</v>
      </c>
      <c r="CM74" s="202">
        <v>-1.1179741567942074</v>
      </c>
      <c r="CN74" s="202">
        <v>1.2666071874933595</v>
      </c>
      <c r="CO74" s="202">
        <v>0.92144728219515026</v>
      </c>
      <c r="CP74" s="202">
        <v>1.2390683155255362</v>
      </c>
      <c r="CQ74" s="202">
        <v>1.0193660036161405</v>
      </c>
      <c r="CR74" s="201">
        <v>1.0850219968415256</v>
      </c>
      <c r="CS74" s="201">
        <v>1.5871359946038424</v>
      </c>
      <c r="CT74" s="201">
        <v>0.42893853091264655</v>
      </c>
      <c r="CU74" s="201">
        <v>0.60670243748087738</v>
      </c>
      <c r="CV74" s="201">
        <v>-1.2945595107219119</v>
      </c>
      <c r="CW74" s="201">
        <v>1.8081520497036956</v>
      </c>
      <c r="CX74" s="201">
        <v>0.18479704600337868</v>
      </c>
      <c r="CY74" s="201">
        <v>0.84169554334809749</v>
      </c>
      <c r="CZ74" s="201">
        <v>0.49292368520560309</v>
      </c>
      <c r="DA74" s="201">
        <v>-0.69750380466258555</v>
      </c>
      <c r="DB74" s="201">
        <v>0.58291657382457573</v>
      </c>
      <c r="DC74" s="201">
        <v>0.89797107675549248</v>
      </c>
      <c r="DD74" s="201">
        <v>-0.33105247348344374</v>
      </c>
      <c r="DE74" s="201">
        <v>-0.87740663249422957</v>
      </c>
      <c r="DF74" s="201">
        <v>-0.22906858590561779</v>
      </c>
      <c r="DG74" s="201">
        <v>0.76800869723107212</v>
      </c>
      <c r="DH74" s="201">
        <v>-7.4770600928886322E-2</v>
      </c>
      <c r="DI74" s="201">
        <v>0.4710699731347181</v>
      </c>
      <c r="DJ74" s="201">
        <v>-0.18943422694937082</v>
      </c>
      <c r="DK74" s="201">
        <v>0.10913544565653412</v>
      </c>
      <c r="DL74" s="201">
        <v>0.34076987623652083</v>
      </c>
      <c r="DM74" s="201">
        <v>0.52220986549701598</v>
      </c>
      <c r="DN74" s="201">
        <v>0.22044239397367632</v>
      </c>
      <c r="DO74" s="201">
        <v>1.3334943008604232</v>
      </c>
      <c r="DP74" s="201">
        <v>1.0951275385811732</v>
      </c>
      <c r="DQ74" s="201">
        <v>0.63662336389836849</v>
      </c>
      <c r="DR74" s="201">
        <v>0.93772057811044152</v>
      </c>
      <c r="DS74" s="201">
        <v>1.3245609166745786</v>
      </c>
      <c r="DT74" s="201">
        <v>0.50674079620674273</v>
      </c>
      <c r="DU74" s="201">
        <v>0.29051276379660629</v>
      </c>
      <c r="DV74" s="201">
        <v>5.1666341201749777</v>
      </c>
      <c r="DW74" s="201">
        <v>1.2601738649397167</v>
      </c>
      <c r="DX74" s="201">
        <v>0.44173325830274568</v>
      </c>
      <c r="DY74" s="201">
        <v>1.7731781077212601</v>
      </c>
      <c r="DZ74" s="201">
        <v>2.0175156109667025</v>
      </c>
      <c r="EA74" s="201">
        <v>1.3464478464894394</v>
      </c>
      <c r="EB74" s="201">
        <v>1.7903082027785548</v>
      </c>
      <c r="EC74" s="201">
        <v>1.6058440270980283</v>
      </c>
      <c r="ED74" s="201">
        <v>1.2527391752511403</v>
      </c>
      <c r="EE74" s="201">
        <v>1.421256052345687</v>
      </c>
      <c r="EF74" s="201">
        <v>1.3173127119307251</v>
      </c>
      <c r="EG74" s="201">
        <v>1.0200366611842901</v>
      </c>
      <c r="EH74" s="201">
        <v>1.5429700834867623</v>
      </c>
      <c r="EI74" s="201">
        <v>0.98203655722987193</v>
      </c>
      <c r="EJ74" s="201">
        <v>1.1194489657757394</v>
      </c>
      <c r="EK74" s="201">
        <v>1.0740202106748975</v>
      </c>
      <c r="EL74" s="201">
        <v>1.0222336890420116</v>
      </c>
      <c r="EM74" s="201">
        <v>1.1010598675001226</v>
      </c>
      <c r="EN74" s="201">
        <v>0.84619661081736797</v>
      </c>
      <c r="EO74" s="201">
        <v>0.85413412072953931</v>
      </c>
      <c r="EP74" s="201">
        <v>0.9579975399908508</v>
      </c>
      <c r="EQ74" s="201">
        <v>0.82979472405048416</v>
      </c>
      <c r="ER74" s="201">
        <v>0.74662994142988248</v>
      </c>
      <c r="ES74" s="201">
        <v>1.2734091798044438</v>
      </c>
      <c r="ET74" s="204">
        <v>0.53404708087681874</v>
      </c>
      <c r="EU74" s="204">
        <v>1.8418060565561203</v>
      </c>
      <c r="EV74" s="204">
        <v>0.56148752492895659</v>
      </c>
      <c r="EW74" s="204">
        <v>1.3416848366623084</v>
      </c>
      <c r="EX74" s="204">
        <v>0.72228024036779492</v>
      </c>
      <c r="EY74" s="204">
        <v>0.37857676918696676</v>
      </c>
      <c r="EZ74" s="204">
        <v>1.1886385374617057</v>
      </c>
      <c r="FA74" s="204">
        <v>1.308454736664737</v>
      </c>
      <c r="FB74" s="204">
        <v>1.3798529830036199</v>
      </c>
      <c r="FC74" s="204">
        <v>1.3344243228975063</v>
      </c>
      <c r="FD74" s="204">
        <v>0.7035033088785857</v>
      </c>
      <c r="FE74" s="204">
        <v>1.5095504491231009</v>
      </c>
      <c r="FF74" s="204">
        <v>-4.0020983034653312</v>
      </c>
      <c r="FG74" s="204">
        <v>-1.017701197872209</v>
      </c>
      <c r="FH74" s="204">
        <v>1.2189590272691719</v>
      </c>
      <c r="FI74" s="204">
        <v>1.1366482664063589</v>
      </c>
      <c r="FJ74" s="204">
        <v>1.5773796894742973</v>
      </c>
      <c r="FK74" s="204">
        <v>1.6682130547366323</v>
      </c>
      <c r="FL74" s="204">
        <v>-3.1282507831118536</v>
      </c>
      <c r="FM74" s="204">
        <v>-0.62548479480297869</v>
      </c>
      <c r="FN74" s="204">
        <v>1.2308919106532767</v>
      </c>
      <c r="FO74" s="204">
        <v>-1.0224020193070793</v>
      </c>
      <c r="FP74" s="204">
        <v>0.50871193708553974</v>
      </c>
      <c r="FU74" s="230"/>
    </row>
    <row r="75" spans="2:177" ht="13" x14ac:dyDescent="0.25">
      <c r="B75" s="229">
        <v>18</v>
      </c>
      <c r="C75" s="1894" t="s">
        <v>177</v>
      </c>
      <c r="D75" s="199">
        <v>18</v>
      </c>
      <c r="E75" s="205">
        <f>'SOUTH-1'!$N$70</f>
        <v>1.1911476430052024E-2</v>
      </c>
      <c r="F75" s="1890">
        <v>9.4049997941320643E-2</v>
      </c>
      <c r="G75" s="1890">
        <v>-0.56787749180853697</v>
      </c>
      <c r="H75" s="1890">
        <v>0.19599369055780871</v>
      </c>
      <c r="I75" s="1890">
        <v>3.6023873665620196E-2</v>
      </c>
      <c r="J75" s="1890">
        <v>-1.3287839270736326</v>
      </c>
      <c r="K75" s="1890">
        <v>-9.5674652046384742E-2</v>
      </c>
      <c r="L75" s="205">
        <v>-5.3457055483512192E-2</v>
      </c>
      <c r="M75" s="205">
        <v>-0.38125668005291563</v>
      </c>
      <c r="N75" s="205">
        <v>-2.386202502397472E-2</v>
      </c>
      <c r="O75" s="202">
        <v>-0.39346599900659401</v>
      </c>
      <c r="P75" s="202">
        <v>5.8463192282961825E-2</v>
      </c>
      <c r="Q75" s="202">
        <v>1.6455592123170867E-2</v>
      </c>
      <c r="R75" s="202">
        <v>-4.8834151434315271E-2</v>
      </c>
      <c r="S75" s="202">
        <v>-0.58243999371497091</v>
      </c>
      <c r="T75" s="202">
        <v>0.92591506431006587</v>
      </c>
      <c r="U75" s="202">
        <v>-0.19647289425413936</v>
      </c>
      <c r="V75" s="202">
        <v>-2.6816863059476923E-2</v>
      </c>
      <c r="W75" s="201">
        <v>-0.16648735717910587</v>
      </c>
      <c r="X75" s="201">
        <v>-0.14964650639666605</v>
      </c>
      <c r="Y75" s="201">
        <v>-0.15911584250940611</v>
      </c>
      <c r="Z75" s="201">
        <v>-0.27337566638240052</v>
      </c>
      <c r="AA75" s="201">
        <v>0.2897027997317933</v>
      </c>
      <c r="AB75" s="201">
        <v>-0.54922381360491002</v>
      </c>
      <c r="AC75" s="201">
        <v>-0.4</v>
      </c>
      <c r="AD75" s="201">
        <v>0.25695539005448426</v>
      </c>
      <c r="AE75" s="201">
        <v>-0.57695491178322778</v>
      </c>
      <c r="AF75" s="201">
        <v>0.1979633535461551</v>
      </c>
      <c r="AG75" s="201">
        <v>-0.92561822825413909</v>
      </c>
      <c r="AH75" s="201">
        <v>-6.7853276070981239E-2</v>
      </c>
      <c r="AI75" s="201">
        <v>1.6509484642944699E-2</v>
      </c>
      <c r="AJ75" s="201">
        <v>-0.24139714143085167</v>
      </c>
      <c r="AK75" s="201">
        <v>-0.43085876926149019</v>
      </c>
      <c r="AL75" s="201">
        <v>-9.9649635632101122E-2</v>
      </c>
      <c r="AM75" s="201">
        <v>0.48722378252391035</v>
      </c>
      <c r="AN75" s="201">
        <v>-0.78283708230332316</v>
      </c>
      <c r="AO75" s="201">
        <v>0.29777691778899629</v>
      </c>
      <c r="AP75" s="201">
        <v>-0.34513989288038049</v>
      </c>
      <c r="AQ75" s="201">
        <v>0.36172663361387669</v>
      </c>
      <c r="AR75" s="201">
        <v>-0.3298322424997564</v>
      </c>
      <c r="AS75" s="201">
        <v>5.6926420913369524E-2</v>
      </c>
      <c r="AT75" s="201">
        <v>-0.2606308232181897</v>
      </c>
      <c r="AU75" s="201">
        <v>-0.44149925298813508</v>
      </c>
      <c r="AV75" s="201">
        <v>4.0825780900090175E-2</v>
      </c>
      <c r="AW75" s="201"/>
      <c r="AX75" s="201">
        <v>0.14860324312807072</v>
      </c>
      <c r="AY75" s="201">
        <v>0.22729218829338729</v>
      </c>
      <c r="AZ75" s="201">
        <v>1.1192491098873842</v>
      </c>
      <c r="BA75" s="201">
        <v>0.15520711513386951</v>
      </c>
      <c r="BB75" s="201">
        <v>-1.1095867295660609</v>
      </c>
      <c r="BC75" s="201">
        <v>-0.71876954228798362</v>
      </c>
      <c r="BD75" s="201">
        <v>0.13576420135973888</v>
      </c>
      <c r="BE75" s="201">
        <v>0.48531925287559669</v>
      </c>
      <c r="BF75" s="201">
        <v>0.1460170226772779</v>
      </c>
      <c r="BG75" s="201">
        <v>-0.32130989230216117</v>
      </c>
      <c r="BH75" s="202">
        <v>0.47202369653656123</v>
      </c>
      <c r="BI75" s="202">
        <v>3.5164123963437391E-2</v>
      </c>
      <c r="BJ75" s="202"/>
      <c r="BK75" s="202">
        <v>0.91113962536106241</v>
      </c>
      <c r="BL75" s="202">
        <v>-3.3043700270834954E-2</v>
      </c>
      <c r="BM75" s="202">
        <v>0.18565649603789039</v>
      </c>
      <c r="BN75" s="202">
        <v>-5.7204982524083368E-2</v>
      </c>
      <c r="BO75" s="202">
        <v>-0.19704303174865198</v>
      </c>
      <c r="BP75" s="202">
        <v>-3.2341239045096046E-2</v>
      </c>
      <c r="BQ75" s="202">
        <v>-0.6158721888803812</v>
      </c>
      <c r="BR75" s="202">
        <v>-0.38108463950606525</v>
      </c>
      <c r="BS75" s="202">
        <v>-0.36107799164491905</v>
      </c>
      <c r="BT75" s="202">
        <v>-0.54395106874646915</v>
      </c>
      <c r="BU75" s="202">
        <v>-0.60371975607817441</v>
      </c>
      <c r="BV75" s="202">
        <v>-0.38105322034168909</v>
      </c>
      <c r="BW75" s="202">
        <v>-0.8290413243136584</v>
      </c>
      <c r="BX75" s="202">
        <v>-0.58103502662754458</v>
      </c>
      <c r="BY75" s="202">
        <v>-0.22598017500231343</v>
      </c>
      <c r="BZ75" s="202">
        <v>-0.24697225848774335</v>
      </c>
      <c r="CA75" s="202">
        <v>6.417399319592676E-3</v>
      </c>
      <c r="CB75" s="202">
        <v>-0.58374903340300388</v>
      </c>
      <c r="CC75" s="202">
        <v>-0.64222281510825785</v>
      </c>
      <c r="CD75" s="202">
        <v>0.29171488146913488</v>
      </c>
      <c r="CE75" s="202">
        <v>-7.3624567634242091E-2</v>
      </c>
      <c r="CF75" s="202">
        <v>0.32237341572893119</v>
      </c>
      <c r="CG75" s="202">
        <v>0</v>
      </c>
      <c r="CH75" s="202">
        <v>-0.41240005610872055</v>
      </c>
      <c r="CI75" s="202">
        <v>0.2819758013912011</v>
      </c>
      <c r="CJ75" s="202">
        <v>-0.34696773308455192</v>
      </c>
      <c r="CK75" s="202">
        <v>0.50972979010931163</v>
      </c>
      <c r="CL75" s="202">
        <v>-9.733442031739771E-2</v>
      </c>
      <c r="CM75" s="202">
        <v>-9.9409507521300029E-3</v>
      </c>
      <c r="CN75" s="202">
        <v>0.29678647197799857</v>
      </c>
      <c r="CO75" s="202">
        <v>-0.31969309462909956</v>
      </c>
      <c r="CP75" s="202">
        <v>0.51972928106296767</v>
      </c>
      <c r="CQ75" s="202">
        <v>-0.56600444821086759</v>
      </c>
      <c r="CR75" s="201">
        <v>0.63174965309429842</v>
      </c>
      <c r="CS75" s="201">
        <v>-3.5070088434543123E-2</v>
      </c>
      <c r="CT75" s="201">
        <v>0.98116610955143879</v>
      </c>
      <c r="CU75" s="201">
        <v>0.69114256791657869</v>
      </c>
      <c r="CV75" s="201">
        <v>0</v>
      </c>
      <c r="CW75" s="201">
        <v>1.303787561900662</v>
      </c>
      <c r="CX75" s="201">
        <v>0</v>
      </c>
      <c r="CY75" s="201">
        <v>-0.37819642118924729</v>
      </c>
      <c r="CZ75" s="201">
        <v>-0.17755956804243725</v>
      </c>
      <c r="DA75" s="201">
        <v>0.32692809979209597</v>
      </c>
      <c r="DB75" s="201">
        <v>0.49110645688893112</v>
      </c>
      <c r="DC75" s="201">
        <v>0.51629668841462184</v>
      </c>
      <c r="DD75" s="201">
        <v>0.35670073509000311</v>
      </c>
      <c r="DE75" s="201">
        <v>0.4497345551685244</v>
      </c>
      <c r="DF75" s="201">
        <v>1.0399457247252319</v>
      </c>
      <c r="DG75" s="201">
        <v>-0.28448345931900942</v>
      </c>
      <c r="DH75" s="201">
        <v>0.49150499358445071</v>
      </c>
      <c r="DI75" s="201">
        <v>0.59183207462658083</v>
      </c>
      <c r="DJ75" s="201">
        <v>0.74416542639092276</v>
      </c>
      <c r="DK75" s="201">
        <v>-0.36398955180298537</v>
      </c>
      <c r="DL75" s="201">
        <v>0.25699396714070472</v>
      </c>
      <c r="DM75" s="201">
        <v>1.0822960542467364</v>
      </c>
      <c r="DN75" s="201">
        <v>0.12242888816977786</v>
      </c>
      <c r="DO75" s="206">
        <v>0.33359227465146402</v>
      </c>
      <c r="DP75" s="206">
        <v>0.65085961170264828</v>
      </c>
      <c r="DQ75" s="206">
        <v>-0.31010818010849101</v>
      </c>
      <c r="DR75" s="206">
        <v>-3.1421155789652502E-2</v>
      </c>
      <c r="DS75" s="206">
        <v>0.2263905511216662</v>
      </c>
      <c r="DT75" s="201">
        <v>0.19545761859344385</v>
      </c>
      <c r="DU75" s="201">
        <v>0.39708231849336717</v>
      </c>
      <c r="DV75" s="201">
        <v>-8.3006988976674339E-3</v>
      </c>
      <c r="DW75" s="201">
        <v>-7.1431955661268975E-2</v>
      </c>
      <c r="DX75" s="201">
        <v>0.26542735712950172</v>
      </c>
      <c r="DY75" s="201">
        <v>2.3643521482977077</v>
      </c>
      <c r="DZ75" s="201">
        <v>-1.830741806535457</v>
      </c>
      <c r="EA75" s="201">
        <v>0.80532479739863982</v>
      </c>
      <c r="EB75" s="201">
        <v>0.14963207434656289</v>
      </c>
      <c r="EC75" s="201">
        <v>0.21727295562588297</v>
      </c>
      <c r="ED75" s="201">
        <v>0.79059252410058589</v>
      </c>
      <c r="EE75" s="201">
        <v>0.20360117741012995</v>
      </c>
      <c r="EF75" s="201">
        <v>0.17793382931913138</v>
      </c>
      <c r="EG75" s="201">
        <v>0.34761401182977225</v>
      </c>
      <c r="EH75" s="201">
        <v>0.35906464158156515</v>
      </c>
      <c r="EI75" s="201">
        <v>0.31004336308410069</v>
      </c>
      <c r="EJ75" s="201">
        <v>0.35760115083221078</v>
      </c>
      <c r="EK75" s="201">
        <v>0.40423811752695343</v>
      </c>
      <c r="EL75" s="201">
        <v>0.40115761525092591</v>
      </c>
      <c r="EM75" s="201">
        <v>0.37568332797363069</v>
      </c>
      <c r="EN75" s="201">
        <v>0.37731429192990829</v>
      </c>
      <c r="EO75" s="201">
        <v>0.3023143361466018</v>
      </c>
      <c r="EP75" s="201">
        <v>0.36086334853994734</v>
      </c>
      <c r="EQ75" s="201">
        <v>0.35919005434366463</v>
      </c>
      <c r="ER75" s="201">
        <v>0.28212060655820936</v>
      </c>
      <c r="ES75" s="201">
        <v>0.21988063622666895</v>
      </c>
      <c r="ET75" s="204">
        <v>0.39111088872076682</v>
      </c>
      <c r="EU75" s="204">
        <v>0.37052907518978501</v>
      </c>
      <c r="EV75" s="204">
        <v>0.58957523319209393</v>
      </c>
      <c r="EW75" s="204">
        <v>0.85505266899914867</v>
      </c>
      <c r="EX75" s="204">
        <v>0.77512776831361696</v>
      </c>
      <c r="EY75" s="204">
        <v>0.66268433824893302</v>
      </c>
      <c r="EZ75" s="204">
        <v>0.8444576287945107</v>
      </c>
      <c r="FA75" s="233">
        <v>0.83</v>
      </c>
      <c r="FB75" s="214"/>
      <c r="FC75" s="214"/>
      <c r="FD75" s="214"/>
      <c r="FE75" s="214"/>
      <c r="FF75" s="214"/>
      <c r="FG75" s="214"/>
      <c r="FH75" s="214"/>
      <c r="FI75" s="214"/>
      <c r="FJ75" s="214"/>
      <c r="FK75" s="214"/>
      <c r="FL75" s="214"/>
      <c r="FM75" s="214"/>
      <c r="FN75" s="214"/>
      <c r="FO75" s="214"/>
      <c r="FP75" s="214"/>
      <c r="FU75" s="230"/>
    </row>
    <row r="76" spans="2:177" ht="18" x14ac:dyDescent="0.25">
      <c r="B76" s="229">
        <v>19</v>
      </c>
      <c r="C76" s="1961" t="s">
        <v>178</v>
      </c>
      <c r="D76" s="199">
        <v>19</v>
      </c>
      <c r="E76" s="205">
        <f>'SOUTH-1'!$N$109</f>
        <v>1.8751497762797484</v>
      </c>
      <c r="F76" s="1890">
        <v>0.4269585224733915</v>
      </c>
      <c r="G76" s="1890">
        <v>1.1514460956722288</v>
      </c>
      <c r="H76" s="1890">
        <v>-0.10892819240246714</v>
      </c>
      <c r="I76" s="1890">
        <v>0.4987215325375019</v>
      </c>
      <c r="J76" s="1890">
        <v>0.30500806523855106</v>
      </c>
      <c r="K76" s="1890">
        <v>0.49752223539460871</v>
      </c>
      <c r="L76" s="205">
        <v>0</v>
      </c>
      <c r="M76" s="205">
        <v>0.19506048692470496</v>
      </c>
      <c r="N76" s="205">
        <v>3.2329397767749568E-2</v>
      </c>
      <c r="O76" s="202">
        <v>1.6940371809100667</v>
      </c>
      <c r="P76" s="202">
        <v>-0.40875727044846044</v>
      </c>
      <c r="Q76" s="202">
        <v>0.59136665614409978</v>
      </c>
      <c r="R76" s="202">
        <v>1.8254969638583352</v>
      </c>
      <c r="S76" s="202">
        <v>0.11196202690906223</v>
      </c>
      <c r="T76" s="202">
        <v>-0.80996054823337171</v>
      </c>
      <c r="U76" s="202">
        <v>0.92736821334208352</v>
      </c>
      <c r="V76" s="202">
        <v>1.334840241547073</v>
      </c>
      <c r="W76" s="201">
        <v>-0.24175013436824902</v>
      </c>
      <c r="X76" s="201">
        <v>0.3521020610689638</v>
      </c>
      <c r="Y76" s="201">
        <v>-0.43188704278932616</v>
      </c>
      <c r="Z76" s="201">
        <v>-0.25443721226118832</v>
      </c>
      <c r="AA76" s="201">
        <v>-0.29070183422576673</v>
      </c>
      <c r="AB76" s="201">
        <v>0.73713859399140347</v>
      </c>
      <c r="AC76" s="201">
        <v>-0.4</v>
      </c>
      <c r="AD76" s="201">
        <v>-4.2540761090350265E-2</v>
      </c>
      <c r="AE76" s="201">
        <v>-0.65714712867532277</v>
      </c>
      <c r="AF76" s="201">
        <v>-1.070454934803611</v>
      </c>
      <c r="AG76" s="201">
        <v>0.26370804842271467</v>
      </c>
      <c r="AH76" s="201">
        <v>0.24233465692554568</v>
      </c>
      <c r="AI76" s="201">
        <v>-0.39844110632169122</v>
      </c>
      <c r="AJ76" s="201">
        <v>-0.51248456350721394</v>
      </c>
      <c r="AK76" s="201">
        <v>1.8309610593683763</v>
      </c>
      <c r="AL76" s="201">
        <v>-1.2739303068754371</v>
      </c>
      <c r="AM76" s="201">
        <v>-0.37657691802199883</v>
      </c>
      <c r="AN76" s="201">
        <v>1.5521930334863026</v>
      </c>
      <c r="AO76" s="201">
        <v>0.66551971583228386</v>
      </c>
      <c r="AP76" s="201">
        <v>-0.36673104234600984</v>
      </c>
      <c r="AQ76" s="201">
        <v>-1.0800629506985513</v>
      </c>
      <c r="AR76" s="201">
        <v>0.61749213644055945</v>
      </c>
      <c r="AS76" s="201">
        <v>0.3931298176115105</v>
      </c>
      <c r="AT76" s="201">
        <v>2.2066922825602311</v>
      </c>
      <c r="AU76" s="201">
        <v>0.81151911650392838</v>
      </c>
      <c r="AV76" s="201">
        <v>2.9166700392587908</v>
      </c>
      <c r="AW76" s="201"/>
      <c r="AX76" s="201">
        <v>1.3413130227757142</v>
      </c>
      <c r="AY76" s="201">
        <v>1.7237206281928832</v>
      </c>
      <c r="AZ76" s="201">
        <v>1.0240095780615255</v>
      </c>
      <c r="BA76" s="201">
        <v>1.1136530248775445</v>
      </c>
      <c r="BB76" s="201">
        <v>0.89589498894079977</v>
      </c>
      <c r="BC76" s="201">
        <v>-1.690610315516313</v>
      </c>
      <c r="BD76" s="201">
        <v>-0.54122219941725724</v>
      </c>
      <c r="BE76" s="201">
        <v>-0.15705265102312993</v>
      </c>
      <c r="BF76" s="201">
        <v>-1.6427981945348482</v>
      </c>
      <c r="BG76" s="201">
        <v>-3.4107277656673693E-2</v>
      </c>
      <c r="BH76" s="202">
        <v>3.8395836417438593E-2</v>
      </c>
      <c r="BI76" s="202">
        <v>2.5487014348075139</v>
      </c>
      <c r="BJ76" s="202"/>
      <c r="BK76" s="202">
        <v>1.8894599527852003</v>
      </c>
      <c r="BL76" s="202">
        <v>1.4705785107332825</v>
      </c>
      <c r="BM76" s="202">
        <v>0.46560133364409562</v>
      </c>
      <c r="BN76" s="202">
        <v>1.3961274047224408</v>
      </c>
      <c r="BO76" s="202">
        <v>0.94888508817658113</v>
      </c>
      <c r="BP76" s="202">
        <v>-0.93704586658600786</v>
      </c>
      <c r="BQ76" s="202">
        <v>0.59231491864398123</v>
      </c>
      <c r="BR76" s="202">
        <v>0.18182391561684838</v>
      </c>
      <c r="BS76" s="202">
        <v>1.4680202920624181</v>
      </c>
      <c r="BT76" s="202">
        <v>-0.90774406242641148</v>
      </c>
      <c r="BU76" s="202">
        <v>-0.3553338068849129</v>
      </c>
      <c r="BV76" s="202">
        <v>0.5688643709878286</v>
      </c>
      <c r="BW76" s="202">
        <v>-0.30784612380172022</v>
      </c>
      <c r="BX76" s="202">
        <v>9.5604029491846002E-2</v>
      </c>
      <c r="BY76" s="202">
        <v>1.0270885297468144</v>
      </c>
      <c r="BZ76" s="202">
        <v>-0.37763848424350005</v>
      </c>
      <c r="CA76" s="202">
        <v>11.348845673057486</v>
      </c>
      <c r="CB76" s="202">
        <v>-0.91643646106037913</v>
      </c>
      <c r="CC76" s="202">
        <v>2.5651704792882684</v>
      </c>
      <c r="CD76" s="202">
        <v>1.4999999999999798</v>
      </c>
      <c r="CE76" s="202">
        <v>0.87072789388987515</v>
      </c>
      <c r="CF76" s="209">
        <v>0.16547568123818057</v>
      </c>
      <c r="CG76" s="202">
        <v>2.1697535627706355</v>
      </c>
      <c r="CH76" s="202">
        <v>0.84317760687599896</v>
      </c>
      <c r="CI76" s="202">
        <v>-0.79396161463108317</v>
      </c>
      <c r="CJ76" s="202">
        <v>1.9788469786929213</v>
      </c>
      <c r="CK76" s="202">
        <v>6.9165025862118184E-3</v>
      </c>
      <c r="CL76" s="202">
        <v>-0.56680183375649917</v>
      </c>
      <c r="CM76" s="202">
        <v>-0.2685147609749628</v>
      </c>
      <c r="CN76" s="202">
        <v>-0.62676899377253803</v>
      </c>
      <c r="CO76" s="202">
        <v>0.37984693607929459</v>
      </c>
      <c r="CP76" s="202">
        <v>0.26096746070732424</v>
      </c>
      <c r="CQ76" s="202">
        <v>1.042973460346305</v>
      </c>
      <c r="CR76" s="201">
        <v>2.4335863041619814</v>
      </c>
      <c r="CS76" s="201">
        <v>0.58567940790003969</v>
      </c>
      <c r="CT76" s="201">
        <v>0.79249843719600122</v>
      </c>
      <c r="CU76" s="201">
        <v>0.72048295289766506</v>
      </c>
      <c r="CV76" s="201">
        <v>0.5129476964048072</v>
      </c>
      <c r="CW76" s="201">
        <v>-0.44540257526642674</v>
      </c>
      <c r="CX76" s="201">
        <v>4.3379499637187573</v>
      </c>
      <c r="CY76" s="201">
        <v>-2.2769100913913212</v>
      </c>
      <c r="CZ76" s="201">
        <v>0.50199656265205661</v>
      </c>
      <c r="DA76" s="201">
        <v>0.46989144335246835</v>
      </c>
      <c r="DB76" s="201">
        <v>-2.3241254095564887</v>
      </c>
      <c r="DC76" s="201">
        <v>5.8728641414743779</v>
      </c>
      <c r="DD76" s="201">
        <v>-0.26862651974251278</v>
      </c>
      <c r="DE76" s="201">
        <v>0.86122372595969088</v>
      </c>
      <c r="DF76" s="201">
        <v>-0.33235917350908845</v>
      </c>
      <c r="DG76" s="201">
        <v>0</v>
      </c>
      <c r="DH76" s="201">
        <v>0.82043449337713492</v>
      </c>
      <c r="DI76" s="201">
        <v>-0.27364534796937173</v>
      </c>
      <c r="DJ76" s="201">
        <v>-0.78991171301762275</v>
      </c>
      <c r="DK76" s="201">
        <v>-0.74370737094861761</v>
      </c>
      <c r="DL76" s="201">
        <v>-0.9308292590320405</v>
      </c>
      <c r="DM76" s="201">
        <v>0.75819490293632674</v>
      </c>
      <c r="DN76" s="201">
        <v>-0.61415763781051202</v>
      </c>
      <c r="DO76" s="201">
        <v>0.92180598980924433</v>
      </c>
      <c r="DP76" s="201">
        <v>1.7758671695251989</v>
      </c>
      <c r="DQ76" s="201">
        <v>-0.36880306704664712</v>
      </c>
      <c r="DR76" s="201">
        <v>-1.6107033468918521</v>
      </c>
      <c r="DS76" s="201">
        <v>1.8805017368893999</v>
      </c>
      <c r="DT76" s="201">
        <v>0.19545761859343005</v>
      </c>
      <c r="DU76" s="201">
        <v>1.2370917457565855</v>
      </c>
      <c r="DV76" s="201">
        <v>-0.42058541718906139</v>
      </c>
      <c r="DW76" s="201">
        <v>-7.1431955661248131E-2</v>
      </c>
      <c r="DX76" s="201">
        <v>0.23010872385479364</v>
      </c>
      <c r="DY76" s="201">
        <v>0.57458584107871991</v>
      </c>
      <c r="DZ76" s="201">
        <v>-3.1857216047605408</v>
      </c>
      <c r="EA76" s="201">
        <v>-1.3534906670309956</v>
      </c>
      <c r="EB76" s="201">
        <v>-1.0503364399904425</v>
      </c>
      <c r="EC76" s="201">
        <v>0.11632101451719452</v>
      </c>
      <c r="ED76" s="201">
        <v>1.7886154470135356</v>
      </c>
      <c r="EE76" s="201">
        <v>-0.75320120507778276</v>
      </c>
      <c r="EF76" s="201">
        <v>-2.0448147972809902</v>
      </c>
      <c r="EG76" s="201">
        <v>0.95359596735504304</v>
      </c>
      <c r="EH76" s="201">
        <v>-0.70691395262209011</v>
      </c>
      <c r="EI76" s="201">
        <v>-0.31210141667129648</v>
      </c>
      <c r="EJ76" s="201">
        <v>2.63030397225823E-2</v>
      </c>
      <c r="EK76" s="201">
        <v>0.57145370876343504</v>
      </c>
      <c r="EL76" s="201">
        <v>-0.98378513584504046</v>
      </c>
      <c r="EM76" s="201">
        <v>-1.9389337133556721</v>
      </c>
      <c r="EN76" s="201">
        <v>-1.4190300072667104</v>
      </c>
      <c r="EO76" s="201">
        <v>0.78315075206713769</v>
      </c>
      <c r="EP76" s="201">
        <v>-0.74459616670269257</v>
      </c>
      <c r="EQ76" s="201">
        <v>-0.70845768968935974</v>
      </c>
      <c r="ER76" s="201">
        <v>-1.237633621021264</v>
      </c>
      <c r="ES76" s="201">
        <v>-1.2340141841286543</v>
      </c>
      <c r="ET76" s="204">
        <v>1.0445222699195471</v>
      </c>
      <c r="EU76" s="204">
        <v>-1.4790248132054051</v>
      </c>
      <c r="EV76" s="204">
        <v>0.58957523319208305</v>
      </c>
      <c r="EW76" s="204">
        <v>-1.4017988016200438</v>
      </c>
      <c r="EX76" s="204">
        <v>-1.5255200984177264</v>
      </c>
      <c r="EY76" s="204">
        <v>-1.1086013303418309</v>
      </c>
      <c r="EZ76" s="204">
        <v>-1.1638700240719109</v>
      </c>
      <c r="FA76" s="204">
        <v>-0.91114939512935056</v>
      </c>
      <c r="FB76" s="204">
        <v>-1.2565473305312518</v>
      </c>
      <c r="FC76" s="204">
        <v>-2.1184580030370217</v>
      </c>
      <c r="FD76" s="204">
        <v>-1.874579312825047</v>
      </c>
      <c r="FE76" s="204">
        <v>-2.5984672096655745</v>
      </c>
      <c r="FF76" s="204">
        <v>-2.1728546619189202</v>
      </c>
      <c r="FG76" s="204">
        <v>-0.93837749645010282</v>
      </c>
      <c r="FH76" s="204">
        <v>-0.69388739836078894</v>
      </c>
      <c r="FI76" s="204">
        <v>-1.204769600128035</v>
      </c>
      <c r="FJ76" s="204">
        <v>-0.72051983098794414</v>
      </c>
      <c r="FK76" s="204">
        <v>-1.1477832411652644</v>
      </c>
      <c r="FL76" s="204">
        <v>-1.1397117289000651</v>
      </c>
      <c r="FM76" s="204">
        <v>-1.028036979818272</v>
      </c>
      <c r="FN76" s="204">
        <v>-0.7866522157332223</v>
      </c>
      <c r="FO76" s="204">
        <v>5.0754306281366919</v>
      </c>
      <c r="FP76" s="204">
        <v>5.4209293387128739</v>
      </c>
      <c r="FU76" s="230"/>
    </row>
    <row r="77" spans="2:177" ht="13" x14ac:dyDescent="0.25">
      <c r="B77" s="229">
        <v>20</v>
      </c>
      <c r="C77" s="1961" t="s">
        <v>179</v>
      </c>
      <c r="D77" s="199">
        <v>20</v>
      </c>
      <c r="E77" s="205">
        <f>'SOUTH-1'!$N$187</f>
        <v>1.209519482352055</v>
      </c>
      <c r="F77" s="1890">
        <v>1.9170288634141786</v>
      </c>
      <c r="G77" s="1890">
        <v>0.59668526841876313</v>
      </c>
      <c r="H77" s="1890">
        <v>0.90419114514399479</v>
      </c>
      <c r="I77" s="1890">
        <v>0.52410951330292566</v>
      </c>
      <c r="J77" s="1890">
        <v>1.1861167651928364</v>
      </c>
      <c r="K77" s="1890">
        <v>8.2750367479110798E-2</v>
      </c>
      <c r="L77" s="205">
        <v>0.42897303001712084</v>
      </c>
      <c r="M77" s="205">
        <v>2.7493225398161316</v>
      </c>
      <c r="N77" s="205">
        <v>0.7156301827507483</v>
      </c>
      <c r="O77" s="202">
        <v>1.5245009224309114</v>
      </c>
      <c r="P77" s="202">
        <v>2.3391223496059763</v>
      </c>
      <c r="Q77" s="202">
        <v>1.8796423500994535</v>
      </c>
      <c r="R77" s="202">
        <v>1.7705804814319659</v>
      </c>
      <c r="S77" s="202">
        <v>1.2144210991690232</v>
      </c>
      <c r="T77" s="202">
        <v>0.78975258236059032</v>
      </c>
      <c r="U77" s="202">
        <v>1.2048089283424872</v>
      </c>
      <c r="V77" s="202">
        <v>1.3145788513865106</v>
      </c>
      <c r="W77" s="201">
        <v>1.3902677921738131</v>
      </c>
      <c r="X77" s="201">
        <v>1.2740859194032632</v>
      </c>
      <c r="Y77" s="201">
        <v>0.99967774566884515</v>
      </c>
      <c r="Z77" s="201">
        <v>1.4938742429692216</v>
      </c>
      <c r="AA77" s="201">
        <v>3.2906263424661999</v>
      </c>
      <c r="AB77" s="201">
        <v>3.1992002691274211</v>
      </c>
      <c r="AC77" s="201">
        <v>1.85</v>
      </c>
      <c r="AD77" s="201">
        <v>1.4377806533167046</v>
      </c>
      <c r="AE77" s="201">
        <v>-0.65143853406837238</v>
      </c>
      <c r="AF77" s="201">
        <v>0.60233626391760553</v>
      </c>
      <c r="AG77" s="201">
        <v>2.767409000586051</v>
      </c>
      <c r="AH77" s="201">
        <v>1.5622043218552575</v>
      </c>
      <c r="AI77" s="201">
        <v>1.8901713028539828</v>
      </c>
      <c r="AJ77" s="201">
        <v>7.6626874917747612E-2</v>
      </c>
      <c r="AK77" s="201">
        <v>0.45037799048322569</v>
      </c>
      <c r="AL77" s="201">
        <v>0.79766767611192424</v>
      </c>
      <c r="AM77" s="201">
        <v>0.63471551013728122</v>
      </c>
      <c r="AN77" s="201">
        <v>0.28138946737236903</v>
      </c>
      <c r="AO77" s="201">
        <v>1.1818282002014937</v>
      </c>
      <c r="AP77" s="201">
        <v>1.0440737237780047</v>
      </c>
      <c r="AQ77" s="201">
        <v>1.0527366164725109</v>
      </c>
      <c r="AR77" s="201">
        <v>1.5096338189780161</v>
      </c>
      <c r="AS77" s="201">
        <v>1.2446697520368564</v>
      </c>
      <c r="AT77" s="201">
        <v>1.7568999746385114</v>
      </c>
      <c r="AU77" s="201">
        <v>1.2997455118946115</v>
      </c>
      <c r="AV77" s="201">
        <v>1.1377603124153601</v>
      </c>
      <c r="AW77" s="201"/>
      <c r="AX77" s="201">
        <v>1.9309348266763462</v>
      </c>
      <c r="AY77" s="201">
        <v>1.9722963217484697</v>
      </c>
      <c r="AZ77" s="201">
        <v>2.8514850792692159</v>
      </c>
      <c r="BA77" s="201">
        <v>1.3030226345833418</v>
      </c>
      <c r="BB77" s="201">
        <v>4.703967619995062</v>
      </c>
      <c r="BC77" s="201">
        <v>-0.7876341456092617</v>
      </c>
      <c r="BD77" s="201">
        <v>3.0021649002377542</v>
      </c>
      <c r="BE77" s="201">
        <v>3.1159223152927171</v>
      </c>
      <c r="BF77" s="201">
        <v>2.6667319405247429</v>
      </c>
      <c r="BG77" s="201">
        <v>1.3111090271134784</v>
      </c>
      <c r="BH77" s="202">
        <v>0.17627662657002013</v>
      </c>
      <c r="BI77" s="202">
        <v>1.946967107342467</v>
      </c>
      <c r="BJ77" s="202"/>
      <c r="BK77" s="202">
        <v>0.79903792631054515</v>
      </c>
      <c r="BL77" s="202">
        <v>0.53627154353258477</v>
      </c>
      <c r="BM77" s="202">
        <v>-0.68855578587558464</v>
      </c>
      <c r="BN77" s="202">
        <v>1.4257078710823434</v>
      </c>
      <c r="BO77" s="202">
        <v>0.34192823020569812</v>
      </c>
      <c r="BP77" s="202">
        <v>1.3853286908736866E-2</v>
      </c>
      <c r="BQ77" s="202">
        <v>0.44851073898567212</v>
      </c>
      <c r="BR77" s="202">
        <v>0.58733820152375504</v>
      </c>
      <c r="BS77" s="202">
        <v>0.20956804437994905</v>
      </c>
      <c r="BT77" s="202">
        <v>0.22341680285415494</v>
      </c>
      <c r="BU77" s="202">
        <v>0.14533560921488475</v>
      </c>
      <c r="BV77" s="202">
        <v>0.27567209080397004</v>
      </c>
      <c r="BW77" s="202">
        <v>2.7889698127877507</v>
      </c>
      <c r="BX77" s="202">
        <v>1.7106832319450791</v>
      </c>
      <c r="BY77" s="202">
        <v>0.63908046863003853</v>
      </c>
      <c r="BZ77" s="202">
        <v>0.4536785616414577</v>
      </c>
      <c r="CA77" s="202">
        <v>1.6027163456704852</v>
      </c>
      <c r="CB77" s="202">
        <v>-0.72750612704378914</v>
      </c>
      <c r="CC77" s="202">
        <v>0.21753876020606983</v>
      </c>
      <c r="CD77" s="202">
        <v>0.53904638199555166</v>
      </c>
      <c r="CE77" s="202">
        <v>0.499999999999997</v>
      </c>
      <c r="CF77" s="202">
        <v>0.67957960877480617</v>
      </c>
      <c r="CG77" s="202">
        <v>0.77012769349154009</v>
      </c>
      <c r="CH77" s="202">
        <v>0.29455521807779472</v>
      </c>
      <c r="CI77" s="202">
        <v>-1.5836150804045979</v>
      </c>
      <c r="CJ77" s="202">
        <v>0.40130975078613373</v>
      </c>
      <c r="CK77" s="202">
        <v>-1.954181577847391</v>
      </c>
      <c r="CL77" s="202">
        <v>3.6908552122667424</v>
      </c>
      <c r="CM77" s="202">
        <v>-9.4487710910761982E-2</v>
      </c>
      <c r="CN77" s="202">
        <v>0.46345076342047126</v>
      </c>
      <c r="CO77" s="202">
        <v>0.30686085272209784</v>
      </c>
      <c r="CP77" s="202">
        <v>1.1288522956937987</v>
      </c>
      <c r="CQ77" s="202">
        <v>5.2258485271821441E-2</v>
      </c>
      <c r="CR77" s="201">
        <v>1.3654209362498724</v>
      </c>
      <c r="CS77" s="201">
        <v>1.2029476666921752</v>
      </c>
      <c r="CT77" s="201">
        <v>1.9006984237301758</v>
      </c>
      <c r="CU77" s="201">
        <v>1.319808358646483</v>
      </c>
      <c r="CV77" s="201">
        <v>1.2610334599179855</v>
      </c>
      <c r="CW77" s="201">
        <v>0.88927657549430683</v>
      </c>
      <c r="CX77" s="201">
        <v>1.6083597735947122</v>
      </c>
      <c r="CY77" s="201">
        <v>1.094289065478427</v>
      </c>
      <c r="CZ77" s="201">
        <v>1.3087167356215712</v>
      </c>
      <c r="DA77" s="201">
        <v>1.3856863691786101</v>
      </c>
      <c r="DB77" s="201">
        <v>1.6202752467577477</v>
      </c>
      <c r="DC77" s="201">
        <v>1.9165354050945511</v>
      </c>
      <c r="DD77" s="201">
        <v>1.0581565070615921</v>
      </c>
      <c r="DE77" s="201">
        <v>1.714317314193788</v>
      </c>
      <c r="DF77" s="201">
        <v>-0.83312858606658047</v>
      </c>
      <c r="DG77" s="201">
        <v>1.0132847160707308</v>
      </c>
      <c r="DH77" s="201">
        <v>0.25066190725786813</v>
      </c>
      <c r="DI77" s="201">
        <v>1.0273878237108363</v>
      </c>
      <c r="DJ77" s="201">
        <v>0.97039644610554909</v>
      </c>
      <c r="DK77" s="201">
        <v>0.66995514230525044</v>
      </c>
      <c r="DL77" s="201">
        <v>1.0019258002545917</v>
      </c>
      <c r="DM77" s="201">
        <v>1.9931041009301338</v>
      </c>
      <c r="DN77" s="201">
        <v>1.9858117152926582</v>
      </c>
      <c r="DO77" s="201">
        <v>7.9945494006786605E-2</v>
      </c>
      <c r="DP77" s="201">
        <v>2.7364272131504799</v>
      </c>
      <c r="DQ77" s="201">
        <v>1.2330151333461767</v>
      </c>
      <c r="DR77" s="201">
        <v>1.5170332317410906</v>
      </c>
      <c r="DS77" s="201">
        <v>1.4750909073798493</v>
      </c>
      <c r="DT77" s="201">
        <v>0.70430128591961727</v>
      </c>
      <c r="DU77" s="201">
        <v>1.1206400927973288</v>
      </c>
      <c r="DV77" s="201">
        <v>1.5404658353298755</v>
      </c>
      <c r="DW77" s="201">
        <v>1.7198412106825944</v>
      </c>
      <c r="DX77" s="201">
        <v>0.28680407255374563</v>
      </c>
      <c r="DY77" s="201">
        <v>3.4522319304890039</v>
      </c>
      <c r="DZ77" s="201">
        <v>-1.0038990495872393</v>
      </c>
      <c r="EA77" s="201">
        <v>0.80302655721727434</v>
      </c>
      <c r="EB77" s="201">
        <v>1.7281986177217896</v>
      </c>
      <c r="EC77" s="201">
        <v>0.61345552024000816</v>
      </c>
      <c r="ED77" s="201">
        <v>2.0216964330165741</v>
      </c>
      <c r="EE77" s="201">
        <v>0.88267079533247572</v>
      </c>
      <c r="EF77" s="201">
        <v>2.4219757155827675</v>
      </c>
      <c r="EG77" s="201">
        <v>1.5365447134253507</v>
      </c>
      <c r="EH77" s="206">
        <v>1.4564002532882143</v>
      </c>
      <c r="EI77" s="206">
        <v>1.471039836600839</v>
      </c>
      <c r="EJ77" s="206">
        <v>1.1343310882513784</v>
      </c>
      <c r="EK77" s="206">
        <v>1.6866089324245845</v>
      </c>
      <c r="EL77" s="206">
        <v>1.8484323765337936</v>
      </c>
      <c r="EM77" s="206">
        <v>1.9707518100446175</v>
      </c>
      <c r="EN77" s="206">
        <v>1.9297576789453457</v>
      </c>
      <c r="EO77" s="206">
        <v>4.6732684047040811</v>
      </c>
      <c r="EP77" s="206">
        <v>2.4196217820117609</v>
      </c>
      <c r="EQ77" s="206">
        <v>1.7501828590586819</v>
      </c>
      <c r="ER77" s="201">
        <v>0.94369284296122591</v>
      </c>
      <c r="ES77" s="201">
        <v>1.5527685252697634</v>
      </c>
      <c r="ET77" s="204">
        <v>1.1827956032275135</v>
      </c>
      <c r="EU77" s="204">
        <v>0.95906525674857757</v>
      </c>
      <c r="EV77" s="204">
        <v>1.1106121566075216</v>
      </c>
      <c r="EW77" s="204">
        <v>1.6150896459890225</v>
      </c>
      <c r="EX77" s="204">
        <v>1.379079568905943</v>
      </c>
      <c r="EY77" s="204">
        <v>1.2875074278434049</v>
      </c>
      <c r="EZ77" s="204">
        <v>1.3254633364103245</v>
      </c>
      <c r="FA77" s="204">
        <v>1.8864237361370466</v>
      </c>
      <c r="FB77" s="204">
        <v>1.4710151180787339</v>
      </c>
      <c r="FC77" s="204">
        <v>6.419346473185461E-2</v>
      </c>
      <c r="FD77" s="204">
        <v>0.3094941581017937</v>
      </c>
      <c r="FE77" s="204">
        <v>-0.4080162022387232</v>
      </c>
      <c r="FF77" s="204">
        <v>0.25217219145007902</v>
      </c>
      <c r="FG77" s="204">
        <v>1.4911741904602684</v>
      </c>
      <c r="FH77" s="204">
        <v>1.8903788405599351</v>
      </c>
      <c r="FI77" s="204">
        <v>1.3308617643573462</v>
      </c>
      <c r="FJ77" s="204">
        <v>1.4457143855009182</v>
      </c>
      <c r="FK77" s="204">
        <v>0.69188597972370436</v>
      </c>
      <c r="FL77" s="204">
        <v>2.0207310357595829</v>
      </c>
      <c r="FM77" s="204">
        <v>0.81498622035205848</v>
      </c>
      <c r="FN77" s="204">
        <v>-1.0224020193070793</v>
      </c>
      <c r="FO77" s="204">
        <v>-0.32413891292153069</v>
      </c>
      <c r="FP77" s="204">
        <v>0.12243165814631053</v>
      </c>
      <c r="FU77" s="230"/>
    </row>
    <row r="78" spans="2:177" ht="14" x14ac:dyDescent="0.25">
      <c r="B78" s="229">
        <v>21</v>
      </c>
      <c r="C78" s="1961" t="s">
        <v>180</v>
      </c>
      <c r="D78" s="199">
        <v>21</v>
      </c>
      <c r="E78" s="205">
        <f>'SOUTH-1'!$N$1163</f>
        <v>-100</v>
      </c>
      <c r="F78" s="1890">
        <v>0.72716280142951284</v>
      </c>
      <c r="G78" s="1890">
        <v>0.90480054784421571</v>
      </c>
      <c r="H78" s="1890">
        <v>0.92371247924301203</v>
      </c>
      <c r="I78" s="1890">
        <v>0.95053816330358154</v>
      </c>
      <c r="J78" s="1890">
        <v>0.5628948524037195</v>
      </c>
      <c r="K78" s="1890">
        <v>3.0655642014465729</v>
      </c>
      <c r="L78" s="205">
        <v>-1.2125541680338252</v>
      </c>
      <c r="M78" s="205">
        <v>1.1260749802758947</v>
      </c>
      <c r="N78" s="205">
        <v>1.0083416627169346</v>
      </c>
      <c r="O78" s="202">
        <v>0.72421010055518453</v>
      </c>
      <c r="P78" s="202">
        <v>0.56768512697855933</v>
      </c>
      <c r="Q78" s="202">
        <v>0.5149626501336193</v>
      </c>
      <c r="R78" s="202">
        <v>0.75128982042973202</v>
      </c>
      <c r="S78" s="202">
        <v>0.48620579791958712</v>
      </c>
      <c r="T78" s="202">
        <v>0.40494247424044605</v>
      </c>
      <c r="U78" s="202">
        <v>0.81069439574536772</v>
      </c>
      <c r="V78" s="202">
        <v>0.5472817446732513</v>
      </c>
      <c r="W78" s="201">
        <v>0.51866228745385834</v>
      </c>
      <c r="X78" s="201">
        <v>0.35975196579959934</v>
      </c>
      <c r="Y78" s="201">
        <v>0.51555007517051643</v>
      </c>
      <c r="Z78" s="201">
        <v>0.57990255136333946</v>
      </c>
      <c r="AA78" s="201">
        <v>0.55437106163988725</v>
      </c>
      <c r="AB78" s="201">
        <v>0.46473862949666672</v>
      </c>
      <c r="AC78" s="201">
        <v>0.45</v>
      </c>
      <c r="AD78" s="201">
        <v>0.63049738780646092</v>
      </c>
      <c r="AE78" s="201">
        <v>-0.50893442584942628</v>
      </c>
      <c r="AF78" s="201">
        <v>0.49794443530411836</v>
      </c>
      <c r="AG78" s="201">
        <v>0.60125380780737792</v>
      </c>
      <c r="AH78" s="201">
        <v>0.52059194986082824</v>
      </c>
      <c r="AI78" s="201">
        <v>0.56532313054345074</v>
      </c>
      <c r="AJ78" s="201">
        <v>0.62441720289414504</v>
      </c>
      <c r="AK78" s="201">
        <v>0.41986828725546055</v>
      </c>
      <c r="AL78" s="201">
        <v>0.62368291712575197</v>
      </c>
      <c r="AM78" s="201">
        <v>0.33422582930263267</v>
      </c>
      <c r="AN78" s="201">
        <v>-0.17063322669855155</v>
      </c>
      <c r="AO78" s="201">
        <v>1.4567086559513565</v>
      </c>
      <c r="AP78" s="201">
        <v>0.48859210504949735</v>
      </c>
      <c r="AQ78" s="201">
        <v>0.30058591099999216</v>
      </c>
      <c r="AR78" s="201">
        <v>0.59416394239817372</v>
      </c>
      <c r="AS78" s="201">
        <v>2.4368612572386739</v>
      </c>
      <c r="AT78" s="201">
        <v>2.7806225712249555</v>
      </c>
      <c r="AU78" s="201">
        <v>0.53881442421400227</v>
      </c>
      <c r="AV78" s="201">
        <v>2.3258549644577928</v>
      </c>
      <c r="AW78" s="201"/>
      <c r="AX78" s="201">
        <v>0.49393144672603972</v>
      </c>
      <c r="AY78" s="201">
        <v>0.56060395402976737</v>
      </c>
      <c r="AZ78" s="201">
        <v>0.42922384232298072</v>
      </c>
      <c r="BA78" s="201">
        <v>0.2307010407369498</v>
      </c>
      <c r="BB78" s="201">
        <v>0.45890944680892648</v>
      </c>
      <c r="BC78" s="201">
        <v>0.4247905274387821</v>
      </c>
      <c r="BD78" s="201">
        <v>0.72499292576281327</v>
      </c>
      <c r="BE78" s="201">
        <v>2.1233759121886724</v>
      </c>
      <c r="BF78" s="201">
        <v>3.3378685148105798</v>
      </c>
      <c r="BG78" s="201">
        <v>-0.95718688999912749</v>
      </c>
      <c r="BH78" s="202">
        <v>0.33703501569538424</v>
      </c>
      <c r="BI78" s="202">
        <v>-3.7995994117934459E-2</v>
      </c>
      <c r="BJ78" s="202"/>
      <c r="BK78" s="202">
        <v>3.1205363334209073</v>
      </c>
      <c r="BL78" s="202">
        <v>3.0908303173014375</v>
      </c>
      <c r="BM78" s="202">
        <v>0.35969408034798511</v>
      </c>
      <c r="BN78" s="202">
        <v>6.762412034098257</v>
      </c>
      <c r="BO78" s="202">
        <v>2.9430962466295609</v>
      </c>
      <c r="BP78" s="202">
        <v>0.84063960123192494</v>
      </c>
      <c r="BQ78" s="202">
        <v>1.8959173861556839</v>
      </c>
      <c r="BR78" s="202">
        <v>-1.7468848606451099</v>
      </c>
      <c r="BS78" s="202">
        <v>-3.2060770529201781</v>
      </c>
      <c r="BT78" s="202">
        <v>-3.8487581914527178</v>
      </c>
      <c r="BU78" s="202">
        <v>-1.4663272220821149</v>
      </c>
      <c r="BV78" s="202">
        <v>1.9064870727122694</v>
      </c>
      <c r="BW78" s="202">
        <v>2.4804773048187796</v>
      </c>
      <c r="BX78" s="202">
        <v>1.9603328892897276</v>
      </c>
      <c r="BY78" s="202">
        <v>2.4189816394827512</v>
      </c>
      <c r="BZ78" s="202">
        <v>3.0884288397404402</v>
      </c>
      <c r="CA78" s="202">
        <v>0</v>
      </c>
      <c r="CB78" s="202">
        <v>2.1683802579999396</v>
      </c>
      <c r="CC78" s="202">
        <v>2.4164499680961926</v>
      </c>
      <c r="CD78" s="202">
        <v>0.2572363402307517</v>
      </c>
      <c r="CE78" s="234">
        <v>1.8849154940161188</v>
      </c>
      <c r="CF78" s="234">
        <v>1.9999999999999962</v>
      </c>
      <c r="CG78" s="235">
        <v>1.9999999999999987</v>
      </c>
      <c r="CH78" s="202">
        <v>3.0976537301921581</v>
      </c>
      <c r="CI78" s="202">
        <v>1.0000000000000095</v>
      </c>
      <c r="CJ78" s="202">
        <v>3.1318155122664706</v>
      </c>
      <c r="CK78" s="202">
        <v>2.1375536105933688</v>
      </c>
      <c r="CL78" s="202">
        <v>1.6621090295296399</v>
      </c>
      <c r="CM78" s="202">
        <v>1.067832582693363</v>
      </c>
      <c r="CN78" s="202">
        <v>1.4711057209578526</v>
      </c>
      <c r="CO78" s="202">
        <v>2.6702324407676712</v>
      </c>
      <c r="CP78" s="202">
        <v>3.2664619259601206</v>
      </c>
      <c r="CQ78" s="202">
        <v>2.3843549848840788</v>
      </c>
      <c r="CR78" s="206">
        <v>-0.7032133570663458</v>
      </c>
      <c r="CS78" s="206">
        <v>1.9524880043990129</v>
      </c>
      <c r="CT78" s="206">
        <v>3.4567754820422292</v>
      </c>
      <c r="CU78" s="206">
        <v>2.8997816881573253</v>
      </c>
      <c r="CV78" s="206">
        <v>3.694711689760128</v>
      </c>
      <c r="CW78" s="206">
        <v>-1.0501620109680601</v>
      </c>
      <c r="CX78" s="206">
        <v>2.3516017232610253</v>
      </c>
      <c r="CY78" s="206">
        <v>3.360019523359413</v>
      </c>
      <c r="CZ78" s="206">
        <v>2.9053541486144749</v>
      </c>
      <c r="DA78" s="206">
        <v>2.1484393812342919</v>
      </c>
      <c r="DB78" s="206">
        <v>3.1399624660118044</v>
      </c>
      <c r="DC78" s="208">
        <v>1.8634390884647472</v>
      </c>
      <c r="DD78" s="208">
        <v>2.999595176080895</v>
      </c>
      <c r="DE78" s="208">
        <v>4.0902462233970454</v>
      </c>
      <c r="DF78" s="201">
        <v>-0.23772496070326274</v>
      </c>
      <c r="DG78" s="201">
        <v>0.82813253515503449</v>
      </c>
      <c r="DH78" s="201">
        <v>1.4416085885960199</v>
      </c>
      <c r="DI78" s="201">
        <v>1.9797098851055406</v>
      </c>
      <c r="DJ78" s="201">
        <v>-0.63835028981513586</v>
      </c>
      <c r="DK78" s="201">
        <v>4.1353990248717114</v>
      </c>
      <c r="DL78" s="208">
        <v>3.4055406810732514</v>
      </c>
      <c r="DM78" s="201">
        <v>2.6641600527074449</v>
      </c>
      <c r="DN78" s="201">
        <v>4.6436934399508489</v>
      </c>
      <c r="DO78" s="203">
        <v>4.5843271699704964</v>
      </c>
      <c r="DP78" s="201">
        <v>3.6620450371451381</v>
      </c>
      <c r="DQ78" s="201">
        <v>3.2538345484977325</v>
      </c>
      <c r="DR78" s="206">
        <v>2.7563797270727268</v>
      </c>
      <c r="DS78" s="206">
        <v>1.0642570687461148</v>
      </c>
      <c r="DT78" s="206">
        <v>3.0798722802179048</v>
      </c>
      <c r="DU78" s="206">
        <v>2.4215925165228307</v>
      </c>
      <c r="DV78" s="206">
        <v>2.4004207529892305</v>
      </c>
      <c r="DW78" s="206">
        <v>1.6869541336928175</v>
      </c>
      <c r="DX78" s="206">
        <v>0.1081325830031182</v>
      </c>
      <c r="DY78" s="201">
        <v>4.1693632509123102</v>
      </c>
      <c r="DZ78" s="201">
        <v>1.3790732484258452</v>
      </c>
      <c r="EA78" s="201">
        <v>2.7103311831209944</v>
      </c>
      <c r="EB78" s="201">
        <v>1.1990503631657883</v>
      </c>
      <c r="EC78" s="201">
        <v>2.1661988977167836</v>
      </c>
      <c r="ED78" s="201">
        <v>2.4784765521291185</v>
      </c>
      <c r="EE78" s="203">
        <v>3.7332657031067669</v>
      </c>
      <c r="EF78" s="201">
        <v>3.3862958537384094</v>
      </c>
      <c r="EG78" s="201">
        <v>2.0313094530300719</v>
      </c>
      <c r="EH78" s="201">
        <v>1.8987104412691331</v>
      </c>
      <c r="EI78" s="201">
        <v>2.6161461779637083</v>
      </c>
      <c r="EJ78" s="201">
        <v>2.3741980092490471</v>
      </c>
      <c r="EK78" s="201">
        <v>2.5823843027475051</v>
      </c>
      <c r="EL78" s="201">
        <v>2.291949185724742</v>
      </c>
      <c r="EM78" s="201">
        <v>2.6045191374413914</v>
      </c>
      <c r="EN78" s="201">
        <v>-9.0442028954759057E-2</v>
      </c>
      <c r="EO78" s="201">
        <v>5.1216652809076422</v>
      </c>
      <c r="EP78" s="203">
        <v>2.7988288070867848</v>
      </c>
      <c r="EQ78" s="202">
        <v>2.4142905643353454</v>
      </c>
      <c r="ER78" s="202">
        <v>2.2700681434050614</v>
      </c>
      <c r="ES78" s="202">
        <v>1.6534229741293722</v>
      </c>
      <c r="ET78" s="236">
        <v>1.7987195142939831</v>
      </c>
      <c r="EU78" s="236">
        <v>2.0907811742793889</v>
      </c>
      <c r="EV78" s="236">
        <v>2.1548161111113333</v>
      </c>
      <c r="EW78" s="236">
        <v>3.3038134156455796</v>
      </c>
      <c r="EX78" s="236">
        <v>2.8375273305007149</v>
      </c>
      <c r="EY78" s="236">
        <v>2.8999524594559287</v>
      </c>
      <c r="EZ78" s="236">
        <v>2.1791528601813717</v>
      </c>
      <c r="FA78" s="236">
        <v>3.4260761673865674</v>
      </c>
      <c r="FB78" s="204">
        <v>3.4153145440242589</v>
      </c>
      <c r="FC78" s="204">
        <v>1.4983809811036759</v>
      </c>
      <c r="FD78" s="204">
        <v>-0.50246398644126</v>
      </c>
      <c r="FE78" s="204">
        <v>5.3725259974622972</v>
      </c>
      <c r="FF78" s="204">
        <v>3.3579670685856078</v>
      </c>
      <c r="FG78" s="204">
        <v>3.5385032775672709</v>
      </c>
      <c r="FH78" s="204">
        <v>3.6282743006914759</v>
      </c>
      <c r="FI78" s="204">
        <v>2.4984801867825794</v>
      </c>
      <c r="FJ78" s="204">
        <v>2.0397640219877142</v>
      </c>
      <c r="FK78" s="204">
        <v>2.7930108681445232</v>
      </c>
      <c r="FL78" s="204">
        <v>3.7583690328832327</v>
      </c>
      <c r="FM78" s="204">
        <v>5.4281253328422805</v>
      </c>
      <c r="FN78" s="204">
        <v>5.0754306281366919</v>
      </c>
      <c r="FO78" s="204">
        <v>1.0045676264627796</v>
      </c>
      <c r="FP78" s="204">
        <v>0.99377366968353642</v>
      </c>
      <c r="FU78" s="230"/>
    </row>
    <row r="79" spans="2:177" ht="13" x14ac:dyDescent="0.25">
      <c r="B79" s="229">
        <v>22</v>
      </c>
      <c r="C79" s="1961" t="s">
        <v>181</v>
      </c>
      <c r="D79" s="199">
        <v>22</v>
      </c>
      <c r="E79" s="205">
        <f>'SOUTH-1'!$N$357</f>
        <v>1.1007354759669974</v>
      </c>
      <c r="F79" s="1890">
        <v>0.54406517097200835</v>
      </c>
      <c r="G79" s="1890">
        <v>1.2717926764934373</v>
      </c>
      <c r="H79" s="1890">
        <v>5.3073736477573207E-2</v>
      </c>
      <c r="I79" s="1890">
        <v>1.4731416908694419</v>
      </c>
      <c r="J79" s="1890">
        <v>0.81805696957360374</v>
      </c>
      <c r="K79" s="1890">
        <v>1.5555670885617683</v>
      </c>
      <c r="L79" s="205">
        <v>1.3116598956522261</v>
      </c>
      <c r="M79" s="205">
        <v>0.26767416443938352</v>
      </c>
      <c r="N79" s="205">
        <v>1.6757692878528938</v>
      </c>
      <c r="O79" s="202">
        <v>1.2994603077556903</v>
      </c>
      <c r="P79" s="202">
        <v>0.29610086947933201</v>
      </c>
      <c r="Q79" s="202">
        <v>0.13214506153534356</v>
      </c>
      <c r="R79" s="202">
        <v>1.8015364941076626</v>
      </c>
      <c r="S79" s="202">
        <v>1.7896400686393767</v>
      </c>
      <c r="T79" s="202">
        <v>1.9833663502378438</v>
      </c>
      <c r="U79" s="202">
        <v>2.0568845901972814</v>
      </c>
      <c r="V79" s="202">
        <v>2.0968828998737763</v>
      </c>
      <c r="W79" s="202">
        <v>1.8795372081398132</v>
      </c>
      <c r="X79" s="202">
        <v>1.9543068469423484</v>
      </c>
      <c r="Y79" s="202">
        <v>2.0755845146779883</v>
      </c>
      <c r="Z79" s="202">
        <v>1.9602128339402125</v>
      </c>
      <c r="AA79" s="202">
        <v>2.6805333155304001</v>
      </c>
      <c r="AB79" s="202">
        <v>1.2043524281269153</v>
      </c>
      <c r="AC79" s="202">
        <v>1.6</v>
      </c>
      <c r="AD79" s="202">
        <v>1.8434775261714313</v>
      </c>
      <c r="AE79" s="202">
        <v>1.9265837081640673</v>
      </c>
      <c r="AF79" s="202">
        <v>2.1028920952504562</v>
      </c>
      <c r="AG79" s="202">
        <v>3.7125888390010644</v>
      </c>
      <c r="AH79" s="202">
        <v>1.26532825316961</v>
      </c>
      <c r="AI79" s="202">
        <v>2.532686523454128</v>
      </c>
      <c r="AJ79" s="202">
        <v>2.4669889904036459</v>
      </c>
      <c r="AK79" s="202">
        <v>1.3828986761557638</v>
      </c>
      <c r="AL79" s="202">
        <v>2.182747332159455</v>
      </c>
      <c r="AM79" s="202">
        <v>-0.32461865445367871</v>
      </c>
      <c r="AN79" s="202">
        <v>3.2838683128667867</v>
      </c>
      <c r="AO79" s="202">
        <v>-1.5533967819673395</v>
      </c>
      <c r="AP79" s="202">
        <v>0.25240121437002244</v>
      </c>
      <c r="AQ79" s="202">
        <v>0.61057000646693849</v>
      </c>
      <c r="AR79" s="202">
        <v>2.8156859344817065</v>
      </c>
      <c r="AS79" s="202">
        <v>3.8110790669786518</v>
      </c>
      <c r="AT79" s="202">
        <v>2.7619712139824077</v>
      </c>
      <c r="AU79" s="202">
        <v>4.3031397925808079</v>
      </c>
      <c r="AV79" s="202">
        <v>6.6294276043213071E-2</v>
      </c>
      <c r="AW79" s="202"/>
      <c r="AX79" s="202">
        <v>6.6294276043211045E-2</v>
      </c>
      <c r="AY79" s="202">
        <v>4.2201757709999423</v>
      </c>
      <c r="AZ79" s="202">
        <v>1.4236513711494905</v>
      </c>
      <c r="BA79" s="202">
        <v>0.69319922100533993</v>
      </c>
      <c r="BB79" s="202">
        <v>0.36397661153652949</v>
      </c>
      <c r="BC79" s="202">
        <v>1.5070570093555125</v>
      </c>
      <c r="BD79" s="202">
        <v>2.4543046550578599E-2</v>
      </c>
      <c r="BE79" s="202">
        <v>1.9180044159897693</v>
      </c>
      <c r="BF79" s="202">
        <v>0.46354885815804009</v>
      </c>
      <c r="BG79" s="202">
        <v>-1.507700500898139</v>
      </c>
      <c r="BH79" s="202">
        <v>0.37645038094555244</v>
      </c>
      <c r="BI79" s="202">
        <v>-0.1911224810045023</v>
      </c>
      <c r="BJ79" s="202"/>
      <c r="BK79" s="202">
        <v>1.6638999853945593</v>
      </c>
      <c r="BL79" s="202">
        <v>0.76347564525472533</v>
      </c>
      <c r="BM79" s="202">
        <v>-0.87768312079793709</v>
      </c>
      <c r="BN79" s="202">
        <v>0.80593283197188303</v>
      </c>
      <c r="BO79" s="202">
        <v>2.9560818883978501</v>
      </c>
      <c r="BP79" s="202">
        <v>2.5418550281865389</v>
      </c>
      <c r="BQ79" s="202">
        <v>2.851837550587756</v>
      </c>
      <c r="BR79" s="202">
        <v>3.332664807724778</v>
      </c>
      <c r="BS79" s="202">
        <v>3.3123127443172131</v>
      </c>
      <c r="BT79" s="202">
        <v>2.3811857976182131</v>
      </c>
      <c r="BU79" s="202">
        <v>3.4283781241452274</v>
      </c>
      <c r="BV79" s="202">
        <v>2.7407259061508626</v>
      </c>
      <c r="BW79" s="202">
        <v>4.2525580896811794</v>
      </c>
      <c r="BX79" s="202">
        <v>1.6871208138152356</v>
      </c>
      <c r="BY79" s="202">
        <v>4.8525474986760004</v>
      </c>
      <c r="BZ79" s="202">
        <v>2.8328246168295208</v>
      </c>
      <c r="CA79" s="202">
        <v>1.0000000000000027</v>
      </c>
      <c r="CB79" s="202">
        <v>6.2828090483283014E-2</v>
      </c>
      <c r="CC79" s="202">
        <v>-0.71375151010436133</v>
      </c>
      <c r="CD79" s="202">
        <v>2.8779018959500364</v>
      </c>
      <c r="CE79" s="202">
        <v>2.2403781901627364</v>
      </c>
      <c r="CF79" s="202">
        <v>2.8881981591180232</v>
      </c>
      <c r="CG79" s="202">
        <v>2.6864740621114134</v>
      </c>
      <c r="CH79" s="202">
        <v>1.4999999999999785</v>
      </c>
      <c r="CI79" s="202">
        <v>1.4999999999999896</v>
      </c>
      <c r="CJ79" s="202">
        <v>2.3087831746548213</v>
      </c>
      <c r="CK79" s="202">
        <v>2.1343850435169762</v>
      </c>
      <c r="CL79" s="202">
        <v>2.9107800763373199</v>
      </c>
      <c r="CM79" s="202">
        <v>2.4361790335088189</v>
      </c>
      <c r="CN79" s="202">
        <v>3.0004127996436369</v>
      </c>
      <c r="CO79" s="202">
        <v>2.6391859529949691</v>
      </c>
      <c r="CP79" s="202">
        <v>2.9699703065180971</v>
      </c>
      <c r="CQ79" s="202">
        <v>3.1491475262776651</v>
      </c>
      <c r="CR79" s="206">
        <v>2.7294400756945567</v>
      </c>
      <c r="CS79" s="206">
        <v>0.15217128267541469</v>
      </c>
      <c r="CT79" s="206">
        <v>2.0794007376690824</v>
      </c>
      <c r="CU79" s="206">
        <v>2.7800623443365668</v>
      </c>
      <c r="CV79" s="206">
        <v>2.7330221883650134</v>
      </c>
      <c r="CW79" s="206">
        <v>2.4127391838589713</v>
      </c>
      <c r="CX79" s="206">
        <v>2.9628924292269563</v>
      </c>
      <c r="CY79" s="206">
        <v>1.2254218876541914</v>
      </c>
      <c r="CZ79" s="206">
        <v>2.3516987820451791</v>
      </c>
      <c r="DA79" s="206">
        <v>2.0846315587747859</v>
      </c>
      <c r="DB79" s="206">
        <v>2.9471824900256562</v>
      </c>
      <c r="DC79" s="208">
        <v>3.9413151817907908</v>
      </c>
      <c r="DD79" s="208">
        <v>1.7359221897135193</v>
      </c>
      <c r="DE79" s="208">
        <v>2.5186911457388037</v>
      </c>
      <c r="DF79" s="201">
        <v>3.9030478826187966</v>
      </c>
      <c r="DG79" s="201">
        <v>2.4137167485799407</v>
      </c>
      <c r="DH79" s="201">
        <v>2.5843343808921033</v>
      </c>
      <c r="DI79" s="201">
        <v>1.8576716023089728</v>
      </c>
      <c r="DJ79" s="201">
        <v>3.5976661125686613</v>
      </c>
      <c r="DK79" s="201">
        <v>2.653893749943999</v>
      </c>
      <c r="DL79" s="201">
        <v>1.1495240657398609</v>
      </c>
      <c r="DM79" s="201">
        <v>2.9917471513864942</v>
      </c>
      <c r="DN79" s="201">
        <v>4.2976037084282748</v>
      </c>
      <c r="DO79" s="201">
        <v>0.21843677997378944</v>
      </c>
      <c r="DP79" s="201">
        <v>3.4565537543189211</v>
      </c>
      <c r="DQ79" s="201">
        <v>1.8970384341201301</v>
      </c>
      <c r="DR79" s="201">
        <v>3.1708134800560064</v>
      </c>
      <c r="DS79" s="201">
        <v>3.0710810941967828</v>
      </c>
      <c r="DT79" s="201">
        <v>3.7576899126901484</v>
      </c>
      <c r="DU79" s="201">
        <v>0.48635358298558606</v>
      </c>
      <c r="DV79" s="201">
        <v>4.269559371523207</v>
      </c>
      <c r="DW79" s="201">
        <v>2.3386506016051465</v>
      </c>
      <c r="DX79" s="201">
        <v>2.1931028817351241</v>
      </c>
      <c r="DY79" s="201">
        <v>3.8140372922240444</v>
      </c>
      <c r="DZ79" s="201">
        <v>1.1060179495612756</v>
      </c>
      <c r="EA79" s="201">
        <v>2.9858893398088027</v>
      </c>
      <c r="EB79" s="201">
        <v>1.7059173995763899</v>
      </c>
      <c r="EC79" s="201">
        <v>2.2132337632171777</v>
      </c>
      <c r="ED79" s="201">
        <v>1.8591188759652382</v>
      </c>
      <c r="EE79" s="201">
        <v>2.9657281131901558</v>
      </c>
      <c r="EF79" s="201">
        <v>3.9719253229273663</v>
      </c>
      <c r="EG79" s="201">
        <v>2.0256991465394845</v>
      </c>
      <c r="EH79" s="206">
        <v>2.1388732280666787</v>
      </c>
      <c r="EI79" s="206">
        <v>-0.84180431769021857</v>
      </c>
      <c r="EJ79" s="206">
        <v>4.99010962501211</v>
      </c>
      <c r="EK79" s="206">
        <v>2.4062910652912257</v>
      </c>
      <c r="EL79" s="206">
        <v>2.4418649027076613</v>
      </c>
      <c r="EM79" s="206">
        <v>2.3901689092873157</v>
      </c>
      <c r="EN79" s="206">
        <v>2.1726456094213313</v>
      </c>
      <c r="EO79" s="201">
        <v>2.2273426059707191</v>
      </c>
      <c r="EP79" s="201">
        <v>2.1224605917311909</v>
      </c>
      <c r="EQ79" s="201">
        <v>1.9147032592028528</v>
      </c>
      <c r="ER79" s="201">
        <v>1.7961492422147716</v>
      </c>
      <c r="ES79" s="201">
        <v>1.9470312842586248</v>
      </c>
      <c r="ET79" s="204">
        <v>1.7300933665945883</v>
      </c>
      <c r="EU79" s="204">
        <v>2.2595635636127316</v>
      </c>
      <c r="EV79" s="204">
        <v>1.949242293890951</v>
      </c>
      <c r="EW79" s="204">
        <v>3.1907271954700756</v>
      </c>
      <c r="EX79" s="204">
        <v>1.6606628116584192</v>
      </c>
      <c r="EY79" s="204">
        <v>1.6598823820254678</v>
      </c>
      <c r="EZ79" s="204">
        <v>2.5524766906504346</v>
      </c>
      <c r="FA79" s="204">
        <v>2.1658124684701026</v>
      </c>
      <c r="FB79" s="204">
        <v>3.6944687494883715</v>
      </c>
      <c r="FC79" s="204">
        <v>3.2279397027616259</v>
      </c>
      <c r="FD79" s="204">
        <v>3.2982810780247429</v>
      </c>
      <c r="FE79" s="204">
        <v>3.1225637059380533</v>
      </c>
      <c r="FF79" s="204">
        <v>1.609294811678937</v>
      </c>
      <c r="FG79" s="204">
        <v>3.7803392530818463</v>
      </c>
      <c r="FH79" s="204">
        <v>3.9734572620805744</v>
      </c>
      <c r="FI79" s="204">
        <v>3.5089675107475427</v>
      </c>
      <c r="FJ79" s="204">
        <v>4.2076156799298845</v>
      </c>
      <c r="FK79" s="204">
        <v>3.3169893539718247</v>
      </c>
      <c r="FL79" s="204">
        <v>1.1293538980215376</v>
      </c>
      <c r="FM79" s="204">
        <v>1.1023212294689189</v>
      </c>
      <c r="FN79" s="204">
        <v>-0.32413891292153069</v>
      </c>
      <c r="FO79" s="204"/>
      <c r="FP79" s="204"/>
      <c r="FU79" s="230"/>
    </row>
    <row r="80" spans="2:177" ht="12.5" x14ac:dyDescent="0.25">
      <c r="B80" s="229">
        <v>24</v>
      </c>
      <c r="C80" s="1893" t="s">
        <v>183</v>
      </c>
      <c r="D80" s="199">
        <v>24</v>
      </c>
      <c r="E80" s="205">
        <f>'SOUTH-1'!$N$453</f>
        <v>-1.0062152540964857</v>
      </c>
      <c r="F80" s="1890">
        <v>-8.0605282652291679E-2</v>
      </c>
      <c r="G80" s="1890">
        <v>1.1258395547712456</v>
      </c>
      <c r="H80" s="1890">
        <v>-5.9153085837532302E-2</v>
      </c>
      <c r="I80" s="1890">
        <v>2.3747357385558904E-2</v>
      </c>
      <c r="J80" s="1890">
        <v>0.23725707538857108</v>
      </c>
      <c r="K80" s="1890">
        <v>0.1127613348156833</v>
      </c>
      <c r="L80" s="205">
        <v>-0.66728724819313112</v>
      </c>
      <c r="M80" s="205">
        <v>0.22986861286726962</v>
      </c>
      <c r="N80" s="205">
        <v>0.1439797708811251</v>
      </c>
      <c r="O80" s="202">
        <v>7.0989026856773593E-2</v>
      </c>
      <c r="P80" s="202">
        <v>2.0708741260468108E-2</v>
      </c>
      <c r="Q80" s="202">
        <v>0</v>
      </c>
      <c r="R80" s="202">
        <v>-4.4493758527002637E-2</v>
      </c>
      <c r="S80" s="202">
        <v>-0.1837281209780168</v>
      </c>
      <c r="T80" s="202">
        <v>0.10804387064166338</v>
      </c>
      <c r="U80" s="202">
        <v>-0.28581047902438111</v>
      </c>
      <c r="V80" s="202">
        <v>0.16481591653510319</v>
      </c>
      <c r="W80" s="202">
        <v>7.2095637217462233E-2</v>
      </c>
      <c r="X80" s="202">
        <v>-0.15426537493503603</v>
      </c>
      <c r="Y80" s="202">
        <v>-0.95960784824955669</v>
      </c>
      <c r="Z80" s="202">
        <v>0.24768203376444278</v>
      </c>
      <c r="AA80" s="202">
        <v>-0.14927590200595153</v>
      </c>
      <c r="AB80" s="202">
        <v>0.19999999999999446</v>
      </c>
      <c r="AC80" s="202">
        <v>0.2</v>
      </c>
      <c r="AD80" s="202">
        <v>-0.98310592123244611</v>
      </c>
      <c r="AE80" s="202">
        <v>-0.25360680928559781</v>
      </c>
      <c r="AF80" s="202">
        <v>0.26681415323935048</v>
      </c>
      <c r="AG80" s="202">
        <v>0.14155450486981833</v>
      </c>
      <c r="AH80" s="202">
        <v>0.52479572441229405</v>
      </c>
      <c r="AI80" s="202">
        <v>0.2331213052075122</v>
      </c>
      <c r="AJ80" s="202">
        <v>0.90628893545249778</v>
      </c>
      <c r="AK80" s="202">
        <v>-0.18812492879022219</v>
      </c>
      <c r="AL80" s="202">
        <v>-0.8131653210857549</v>
      </c>
      <c r="AM80" s="202">
        <v>0.74089221662119698</v>
      </c>
      <c r="AN80" s="202">
        <v>0.46043850530922981</v>
      </c>
      <c r="AO80" s="202">
        <v>0.33042872928166955</v>
      </c>
      <c r="AP80" s="202">
        <v>0.36236650192461883</v>
      </c>
      <c r="AQ80" s="202">
        <v>0.41157844935313287</v>
      </c>
      <c r="AR80" s="202">
        <v>0.53228543497666858</v>
      </c>
      <c r="AS80" s="202">
        <v>0.17226444995125809</v>
      </c>
      <c r="AT80" s="202">
        <v>6.1277652628775069E-2</v>
      </c>
      <c r="AU80" s="202">
        <v>0.26850430687840737</v>
      </c>
      <c r="AV80" s="202">
        <v>0.30446417866885361</v>
      </c>
      <c r="AW80" s="202"/>
      <c r="AX80" s="202">
        <v>0.44116052883055806</v>
      </c>
      <c r="AY80" s="202">
        <v>0.13480854571345854</v>
      </c>
      <c r="AZ80" s="202">
        <v>0.89479306111387902</v>
      </c>
      <c r="BA80" s="202">
        <v>0.2611719336215006</v>
      </c>
      <c r="BB80" s="202">
        <v>0.63816910214352429</v>
      </c>
      <c r="BC80" s="202">
        <v>-0.37486375663239524</v>
      </c>
      <c r="BD80" s="202">
        <v>0.94891896035724788</v>
      </c>
      <c r="BE80" s="202">
        <v>0.30777543822877856</v>
      </c>
      <c r="BF80" s="202">
        <v>-0.54061443867543502</v>
      </c>
      <c r="BG80" s="202">
        <v>0.1607053123967076</v>
      </c>
      <c r="BH80" s="202">
        <v>0.14612556207001043</v>
      </c>
      <c r="BI80" s="202">
        <v>0.82381758707110753</v>
      </c>
      <c r="BJ80" s="202"/>
      <c r="BK80" s="202">
        <v>0.56617311054346775</v>
      </c>
      <c r="BL80" s="202">
        <v>-6.3484481220310183E-4</v>
      </c>
      <c r="BM80" s="202">
        <v>0.26685670049992943</v>
      </c>
      <c r="BN80" s="202">
        <v>-4.823283558489725E-2</v>
      </c>
      <c r="BO80" s="202">
        <v>0.17691760984471588</v>
      </c>
      <c r="BP80" s="202">
        <v>-0.3757387162510481</v>
      </c>
      <c r="BQ80" s="202">
        <v>-0.65099333684182903</v>
      </c>
      <c r="BR80" s="202">
        <v>0.37626121737309975</v>
      </c>
      <c r="BS80" s="202">
        <v>-0.79715586924802884</v>
      </c>
      <c r="BT80" s="202">
        <v>-0.80723835950521161</v>
      </c>
      <c r="BU80" s="202">
        <v>-0.91609081418004412</v>
      </c>
      <c r="BV80" s="202">
        <v>-0.49705092709787979</v>
      </c>
      <c r="BW80" s="202">
        <v>-0.34461196513312969</v>
      </c>
      <c r="BX80" s="202">
        <v>-0.26401837245228416</v>
      </c>
      <c r="BY80" s="202">
        <v>-3.1819552261310598E-3</v>
      </c>
      <c r="BZ80" s="202">
        <v>-4.7361783961753494E-2</v>
      </c>
      <c r="CA80" s="202">
        <v>-0.17594667619335674</v>
      </c>
      <c r="CB80" s="202">
        <v>0.14019174539994245</v>
      </c>
      <c r="CC80" s="202">
        <v>-0.12129224829172205</v>
      </c>
      <c r="CD80" s="202">
        <v>-0.70273201072976754</v>
      </c>
      <c r="CE80" s="202">
        <v>0.10000000000000414</v>
      </c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1"/>
      <c r="CS80" s="201"/>
      <c r="CT80" s="201"/>
      <c r="CU80" s="201"/>
      <c r="CV80" s="201"/>
      <c r="CW80" s="201"/>
      <c r="CX80" s="201"/>
      <c r="CY80" s="201"/>
      <c r="CZ80" s="201"/>
      <c r="DA80" s="201"/>
      <c r="DB80" s="201"/>
      <c r="DC80" s="201"/>
      <c r="DD80" s="201"/>
      <c r="DE80" s="201"/>
      <c r="DF80" s="201"/>
      <c r="DG80" s="201"/>
      <c r="DH80" s="201"/>
      <c r="DI80" s="201"/>
      <c r="DJ80" s="201"/>
      <c r="DK80" s="201"/>
      <c r="DL80" s="201"/>
      <c r="DM80" s="201"/>
      <c r="DN80" s="201"/>
      <c r="DO80" s="201"/>
      <c r="DP80" s="201"/>
      <c r="DQ80" s="201"/>
      <c r="DR80" s="201"/>
      <c r="DS80" s="201"/>
      <c r="DT80" s="201"/>
      <c r="DU80" s="201"/>
      <c r="DV80" s="201"/>
      <c r="DW80" s="201"/>
      <c r="DX80" s="201"/>
      <c r="DY80" s="201"/>
      <c r="DZ80" s="201"/>
      <c r="EA80" s="201"/>
      <c r="EB80" s="201"/>
      <c r="EC80" s="201"/>
      <c r="ED80" s="201"/>
      <c r="EE80" s="201"/>
      <c r="EF80" s="201"/>
      <c r="EG80" s="201"/>
      <c r="EH80" s="201"/>
      <c r="EI80" s="201"/>
      <c r="EJ80" s="201"/>
      <c r="EK80" s="201"/>
      <c r="EL80" s="201"/>
      <c r="EM80" s="201"/>
      <c r="EN80" s="201"/>
      <c r="EO80" s="201"/>
      <c r="EP80" s="201"/>
      <c r="EQ80" s="201"/>
      <c r="ER80" s="201"/>
      <c r="ES80" s="201"/>
      <c r="ET80" s="204"/>
      <c r="EU80" s="204"/>
      <c r="EV80" s="204"/>
      <c r="EW80" s="204"/>
      <c r="EX80" s="204"/>
      <c r="EY80" s="204"/>
      <c r="EZ80" s="204"/>
      <c r="FA80" s="204"/>
      <c r="FB80" s="204"/>
      <c r="FC80" s="204"/>
      <c r="FD80" s="204"/>
      <c r="FE80" s="204"/>
      <c r="FF80" s="204"/>
      <c r="FG80" s="204"/>
      <c r="FH80" s="204"/>
      <c r="FI80" s="204"/>
      <c r="FJ80" s="204"/>
      <c r="FK80" s="204"/>
      <c r="FL80" s="204"/>
      <c r="FM80" s="204"/>
      <c r="FN80" s="204"/>
      <c r="FO80" s="204"/>
      <c r="FP80" s="204"/>
      <c r="FU80" s="230"/>
    </row>
    <row r="81" spans="2:177" ht="13" x14ac:dyDescent="0.25">
      <c r="B81" s="229">
        <v>23</v>
      </c>
      <c r="C81" s="1961" t="s">
        <v>182</v>
      </c>
      <c r="D81" s="199">
        <v>23</v>
      </c>
      <c r="E81" s="205">
        <f>'SOUTH-1'!$N$497</f>
        <v>-100</v>
      </c>
      <c r="F81" s="1890">
        <v>0.39032504377806393</v>
      </c>
      <c r="G81" s="1890">
        <v>-5.6785364733738942E-2</v>
      </c>
      <c r="H81" s="1890">
        <v>1.3689423096393178</v>
      </c>
      <c r="I81" s="1890">
        <v>1.451701799192028</v>
      </c>
      <c r="J81" s="1890">
        <v>1.4750035143487525</v>
      </c>
      <c r="K81" s="1890">
        <v>1.9311830900925573</v>
      </c>
      <c r="L81" s="205">
        <v>1.8817846244931102</v>
      </c>
      <c r="M81" s="205">
        <v>1.3565195467292361</v>
      </c>
      <c r="N81" s="205">
        <v>0.595614148423387</v>
      </c>
      <c r="O81" s="202">
        <v>1.4863145736477943</v>
      </c>
      <c r="P81" s="202">
        <v>1.3755775287806047</v>
      </c>
      <c r="Q81" s="202">
        <v>2.008911511316033</v>
      </c>
      <c r="R81" s="202">
        <v>1.2489971144940519</v>
      </c>
      <c r="S81" s="202">
        <v>1.0317953152432149</v>
      </c>
      <c r="T81" s="202">
        <v>0.52492011458863019</v>
      </c>
      <c r="U81" s="202">
        <v>-0.80987412098680933</v>
      </c>
      <c r="V81" s="202">
        <v>2.3420102026376415</v>
      </c>
      <c r="W81" s="202">
        <v>0.90765929642440979</v>
      </c>
      <c r="X81" s="202">
        <v>1.5869179577663282</v>
      </c>
      <c r="Y81" s="202">
        <v>-0.91250759481314192</v>
      </c>
      <c r="Z81" s="202">
        <v>1.6625487838694866</v>
      </c>
      <c r="AA81" s="202">
        <v>0.33246677143353326</v>
      </c>
      <c r="AB81" s="202">
        <v>2.3449244572860071</v>
      </c>
      <c r="AC81" s="202">
        <v>2.04</v>
      </c>
      <c r="AD81" s="202">
        <v>1.9273969836824663</v>
      </c>
      <c r="AE81" s="202">
        <v>2.9714582631840369</v>
      </c>
      <c r="AF81" s="202">
        <v>-2.4945817834951538</v>
      </c>
      <c r="AG81" s="202">
        <v>1.515271287481553</v>
      </c>
      <c r="AH81" s="202">
        <v>1.1658251981350425</v>
      </c>
      <c r="AI81" s="202">
        <v>1.175927241353357</v>
      </c>
      <c r="AJ81" s="202">
        <v>1.1914902653068762</v>
      </c>
      <c r="AK81" s="202">
        <v>0.61373634432553059</v>
      </c>
      <c r="AL81" s="202">
        <v>-4.2198268249587244E-2</v>
      </c>
      <c r="AM81" s="202">
        <v>0.39387873579732979</v>
      </c>
      <c r="AN81" s="202">
        <v>0.47670898908794923</v>
      </c>
      <c r="AO81" s="202">
        <v>1.3275605761393605</v>
      </c>
      <c r="AP81" s="202">
        <v>1.4787478073815115</v>
      </c>
      <c r="AQ81" s="202">
        <v>-0.17194515105231509</v>
      </c>
      <c r="AR81" s="202">
        <v>0.86743480591152478</v>
      </c>
      <c r="AS81" s="202">
        <v>4.3326506893245753</v>
      </c>
      <c r="AT81" s="202">
        <v>1.9964834699769691</v>
      </c>
      <c r="AU81" s="202">
        <v>4.8063273427870081</v>
      </c>
      <c r="AV81" s="202">
        <v>3.974898784895684</v>
      </c>
      <c r="AW81" s="202"/>
      <c r="AX81" s="202">
        <v>1.5001928049843489</v>
      </c>
      <c r="AY81" s="202">
        <v>3.1545362510872943</v>
      </c>
      <c r="AZ81" s="202">
        <v>4.1623577572673796</v>
      </c>
      <c r="BA81" s="202">
        <v>1.279198607980524</v>
      </c>
      <c r="BB81" s="202">
        <v>1.9398083432978526</v>
      </c>
      <c r="BC81" s="202">
        <v>0.90859880646285018</v>
      </c>
      <c r="BD81" s="202">
        <v>1.1548248828541181</v>
      </c>
      <c r="BE81" s="202">
        <v>2.2674480188668018</v>
      </c>
      <c r="BF81" s="202">
        <v>0.49242984304682708</v>
      </c>
      <c r="BG81" s="202">
        <v>0.91949432217334548</v>
      </c>
      <c r="BH81" s="202">
        <v>0.90439488688823977</v>
      </c>
      <c r="BI81" s="202">
        <v>1.4911405253170429</v>
      </c>
      <c r="BJ81" s="202"/>
      <c r="BK81" s="202">
        <v>1.2393210160960351</v>
      </c>
      <c r="BL81" s="202">
        <v>0.69401358039244709</v>
      </c>
      <c r="BM81" s="202">
        <v>2.7028841559897467E-2</v>
      </c>
      <c r="BN81" s="202">
        <v>0.5385936415228707</v>
      </c>
      <c r="BO81" s="202">
        <v>-3.8949826595462742</v>
      </c>
      <c r="BP81" s="202">
        <v>-0.51578174441150193</v>
      </c>
      <c r="BQ81" s="202">
        <v>0.93097527883999631</v>
      </c>
      <c r="BR81" s="202">
        <v>-3.9363222813746925</v>
      </c>
      <c r="BS81" s="202">
        <v>2.1775182332772554</v>
      </c>
      <c r="BT81" s="202">
        <v>-0.33117009303541151</v>
      </c>
      <c r="BU81" s="202">
        <v>0.54508516719089795</v>
      </c>
      <c r="BV81" s="202">
        <v>-3.600957930482606E-2</v>
      </c>
      <c r="BW81" s="202">
        <v>0.93472961913334052</v>
      </c>
      <c r="BX81" s="202">
        <v>0.30000000000001903</v>
      </c>
      <c r="BY81" s="201">
        <v>0</v>
      </c>
      <c r="BZ81" s="201">
        <v>2.4056528859518251</v>
      </c>
      <c r="CA81" s="201">
        <v>0</v>
      </c>
      <c r="CB81" s="201">
        <v>0.34769987275784259</v>
      </c>
      <c r="CC81" s="201">
        <v>2.2833876883949178</v>
      </c>
      <c r="CD81" s="201">
        <v>-0.24574867039997708</v>
      </c>
      <c r="CE81" s="201">
        <v>2.8677966310564487</v>
      </c>
      <c r="CF81" s="201">
        <v>1.0488947474839254</v>
      </c>
      <c r="CG81" s="201">
        <v>1.8481283676809468</v>
      </c>
      <c r="CH81" s="201">
        <v>0.14688015502858498</v>
      </c>
      <c r="CI81" s="201">
        <v>1.4999999999999827</v>
      </c>
      <c r="CJ81" s="201">
        <v>1.7852897020623502</v>
      </c>
      <c r="CK81" s="202">
        <v>0.20193913095396734</v>
      </c>
      <c r="CL81" s="202">
        <v>0.2249506530109992</v>
      </c>
      <c r="CM81" s="202">
        <v>0.43749281744611074</v>
      </c>
      <c r="CN81" s="202">
        <v>0.17341280788823474</v>
      </c>
      <c r="CO81" s="202">
        <v>-7.7093754471385306E-2</v>
      </c>
      <c r="CP81" s="202">
        <v>-0.12770069261201486</v>
      </c>
      <c r="CQ81" s="202">
        <v>0.54394035615048919</v>
      </c>
      <c r="CR81" s="201">
        <v>-0.42727002244851603</v>
      </c>
      <c r="CS81" s="201">
        <v>0.33385599668680438</v>
      </c>
      <c r="CT81" s="201">
        <v>0.32875331168347932</v>
      </c>
      <c r="CU81" s="201">
        <v>-0.27935961345056987</v>
      </c>
      <c r="CV81" s="201">
        <v>2.8346252335043722</v>
      </c>
      <c r="CW81" s="201">
        <v>1.1527675302591067</v>
      </c>
      <c r="CX81" s="201">
        <v>1.2055424882856844</v>
      </c>
      <c r="CY81" s="201">
        <v>-1.3935806900388754</v>
      </c>
      <c r="CZ81" s="201">
        <v>-0.11684153596608256</v>
      </c>
      <c r="DA81" s="201">
        <v>6.1006905436825236E-2</v>
      </c>
      <c r="DB81" s="201">
        <v>0.23472892583014329</v>
      </c>
      <c r="DC81" s="201">
        <v>-4.2116426417062501E-2</v>
      </c>
      <c r="DD81" s="201">
        <v>1.2838704220183568</v>
      </c>
      <c r="DE81" s="201">
        <v>0.3523577274480047</v>
      </c>
      <c r="DF81" s="201">
        <v>0.16455895383831687</v>
      </c>
      <c r="DG81" s="201">
        <v>0.52579248471576723</v>
      </c>
      <c r="DH81" s="201">
        <v>0.83763809145782964</v>
      </c>
      <c r="DI81" s="201">
        <v>0.10115372841469426</v>
      </c>
      <c r="DJ81" s="201">
        <v>0.64593939187572436</v>
      </c>
      <c r="DK81" s="201">
        <v>0.7155882300326043</v>
      </c>
      <c r="DL81" s="201">
        <v>0.34435927966471469</v>
      </c>
      <c r="DM81" s="201">
        <v>5.8754022555973506E-2</v>
      </c>
      <c r="DN81" s="201">
        <v>-0.21965662487450985</v>
      </c>
      <c r="DO81" s="201">
        <v>1.7703715689719295</v>
      </c>
      <c r="DP81" s="202">
        <v>0.7422442316067881</v>
      </c>
      <c r="DQ81" s="202">
        <v>-0.53263403692189459</v>
      </c>
      <c r="DR81" s="202">
        <v>-0.70429061833481654</v>
      </c>
      <c r="DS81" s="201">
        <v>0.910474884531708</v>
      </c>
      <c r="DT81" s="201">
        <v>1.1766253703928573</v>
      </c>
      <c r="DU81" s="201">
        <v>0.71685052141710548</v>
      </c>
      <c r="DV81" s="201">
        <v>1.4930780326642374</v>
      </c>
      <c r="DW81" s="201">
        <v>0.94400014781896213</v>
      </c>
      <c r="DX81" s="201">
        <v>7.0671771076089657E-2</v>
      </c>
      <c r="DY81" s="201">
        <v>1.485417117477988</v>
      </c>
      <c r="DZ81" s="201">
        <v>-1.329486091666215</v>
      </c>
      <c r="EA81" s="201">
        <v>8.9202395147493396E-2</v>
      </c>
      <c r="EB81" s="201">
        <v>-1.0009811301218075E-2</v>
      </c>
      <c r="EC81" s="206">
        <v>0.20737535090152504</v>
      </c>
      <c r="ED81" s="206">
        <v>0.21218415480463676</v>
      </c>
      <c r="EE81" s="206">
        <v>-0.2995021033378571</v>
      </c>
      <c r="EF81" s="206">
        <v>0.13240061969645245</v>
      </c>
      <c r="EG81" s="206">
        <v>7.3140377094959935E-2</v>
      </c>
      <c r="EH81" s="206">
        <v>1.0534035489576787</v>
      </c>
      <c r="EI81" s="206">
        <v>-0.28655021319736429</v>
      </c>
      <c r="EJ81" s="206">
        <v>2.2663019667454707</v>
      </c>
      <c r="EK81" s="206">
        <v>1.0936597924481786E-2</v>
      </c>
      <c r="EL81" s="206">
        <v>1.7092866651868366</v>
      </c>
      <c r="EM81" s="206">
        <v>1.004805325506817</v>
      </c>
      <c r="EN81" s="201">
        <v>0.91351702276075719</v>
      </c>
      <c r="EO81" s="201">
        <v>1.5179439193904738</v>
      </c>
      <c r="EP81" s="201">
        <v>2.4806761078612536</v>
      </c>
      <c r="EQ81" s="201">
        <v>2.4329227909462579</v>
      </c>
      <c r="ER81" s="201">
        <v>-0.39149787956814897</v>
      </c>
      <c r="ES81" s="201">
        <v>1.4610476480240921</v>
      </c>
      <c r="ET81" s="204">
        <v>0.70237979219289792</v>
      </c>
      <c r="EU81" s="204">
        <v>0.66981949869219304</v>
      </c>
      <c r="EV81" s="204">
        <v>0.71565756853234574</v>
      </c>
      <c r="EW81" s="204">
        <v>0.43635871240583074</v>
      </c>
      <c r="EX81" s="204">
        <v>0.8233424353612987</v>
      </c>
      <c r="EY81" s="204">
        <v>0.64385907701082878</v>
      </c>
      <c r="EZ81" s="204">
        <v>0.68018268486570665</v>
      </c>
      <c r="FA81" s="204">
        <v>-6.5896383762975047E-2</v>
      </c>
      <c r="FB81" s="204">
        <v>0.88702978705467783</v>
      </c>
      <c r="FC81" s="204">
        <v>1.1279029999080359</v>
      </c>
      <c r="FD81" s="204">
        <v>1.1770126366694715</v>
      </c>
      <c r="FE81" s="204">
        <v>1.0521621711397711</v>
      </c>
      <c r="FF81" s="204">
        <v>0.47153574290844785</v>
      </c>
      <c r="FG81" s="204">
        <v>0.54384617572602867</v>
      </c>
      <c r="FH81" s="204">
        <v>0.49885679966860058</v>
      </c>
      <c r="FI81" s="204">
        <v>0.7555823948188557</v>
      </c>
      <c r="FJ81" s="204">
        <v>0.70664720108958046</v>
      </c>
      <c r="FK81" s="204">
        <v>0.7166938488081549</v>
      </c>
      <c r="FL81" s="204">
        <v>0.74802926931825553</v>
      </c>
      <c r="FM81" s="204">
        <v>0.53618060796078382</v>
      </c>
      <c r="FN81" s="204">
        <v>1.0045676264627796</v>
      </c>
      <c r="FO81" s="204">
        <v>8.7188248482252089</v>
      </c>
      <c r="FP81" s="204">
        <v>-5.2410114767649407</v>
      </c>
      <c r="FU81" s="230"/>
    </row>
    <row r="82" spans="2:177" ht="12.5" x14ac:dyDescent="0.25">
      <c r="B82" s="229">
        <v>25</v>
      </c>
      <c r="C82" s="1912" t="s">
        <v>184</v>
      </c>
      <c r="D82" s="199">
        <v>25</v>
      </c>
      <c r="E82" s="205">
        <f>'SOUTH-1'!$N$265</f>
        <v>0.77632644695213138</v>
      </c>
      <c r="F82" s="1890">
        <v>0.28637234936172734</v>
      </c>
      <c r="G82" s="1890">
        <v>0.24329912468071882</v>
      </c>
      <c r="H82" s="1890">
        <v>0.8428977736381339</v>
      </c>
      <c r="I82" s="1890">
        <v>0.98439407437883752</v>
      </c>
      <c r="J82" s="1890">
        <v>0.83657979401100035</v>
      </c>
      <c r="K82" s="1890">
        <v>1.1868301265510792</v>
      </c>
      <c r="L82" s="205">
        <v>1.6013336575529891</v>
      </c>
      <c r="M82" s="205">
        <v>0.28882484467753916</v>
      </c>
      <c r="N82" s="205">
        <v>2.3780037037282482</v>
      </c>
      <c r="O82" s="202">
        <v>1.2251353572071502</v>
      </c>
      <c r="P82" s="202">
        <v>0.97767776713788923</v>
      </c>
      <c r="Q82" s="202">
        <v>1.4940607056748014</v>
      </c>
      <c r="R82" s="202">
        <v>1.134063757761899</v>
      </c>
      <c r="S82" s="202">
        <v>2.0237810759623156</v>
      </c>
      <c r="T82" s="202">
        <v>-0.32872110670179266</v>
      </c>
      <c r="U82" s="202">
        <v>2.482058783059534</v>
      </c>
      <c r="V82" s="202">
        <v>1.1040749078629741</v>
      </c>
      <c r="W82" s="202">
        <v>0.41015407520698344</v>
      </c>
      <c r="X82" s="202">
        <v>1.8499252439603708</v>
      </c>
      <c r="Y82" s="202">
        <v>0.76032950305719338</v>
      </c>
      <c r="Z82" s="202">
        <v>1.1764355362246941</v>
      </c>
      <c r="AA82" s="202">
        <v>1.6375503781956691</v>
      </c>
      <c r="AB82" s="202">
        <v>1.7995113463454968</v>
      </c>
      <c r="AC82" s="202">
        <v>1.75</v>
      </c>
      <c r="AD82" s="202">
        <v>-0.13405681917312484</v>
      </c>
      <c r="AE82" s="202">
        <v>1.1205888119546725</v>
      </c>
      <c r="AF82" s="202">
        <v>0.71489650116788395</v>
      </c>
      <c r="AG82" s="202">
        <v>1.4828360856616318</v>
      </c>
      <c r="AH82" s="202">
        <v>1.3575783354154678</v>
      </c>
      <c r="AI82" s="202">
        <v>0.40695752109296485</v>
      </c>
      <c r="AJ82" s="202">
        <v>2.3078248483704829</v>
      </c>
      <c r="AK82" s="202">
        <v>0.94373397825600402</v>
      </c>
      <c r="AL82" s="202">
        <v>0.47124340675787679</v>
      </c>
      <c r="AM82" s="202">
        <v>1.677646394612881</v>
      </c>
      <c r="AN82" s="202">
        <v>0.1152032299716241</v>
      </c>
      <c r="AO82" s="202">
        <v>1.0689345476536489</v>
      </c>
      <c r="AP82" s="202">
        <v>0.96754558002393254</v>
      </c>
      <c r="AQ82" s="202">
        <v>0.80793617878847035</v>
      </c>
      <c r="AR82" s="202">
        <v>1.9094102686892236</v>
      </c>
      <c r="AS82" s="202">
        <v>1.9391081297799719</v>
      </c>
      <c r="AT82" s="202">
        <v>1.7404511757166115</v>
      </c>
      <c r="AU82" s="202">
        <v>1.4758599116770457</v>
      </c>
      <c r="AV82" s="202">
        <v>1.7456905246210064</v>
      </c>
      <c r="AW82" s="202"/>
      <c r="AX82" s="202">
        <v>1.6484859085907526</v>
      </c>
      <c r="AY82" s="202">
        <v>2.0009254916915187</v>
      </c>
      <c r="AZ82" s="202">
        <v>1.8534417089325861</v>
      </c>
      <c r="BA82" s="202">
        <v>1.6181938364227013</v>
      </c>
      <c r="BB82" s="202">
        <v>0.26432107016152306</v>
      </c>
      <c r="BC82" s="202">
        <v>0.86109140497665704</v>
      </c>
      <c r="BD82" s="202">
        <v>1.9540603942385579</v>
      </c>
      <c r="BE82" s="202">
        <v>1.9193810135957026</v>
      </c>
      <c r="BF82" s="202">
        <v>1.1691775023169357</v>
      </c>
      <c r="BG82" s="202">
        <v>1.4699470720881447</v>
      </c>
      <c r="BH82" s="202">
        <v>0.46738373357100382</v>
      </c>
      <c r="BI82" s="202">
        <v>2.4989057676690125</v>
      </c>
      <c r="BJ82" s="202"/>
      <c r="BK82" s="202">
        <v>1.8220846454916475</v>
      </c>
      <c r="BL82" s="202">
        <v>0.53425002282918987</v>
      </c>
      <c r="BM82" s="202">
        <v>0.36466757046984216</v>
      </c>
      <c r="BN82" s="202">
        <v>2.1145980832144242</v>
      </c>
      <c r="BO82" s="202">
        <v>0.63126296059593801</v>
      </c>
      <c r="BP82" s="202">
        <v>0.74699890670811964</v>
      </c>
      <c r="BQ82" s="202">
        <v>1.4394828857977628</v>
      </c>
      <c r="BR82" s="202">
        <v>1.0078312056480407</v>
      </c>
      <c r="BS82" s="202">
        <v>0.92426047099683684</v>
      </c>
      <c r="BT82" s="202">
        <v>1.3050044231288671</v>
      </c>
      <c r="BU82" s="202">
        <v>0.40107822263224668</v>
      </c>
      <c r="BV82" s="202">
        <v>0.75406588450735135</v>
      </c>
      <c r="BW82" s="202">
        <v>0.87020014397470258</v>
      </c>
      <c r="BX82" s="202">
        <v>0.60340082491346458</v>
      </c>
      <c r="BY82" s="202">
        <v>1.2722106510091411</v>
      </c>
      <c r="BZ82" s="202">
        <v>0.94915528293942797</v>
      </c>
      <c r="CA82" s="202">
        <v>0.68417455112182768</v>
      </c>
      <c r="CB82" s="202">
        <v>0.68846799944058978</v>
      </c>
      <c r="CC82" s="202">
        <v>0.8393366843401816</v>
      </c>
      <c r="CD82" s="202">
        <v>-1.912751898894775E-2</v>
      </c>
      <c r="CE82" s="202">
        <v>2.3356232083567696</v>
      </c>
      <c r="CF82" s="202">
        <v>1.0212539230089344</v>
      </c>
      <c r="CG82" s="202">
        <v>1.6265360598511125</v>
      </c>
      <c r="CH82" s="202">
        <v>0.66003942889715583</v>
      </c>
      <c r="CI82" s="202">
        <v>-0.72617415512491845</v>
      </c>
      <c r="CJ82" s="202">
        <v>0.99952481271943228</v>
      </c>
      <c r="CK82" s="202">
        <v>0.77676609537142549</v>
      </c>
      <c r="CL82" s="202">
        <v>1.8246189102126098</v>
      </c>
      <c r="CM82" s="202">
        <v>0.12632549274301186</v>
      </c>
      <c r="CN82" s="202">
        <v>0.18363088034101432</v>
      </c>
      <c r="CO82" s="202">
        <v>0.83573038763035712</v>
      </c>
      <c r="CP82" s="202">
        <v>1.0495344105855782</v>
      </c>
      <c r="CQ82" s="202">
        <v>0.65182225068496691</v>
      </c>
      <c r="CR82" s="201">
        <v>1.555952123826444</v>
      </c>
      <c r="CS82" s="201">
        <v>1.3706405386887102</v>
      </c>
      <c r="CT82" s="201">
        <v>2.9427225024472374</v>
      </c>
      <c r="CU82" s="201">
        <v>0.41018819863600575</v>
      </c>
      <c r="CV82" s="201">
        <v>2.0573089269433988</v>
      </c>
      <c r="CW82" s="201">
        <v>0.48746498195494992</v>
      </c>
      <c r="CX82" s="201">
        <v>2.1626701605372842</v>
      </c>
      <c r="CY82" s="201">
        <v>-0.36369044718612409</v>
      </c>
      <c r="CZ82" s="201">
        <v>0.84975338927152866</v>
      </c>
      <c r="DA82" s="201">
        <v>1.5698077138887749</v>
      </c>
      <c r="DB82" s="201">
        <v>1.3685576302088944</v>
      </c>
      <c r="DC82" s="201">
        <v>1.5759163995126133</v>
      </c>
      <c r="DD82" s="201">
        <v>0.61263093181116535</v>
      </c>
      <c r="DE82" s="201">
        <v>1.7954906368191783</v>
      </c>
      <c r="DF82" s="201">
        <v>2.0713447633421925E-2</v>
      </c>
      <c r="DG82" s="201">
        <v>0.41777619832319823</v>
      </c>
      <c r="DH82" s="201">
        <v>-0.59692708013235685</v>
      </c>
      <c r="DI82" s="201">
        <v>0.25445912563213402</v>
      </c>
      <c r="DJ82" s="201">
        <v>0.80961293871099138</v>
      </c>
      <c r="DK82" s="201">
        <v>-0.32997562847283174</v>
      </c>
      <c r="DL82" s="201">
        <v>1.3128772246939071</v>
      </c>
      <c r="DM82" s="201">
        <v>1.331041657280251</v>
      </c>
      <c r="DN82" s="201">
        <v>0.89642043131414051</v>
      </c>
      <c r="DO82" s="201">
        <v>0.59189062577802476</v>
      </c>
      <c r="DP82" s="201">
        <v>2.2166664364935618</v>
      </c>
      <c r="DQ82" s="201">
        <v>1.4094500850128164</v>
      </c>
      <c r="DR82" s="201">
        <v>1.1135064840193005</v>
      </c>
      <c r="DS82" s="201">
        <v>2.5797413128203744E-2</v>
      </c>
      <c r="DT82" s="201">
        <v>2.3710820898045305E-2</v>
      </c>
      <c r="DU82" s="201">
        <v>0.59732939279840525</v>
      </c>
      <c r="DV82" s="201">
        <v>0.89811517837798116</v>
      </c>
      <c r="DW82" s="201">
        <v>1.1856851571653502</v>
      </c>
      <c r="DX82" s="201">
        <v>-0.25528495156534714</v>
      </c>
      <c r="DY82" s="201">
        <v>2.7806150885775276</v>
      </c>
      <c r="DZ82" s="201">
        <v>-1.0807484361448425</v>
      </c>
      <c r="EA82" s="201">
        <v>1.6217048112058552</v>
      </c>
      <c r="EB82" s="201">
        <v>-1.4028616658737092</v>
      </c>
      <c r="EC82" s="201">
        <v>2.2167801737505437</v>
      </c>
      <c r="ED82" s="201">
        <v>-0.59884667984989282</v>
      </c>
      <c r="EE82" s="203">
        <v>2.0447131348943959</v>
      </c>
      <c r="EF82" s="201">
        <v>1.7205885519087385</v>
      </c>
      <c r="EG82" s="201">
        <v>1.0451764314881464</v>
      </c>
      <c r="EH82" s="201">
        <v>1.1094768506871886</v>
      </c>
      <c r="EI82" s="201">
        <v>0.72482230485926491</v>
      </c>
      <c r="EJ82" s="201">
        <v>1.0786593146635957</v>
      </c>
      <c r="EK82" s="201">
        <v>0.95961112441279683</v>
      </c>
      <c r="EL82" s="201">
        <v>1.0501458514356525</v>
      </c>
      <c r="EM82" s="201">
        <v>1.4198750035090815</v>
      </c>
      <c r="EN82" s="201">
        <v>1.4583307374825125</v>
      </c>
      <c r="EO82" s="201">
        <v>1.6409700662196054</v>
      </c>
      <c r="EP82" s="201">
        <v>0.1782123975798254</v>
      </c>
      <c r="EQ82" s="201">
        <v>0.91489123509296433</v>
      </c>
      <c r="ER82" s="201">
        <v>0.86387796301768305</v>
      </c>
      <c r="ES82" s="201">
        <v>0.96567683084224465</v>
      </c>
      <c r="ET82" s="204">
        <v>0.90921476355967901</v>
      </c>
      <c r="EU82" s="204">
        <v>1.5221181695109682</v>
      </c>
      <c r="EV82" s="204">
        <v>1.3152897908820949</v>
      </c>
      <c r="EW82" s="204">
        <v>2.0531127450842916</v>
      </c>
      <c r="EX82" s="204">
        <v>2.1926711044340137</v>
      </c>
      <c r="EY82" s="204">
        <v>1.8217309732702054</v>
      </c>
      <c r="EZ82" s="204">
        <v>2.0569992981506644</v>
      </c>
      <c r="FA82" s="204">
        <v>1.799462215131568</v>
      </c>
      <c r="FB82" s="204">
        <v>1.8246638357244258</v>
      </c>
      <c r="FC82" s="204">
        <v>-7.6113792338393493E-2</v>
      </c>
      <c r="FD82" s="204">
        <v>0.63764112539693518</v>
      </c>
      <c r="FE82" s="204">
        <v>0.1743863422305014</v>
      </c>
      <c r="FF82" s="204">
        <v>0.91581453424852033</v>
      </c>
      <c r="FG82" s="204">
        <v>2.5167464077896473</v>
      </c>
      <c r="FH82" s="204">
        <v>2.1655213408287044</v>
      </c>
      <c r="FI82" s="204">
        <v>1.4511584236535058</v>
      </c>
      <c r="FJ82" s="204">
        <v>0.4683020608926729</v>
      </c>
      <c r="FK82" s="204">
        <v>7.9747935450958138</v>
      </c>
      <c r="FL82" s="204">
        <v>2.1809245584841612</v>
      </c>
      <c r="FM82" s="204">
        <v>1.3493492984385029</v>
      </c>
      <c r="FN82" s="204">
        <v>8.7188248482252089</v>
      </c>
      <c r="FO82" s="218"/>
      <c r="FP82" s="218"/>
      <c r="FU82" s="230"/>
    </row>
    <row r="83" spans="2:177" ht="12.5" x14ac:dyDescent="0.25">
      <c r="B83" s="229">
        <v>27</v>
      </c>
      <c r="C83" s="1983" t="s">
        <v>186</v>
      </c>
      <c r="D83" s="199">
        <v>27</v>
      </c>
      <c r="E83" s="205">
        <f>'SOUTH-2'!$N$1531</f>
        <v>-100</v>
      </c>
      <c r="F83" s="1890">
        <v>0.69375608694663704</v>
      </c>
      <c r="G83" s="1890">
        <v>0.98341145743341318</v>
      </c>
      <c r="H83" s="1890">
        <v>1.0824696948200856</v>
      </c>
      <c r="I83" s="1890">
        <v>0.66189893735504612</v>
      </c>
      <c r="J83" s="1890">
        <v>1.1641984426150651</v>
      </c>
      <c r="K83" s="1890">
        <v>1.0576592943612946</v>
      </c>
      <c r="L83" s="205">
        <v>1.4044272282315005</v>
      </c>
      <c r="M83" s="205">
        <v>1.1160340613678668E-2</v>
      </c>
      <c r="N83" s="205">
        <v>0.6281759817569128</v>
      </c>
      <c r="O83" s="202">
        <v>0.19282939227310947</v>
      </c>
      <c r="P83" s="202">
        <v>0.85259455054995592</v>
      </c>
      <c r="Q83" s="202">
        <v>0.19217192170602596</v>
      </c>
      <c r="R83" s="202">
        <v>6.3244303975502583E-2</v>
      </c>
      <c r="S83" s="202">
        <v>-1.9801405008740003E-2</v>
      </c>
      <c r="T83" s="202">
        <v>0.33791497260733949</v>
      </c>
      <c r="U83" s="202">
        <v>0.45297919715472029</v>
      </c>
      <c r="V83" s="202">
        <v>0.25958432865082642</v>
      </c>
      <c r="W83" s="202">
        <v>1.6179864820802021</v>
      </c>
      <c r="X83" s="202">
        <v>0.48556522565117288</v>
      </c>
      <c r="Y83" s="202">
        <v>0.57826027622752652</v>
      </c>
      <c r="Z83" s="202">
        <v>1.2004506999586371</v>
      </c>
      <c r="AA83" s="202">
        <v>0.10166734537210341</v>
      </c>
      <c r="AB83" s="202">
        <v>1.0408295317459242</v>
      </c>
      <c r="AC83" s="202">
        <v>0.89</v>
      </c>
      <c r="AD83" s="202">
        <v>0.97998973590332672</v>
      </c>
      <c r="AE83" s="202">
        <v>0.75279973956677948</v>
      </c>
      <c r="AF83" s="202">
        <v>-3.355692190001773E-2</v>
      </c>
      <c r="AG83" s="202">
        <v>0.5054372262873118</v>
      </c>
      <c r="AH83" s="202">
        <v>0.58455210674104108</v>
      </c>
      <c r="AI83" s="202">
        <v>0.57716352495590073</v>
      </c>
      <c r="AJ83" s="202">
        <v>1.0178724397602288</v>
      </c>
      <c r="AK83" s="202">
        <v>-0.45657973615132108</v>
      </c>
      <c r="AL83" s="202">
        <v>0.78231346263934398</v>
      </c>
      <c r="AM83" s="202">
        <v>0.28792600229996679</v>
      </c>
      <c r="AN83" s="202">
        <v>0.38781606877403874</v>
      </c>
      <c r="AO83" s="202">
        <v>0.47692736535961799</v>
      </c>
      <c r="AP83" s="202">
        <v>-0.17932754085417585</v>
      </c>
      <c r="AQ83" s="202">
        <v>0.91650352547046532</v>
      </c>
      <c r="AR83" s="202">
        <v>0.68454195839893339</v>
      </c>
      <c r="AS83" s="202">
        <v>1.2546030159478228</v>
      </c>
      <c r="AT83" s="202">
        <v>2.8400055602894541</v>
      </c>
      <c r="AU83" s="202">
        <v>2.5330240952475136</v>
      </c>
      <c r="AV83" s="202">
        <v>3.4941715450368949</v>
      </c>
      <c r="AW83" s="202"/>
      <c r="AX83" s="202">
        <v>1.1648165791494491</v>
      </c>
      <c r="AY83" s="202">
        <v>1.8884996666034031</v>
      </c>
      <c r="AZ83" s="202">
        <v>1.242685221351324</v>
      </c>
      <c r="BA83" s="202">
        <v>1.7500519558718151</v>
      </c>
      <c r="BB83" s="202">
        <v>1.1067169374354682</v>
      </c>
      <c r="BC83" s="202">
        <v>0.74492030473281545</v>
      </c>
      <c r="BD83" s="202">
        <v>0.65696577167405312</v>
      </c>
      <c r="BE83" s="202">
        <v>1.2461363028464314</v>
      </c>
      <c r="BF83" s="202">
        <v>0.61314668521643867</v>
      </c>
      <c r="BG83" s="202">
        <v>0.45932797597938696</v>
      </c>
      <c r="BH83" s="202">
        <v>4.0046537050751903E-2</v>
      </c>
      <c r="BI83" s="202">
        <v>0.36855281350826441</v>
      </c>
      <c r="BJ83" s="202"/>
      <c r="BK83" s="202">
        <v>-4.8177759130458894E-2</v>
      </c>
      <c r="BL83" s="202">
        <v>0.21495657286215258</v>
      </c>
      <c r="BM83" s="202">
        <v>0.45296508737412944</v>
      </c>
      <c r="BN83" s="202">
        <v>0.191059527036613</v>
      </c>
      <c r="BO83" s="202">
        <v>-1.9034605790634012</v>
      </c>
      <c r="BP83" s="202">
        <v>0.80352429568254136</v>
      </c>
      <c r="BQ83" s="202">
        <v>1.2390197616523313</v>
      </c>
      <c r="BR83" s="202">
        <v>0.66100317922340868</v>
      </c>
      <c r="BS83" s="202">
        <v>1.5396596645300866</v>
      </c>
      <c r="BT83" s="202">
        <v>0.16959477934100275</v>
      </c>
      <c r="BU83" s="202">
        <v>-0.52477356063644731</v>
      </c>
      <c r="BV83" s="202">
        <v>2.7261566943109776</v>
      </c>
      <c r="BW83" s="202">
        <v>0.3623200766363241</v>
      </c>
      <c r="BX83" s="202">
        <v>0.43504557588570031</v>
      </c>
      <c r="BY83" s="202">
        <v>0.94921958133564066</v>
      </c>
      <c r="BZ83" s="202">
        <v>1.4867307380646535</v>
      </c>
      <c r="CA83" s="202">
        <v>0</v>
      </c>
      <c r="CB83" s="202">
        <v>0.68846741537555955</v>
      </c>
      <c r="CC83" s="202">
        <v>1.0773123444220525</v>
      </c>
      <c r="CD83" s="202">
        <v>1.8876708277515988</v>
      </c>
      <c r="CE83" s="202">
        <v>2.5839878698760259</v>
      </c>
      <c r="CF83" s="202">
        <v>1.9239618216695584</v>
      </c>
      <c r="CG83" s="202">
        <v>1.7988282370323043</v>
      </c>
      <c r="CH83" s="202">
        <v>-0.29016440205767968</v>
      </c>
      <c r="CI83" s="202">
        <v>-0.70202932189719391</v>
      </c>
      <c r="CJ83" s="202">
        <v>0.80054668811156793</v>
      </c>
      <c r="CK83" s="202">
        <v>1.3353923751062222</v>
      </c>
      <c r="CL83" s="202">
        <v>-0.13728955735733941</v>
      </c>
      <c r="CM83" s="202">
        <v>-6.5217472461738854E-2</v>
      </c>
      <c r="CN83" s="202">
        <v>-0.52143199371966742</v>
      </c>
      <c r="CO83" s="202">
        <v>0.56126641516407327</v>
      </c>
      <c r="CP83" s="202">
        <v>-0.55475677517406663</v>
      </c>
      <c r="CQ83" s="202">
        <v>0.4323844882408015</v>
      </c>
      <c r="CR83" s="203">
        <v>0.22433557409614005</v>
      </c>
      <c r="CS83" s="203">
        <v>-8.2757952232889037E-3</v>
      </c>
      <c r="CT83" s="203">
        <v>-0.3054891716593533</v>
      </c>
      <c r="CU83" s="203">
        <v>-5.233971229911806E-2</v>
      </c>
      <c r="CV83" s="203">
        <v>-0.78724536457683159</v>
      </c>
      <c r="CW83" s="203">
        <v>-1.3431706867130284</v>
      </c>
      <c r="CX83" s="203">
        <v>-2.7567104820734406E-2</v>
      </c>
      <c r="CY83" s="203">
        <v>-0.40538186793516562</v>
      </c>
      <c r="CZ83" s="203">
        <v>-0.35421046261361028</v>
      </c>
      <c r="DA83" s="203">
        <v>2.8945468773034553</v>
      </c>
      <c r="DB83" s="201">
        <v>-0.20422669582761099</v>
      </c>
      <c r="DC83" s="201">
        <v>0.16462705748666115</v>
      </c>
      <c r="DD83" s="201">
        <v>2.1657941109799879</v>
      </c>
      <c r="DE83" s="201">
        <v>0.19772273143978716</v>
      </c>
      <c r="DF83" s="201">
        <v>0</v>
      </c>
      <c r="DG83" s="201">
        <v>0.65115080609725573</v>
      </c>
      <c r="DH83" s="201">
        <v>-1.0382867198158501</v>
      </c>
      <c r="DI83" s="237">
        <v>-0.25347789494431139</v>
      </c>
      <c r="DJ83" s="237">
        <v>-0.1696863520050578</v>
      </c>
      <c r="DK83" s="237">
        <v>-4.3543388692099304E-2</v>
      </c>
      <c r="DL83" s="237">
        <v>-6.6715676044664191E-2</v>
      </c>
      <c r="DM83" s="237">
        <v>-0.13647201498570247</v>
      </c>
      <c r="DN83" s="210">
        <v>-4.600310463494451E-2</v>
      </c>
      <c r="DO83" s="210">
        <v>0.12488091831225714</v>
      </c>
      <c r="DP83" s="180"/>
    </row>
    <row r="84" spans="2:177" ht="13" x14ac:dyDescent="0.25">
      <c r="B84" s="229">
        <v>28</v>
      </c>
      <c r="C84" s="1983" t="s">
        <v>231</v>
      </c>
      <c r="D84" s="199">
        <v>28</v>
      </c>
      <c r="E84" s="205">
        <f>'SOUTH-2'!$N$187</f>
        <v>-100</v>
      </c>
      <c r="F84" s="1890">
        <v>2.4001334059066615</v>
      </c>
      <c r="G84" s="1890">
        <v>-0.91892493025622013</v>
      </c>
      <c r="H84" s="1890">
        <v>1.1114652365906637</v>
      </c>
      <c r="I84" s="1890">
        <v>1.4740028780695856E-2</v>
      </c>
      <c r="J84" s="1890">
        <v>0.95817762838796317</v>
      </c>
      <c r="K84" s="1890">
        <v>2.1702993662863976</v>
      </c>
      <c r="L84" s="205">
        <v>1.7381793111849624</v>
      </c>
      <c r="M84" s="205">
        <v>0.74848738664987846</v>
      </c>
      <c r="N84" s="205">
        <v>2.0874731933808075</v>
      </c>
      <c r="O84" s="202">
        <v>0.42843711004665758</v>
      </c>
      <c r="P84" s="202">
        <v>0.62805805124597025</v>
      </c>
      <c r="Q84" s="202">
        <v>2.0405153285562894</v>
      </c>
      <c r="R84" s="202">
        <v>2.491268006749507</v>
      </c>
      <c r="S84" s="202">
        <v>3.4641909277197671</v>
      </c>
      <c r="T84" s="202">
        <v>2.4816029509849011</v>
      </c>
      <c r="U84" s="202">
        <v>1.4507708293402384</v>
      </c>
      <c r="V84" s="202">
        <v>0.47545080264273121</v>
      </c>
      <c r="W84" s="202">
        <v>2.9301277965487338</v>
      </c>
      <c r="X84" s="202">
        <v>2.5211696632864515</v>
      </c>
      <c r="Y84" s="202">
        <v>2.0009998473329542</v>
      </c>
      <c r="Z84" s="202">
        <v>3.4424352292867515</v>
      </c>
      <c r="AA84" s="202">
        <v>5.1621443883522788</v>
      </c>
      <c r="AB84" s="202">
        <v>2.0436180111420135</v>
      </c>
      <c r="AC84" s="202">
        <v>3.65</v>
      </c>
      <c r="AD84" s="202">
        <v>2.1997489992487123</v>
      </c>
      <c r="AE84" s="202">
        <v>0.11642309799842163</v>
      </c>
      <c r="AF84" s="202">
        <v>0.49473634872757943</v>
      </c>
      <c r="AG84" s="202">
        <v>2.1557399751699622</v>
      </c>
      <c r="AH84" s="202">
        <v>1.0892074742204627</v>
      </c>
      <c r="AI84" s="202">
        <v>-0.92586807316471509</v>
      </c>
      <c r="AJ84" s="202">
        <v>1.719788518680663</v>
      </c>
      <c r="AK84" s="202">
        <v>2.7447828417157498</v>
      </c>
      <c r="AL84" s="202">
        <v>1.2445988539116206</v>
      </c>
      <c r="AM84" s="202">
        <v>-0.39262239549846289</v>
      </c>
      <c r="AN84" s="202">
        <v>1.984635151613219</v>
      </c>
      <c r="AO84" s="202">
        <v>0.3301456340395339</v>
      </c>
      <c r="AP84" s="202">
        <v>2.3785576787403664</v>
      </c>
      <c r="AQ84" s="202">
        <v>1.4629305179557568</v>
      </c>
      <c r="AR84" s="202">
        <v>0.9765201868106711</v>
      </c>
      <c r="AS84" s="202">
        <v>3.726906450919456</v>
      </c>
      <c r="AT84" s="202">
        <v>5.6225924043248865</v>
      </c>
      <c r="AU84" s="202">
        <v>4.4039504065976782</v>
      </c>
      <c r="AV84" s="202">
        <v>1.526464045464917</v>
      </c>
      <c r="AW84" s="202"/>
      <c r="AX84" s="202">
        <v>2.6436638536612778</v>
      </c>
      <c r="AY84" s="202">
        <v>1.2388441525983092</v>
      </c>
      <c r="AZ84" s="202">
        <v>2.6420506796818723</v>
      </c>
      <c r="BA84" s="202">
        <v>5.172302169682041</v>
      </c>
      <c r="BB84" s="202">
        <v>2.8757526878546824</v>
      </c>
      <c r="BC84" s="202">
        <v>2.154254690905848</v>
      </c>
      <c r="BD84" s="202">
        <v>1.90333183085032</v>
      </c>
      <c r="BE84" s="202">
        <v>3.0678237579252143</v>
      </c>
      <c r="BF84" s="202">
        <v>1.8929080838192609</v>
      </c>
      <c r="BG84" s="202">
        <v>1.2036503116940114</v>
      </c>
      <c r="BH84" s="202">
        <v>0.36412639764285587</v>
      </c>
      <c r="BI84" s="202">
        <v>-9.3155118834538225E-2</v>
      </c>
      <c r="BJ84" s="202"/>
      <c r="BK84" s="202">
        <v>0.94487173309899375</v>
      </c>
      <c r="BL84" s="202">
        <v>2.279009110169806</v>
      </c>
      <c r="BM84" s="202">
        <v>-0.57602172006791241</v>
      </c>
      <c r="BN84" s="202">
        <v>1.6704103886638233</v>
      </c>
      <c r="BO84" s="202">
        <v>-5.1461160691050674E-2</v>
      </c>
      <c r="BP84" s="202">
        <v>0.25752927361113204</v>
      </c>
      <c r="BQ84" s="202">
        <v>4.9505725610993312E-2</v>
      </c>
      <c r="BR84" s="202">
        <v>-0.3611665401530828</v>
      </c>
      <c r="BS84" s="202">
        <v>-1.6191532308403349</v>
      </c>
      <c r="BT84" s="202">
        <v>-3.7470835270327649</v>
      </c>
      <c r="BU84" s="202">
        <v>-3.9044974921432773</v>
      </c>
      <c r="BV84" s="202">
        <v>1.3809670648108046</v>
      </c>
      <c r="BW84" s="202">
        <v>5.2471610616027009</v>
      </c>
      <c r="BX84" s="202">
        <v>0.46367325875177751</v>
      </c>
      <c r="BY84" s="202">
        <v>-0.71795231734035891</v>
      </c>
      <c r="BZ84" s="202">
        <v>-0.56187708140588921</v>
      </c>
      <c r="CA84" s="202">
        <v>1.1503124448768767</v>
      </c>
      <c r="CB84" s="202">
        <v>0.97991276448664411</v>
      </c>
      <c r="CC84" s="202">
        <v>0.36292253716453543</v>
      </c>
      <c r="CD84" s="202">
        <v>0.32656619149078836</v>
      </c>
      <c r="CE84" s="202">
        <v>0.10851894216153718</v>
      </c>
      <c r="CF84" s="202">
        <v>0.83200865752127329</v>
      </c>
      <c r="CG84" s="202">
        <v>0.2347678721312938</v>
      </c>
      <c r="CH84" s="202">
        <v>-4.713354037436309</v>
      </c>
      <c r="CI84" s="202">
        <v>-0.71769699358781502</v>
      </c>
      <c r="CJ84" s="202">
        <v>-0.56323727935782841</v>
      </c>
      <c r="CK84" s="202">
        <v>0.24652397864670045</v>
      </c>
      <c r="CL84" s="202">
        <v>-5.4827716720773072</v>
      </c>
      <c r="CM84" s="202">
        <v>2.3151137741146974</v>
      </c>
      <c r="CN84" s="202">
        <v>1.6226946078211273</v>
      </c>
      <c r="CO84" s="202">
        <v>-1.6392039660017128</v>
      </c>
      <c r="CP84" s="207">
        <v>2.0068951867842451</v>
      </c>
      <c r="CQ84" s="202">
        <v>-4.7304564206271674E-2</v>
      </c>
      <c r="CR84" s="206">
        <v>-9.4598792949051203E-3</v>
      </c>
      <c r="CS84" s="206">
        <v>-0.60193376546486455</v>
      </c>
      <c r="CT84" s="206">
        <v>-1.0794091448932284</v>
      </c>
      <c r="CU84" s="206">
        <v>-3.6228755312118608</v>
      </c>
      <c r="CV84" s="206">
        <v>0</v>
      </c>
      <c r="CW84" s="206">
        <v>1.0325114762187486</v>
      </c>
      <c r="CX84" s="206">
        <v>0.49999999999997258</v>
      </c>
      <c r="CY84" s="206">
        <v>0</v>
      </c>
      <c r="CZ84" s="206">
        <v>0</v>
      </c>
      <c r="DA84" s="206">
        <v>2.4520923005351243</v>
      </c>
      <c r="DB84" s="206">
        <v>1.6671072677509797E-2</v>
      </c>
      <c r="DC84" s="208">
        <v>0.11870180260338213</v>
      </c>
      <c r="DD84" s="208">
        <v>2.6752851004231566</v>
      </c>
      <c r="DE84" s="208">
        <v>1.4248395592831067</v>
      </c>
      <c r="DF84" s="201">
        <v>-0.15373292319589693</v>
      </c>
      <c r="DG84" s="201">
        <v>1.8580007754059262</v>
      </c>
      <c r="DH84" s="201">
        <v>-3.7401357483977367</v>
      </c>
      <c r="DI84" s="237">
        <v>0.22225404211191394</v>
      </c>
      <c r="DJ84" s="237">
        <v>0.12599451388469707</v>
      </c>
      <c r="DK84" s="237">
        <v>0.63661556357617188</v>
      </c>
      <c r="DL84" s="237">
        <v>0</v>
      </c>
      <c r="DM84" s="237">
        <v>0.45874259305723492</v>
      </c>
      <c r="DN84" s="210">
        <v>-0.50135471410863919</v>
      </c>
      <c r="DO84" s="238">
        <v>-4.7997317480759785</v>
      </c>
      <c r="DP84" s="180"/>
    </row>
    <row r="85" spans="2:177" ht="12.5" x14ac:dyDescent="0.25">
      <c r="B85" s="229">
        <v>29</v>
      </c>
      <c r="C85" s="1984" t="s">
        <v>187</v>
      </c>
      <c r="D85" s="199">
        <v>29</v>
      </c>
      <c r="E85" s="239">
        <f>'NORTH-1'!$N$738</f>
        <v>-100</v>
      </c>
      <c r="F85" s="1895">
        <v>2.1558906383057495</v>
      </c>
      <c r="G85" s="1895">
        <v>-2.617118968903245E-2</v>
      </c>
      <c r="H85" s="1895">
        <v>1.3394900505338581</v>
      </c>
      <c r="I85" s="1895">
        <v>-0.32113603850222883</v>
      </c>
      <c r="J85" s="1895">
        <v>0.44577217138316383</v>
      </c>
      <c r="K85" s="1895">
        <v>0.10452528656450856</v>
      </c>
      <c r="L85" s="239">
        <v>0.43258634125011175</v>
      </c>
      <c r="M85" s="239">
        <v>0.36100373832080956</v>
      </c>
      <c r="N85" s="239">
        <v>0.31807656006482982</v>
      </c>
      <c r="O85" s="240">
        <v>-1.9894899298516809E-2</v>
      </c>
      <c r="P85" s="240">
        <v>0.32176994100783785</v>
      </c>
      <c r="Q85" s="240">
        <v>-0.32705346878439956</v>
      </c>
      <c r="R85" s="240">
        <v>-0.44474609688233768</v>
      </c>
      <c r="S85" s="240">
        <v>-0.50474654402734864</v>
      </c>
      <c r="T85" s="240">
        <v>-7.7599309817401513E-2</v>
      </c>
      <c r="U85" s="240">
        <v>0.10692019433571048</v>
      </c>
      <c r="V85" s="240">
        <v>-0.51009859892900922</v>
      </c>
      <c r="W85" s="240">
        <v>0.38558864233315787</v>
      </c>
      <c r="X85" s="240">
        <v>-0.14306425201561629</v>
      </c>
      <c r="Y85" s="240">
        <v>-0.7467110969618862</v>
      </c>
      <c r="Z85" s="240">
        <v>-0.75162084895569881</v>
      </c>
      <c r="AA85" s="240">
        <v>-0.79716563330357559</v>
      </c>
      <c r="AB85" s="240">
        <v>-0.16033725607050978</v>
      </c>
      <c r="AC85" s="240">
        <v>-0.72</v>
      </c>
      <c r="AD85" s="240">
        <v>0.3340884704792817</v>
      </c>
      <c r="AE85" s="240">
        <v>-0.81573822162495524</v>
      </c>
      <c r="AF85" s="240">
        <v>-0.9688261793970554</v>
      </c>
      <c r="AG85" s="240">
        <v>1.9142103716532567E-2</v>
      </c>
      <c r="AH85" s="240">
        <v>0.13718837703962991</v>
      </c>
      <c r="AI85" s="240">
        <v>0.69043038333219842</v>
      </c>
      <c r="AJ85" s="240">
        <v>-0.83952139940720139</v>
      </c>
      <c r="AK85" s="240">
        <v>1.5482288504667601</v>
      </c>
      <c r="AL85" s="240">
        <v>0.44533265627182356</v>
      </c>
      <c r="AM85" s="240">
        <v>1.0576092515222764</v>
      </c>
      <c r="AN85" s="240">
        <v>-0.84130100019537968</v>
      </c>
      <c r="AO85" s="240">
        <v>-0.66390722832992854</v>
      </c>
      <c r="AP85" s="240">
        <v>6.4760120743578176E-2</v>
      </c>
      <c r="AQ85" s="240">
        <v>1.4340473337916131</v>
      </c>
      <c r="AR85" s="240">
        <v>2.4848535231877373</v>
      </c>
      <c r="AS85" s="240">
        <v>2.7118690322815149</v>
      </c>
      <c r="AT85" s="240">
        <v>0.16553309765063451</v>
      </c>
      <c r="AU85" s="240">
        <v>1.2722528906574815</v>
      </c>
      <c r="AV85" s="240">
        <v>1.5000000000034677E-2</v>
      </c>
      <c r="AW85" s="240"/>
      <c r="AX85" s="240">
        <v>0.4999999999999844</v>
      </c>
      <c r="AY85" s="240">
        <v>0.53700783721234235</v>
      </c>
      <c r="AZ85" s="240">
        <v>3.793127019074352</v>
      </c>
      <c r="BA85" s="240">
        <v>-0.31862821534534674</v>
      </c>
      <c r="BB85" s="240">
        <v>0.89076789772459153</v>
      </c>
      <c r="BC85" s="240">
        <v>1.6342727093978018</v>
      </c>
      <c r="BD85" s="240">
        <v>0.29999999999999</v>
      </c>
      <c r="BE85" s="240">
        <v>0.79249725929794057</v>
      </c>
      <c r="BF85" s="240">
        <v>0.86506531228487415</v>
      </c>
      <c r="BG85" s="240">
        <v>1.7369624845835974</v>
      </c>
      <c r="BH85" s="240">
        <v>2.9460604221459095</v>
      </c>
      <c r="BI85" s="240">
        <v>0.55790880090053752</v>
      </c>
      <c r="BJ85" s="240"/>
      <c r="BK85" s="240">
        <v>1.8755393323546545</v>
      </c>
      <c r="BL85" s="240">
        <v>1.6682277638273098</v>
      </c>
      <c r="BM85" s="240">
        <v>-1.0589298987483005</v>
      </c>
      <c r="BN85" s="240">
        <v>-1.2412569285543764</v>
      </c>
      <c r="BO85" s="240">
        <v>-1.2260431703199479</v>
      </c>
      <c r="BP85" s="240">
        <v>-0.1271394833851727</v>
      </c>
      <c r="BQ85" s="240">
        <v>-0.30383081994330535</v>
      </c>
      <c r="BR85" s="202">
        <v>-0.88493158928882976</v>
      </c>
      <c r="BS85" s="202">
        <v>1.0994615514845569</v>
      </c>
      <c r="BT85" s="202">
        <v>1.2215272046442562</v>
      </c>
      <c r="BU85" s="202">
        <v>1.0624366709185418</v>
      </c>
      <c r="BV85" s="202">
        <v>5.745991249778915</v>
      </c>
      <c r="BW85" s="202">
        <v>1.8296682882404132</v>
      </c>
      <c r="BX85" s="202">
        <v>-0.7593373556726003</v>
      </c>
      <c r="BY85" s="202">
        <v>-1.4869085595489167</v>
      </c>
      <c r="BZ85" s="202">
        <v>0.19999999999999893</v>
      </c>
      <c r="CA85" s="202">
        <v>-2.5798746628422053</v>
      </c>
      <c r="CB85" s="202">
        <v>-0.61754119781627947</v>
      </c>
      <c r="CC85" s="202">
        <v>1.9293831737847666</v>
      </c>
      <c r="CD85" s="202">
        <v>-0.68187908348274751</v>
      </c>
      <c r="CE85" s="202">
        <v>-0.70542973541401754</v>
      </c>
      <c r="CF85" s="202">
        <v>-0.74521239909181192</v>
      </c>
      <c r="CG85" s="202">
        <v>-0.96179879789423084</v>
      </c>
      <c r="CH85" s="202">
        <v>-0.80398828217369978</v>
      </c>
      <c r="CI85" s="202">
        <v>-0.98812348576956111</v>
      </c>
      <c r="CJ85" s="202">
        <v>-0.25932707741948735</v>
      </c>
      <c r="CK85" s="202">
        <v>1.1005236781215169</v>
      </c>
      <c r="CL85" s="202">
        <v>-0.37896425116882065</v>
      </c>
      <c r="CM85" s="202">
        <v>0.74963662546966903</v>
      </c>
      <c r="CN85" s="202">
        <v>-0.89014245224354227</v>
      </c>
      <c r="CO85" s="202">
        <v>1.3915584097394371</v>
      </c>
      <c r="CP85" s="241">
        <v>0.72626234407310108</v>
      </c>
      <c r="CQ85" s="202">
        <v>0.55758481024381912</v>
      </c>
      <c r="CR85" s="237">
        <v>9.0891518567881163E-2</v>
      </c>
      <c r="CS85" s="237">
        <v>0.499999999999994</v>
      </c>
      <c r="CT85" s="237">
        <v>0.49999999999998473</v>
      </c>
      <c r="CU85" s="237">
        <v>0.49999999999998812</v>
      </c>
      <c r="CV85" s="237">
        <v>0.49999999999999845</v>
      </c>
      <c r="CW85" s="237">
        <v>0.49999999999995776</v>
      </c>
      <c r="CX85" s="237">
        <v>0.49999999999999656</v>
      </c>
      <c r="CY85" s="237">
        <v>0.49999999999998446</v>
      </c>
      <c r="CZ85" s="237">
        <v>0.49999999999998856</v>
      </c>
      <c r="DA85" s="237">
        <v>0.49999999999997952</v>
      </c>
      <c r="DB85" s="237">
        <v>0.49999999999999262</v>
      </c>
      <c r="DC85" s="237">
        <v>0.50000000000001221</v>
      </c>
      <c r="DD85" s="237">
        <v>0.50000000000000677</v>
      </c>
      <c r="DE85" s="237">
        <v>0</v>
      </c>
      <c r="DF85" s="242">
        <v>1.8540866850312452</v>
      </c>
      <c r="DG85" s="180"/>
      <c r="DH85" s="180"/>
      <c r="DI85" s="180"/>
      <c r="DJ85" s="180"/>
      <c r="DK85" s="180"/>
      <c r="DL85" s="180"/>
      <c r="DM85" s="180"/>
      <c r="DN85" s="180"/>
      <c r="DO85" s="180"/>
      <c r="DP85" s="180"/>
    </row>
    <row r="86" spans="2:177" ht="12.5" x14ac:dyDescent="0.25">
      <c r="B86" s="229">
        <v>30</v>
      </c>
      <c r="C86" s="1983" t="s">
        <v>188</v>
      </c>
      <c r="D86" s="199">
        <v>30</v>
      </c>
      <c r="E86" s="243">
        <f>'NORTH-1'!$N$1709</f>
        <v>-100</v>
      </c>
      <c r="F86" s="1896">
        <v>0.63843800197895695</v>
      </c>
      <c r="G86" s="1896">
        <v>0.33938932423240081</v>
      </c>
      <c r="H86" s="1896">
        <v>4.515548575488828</v>
      </c>
      <c r="I86" s="1896">
        <v>0.22136270024342422</v>
      </c>
      <c r="J86" s="1896">
        <v>0.46653215550985411</v>
      </c>
      <c r="K86" s="1896">
        <v>1.2439998338111002</v>
      </c>
      <c r="L86" s="243">
        <v>0.39551426834041187</v>
      </c>
      <c r="M86" s="243">
        <v>0.30784505659667738</v>
      </c>
      <c r="N86" s="243">
        <v>0.43086900548144558</v>
      </c>
      <c r="O86" s="241">
        <v>1.3659696469717244</v>
      </c>
      <c r="P86" s="241">
        <v>0.17949611713510336</v>
      </c>
      <c r="Q86" s="241">
        <v>0.52879975631762444</v>
      </c>
      <c r="R86" s="241">
        <v>0.85721944135636396</v>
      </c>
      <c r="S86" s="241">
        <v>0.48813718752028873</v>
      </c>
      <c r="T86" s="241">
        <v>0.91329996714347583</v>
      </c>
      <c r="U86" s="241">
        <v>0.37654134171823672</v>
      </c>
      <c r="V86" s="241">
        <v>1.356538821214301</v>
      </c>
      <c r="W86" s="241">
        <v>1.001667574680384</v>
      </c>
      <c r="X86" s="241">
        <v>0.63402277000213925</v>
      </c>
      <c r="Y86" s="241">
        <v>1.4697447249026134</v>
      </c>
      <c r="Z86" s="241">
        <v>0.69618945917813202</v>
      </c>
      <c r="AA86" s="241">
        <v>0.12641047382703216</v>
      </c>
      <c r="AB86" s="241">
        <v>0.1271035474999031</v>
      </c>
      <c r="AC86" s="241">
        <v>0.99</v>
      </c>
      <c r="AD86" s="241">
        <v>1.6215460278287512</v>
      </c>
      <c r="AE86" s="241">
        <v>1.4886072132137755</v>
      </c>
      <c r="AF86" s="241">
        <v>1.3994287516110087</v>
      </c>
      <c r="AG86" s="241">
        <v>1.3309680044203838</v>
      </c>
      <c r="AH86" s="241">
        <v>3.0105123854412983</v>
      </c>
      <c r="AI86" s="241">
        <v>1.9317660420648506</v>
      </c>
      <c r="AJ86" s="241">
        <v>2.3005088897652017</v>
      </c>
      <c r="AK86" s="241">
        <v>2.8457614535946254</v>
      </c>
      <c r="AL86" s="241">
        <v>2.8563339117960815</v>
      </c>
      <c r="AM86" s="241">
        <v>1.8307042951867785</v>
      </c>
      <c r="AN86" s="241">
        <v>2.3997281154426671</v>
      </c>
      <c r="AO86" s="241">
        <v>2.944943133841702</v>
      </c>
      <c r="AP86" s="241">
        <v>0.28615198400356706</v>
      </c>
      <c r="AQ86" s="241">
        <v>0.50833100725017821</v>
      </c>
      <c r="AR86" s="241">
        <v>0.74140868050776021</v>
      </c>
      <c r="AS86" s="241">
        <v>-0.52891807122602064</v>
      </c>
      <c r="AT86" s="241">
        <v>0.10186871978645322</v>
      </c>
      <c r="AU86" s="241">
        <v>2.6406723589951899</v>
      </c>
      <c r="AV86" s="241">
        <v>0.76047284441194418</v>
      </c>
      <c r="AW86" s="241"/>
      <c r="AX86" s="241">
        <v>0.48036057905237334</v>
      </c>
      <c r="AY86" s="241">
        <v>0.51474130510726079</v>
      </c>
      <c r="AZ86" s="241">
        <v>0.72877436310170129</v>
      </c>
      <c r="BA86" s="241">
        <v>0.90090766889249008</v>
      </c>
      <c r="BB86" s="241">
        <v>0.973572526311557</v>
      </c>
      <c r="BC86" s="241">
        <v>1.3308280043417755</v>
      </c>
      <c r="BD86" s="241">
        <v>1.2744163792588159</v>
      </c>
      <c r="BE86" s="241">
        <v>0.94645489713089415</v>
      </c>
      <c r="BF86" s="241">
        <v>0.83275422012403022</v>
      </c>
      <c r="BG86" s="241">
        <v>0.90857173859634832</v>
      </c>
      <c r="BH86" s="241">
        <v>0.40881066902022734</v>
      </c>
      <c r="BI86" s="237">
        <v>0.7030877824899725</v>
      </c>
      <c r="BJ86" s="237"/>
      <c r="BK86" s="237">
        <v>0.90393721626283607</v>
      </c>
      <c r="BL86" s="237">
        <v>3.6055346807869171</v>
      </c>
      <c r="BM86" s="237">
        <v>5.6477161202320582E-2</v>
      </c>
      <c r="BN86" s="237">
        <v>1.0176211776341355</v>
      </c>
      <c r="BO86" s="237">
        <v>0.85055460504803604</v>
      </c>
      <c r="BP86" s="237">
        <v>0.73537851872094084</v>
      </c>
      <c r="BQ86" s="237">
        <v>0.64838642731142904</v>
      </c>
      <c r="CQ86" s="162"/>
    </row>
    <row r="87" spans="2:177" ht="12.5" x14ac:dyDescent="0.25">
      <c r="B87" s="229">
        <v>31</v>
      </c>
      <c r="C87" s="1984" t="s">
        <v>189</v>
      </c>
      <c r="D87" s="199">
        <v>31</v>
      </c>
      <c r="E87" s="243">
        <f>'SOUTH-2'!$N$1312</f>
        <v>-100</v>
      </c>
      <c r="F87" s="1896">
        <v>0.96807997305924465</v>
      </c>
      <c r="G87" s="1896">
        <v>1.10514660316938</v>
      </c>
      <c r="H87" s="1896">
        <v>0.95542852120774746</v>
      </c>
      <c r="I87" s="1896">
        <v>1.8100403725659933</v>
      </c>
      <c r="J87" s="1896">
        <v>-0.74598051368959994</v>
      </c>
      <c r="K87" s="1896">
        <v>1.6955975713394669</v>
      </c>
      <c r="L87" s="243">
        <v>1.4660902963784865</v>
      </c>
      <c r="M87" s="243">
        <v>1.6678746358692678</v>
      </c>
      <c r="N87" s="243">
        <v>1.8249801315308012</v>
      </c>
      <c r="O87" s="241">
        <v>1.692977726163418</v>
      </c>
      <c r="P87" s="241">
        <v>2.2748814894581146</v>
      </c>
      <c r="Q87" s="241">
        <v>2.2399026485639348</v>
      </c>
      <c r="R87" s="241">
        <v>0.91653593210171436</v>
      </c>
      <c r="S87" s="241">
        <v>0.84747721077139004</v>
      </c>
      <c r="T87" s="241">
        <v>2.8347955529346667</v>
      </c>
      <c r="U87" s="241">
        <v>0.85261217307158099</v>
      </c>
      <c r="V87" s="241">
        <v>1.9102673062655944</v>
      </c>
      <c r="W87" s="241">
        <v>2.4317921932751529</v>
      </c>
      <c r="X87" s="241">
        <v>0.45953302138014784</v>
      </c>
      <c r="Y87" s="241">
        <v>3.3190644656671591</v>
      </c>
      <c r="Z87" s="241">
        <v>2.9361635098966405</v>
      </c>
      <c r="AA87" s="241">
        <v>2.3613304350494682</v>
      </c>
      <c r="AB87" s="241">
        <v>3.7223376830152199</v>
      </c>
      <c r="AC87" s="241">
        <v>2.8</v>
      </c>
      <c r="AD87" s="241">
        <v>3.744986096174606</v>
      </c>
      <c r="AE87" s="241">
        <v>1.5927788238210616</v>
      </c>
      <c r="AF87" s="241">
        <v>1.6138230273499941</v>
      </c>
      <c r="AG87" s="241">
        <v>2.4546890864488011</v>
      </c>
      <c r="AH87" s="241">
        <v>1.8556574738118461</v>
      </c>
      <c r="AI87" s="241">
        <v>4.2479705890936597</v>
      </c>
      <c r="AJ87" s="241">
        <v>1.1001204959325979</v>
      </c>
      <c r="AK87" s="241">
        <v>2.6435647315759097</v>
      </c>
      <c r="AL87" s="241">
        <v>0.84202099060600999</v>
      </c>
      <c r="AM87" s="241">
        <v>2.8715631360510989</v>
      </c>
      <c r="AN87" s="241">
        <v>2.0309165265561813</v>
      </c>
      <c r="AO87" s="241">
        <v>1.0550284626466968</v>
      </c>
      <c r="AP87" s="241">
        <v>0.81047128350091224</v>
      </c>
      <c r="AQ87" s="241">
        <v>2.9782011239556523</v>
      </c>
      <c r="AR87" s="241">
        <v>2.9982121319817647</v>
      </c>
      <c r="AS87" s="241">
        <v>3.746723671834213</v>
      </c>
      <c r="AT87" s="241">
        <v>3.135518079640629</v>
      </c>
      <c r="AU87" s="241">
        <v>2.9650323207907827</v>
      </c>
      <c r="AV87" s="241">
        <v>2.9689379137218483</v>
      </c>
      <c r="AW87" s="241"/>
      <c r="AX87" s="241">
        <v>1.9524798698794656</v>
      </c>
      <c r="AY87" s="241">
        <v>2.5889474715270722</v>
      </c>
      <c r="AZ87" s="241">
        <v>0.69875087837561889</v>
      </c>
      <c r="BA87" s="241">
        <v>4.4379563845452665</v>
      </c>
      <c r="BB87" s="241">
        <v>3.7223446639195217</v>
      </c>
      <c r="BC87" s="241">
        <v>2.444895925147013</v>
      </c>
      <c r="BD87" s="241">
        <v>0.49999999999997502</v>
      </c>
      <c r="BE87" s="241">
        <v>0.29999999999998955</v>
      </c>
      <c r="BF87" s="241">
        <v>1.9199285434805813</v>
      </c>
      <c r="BG87" s="241">
        <v>5.8321999909906248</v>
      </c>
      <c r="BH87" s="162"/>
      <c r="CQ87" s="162"/>
    </row>
    <row r="88" spans="2:177" ht="12.5" x14ac:dyDescent="0.25">
      <c r="B88" s="229">
        <v>32</v>
      </c>
      <c r="C88" s="1984" t="s">
        <v>190</v>
      </c>
      <c r="D88" s="199">
        <v>32</v>
      </c>
      <c r="E88" s="243">
        <f>'SOUTH-1'!$N$900</f>
        <v>-100</v>
      </c>
      <c r="F88" s="1896">
        <v>2.7189518917016993</v>
      </c>
      <c r="G88" s="1896">
        <v>2.1672314794291125</v>
      </c>
      <c r="H88" s="1896">
        <v>0.70399853187711225</v>
      </c>
      <c r="I88" s="1896">
        <v>0.90827760933441704</v>
      </c>
      <c r="J88" s="1896">
        <v>0.89199912140760373</v>
      </c>
      <c r="K88" s="1896">
        <v>0.93896060828873618</v>
      </c>
      <c r="L88" s="243">
        <v>0.64654205290833122</v>
      </c>
      <c r="M88" s="243">
        <v>0.79314454052687045</v>
      </c>
      <c r="N88" s="243">
        <v>0.62592393323731044</v>
      </c>
      <c r="O88" s="241">
        <v>0.59680033717026293</v>
      </c>
      <c r="P88" s="241">
        <v>0.68495125270390989</v>
      </c>
      <c r="Q88" s="241">
        <v>0.77584061429574858</v>
      </c>
      <c r="R88" s="241">
        <v>0.58115683916596184</v>
      </c>
      <c r="S88" s="241">
        <v>0.72577936175927404</v>
      </c>
      <c r="T88" s="241">
        <v>0.80876651488468487</v>
      </c>
      <c r="U88" s="241">
        <v>0.73903956947149851</v>
      </c>
      <c r="V88" s="241">
        <v>0.73595239730452544</v>
      </c>
      <c r="W88" s="241">
        <v>1.1952976847060135</v>
      </c>
      <c r="X88" s="241">
        <v>0.80001276028707646</v>
      </c>
      <c r="Y88" s="241">
        <v>0.57501925613198013</v>
      </c>
      <c r="Z88" s="241">
        <v>0.42431551740736534</v>
      </c>
      <c r="AA88" s="241">
        <v>0.34682574820671525</v>
      </c>
      <c r="AB88" s="241">
        <v>0.43178178410274842</v>
      </c>
      <c r="AC88" s="241">
        <v>0.38</v>
      </c>
      <c r="AD88" s="241">
        <v>-0.86219362744456107</v>
      </c>
      <c r="AE88" s="241">
        <v>2.260732110767242</v>
      </c>
      <c r="AF88" s="241">
        <v>0.89568058145881124</v>
      </c>
      <c r="AG88" s="241">
        <v>0.31340822631442133</v>
      </c>
      <c r="AH88" s="241">
        <v>0.31526763929870216</v>
      </c>
      <c r="AI88" s="241">
        <v>0.37518252090845522</v>
      </c>
      <c r="AJ88" s="241">
        <v>0.27063472577267028</v>
      </c>
      <c r="AK88" s="241">
        <v>4.5541526371818133</v>
      </c>
      <c r="AL88" s="241">
        <v>2.2539192441386935</v>
      </c>
      <c r="AM88" s="241">
        <v>0.98676294116512697</v>
      </c>
      <c r="AN88" s="241">
        <v>-0.42647898852344401</v>
      </c>
      <c r="AO88" s="241">
        <v>1.4712631275875034</v>
      </c>
      <c r="AP88" s="241">
        <v>1.704195139273833</v>
      </c>
      <c r="AQ88" s="241">
        <v>1.6211885579908805</v>
      </c>
      <c r="AR88" s="241">
        <v>1.8478985331651758</v>
      </c>
      <c r="AS88" s="241">
        <v>5.0073372841772592</v>
      </c>
      <c r="AT88" s="241">
        <v>4.3023581007431986</v>
      </c>
      <c r="AU88" s="241">
        <v>3.159058765580486</v>
      </c>
      <c r="AV88" s="241">
        <v>2.5952335321301265</v>
      </c>
      <c r="AW88" s="241"/>
      <c r="AX88" s="241">
        <v>4.2337046319350158</v>
      </c>
      <c r="AY88" s="241">
        <v>3.2431349900778041</v>
      </c>
      <c r="AZ88" s="241">
        <v>1.3660588372506646</v>
      </c>
      <c r="BA88" s="241">
        <v>3.4199714740666138</v>
      </c>
      <c r="BB88" s="241">
        <v>1.1744097605604276</v>
      </c>
      <c r="BC88" s="241">
        <v>-2.498618453238699</v>
      </c>
      <c r="BD88" s="241">
        <v>0.40044905105311873</v>
      </c>
      <c r="BE88" s="241">
        <v>1.9536657267867117</v>
      </c>
      <c r="BF88" s="241">
        <v>1.1766648230535388</v>
      </c>
      <c r="BG88" s="241">
        <v>0.20232549885038828</v>
      </c>
      <c r="BH88" s="162"/>
      <c r="CQ88" s="162"/>
    </row>
    <row r="89" spans="2:177" ht="28.4" customHeight="1" x14ac:dyDescent="0.25">
      <c r="B89" s="229">
        <v>33</v>
      </c>
      <c r="C89" s="1990" t="s">
        <v>191</v>
      </c>
      <c r="D89" s="199">
        <v>33</v>
      </c>
      <c r="E89" s="205">
        <f>'SOUTH-1'!$N$576</f>
        <v>-100</v>
      </c>
      <c r="F89" s="1890">
        <v>1.2200942096937872</v>
      </c>
      <c r="G89" s="1890">
        <v>2.2278252378829912</v>
      </c>
      <c r="H89" s="1890">
        <v>1.6622774594891321</v>
      </c>
      <c r="I89" s="1890">
        <v>0.15399069053145856</v>
      </c>
      <c r="J89" s="1890">
        <v>1.6335276661049503</v>
      </c>
      <c r="K89" s="1890">
        <v>1.3270894567929883</v>
      </c>
      <c r="L89" s="205">
        <v>0.4292206261028092</v>
      </c>
      <c r="M89" s="205">
        <v>2.4308591046365815</v>
      </c>
      <c r="N89" s="205">
        <v>1.9110641118194334</v>
      </c>
      <c r="O89" s="202">
        <v>2.1189696352193281</v>
      </c>
      <c r="P89" s="202">
        <v>2.282236330472172</v>
      </c>
      <c r="Q89" s="202">
        <v>1.1313775694534793</v>
      </c>
      <c r="R89" s="202">
        <v>0.82914749365965501</v>
      </c>
      <c r="S89" s="202">
        <v>2.0133213382742867</v>
      </c>
      <c r="T89" s="202">
        <v>1.4834019100779607</v>
      </c>
      <c r="U89" s="202">
        <v>1.363932726850938</v>
      </c>
      <c r="V89" s="202">
        <v>0.80593772230895044</v>
      </c>
      <c r="W89" s="202">
        <v>1.1955109023572676</v>
      </c>
      <c r="X89" s="202">
        <v>1.1894762278973465</v>
      </c>
      <c r="Y89" s="202">
        <v>0.20909939840842584</v>
      </c>
      <c r="Z89" s="202">
        <v>1.3445304671893512</v>
      </c>
      <c r="AA89" s="202">
        <v>0.70564583476303466</v>
      </c>
      <c r="AB89" s="202">
        <v>1.7382560290927531</v>
      </c>
      <c r="AC89" s="202">
        <v>1.36</v>
      </c>
      <c r="AD89" s="202">
        <v>4.0885643394993343E-2</v>
      </c>
      <c r="AE89" s="202">
        <v>1.1247941256046341</v>
      </c>
      <c r="AF89" s="202">
        <v>2.0596239059854899</v>
      </c>
      <c r="AG89" s="202">
        <v>1.2825226307300157</v>
      </c>
      <c r="AH89" s="202">
        <v>1.6060335551796252</v>
      </c>
      <c r="AI89" s="202">
        <v>2.6051316219802945</v>
      </c>
      <c r="AJ89" s="202">
        <v>2.9009639722638396</v>
      </c>
      <c r="AK89" s="202">
        <v>2.7457098778015951</v>
      </c>
      <c r="AL89" s="202">
        <v>3.6828140324520224</v>
      </c>
      <c r="AM89" s="202">
        <v>2.8300185655903092</v>
      </c>
      <c r="AN89" s="202">
        <v>2.8846342875139035</v>
      </c>
      <c r="AO89" s="202">
        <v>2.5218011619661933</v>
      </c>
      <c r="AP89" s="202">
        <v>3.2743680567555105</v>
      </c>
      <c r="AQ89" s="202">
        <v>3.4338563400590214</v>
      </c>
      <c r="AR89" s="202">
        <v>1.8277297406694517</v>
      </c>
      <c r="AS89" s="202">
        <v>3.7366066510221452</v>
      </c>
      <c r="AT89" s="202">
        <v>1.5848323678184162</v>
      </c>
      <c r="AU89" s="202">
        <v>2.3814895767939714</v>
      </c>
      <c r="AV89" s="202">
        <v>2.6129277065929126</v>
      </c>
      <c r="AW89" s="202"/>
      <c r="AX89" s="202">
        <v>2.0177331321383023</v>
      </c>
      <c r="AY89" s="202">
        <v>3.2176620158068685</v>
      </c>
      <c r="AZ89" s="202">
        <v>2.0656954360711888</v>
      </c>
      <c r="BA89" s="202">
        <v>4.2466148282908387</v>
      </c>
      <c r="BB89" s="202">
        <v>-0.66655050772597602</v>
      </c>
      <c r="BC89" s="202">
        <v>-2.0612165389159451</v>
      </c>
      <c r="BD89" s="202">
        <v>3.8780075574911943</v>
      </c>
      <c r="BE89" s="202">
        <v>2.846536068941993</v>
      </c>
      <c r="BF89" s="202">
        <v>1.7523405146519173</v>
      </c>
      <c r="BG89" s="202">
        <v>1.8091776899349501</v>
      </c>
      <c r="BH89" s="162"/>
      <c r="CQ89" s="162"/>
    </row>
    <row r="90" spans="2:177" ht="12.5" x14ac:dyDescent="0.25">
      <c r="B90" s="229">
        <v>34</v>
      </c>
      <c r="C90" s="1990" t="s">
        <v>192</v>
      </c>
      <c r="D90" s="199">
        <v>34</v>
      </c>
      <c r="E90" s="205">
        <f>'SOUTH-1'!$N$1471</f>
        <v>-100</v>
      </c>
      <c r="F90" s="1890">
        <v>0.64884704735737209</v>
      </c>
      <c r="G90" s="1890">
        <v>0.87962544008162546</v>
      </c>
      <c r="H90" s="1890">
        <v>0.18882354720401087</v>
      </c>
      <c r="I90" s="1890">
        <v>1.6725179632182344E-2</v>
      </c>
      <c r="J90" s="1890">
        <v>1.6940262981607872E-2</v>
      </c>
      <c r="K90" s="1890">
        <v>8.6680699292249527E-3</v>
      </c>
      <c r="L90" s="205">
        <v>-7.4141451938116807E-3</v>
      </c>
      <c r="M90" s="205">
        <v>0.86386473429951693</v>
      </c>
      <c r="N90" s="205">
        <v>-7.4011606819006162E-2</v>
      </c>
      <c r="O90" s="202">
        <v>0.1454662546073848</v>
      </c>
      <c r="P90" s="202">
        <v>2.1497839618192693</v>
      </c>
      <c r="Q90" s="202">
        <v>0.38088712059100088</v>
      </c>
      <c r="R90" s="202">
        <v>-0.47117692911099168</v>
      </c>
      <c r="S90" s="202">
        <v>1.1297060886479562</v>
      </c>
      <c r="T90" s="202">
        <v>-0.80876963471564167</v>
      </c>
      <c r="U90" s="202">
        <v>-0.14377561507791559</v>
      </c>
      <c r="V90" s="202">
        <v>1.7337728593117621</v>
      </c>
      <c r="W90" s="202">
        <v>2.0099900854997079</v>
      </c>
      <c r="X90" s="202">
        <v>3.7029397295144229</v>
      </c>
      <c r="Y90" s="202">
        <v>2.0720687193485894</v>
      </c>
      <c r="Z90" s="202">
        <v>1.5471632472849284</v>
      </c>
      <c r="AA90" s="202">
        <v>1.4228902510823993</v>
      </c>
      <c r="AB90" s="202">
        <v>2.6672684907642976</v>
      </c>
      <c r="AC90" s="202">
        <v>2.2000000000000002</v>
      </c>
      <c r="AD90" s="202">
        <v>1.3390775625231408</v>
      </c>
      <c r="AE90" s="202">
        <v>1.5612310833201335</v>
      </c>
      <c r="AF90" s="202">
        <v>3.1088076208428617</v>
      </c>
      <c r="AG90" s="202">
        <v>2.0466734071205699</v>
      </c>
      <c r="AH90" s="202">
        <v>0.87103768228875189</v>
      </c>
      <c r="AI90" s="202">
        <v>3.4854902157914779E-2</v>
      </c>
      <c r="AJ90" s="202">
        <v>3.4064018099791475</v>
      </c>
      <c r="AK90" s="202">
        <v>3.1912378780520361</v>
      </c>
      <c r="AL90" s="202">
        <v>0.62653842731953213</v>
      </c>
      <c r="AM90" s="202">
        <v>1.7251099782444202E-2</v>
      </c>
      <c r="AN90" s="202">
        <v>3.68870805641262</v>
      </c>
      <c r="AO90" s="202">
        <v>1.1817369960275188</v>
      </c>
      <c r="AP90" s="202">
        <v>0.45411499784076298</v>
      </c>
      <c r="AQ90" s="202">
        <v>0.75829580029566457</v>
      </c>
      <c r="AR90" s="202">
        <v>6.3823229584099153E-2</v>
      </c>
      <c r="AS90" s="202">
        <v>2.7232990228242131</v>
      </c>
      <c r="AT90" s="202">
        <v>8.2763106647331483E-2</v>
      </c>
      <c r="BH90" s="162"/>
      <c r="CQ90" s="162"/>
    </row>
    <row r="91" spans="2:177" ht="12.5" x14ac:dyDescent="0.25">
      <c r="B91" s="229">
        <v>35</v>
      </c>
      <c r="C91" s="1909" t="s">
        <v>193</v>
      </c>
      <c r="D91" s="199">
        <v>35</v>
      </c>
      <c r="E91" s="205">
        <f>'SOUTH-1'!$N$774</f>
        <v>-100</v>
      </c>
      <c r="F91" s="1890">
        <v>0.36915504511878433</v>
      </c>
      <c r="G91" s="1890">
        <v>0.43508315374312428</v>
      </c>
      <c r="H91" s="1890">
        <v>0.24831479329229669</v>
      </c>
      <c r="I91" s="1890">
        <v>0.38150465435682135</v>
      </c>
      <c r="J91" s="1890">
        <v>0.27621997154104172</v>
      </c>
      <c r="K91" s="1890">
        <v>0.35707573764321709</v>
      </c>
      <c r="L91" s="205">
        <v>0.16899343405367495</v>
      </c>
      <c r="M91" s="205">
        <v>0.13311271503159461</v>
      </c>
      <c r="N91" s="205">
        <v>0.1940214326000097</v>
      </c>
      <c r="O91" s="202">
        <v>9.3965994925450075E-2</v>
      </c>
      <c r="P91" s="202">
        <v>0.16819600794640521</v>
      </c>
      <c r="Q91" s="202">
        <v>0.24175927670003128</v>
      </c>
      <c r="R91" s="202">
        <v>7.2304977635418599E-2</v>
      </c>
      <c r="S91" s="202">
        <v>4.9763956862548378E-2</v>
      </c>
      <c r="T91" s="202">
        <v>0.36234619159057224</v>
      </c>
      <c r="U91" s="202">
        <v>0.2878882765530672</v>
      </c>
      <c r="V91" s="202">
        <v>8.2413913707036379E-2</v>
      </c>
      <c r="W91" s="202">
        <v>0.57674166146689976</v>
      </c>
      <c r="X91" s="202">
        <v>0.17455962766885819</v>
      </c>
      <c r="Y91" s="202">
        <v>-8.6747631122442992E-2</v>
      </c>
      <c r="Z91" s="202">
        <v>-6.9018126339496499E-2</v>
      </c>
      <c r="AA91" s="202">
        <v>-7.9788082851965064E-2</v>
      </c>
      <c r="AB91" s="202">
        <v>-5.791505791507788E-2</v>
      </c>
      <c r="AC91" s="202">
        <v>-0.13</v>
      </c>
      <c r="AD91" s="202">
        <v>-4.7773743550559453E-2</v>
      </c>
      <c r="AE91" s="202">
        <v>0.25328748944382251</v>
      </c>
      <c r="AF91" s="202">
        <v>0.242487273523455</v>
      </c>
      <c r="AG91" s="202">
        <v>0.47914317925590422</v>
      </c>
      <c r="AH91" s="202">
        <v>-2.1946182003502468</v>
      </c>
      <c r="AI91" s="202">
        <v>3.6391370668990835</v>
      </c>
      <c r="AJ91" s="202">
        <v>0.27975084999403282</v>
      </c>
      <c r="AK91" s="202">
        <v>0.83010492562207161</v>
      </c>
      <c r="CQ91" s="162"/>
    </row>
    <row r="92" spans="2:177" ht="12.5" x14ac:dyDescent="0.25">
      <c r="B92" s="229">
        <v>36</v>
      </c>
      <c r="C92" s="1990" t="s">
        <v>194</v>
      </c>
      <c r="D92" s="199">
        <v>36</v>
      </c>
      <c r="E92" s="205">
        <f>'SOUTH-1'!$N$812</f>
        <v>-100</v>
      </c>
      <c r="F92" s="1890">
        <v>0.94603596539799728</v>
      </c>
      <c r="G92" s="1890">
        <v>0.94373984019359125</v>
      </c>
      <c r="H92" s="1890">
        <v>0.61604463068338589</v>
      </c>
      <c r="I92" s="1890">
        <v>0.70315287977393781</v>
      </c>
      <c r="J92" s="1890">
        <v>0.55554091853716492</v>
      </c>
      <c r="K92" s="1890">
        <v>0.62119727284518855</v>
      </c>
      <c r="L92" s="205">
        <v>0.47384187665913213</v>
      </c>
      <c r="M92" s="205">
        <v>0.45268124876144922</v>
      </c>
      <c r="N92" s="205">
        <v>0.50666495488929697</v>
      </c>
      <c r="O92" s="202">
        <v>0.38120714471002315</v>
      </c>
      <c r="P92" s="202">
        <v>0.54205348064844339</v>
      </c>
      <c r="Q92" s="202">
        <v>0.66228487702180949</v>
      </c>
      <c r="R92" s="202">
        <v>0.40905157814533111</v>
      </c>
      <c r="S92" s="202">
        <v>0.47766568770932555</v>
      </c>
      <c r="T92" s="202">
        <v>0.8169887564448699</v>
      </c>
      <c r="U92" s="202">
        <v>0.60248554200737514</v>
      </c>
      <c r="V92" s="202">
        <v>0.39129156027883438</v>
      </c>
      <c r="W92" s="202">
        <v>0.98841590432742243</v>
      </c>
      <c r="X92" s="202">
        <v>0.58705209525255431</v>
      </c>
      <c r="Y92" s="202">
        <v>0.30411764861559976</v>
      </c>
      <c r="Z92" s="202">
        <v>0.31171237752823677</v>
      </c>
      <c r="AA92" s="202">
        <v>0.30777044241958129</v>
      </c>
      <c r="AB92" s="202">
        <v>0.27377046416342354</v>
      </c>
      <c r="AC92" s="202">
        <v>1.03</v>
      </c>
      <c r="AD92" s="202">
        <v>-0.11894306343617712</v>
      </c>
      <c r="AE92" s="202">
        <v>0.8193536000825995</v>
      </c>
      <c r="AF92" s="202">
        <v>0.72738575258699678</v>
      </c>
      <c r="AG92" s="202">
        <v>0.87285398981599016</v>
      </c>
      <c r="AH92" s="202">
        <v>9.5199238406080078E-2</v>
      </c>
      <c r="AI92" s="202">
        <v>7.490013315580521E-2</v>
      </c>
      <c r="AJ92" s="202">
        <v>0</v>
      </c>
      <c r="AK92" s="202">
        <v>2.0528599524083528</v>
      </c>
      <c r="CQ92" s="162"/>
    </row>
    <row r="93" spans="2:177" ht="12.5" x14ac:dyDescent="0.25">
      <c r="B93" s="229">
        <v>37</v>
      </c>
      <c r="C93" s="1990" t="s">
        <v>195</v>
      </c>
      <c r="D93" s="199">
        <v>37</v>
      </c>
      <c r="E93" s="205">
        <f>'SOUTH-2'!$N$406</f>
        <v>-100</v>
      </c>
      <c r="F93" s="1890">
        <v>0.46242346794725742</v>
      </c>
      <c r="G93" s="1890">
        <v>0.23331617167536461</v>
      </c>
      <c r="H93" s="1890">
        <v>-5.6662708008831962E-2</v>
      </c>
      <c r="I93" s="1890">
        <v>1.012059078235825</v>
      </c>
      <c r="J93" s="1890">
        <v>0.82184973141436402</v>
      </c>
      <c r="K93" s="1890">
        <v>2.1800008775938369</v>
      </c>
      <c r="L93" s="205">
        <v>0.2012805660351028</v>
      </c>
      <c r="M93" s="205">
        <v>0.23407043746132059</v>
      </c>
      <c r="N93" s="205">
        <v>1.811738170081983</v>
      </c>
      <c r="O93" s="202">
        <v>1.2335328614094123</v>
      </c>
      <c r="P93" s="202">
        <v>1.837395126117062</v>
      </c>
      <c r="Q93" s="202">
        <v>0.37184431884409247</v>
      </c>
      <c r="R93" s="202">
        <v>0.12279117904891387</v>
      </c>
      <c r="S93" s="202">
        <v>-6.4714032314154693E-2</v>
      </c>
      <c r="T93" s="202">
        <v>2.3235215546999815</v>
      </c>
      <c r="U93" s="202">
        <v>-0.65715604069207445</v>
      </c>
      <c r="V93" s="202">
        <v>1.3946064177503761</v>
      </c>
      <c r="W93" s="202">
        <v>1.2128468036266096</v>
      </c>
      <c r="X93" s="202">
        <v>2.075661953919397</v>
      </c>
      <c r="Y93" s="202">
        <v>3.8786819524559792</v>
      </c>
      <c r="Z93" s="202">
        <v>2.499999999999972</v>
      </c>
      <c r="AA93" s="202">
        <v>1.0010281654374902</v>
      </c>
      <c r="AB93" s="202">
        <v>1.3497783023381686</v>
      </c>
      <c r="AC93" s="202">
        <v>1.8</v>
      </c>
      <c r="AD93" s="202">
        <v>2.8624458752664914</v>
      </c>
      <c r="AE93" s="202">
        <v>0.61383431432151947</v>
      </c>
      <c r="AF93" s="202">
        <v>-0.37918286093468573</v>
      </c>
      <c r="CQ93" s="162"/>
    </row>
    <row r="94" spans="2:177" ht="12.5" x14ac:dyDescent="0.25">
      <c r="B94" s="229">
        <v>38</v>
      </c>
      <c r="C94" s="1910" t="s">
        <v>196</v>
      </c>
      <c r="D94" s="229">
        <v>38</v>
      </c>
      <c r="E94" s="205">
        <f>'SOUTH-2'!$N$279</f>
        <v>-100</v>
      </c>
      <c r="F94" s="1895">
        <v>-0.13729049855955439</v>
      </c>
      <c r="G94" s="1895">
        <v>0.73768983571603175</v>
      </c>
      <c r="H94" s="1895">
        <v>0.55339498474324966</v>
      </c>
      <c r="I94" s="1895">
        <v>0.11557549799425627</v>
      </c>
      <c r="J94" s="1895">
        <v>0.39039356233150174</v>
      </c>
      <c r="K94" s="1895">
        <v>3.9208291143371238E-2</v>
      </c>
      <c r="L94" s="239">
        <v>5.9869195060705982E-2</v>
      </c>
      <c r="M94" s="239">
        <v>5.0986961905437521E-2</v>
      </c>
      <c r="N94" s="239">
        <v>2.4102984763872154E-2</v>
      </c>
      <c r="O94" s="240">
        <v>7.0488522793269628E-2</v>
      </c>
      <c r="P94" s="240">
        <v>1.8073441341222726E-2</v>
      </c>
      <c r="Q94" s="240">
        <v>6.3942198461791139E-2</v>
      </c>
      <c r="R94" s="240">
        <v>-5.3023867834046869E-2</v>
      </c>
      <c r="S94" s="240">
        <v>0.34067752082194303</v>
      </c>
      <c r="T94" s="240">
        <v>0.89054339696951301</v>
      </c>
      <c r="U94" s="240">
        <v>0.534203529127387</v>
      </c>
      <c r="V94" s="240">
        <v>0.61569608193402403</v>
      </c>
      <c r="W94" s="245">
        <v>2.2279435881723821</v>
      </c>
      <c r="X94" s="245">
        <v>1.7260068373217714</v>
      </c>
      <c r="Y94" s="245">
        <v>1.2319052538945445</v>
      </c>
      <c r="Z94" s="245">
        <v>1.4692156453009719E-14</v>
      </c>
      <c r="AA94" s="245">
        <v>0</v>
      </c>
      <c r="CQ94" s="162"/>
    </row>
    <row r="95" spans="2:177" ht="12.5" x14ac:dyDescent="0.25">
      <c r="B95" s="199">
        <v>39</v>
      </c>
      <c r="C95" s="1912" t="s">
        <v>197</v>
      </c>
      <c r="D95" s="199">
        <v>39</v>
      </c>
      <c r="E95" s="205">
        <f>'SOUTH-2'!$N$318</f>
        <v>-100</v>
      </c>
      <c r="F95" s="1895">
        <v>-6.9430668518166511E-2</v>
      </c>
      <c r="G95" s="1895">
        <v>-0.27058886567007978</v>
      </c>
      <c r="H95" s="1895">
        <v>-0.11085405822244562</v>
      </c>
      <c r="I95" s="1895">
        <v>-9.126024024792781E-2</v>
      </c>
      <c r="J95" s="1895">
        <v>-0.40906831823221307</v>
      </c>
      <c r="K95" s="1895">
        <v>2.8412472661571835</v>
      </c>
      <c r="L95" s="239">
        <v>0.46810142926861242</v>
      </c>
      <c r="M95" s="239">
        <v>0.5401768865154678</v>
      </c>
      <c r="N95" s="239">
        <v>0.49888063844397701</v>
      </c>
      <c r="O95" s="240">
        <v>0.61732179340961568</v>
      </c>
      <c r="P95" s="240">
        <v>1.0772663522177484</v>
      </c>
      <c r="Q95" s="240">
        <v>2.2036742957873758</v>
      </c>
      <c r="R95" s="240">
        <v>0.12279117904890544</v>
      </c>
      <c r="S95" s="240" t="e">
        <v>#DIV/0!</v>
      </c>
      <c r="T95" s="240" t="e">
        <v>#DIV/0!</v>
      </c>
      <c r="U95" s="240" t="e">
        <v>#DIV/0!</v>
      </c>
      <c r="V95" s="240" t="e">
        <v>#DIV/0!</v>
      </c>
      <c r="W95" s="245" t="e">
        <v>#DIV/0!</v>
      </c>
      <c r="X95" s="245" t="e">
        <v>#DIV/0!</v>
      </c>
      <c r="Y95" s="245" t="e">
        <v>#DIV/0!</v>
      </c>
      <c r="Z95" s="245" t="e">
        <v>#DIV/0!</v>
      </c>
      <c r="AA95" s="245" t="e">
        <v>#DIV/0!</v>
      </c>
      <c r="CQ95" s="162"/>
    </row>
    <row r="96" spans="2:177" ht="25" x14ac:dyDescent="0.25">
      <c r="B96" s="199">
        <v>40</v>
      </c>
      <c r="C96" s="1912" t="s">
        <v>199</v>
      </c>
      <c r="D96" s="199">
        <v>40</v>
      </c>
      <c r="E96" s="205">
        <f>'SOUTH-2'!$N$487</f>
        <v>-100</v>
      </c>
      <c r="F96" s="1890">
        <v>0.83176761766006002</v>
      </c>
      <c r="G96" s="1890">
        <v>4.2378860210186957</v>
      </c>
      <c r="H96" s="1890">
        <v>2.2866957981266594</v>
      </c>
      <c r="I96" s="1890">
        <v>0.10552942992544069</v>
      </c>
      <c r="J96" s="1890">
        <v>5.1768654835854133E-2</v>
      </c>
      <c r="K96" s="1890">
        <v>2.3430298284845108</v>
      </c>
      <c r="L96" s="202">
        <v>1.9497587037745714</v>
      </c>
      <c r="M96" s="205">
        <v>4.2196237925775097</v>
      </c>
      <c r="N96" s="205">
        <v>0.30650603967598367</v>
      </c>
      <c r="O96" s="202">
        <v>2.2737159281169768</v>
      </c>
      <c r="P96" s="202">
        <v>2.4562711275121201</v>
      </c>
      <c r="Q96" s="202">
        <v>0.14910198303230426</v>
      </c>
      <c r="R96" s="202">
        <v>-0.7982149429517017</v>
      </c>
      <c r="S96" s="202">
        <v>1.9744608884799266</v>
      </c>
      <c r="T96" s="202">
        <v>1.8185090038921274</v>
      </c>
      <c r="U96" s="221">
        <v>2.1180691904646487</v>
      </c>
      <c r="V96" s="202">
        <v>1.8156541953760545</v>
      </c>
      <c r="W96" s="202">
        <v>2.7690443379857852E-2</v>
      </c>
      <c r="X96" s="202">
        <v>2.5000000000000062</v>
      </c>
      <c r="CQ96" s="162"/>
    </row>
    <row r="97" spans="2:95" ht="12.5" x14ac:dyDescent="0.25">
      <c r="B97" s="199">
        <v>41</v>
      </c>
      <c r="C97" s="1911" t="s">
        <v>200</v>
      </c>
      <c r="D97" s="199">
        <v>41</v>
      </c>
      <c r="E97" s="205">
        <f>'SOUTH-1'!$N$1355</f>
        <v>-100</v>
      </c>
      <c r="F97" s="1890">
        <v>-0.26374387013717437</v>
      </c>
      <c r="G97" s="1890">
        <v>0.25081443441664303</v>
      </c>
      <c r="H97" s="1890">
        <v>4.0905922266293533E-2</v>
      </c>
      <c r="I97" s="1890">
        <v>-0.11632961788183366</v>
      </c>
      <c r="J97" s="1890">
        <v>-0.19184189872951804</v>
      </c>
      <c r="K97" s="1890">
        <v>-0.14387441185765978</v>
      </c>
      <c r="L97" s="205">
        <v>-0.28077895186810714</v>
      </c>
      <c r="M97" s="205">
        <v>0.16643618328910653</v>
      </c>
      <c r="N97" s="205">
        <v>0.16122684694470552</v>
      </c>
      <c r="O97" s="202">
        <v>0.30059342884911283</v>
      </c>
      <c r="P97" s="202">
        <v>8.3792053592332258E-2</v>
      </c>
      <c r="Q97" s="202">
        <v>0.272669692723916</v>
      </c>
      <c r="R97" s="202">
        <v>0.79852118175702635</v>
      </c>
      <c r="S97" s="202">
        <v>0.42989254623204259</v>
      </c>
      <c r="T97" s="202"/>
      <c r="CQ97" s="162"/>
    </row>
    <row r="98" spans="2:95" ht="25" x14ac:dyDescent="0.25">
      <c r="B98" s="199">
        <v>42</v>
      </c>
      <c r="C98" s="2006" t="s">
        <v>201</v>
      </c>
      <c r="D98" s="199">
        <v>42</v>
      </c>
      <c r="E98" s="205">
        <f>'SOUTH-1'!$N$1395</f>
        <v>-100</v>
      </c>
      <c r="F98" s="1890">
        <v>0.40352644903156493</v>
      </c>
      <c r="G98" s="1890">
        <v>1.098622973835256</v>
      </c>
      <c r="H98" s="1890">
        <v>0.87877400035981479</v>
      </c>
      <c r="I98" s="1890">
        <v>1.2702369024253639</v>
      </c>
      <c r="J98" s="1890">
        <v>0.82772200663610551</v>
      </c>
      <c r="K98" s="1890">
        <v>0.59433570529793478</v>
      </c>
      <c r="L98" s="205">
        <v>0.73970414964775832</v>
      </c>
      <c r="M98" s="205">
        <v>0.81016891445047434</v>
      </c>
      <c r="N98" s="205">
        <v>2.2413678339613767</v>
      </c>
      <c r="O98" s="202">
        <v>1.3695937013219455</v>
      </c>
      <c r="P98" s="202">
        <v>0.78557077627952487</v>
      </c>
      <c r="Q98" s="202">
        <v>0.75355200307000447</v>
      </c>
      <c r="R98" s="202">
        <v>1.4767761576817104</v>
      </c>
      <c r="S98" s="202" t="e">
        <v>#DIV/0!</v>
      </c>
      <c r="T98" s="202"/>
      <c r="CQ98" s="162"/>
    </row>
    <row r="99" spans="2:95" x14ac:dyDescent="0.35">
      <c r="C99" s="244" t="s">
        <v>230</v>
      </c>
      <c r="CQ99" s="162"/>
    </row>
    <row r="100" spans="2:95" x14ac:dyDescent="0.35">
      <c r="CQ100" s="162"/>
    </row>
    <row r="101" spans="2:95" x14ac:dyDescent="0.35">
      <c r="CQ101" s="162"/>
    </row>
    <row r="102" spans="2:95" x14ac:dyDescent="0.35">
      <c r="CQ102" s="162"/>
    </row>
    <row r="103" spans="2:95" x14ac:dyDescent="0.35">
      <c r="CQ103" s="162"/>
    </row>
    <row r="104" spans="2:95" x14ac:dyDescent="0.35">
      <c r="CQ104" s="162"/>
    </row>
    <row r="105" spans="2:95" x14ac:dyDescent="0.35">
      <c r="CQ105" s="162"/>
    </row>
    <row r="106" spans="2:95" x14ac:dyDescent="0.35">
      <c r="CQ106" s="162"/>
    </row>
    <row r="107" spans="2:95" x14ac:dyDescent="0.35">
      <c r="CQ107" s="162"/>
    </row>
    <row r="108" spans="2:95" x14ac:dyDescent="0.35">
      <c r="CQ108" s="162"/>
    </row>
    <row r="109" spans="2:95" x14ac:dyDescent="0.35">
      <c r="CQ109" s="162"/>
    </row>
    <row r="110" spans="2:95" x14ac:dyDescent="0.35">
      <c r="CQ110" s="162"/>
    </row>
    <row r="111" spans="2:95" x14ac:dyDescent="0.35">
      <c r="CQ111" s="162"/>
    </row>
    <row r="112" spans="2:95" x14ac:dyDescent="0.35">
      <c r="CQ112" s="162"/>
    </row>
    <row r="113" spans="95:95" x14ac:dyDescent="0.35">
      <c r="CQ113" s="162"/>
    </row>
    <row r="114" spans="95:95" x14ac:dyDescent="0.35">
      <c r="CQ114" s="162"/>
    </row>
    <row r="115" spans="95:95" x14ac:dyDescent="0.35">
      <c r="CQ115" s="162"/>
    </row>
    <row r="116" spans="95:95" x14ac:dyDescent="0.35">
      <c r="CQ116" s="162"/>
    </row>
    <row r="117" spans="95:95" x14ac:dyDescent="0.35">
      <c r="CQ117" s="162"/>
    </row>
    <row r="118" spans="95:95" x14ac:dyDescent="0.35">
      <c r="CQ118" s="162"/>
    </row>
    <row r="119" spans="95:95" x14ac:dyDescent="0.35">
      <c r="CQ119" s="162"/>
    </row>
    <row r="120" spans="95:95" x14ac:dyDescent="0.35">
      <c r="CQ120" s="162"/>
    </row>
    <row r="121" spans="95:95" x14ac:dyDescent="0.35">
      <c r="CQ121" s="162"/>
    </row>
    <row r="122" spans="95:95" x14ac:dyDescent="0.35">
      <c r="CQ122" s="162"/>
    </row>
    <row r="123" spans="95:95" x14ac:dyDescent="0.35">
      <c r="CQ123" s="162"/>
    </row>
    <row r="124" spans="95:95" x14ac:dyDescent="0.35">
      <c r="CQ124" s="162"/>
    </row>
    <row r="125" spans="95:95" x14ac:dyDescent="0.35">
      <c r="CQ125" s="162"/>
    </row>
    <row r="126" spans="95:95" x14ac:dyDescent="0.35">
      <c r="CQ126" s="162"/>
    </row>
    <row r="127" spans="95:95" x14ac:dyDescent="0.35">
      <c r="CQ127" s="162"/>
    </row>
    <row r="128" spans="95:95" x14ac:dyDescent="0.35">
      <c r="CQ128" s="162"/>
    </row>
    <row r="129" spans="95:95" x14ac:dyDescent="0.35">
      <c r="CQ129" s="162"/>
    </row>
    <row r="130" spans="95:95" x14ac:dyDescent="0.35">
      <c r="CQ130" s="162"/>
    </row>
    <row r="131" spans="95:95" x14ac:dyDescent="0.35">
      <c r="CQ131" s="162"/>
    </row>
    <row r="132" spans="95:95" x14ac:dyDescent="0.35">
      <c r="CQ132" s="162"/>
    </row>
    <row r="133" spans="95:95" x14ac:dyDescent="0.35">
      <c r="CQ133" s="162"/>
    </row>
    <row r="134" spans="95:95" x14ac:dyDescent="0.35">
      <c r="CQ134" s="162"/>
    </row>
    <row r="135" spans="95:95" x14ac:dyDescent="0.35">
      <c r="CQ135" s="162"/>
    </row>
    <row r="136" spans="95:95" x14ac:dyDescent="0.35">
      <c r="CQ136" s="162"/>
    </row>
    <row r="137" spans="95:95" x14ac:dyDescent="0.35">
      <c r="CQ137" s="162"/>
    </row>
    <row r="138" spans="95:95" x14ac:dyDescent="0.35">
      <c r="CQ138" s="162"/>
    </row>
    <row r="139" spans="95:95" x14ac:dyDescent="0.35">
      <c r="CQ139" s="162"/>
    </row>
    <row r="140" spans="95:95" x14ac:dyDescent="0.35">
      <c r="CQ140" s="162"/>
    </row>
    <row r="141" spans="95:95" x14ac:dyDescent="0.35">
      <c r="CQ141" s="162"/>
    </row>
    <row r="142" spans="95:95" x14ac:dyDescent="0.35">
      <c r="CQ142" s="162"/>
    </row>
    <row r="143" spans="95:95" x14ac:dyDescent="0.35">
      <c r="CQ143" s="162"/>
    </row>
    <row r="144" spans="95:95" x14ac:dyDescent="0.35">
      <c r="CQ144" s="162"/>
    </row>
    <row r="145" spans="95:95" x14ac:dyDescent="0.35">
      <c r="CQ145" s="162"/>
    </row>
    <row r="146" spans="95:95" x14ac:dyDescent="0.35">
      <c r="CQ146" s="162"/>
    </row>
    <row r="147" spans="95:95" x14ac:dyDescent="0.35">
      <c r="CQ147" s="162"/>
    </row>
    <row r="148" spans="95:95" x14ac:dyDescent="0.35">
      <c r="CQ148" s="162"/>
    </row>
    <row r="149" spans="95:95" x14ac:dyDescent="0.35">
      <c r="CQ149" s="162"/>
    </row>
    <row r="150" spans="95:95" x14ac:dyDescent="0.35">
      <c r="CQ150" s="162"/>
    </row>
    <row r="151" spans="95:95" x14ac:dyDescent="0.35">
      <c r="CQ151" s="162"/>
    </row>
    <row r="152" spans="95:95" x14ac:dyDescent="0.35">
      <c r="CQ152" s="162"/>
    </row>
    <row r="153" spans="95:95" x14ac:dyDescent="0.35">
      <c r="CQ153" s="162"/>
    </row>
    <row r="154" spans="95:95" x14ac:dyDescent="0.35">
      <c r="CQ154" s="162"/>
    </row>
    <row r="155" spans="95:95" x14ac:dyDescent="0.35">
      <c r="CQ155" s="162"/>
    </row>
    <row r="156" spans="95:95" x14ac:dyDescent="0.35">
      <c r="CQ156" s="162"/>
    </row>
    <row r="157" spans="95:95" x14ac:dyDescent="0.35">
      <c r="CQ157" s="162"/>
    </row>
    <row r="158" spans="95:95" x14ac:dyDescent="0.35">
      <c r="CQ158" s="162"/>
    </row>
    <row r="159" spans="95:95" x14ac:dyDescent="0.35">
      <c r="CQ159" s="162"/>
    </row>
    <row r="160" spans="95:95" x14ac:dyDescent="0.35">
      <c r="CQ160" s="162"/>
    </row>
    <row r="161" spans="95:95" x14ac:dyDescent="0.35">
      <c r="CQ161" s="162"/>
    </row>
    <row r="162" spans="95:95" x14ac:dyDescent="0.35">
      <c r="CQ162" s="162"/>
    </row>
    <row r="163" spans="95:95" x14ac:dyDescent="0.35">
      <c r="CQ163" s="162"/>
    </row>
    <row r="164" spans="95:95" x14ac:dyDescent="0.35">
      <c r="CQ164" s="162"/>
    </row>
    <row r="165" spans="95:95" x14ac:dyDescent="0.35">
      <c r="CQ165" s="162"/>
    </row>
    <row r="166" spans="95:95" x14ac:dyDescent="0.35">
      <c r="CQ166" s="162"/>
    </row>
    <row r="167" spans="95:95" x14ac:dyDescent="0.35">
      <c r="CQ167" s="162"/>
    </row>
    <row r="168" spans="95:95" x14ac:dyDescent="0.35">
      <c r="CQ168" s="162"/>
    </row>
    <row r="169" spans="95:95" x14ac:dyDescent="0.35">
      <c r="CQ169" s="162"/>
    </row>
    <row r="170" spans="95:95" x14ac:dyDescent="0.35">
      <c r="CQ170" s="162"/>
    </row>
    <row r="171" spans="95:95" x14ac:dyDescent="0.35">
      <c r="CQ171" s="162"/>
    </row>
    <row r="172" spans="95:95" x14ac:dyDescent="0.35">
      <c r="CQ172" s="162"/>
    </row>
    <row r="173" spans="95:95" x14ac:dyDescent="0.35">
      <c r="CQ173" s="162"/>
    </row>
    <row r="174" spans="95:95" x14ac:dyDescent="0.35">
      <c r="CQ174" s="162"/>
    </row>
    <row r="175" spans="95:95" x14ac:dyDescent="0.35">
      <c r="CQ175" s="162"/>
    </row>
    <row r="176" spans="95:95" x14ac:dyDescent="0.35">
      <c r="CQ176" s="162"/>
    </row>
    <row r="177" spans="95:95" x14ac:dyDescent="0.35">
      <c r="CQ177" s="162"/>
    </row>
    <row r="178" spans="95:95" x14ac:dyDescent="0.35">
      <c r="CQ178" s="162"/>
    </row>
    <row r="179" spans="95:95" x14ac:dyDescent="0.35">
      <c r="CQ179" s="162"/>
    </row>
    <row r="180" spans="95:95" x14ac:dyDescent="0.35">
      <c r="CQ180" s="162"/>
    </row>
    <row r="181" spans="95:95" x14ac:dyDescent="0.35">
      <c r="CQ181" s="162"/>
    </row>
    <row r="182" spans="95:95" x14ac:dyDescent="0.35">
      <c r="CQ182" s="162"/>
    </row>
    <row r="183" spans="95:95" x14ac:dyDescent="0.35">
      <c r="CQ183" s="162"/>
    </row>
    <row r="184" spans="95:95" x14ac:dyDescent="0.35">
      <c r="CQ184" s="162"/>
    </row>
    <row r="185" spans="95:95" x14ac:dyDescent="0.35">
      <c r="CQ185" s="162"/>
    </row>
    <row r="186" spans="95:95" x14ac:dyDescent="0.35">
      <c r="CQ186" s="162"/>
    </row>
    <row r="187" spans="95:95" x14ac:dyDescent="0.35">
      <c r="CQ187" s="162"/>
    </row>
    <row r="188" spans="95:95" x14ac:dyDescent="0.35">
      <c r="CQ188" s="162"/>
    </row>
    <row r="189" spans="95:95" x14ac:dyDescent="0.35">
      <c r="CQ189" s="162"/>
    </row>
    <row r="190" spans="95:95" x14ac:dyDescent="0.35">
      <c r="CQ190" s="162"/>
    </row>
    <row r="191" spans="95:95" x14ac:dyDescent="0.35">
      <c r="CQ191" s="162"/>
    </row>
    <row r="192" spans="95:95" x14ac:dyDescent="0.35">
      <c r="CQ192" s="162"/>
    </row>
    <row r="193" spans="95:95" x14ac:dyDescent="0.35">
      <c r="CQ193" s="162"/>
    </row>
    <row r="194" spans="95:95" x14ac:dyDescent="0.35">
      <c r="CQ194" s="162"/>
    </row>
    <row r="195" spans="95:95" x14ac:dyDescent="0.35">
      <c r="CQ195" s="162"/>
    </row>
    <row r="196" spans="95:95" x14ac:dyDescent="0.35">
      <c r="CQ196" s="162"/>
    </row>
    <row r="197" spans="95:95" x14ac:dyDescent="0.35">
      <c r="CQ197" s="162"/>
    </row>
    <row r="198" spans="95:95" x14ac:dyDescent="0.35">
      <c r="CQ198" s="162"/>
    </row>
    <row r="199" spans="95:95" x14ac:dyDescent="0.35">
      <c r="CQ199" s="162"/>
    </row>
    <row r="200" spans="95:95" x14ac:dyDescent="0.35">
      <c r="CQ200" s="162"/>
    </row>
    <row r="201" spans="95:95" x14ac:dyDescent="0.35">
      <c r="CQ201" s="162"/>
    </row>
    <row r="202" spans="95:95" x14ac:dyDescent="0.35">
      <c r="CQ202" s="162"/>
    </row>
    <row r="203" spans="95:95" x14ac:dyDescent="0.35">
      <c r="CQ203" s="162"/>
    </row>
    <row r="204" spans="95:95" x14ac:dyDescent="0.35">
      <c r="CQ204" s="162"/>
    </row>
    <row r="205" spans="95:95" x14ac:dyDescent="0.35">
      <c r="CQ205" s="162"/>
    </row>
    <row r="206" spans="95:95" x14ac:dyDescent="0.35">
      <c r="CQ206" s="162"/>
    </row>
    <row r="207" spans="95:95" x14ac:dyDescent="0.35">
      <c r="CQ207" s="162"/>
    </row>
    <row r="208" spans="95:95" x14ac:dyDescent="0.35">
      <c r="CQ208" s="162"/>
    </row>
    <row r="209" spans="95:95" x14ac:dyDescent="0.35">
      <c r="CQ209" s="162"/>
    </row>
    <row r="210" spans="95:95" x14ac:dyDescent="0.35">
      <c r="CQ210" s="162"/>
    </row>
    <row r="211" spans="95:95" x14ac:dyDescent="0.35">
      <c r="CQ211" s="162"/>
    </row>
    <row r="212" spans="95:95" x14ac:dyDescent="0.35">
      <c r="CQ212" s="162"/>
    </row>
    <row r="213" spans="95:95" x14ac:dyDescent="0.35">
      <c r="CQ213" s="162"/>
    </row>
    <row r="214" spans="95:95" x14ac:dyDescent="0.35">
      <c r="CQ214" s="162"/>
    </row>
    <row r="215" spans="95:95" x14ac:dyDescent="0.35">
      <c r="CQ215" s="162"/>
    </row>
    <row r="216" spans="95:95" x14ac:dyDescent="0.35">
      <c r="CQ216" s="162"/>
    </row>
    <row r="217" spans="95:95" x14ac:dyDescent="0.35">
      <c r="CQ217" s="162"/>
    </row>
    <row r="218" spans="95:95" x14ac:dyDescent="0.35">
      <c r="CQ218" s="162"/>
    </row>
    <row r="219" spans="95:95" x14ac:dyDescent="0.35">
      <c r="CQ219" s="162"/>
    </row>
    <row r="220" spans="95:95" x14ac:dyDescent="0.35">
      <c r="CQ220" s="162"/>
    </row>
    <row r="221" spans="95:95" x14ac:dyDescent="0.35">
      <c r="CQ221" s="162"/>
    </row>
    <row r="222" spans="95:95" x14ac:dyDescent="0.35">
      <c r="CQ222" s="162"/>
    </row>
    <row r="223" spans="95:95" x14ac:dyDescent="0.35">
      <c r="CQ223" s="162"/>
    </row>
    <row r="224" spans="95:95" x14ac:dyDescent="0.35">
      <c r="CQ224" s="162"/>
    </row>
    <row r="225" spans="95:95" x14ac:dyDescent="0.35">
      <c r="CQ225" s="162"/>
    </row>
    <row r="226" spans="95:95" x14ac:dyDescent="0.35">
      <c r="CQ226" s="162"/>
    </row>
    <row r="227" spans="95:95" x14ac:dyDescent="0.35">
      <c r="CQ227" s="162"/>
    </row>
    <row r="228" spans="95:95" x14ac:dyDescent="0.35">
      <c r="CQ228" s="162"/>
    </row>
    <row r="229" spans="95:95" x14ac:dyDescent="0.35">
      <c r="CQ229" s="162"/>
    </row>
    <row r="230" spans="95:95" x14ac:dyDescent="0.35">
      <c r="CQ230" s="162"/>
    </row>
    <row r="231" spans="95:95" x14ac:dyDescent="0.35">
      <c r="CQ231" s="162"/>
    </row>
    <row r="232" spans="95:95" x14ac:dyDescent="0.35">
      <c r="CQ232" s="162"/>
    </row>
    <row r="233" spans="95:95" x14ac:dyDescent="0.35">
      <c r="CQ233" s="162"/>
    </row>
    <row r="234" spans="95:95" x14ac:dyDescent="0.35">
      <c r="CQ234" s="162"/>
    </row>
    <row r="235" spans="95:95" x14ac:dyDescent="0.35">
      <c r="CQ235" s="162"/>
    </row>
    <row r="236" spans="95:95" x14ac:dyDescent="0.35">
      <c r="CQ236" s="162"/>
    </row>
    <row r="237" spans="95:95" x14ac:dyDescent="0.35">
      <c r="CQ237" s="162"/>
    </row>
    <row r="238" spans="95:95" x14ac:dyDescent="0.35">
      <c r="CQ238" s="162"/>
    </row>
    <row r="239" spans="95:95" x14ac:dyDescent="0.35">
      <c r="CQ239" s="162"/>
    </row>
    <row r="240" spans="95:95" x14ac:dyDescent="0.35">
      <c r="CQ240" s="162"/>
    </row>
    <row r="241" spans="95:95" x14ac:dyDescent="0.35">
      <c r="CQ241" s="162"/>
    </row>
    <row r="242" spans="95:95" x14ac:dyDescent="0.35">
      <c r="CQ242" s="162"/>
    </row>
    <row r="243" spans="95:95" x14ac:dyDescent="0.35">
      <c r="CQ243" s="162"/>
    </row>
    <row r="244" spans="95:95" x14ac:dyDescent="0.35">
      <c r="CQ244" s="162"/>
    </row>
    <row r="245" spans="95:95" x14ac:dyDescent="0.35">
      <c r="CQ245" s="162"/>
    </row>
    <row r="246" spans="95:95" x14ac:dyDescent="0.35">
      <c r="CQ246" s="162"/>
    </row>
    <row r="247" spans="95:95" x14ac:dyDescent="0.35">
      <c r="CQ247" s="162"/>
    </row>
    <row r="248" spans="95:95" x14ac:dyDescent="0.35">
      <c r="CQ248" s="162"/>
    </row>
    <row r="249" spans="95:95" x14ac:dyDescent="0.35">
      <c r="CQ249" s="162"/>
    </row>
    <row r="250" spans="95:95" x14ac:dyDescent="0.35">
      <c r="CQ250" s="162"/>
    </row>
    <row r="251" spans="95:95" x14ac:dyDescent="0.35">
      <c r="CQ251" s="162"/>
    </row>
    <row r="252" spans="95:95" x14ac:dyDescent="0.35">
      <c r="CQ252" s="162"/>
    </row>
    <row r="253" spans="95:95" x14ac:dyDescent="0.35">
      <c r="CQ253" s="162"/>
    </row>
    <row r="254" spans="95:95" x14ac:dyDescent="0.35">
      <c r="CQ254" s="162"/>
    </row>
    <row r="255" spans="95:95" x14ac:dyDescent="0.35">
      <c r="CQ255" s="162"/>
    </row>
    <row r="256" spans="95:95" x14ac:dyDescent="0.35">
      <c r="CQ256" s="162"/>
    </row>
    <row r="257" spans="95:95" x14ac:dyDescent="0.35">
      <c r="CQ257" s="162"/>
    </row>
    <row r="258" spans="95:95" x14ac:dyDescent="0.35">
      <c r="CQ258" s="162"/>
    </row>
    <row r="259" spans="95:95" x14ac:dyDescent="0.35">
      <c r="CQ259" s="162"/>
    </row>
    <row r="260" spans="95:95" x14ac:dyDescent="0.35">
      <c r="CQ260" s="162"/>
    </row>
    <row r="261" spans="95:95" x14ac:dyDescent="0.35">
      <c r="CQ261" s="162"/>
    </row>
    <row r="262" spans="95:95" x14ac:dyDescent="0.35">
      <c r="CQ262" s="162"/>
    </row>
    <row r="263" spans="95:95" x14ac:dyDescent="0.35">
      <c r="CQ263" s="162"/>
    </row>
    <row r="264" spans="95:95" x14ac:dyDescent="0.35">
      <c r="CQ264" s="162"/>
    </row>
    <row r="265" spans="95:95" x14ac:dyDescent="0.35">
      <c r="CQ265" s="162"/>
    </row>
    <row r="266" spans="95:95" x14ac:dyDescent="0.35">
      <c r="CQ266" s="162"/>
    </row>
    <row r="267" spans="95:95" x14ac:dyDescent="0.35">
      <c r="CQ267" s="162"/>
    </row>
    <row r="268" spans="95:95" x14ac:dyDescent="0.35">
      <c r="CQ268" s="162"/>
    </row>
    <row r="269" spans="95:95" x14ac:dyDescent="0.35">
      <c r="CQ269" s="162"/>
    </row>
    <row r="270" spans="95:95" x14ac:dyDescent="0.35">
      <c r="CQ270" s="162"/>
    </row>
    <row r="271" spans="95:95" x14ac:dyDescent="0.35">
      <c r="CQ271" s="162"/>
    </row>
    <row r="272" spans="95:95" x14ac:dyDescent="0.35">
      <c r="CQ272" s="162"/>
    </row>
    <row r="273" spans="95:95" x14ac:dyDescent="0.35">
      <c r="CQ273" s="162"/>
    </row>
    <row r="274" spans="95:95" x14ac:dyDescent="0.35">
      <c r="CQ274" s="162"/>
    </row>
    <row r="275" spans="95:95" x14ac:dyDescent="0.35">
      <c r="CQ275" s="162"/>
    </row>
    <row r="276" spans="95:95" x14ac:dyDescent="0.35">
      <c r="CQ276" s="162"/>
    </row>
    <row r="277" spans="95:95" x14ac:dyDescent="0.35">
      <c r="CQ277" s="162"/>
    </row>
    <row r="278" spans="95:95" x14ac:dyDescent="0.35">
      <c r="CQ278" s="162"/>
    </row>
    <row r="279" spans="95:95" x14ac:dyDescent="0.35">
      <c r="CQ279" s="162"/>
    </row>
    <row r="280" spans="95:95" x14ac:dyDescent="0.35">
      <c r="CQ280" s="162"/>
    </row>
    <row r="281" spans="95:95" x14ac:dyDescent="0.35">
      <c r="CQ281" s="162"/>
    </row>
    <row r="282" spans="95:95" x14ac:dyDescent="0.35">
      <c r="CQ282" s="162"/>
    </row>
    <row r="283" spans="95:95" x14ac:dyDescent="0.35">
      <c r="CQ283" s="162"/>
    </row>
    <row r="284" spans="95:95" x14ac:dyDescent="0.35">
      <c r="CQ284" s="162"/>
    </row>
    <row r="285" spans="95:95" x14ac:dyDescent="0.35">
      <c r="CQ285" s="162"/>
    </row>
    <row r="286" spans="95:95" x14ac:dyDescent="0.35">
      <c r="CQ286" s="162"/>
    </row>
    <row r="287" spans="95:95" x14ac:dyDescent="0.35">
      <c r="CQ287" s="162"/>
    </row>
    <row r="288" spans="95:95" x14ac:dyDescent="0.35">
      <c r="CQ288" s="162"/>
    </row>
    <row r="289" spans="95:95" x14ac:dyDescent="0.35">
      <c r="CQ289" s="162"/>
    </row>
    <row r="290" spans="95:95" x14ac:dyDescent="0.35">
      <c r="CQ290" s="162"/>
    </row>
    <row r="291" spans="95:95" x14ac:dyDescent="0.35">
      <c r="CQ291" s="162"/>
    </row>
    <row r="292" spans="95:95" x14ac:dyDescent="0.35">
      <c r="CQ292" s="162"/>
    </row>
    <row r="293" spans="95:95" x14ac:dyDescent="0.35">
      <c r="CQ293" s="162"/>
    </row>
    <row r="294" spans="95:95" x14ac:dyDescent="0.35">
      <c r="CQ294" s="162"/>
    </row>
    <row r="295" spans="95:95" x14ac:dyDescent="0.35">
      <c r="CQ295" s="162"/>
    </row>
    <row r="296" spans="95:95" x14ac:dyDescent="0.35">
      <c r="CQ296" s="162"/>
    </row>
    <row r="297" spans="95:95" x14ac:dyDescent="0.35">
      <c r="CQ297" s="162"/>
    </row>
    <row r="298" spans="95:95" x14ac:dyDescent="0.35">
      <c r="CQ298" s="162"/>
    </row>
    <row r="299" spans="95:95" x14ac:dyDescent="0.35">
      <c r="CQ299" s="162"/>
    </row>
    <row r="300" spans="95:95" x14ac:dyDescent="0.35">
      <c r="CQ300" s="162"/>
    </row>
    <row r="301" spans="95:95" x14ac:dyDescent="0.35">
      <c r="CQ301" s="162"/>
    </row>
    <row r="302" spans="95:95" x14ac:dyDescent="0.35">
      <c r="CQ302" s="162"/>
    </row>
    <row r="303" spans="95:95" x14ac:dyDescent="0.35">
      <c r="CQ303" s="162"/>
    </row>
    <row r="304" spans="95:95" x14ac:dyDescent="0.35">
      <c r="CQ304" s="162"/>
    </row>
    <row r="305" spans="95:95" x14ac:dyDescent="0.35">
      <c r="CQ305" s="162"/>
    </row>
    <row r="306" spans="95:95" x14ac:dyDescent="0.35">
      <c r="CQ306" s="162"/>
    </row>
    <row r="307" spans="95:95" x14ac:dyDescent="0.35">
      <c r="CQ307" s="162"/>
    </row>
    <row r="308" spans="95:95" x14ac:dyDescent="0.35">
      <c r="CQ308" s="162"/>
    </row>
    <row r="309" spans="95:95" x14ac:dyDescent="0.35">
      <c r="CQ309" s="162"/>
    </row>
    <row r="310" spans="95:95" x14ac:dyDescent="0.35">
      <c r="CQ310" s="162"/>
    </row>
    <row r="311" spans="95:95" x14ac:dyDescent="0.35">
      <c r="CQ311" s="162"/>
    </row>
    <row r="312" spans="95:95" x14ac:dyDescent="0.35">
      <c r="CQ312" s="162"/>
    </row>
    <row r="313" spans="95:95" x14ac:dyDescent="0.35">
      <c r="CQ313" s="162"/>
    </row>
    <row r="314" spans="95:95" x14ac:dyDescent="0.35">
      <c r="CQ314" s="162"/>
    </row>
    <row r="315" spans="95:95" x14ac:dyDescent="0.35">
      <c r="CQ315" s="162"/>
    </row>
    <row r="316" spans="95:95" x14ac:dyDescent="0.35">
      <c r="CQ316" s="162"/>
    </row>
    <row r="317" spans="95:95" x14ac:dyDescent="0.35">
      <c r="CQ317" s="162"/>
    </row>
    <row r="318" spans="95:95" x14ac:dyDescent="0.35">
      <c r="CQ318" s="162"/>
    </row>
    <row r="319" spans="95:95" x14ac:dyDescent="0.35">
      <c r="CQ319" s="162"/>
    </row>
    <row r="320" spans="95:95" x14ac:dyDescent="0.35">
      <c r="CQ320" s="162"/>
    </row>
    <row r="321" spans="95:95" x14ac:dyDescent="0.35">
      <c r="CQ321" s="162"/>
    </row>
    <row r="322" spans="95:95" x14ac:dyDescent="0.35">
      <c r="CQ322" s="162"/>
    </row>
    <row r="323" spans="95:95" x14ac:dyDescent="0.35">
      <c r="CQ323" s="162"/>
    </row>
    <row r="324" spans="95:95" x14ac:dyDescent="0.35">
      <c r="CQ324" s="162"/>
    </row>
    <row r="325" spans="95:95" x14ac:dyDescent="0.35">
      <c r="CQ325" s="162"/>
    </row>
    <row r="326" spans="95:95" x14ac:dyDescent="0.35">
      <c r="CQ326" s="162"/>
    </row>
    <row r="327" spans="95:95" x14ac:dyDescent="0.35">
      <c r="CQ327" s="162"/>
    </row>
    <row r="328" spans="95:95" x14ac:dyDescent="0.35">
      <c r="CQ328" s="162"/>
    </row>
    <row r="329" spans="95:95" x14ac:dyDescent="0.35">
      <c r="CQ329" s="162"/>
    </row>
    <row r="330" spans="95:95" x14ac:dyDescent="0.35">
      <c r="CQ330" s="162"/>
    </row>
    <row r="331" spans="95:95" x14ac:dyDescent="0.35">
      <c r="CQ331" s="162"/>
    </row>
    <row r="332" spans="95:95" x14ac:dyDescent="0.35">
      <c r="CQ332" s="162"/>
    </row>
    <row r="333" spans="95:95" x14ac:dyDescent="0.35">
      <c r="CQ333" s="162"/>
    </row>
    <row r="334" spans="95:95" x14ac:dyDescent="0.35">
      <c r="CQ334" s="162"/>
    </row>
    <row r="335" spans="95:95" x14ac:dyDescent="0.35">
      <c r="CQ335" s="162"/>
    </row>
    <row r="336" spans="95:95" x14ac:dyDescent="0.35">
      <c r="CQ336" s="162"/>
    </row>
    <row r="337" spans="95:95" x14ac:dyDescent="0.35">
      <c r="CQ337" s="162"/>
    </row>
    <row r="338" spans="95:95" x14ac:dyDescent="0.35">
      <c r="CQ338" s="227"/>
    </row>
    <row r="339" spans="95:95" x14ac:dyDescent="0.35">
      <c r="CQ339" s="227"/>
    </row>
    <row r="340" spans="95:95" x14ac:dyDescent="0.35">
      <c r="CQ340" s="227"/>
    </row>
    <row r="341" spans="95:95" x14ac:dyDescent="0.35">
      <c r="CQ341" s="227"/>
    </row>
    <row r="342" spans="95:95" x14ac:dyDescent="0.35">
      <c r="CQ342" s="227"/>
    </row>
    <row r="343" spans="95:95" x14ac:dyDescent="0.35">
      <c r="CQ343" s="227"/>
    </row>
    <row r="344" spans="95:95" x14ac:dyDescent="0.35">
      <c r="CQ344" s="227"/>
    </row>
    <row r="345" spans="95:95" x14ac:dyDescent="0.35">
      <c r="CQ345" s="227"/>
    </row>
    <row r="346" spans="95:95" x14ac:dyDescent="0.35">
      <c r="CQ346" s="227"/>
    </row>
    <row r="347" spans="95:95" x14ac:dyDescent="0.35">
      <c r="CQ347" s="227"/>
    </row>
    <row r="348" spans="95:95" x14ac:dyDescent="0.35">
      <c r="CQ348" s="227"/>
    </row>
    <row r="349" spans="95:95" x14ac:dyDescent="0.35">
      <c r="CQ349" s="162"/>
    </row>
    <row r="350" spans="95:95" x14ac:dyDescent="0.35">
      <c r="CQ350" s="162"/>
    </row>
    <row r="351" spans="95:95" x14ac:dyDescent="0.35">
      <c r="CQ351" s="246"/>
    </row>
    <row r="352" spans="95:95" x14ac:dyDescent="0.35">
      <c r="CQ352" s="162"/>
    </row>
    <row r="353" spans="95:95" x14ac:dyDescent="0.35">
      <c r="CQ353" s="185"/>
    </row>
    <row r="354" spans="95:95" x14ac:dyDescent="0.35">
      <c r="CQ354" s="247"/>
    </row>
    <row r="355" spans="95:95" x14ac:dyDescent="0.35">
      <c r="CQ355" s="248"/>
    </row>
    <row r="356" spans="95:95" x14ac:dyDescent="0.35">
      <c r="CQ356" s="249"/>
    </row>
    <row r="357" spans="95:95" x14ac:dyDescent="0.35">
      <c r="CQ357" s="250"/>
    </row>
    <row r="358" spans="95:95" x14ac:dyDescent="0.35">
      <c r="CQ358" s="251"/>
    </row>
    <row r="359" spans="95:95" x14ac:dyDescent="0.35">
      <c r="CQ359" s="252"/>
    </row>
    <row r="360" spans="95:95" x14ac:dyDescent="0.35">
      <c r="CQ360" s="252"/>
    </row>
    <row r="361" spans="95:95" x14ac:dyDescent="0.35">
      <c r="CQ361" s="252"/>
    </row>
    <row r="362" spans="95:95" x14ac:dyDescent="0.35">
      <c r="CQ362" s="252"/>
    </row>
    <row r="363" spans="95:95" x14ac:dyDescent="0.35">
      <c r="CQ363" s="253"/>
    </row>
    <row r="364" spans="95:95" x14ac:dyDescent="0.35">
      <c r="CQ364" s="254"/>
    </row>
    <row r="365" spans="95:95" x14ac:dyDescent="0.35">
      <c r="CQ365" s="253"/>
    </row>
    <row r="366" spans="95:95" x14ac:dyDescent="0.35">
      <c r="CQ366" s="254"/>
    </row>
    <row r="367" spans="95:95" x14ac:dyDescent="0.35">
      <c r="CQ367" s="254"/>
    </row>
    <row r="368" spans="95:95" x14ac:dyDescent="0.35">
      <c r="CQ368" s="252"/>
    </row>
    <row r="369" spans="95:95" x14ac:dyDescent="0.35">
      <c r="CQ369" s="252"/>
    </row>
    <row r="370" spans="95:95" x14ac:dyDescent="0.35">
      <c r="CQ370" s="252"/>
    </row>
    <row r="371" spans="95:95" x14ac:dyDescent="0.35">
      <c r="CQ371" s="252"/>
    </row>
    <row r="372" spans="95:95" x14ac:dyDescent="0.35">
      <c r="CQ372" s="252"/>
    </row>
    <row r="373" spans="95:95" x14ac:dyDescent="0.35">
      <c r="CQ373" s="252"/>
    </row>
    <row r="374" spans="95:95" x14ac:dyDescent="0.35">
      <c r="CQ374" s="252"/>
    </row>
    <row r="375" spans="95:95" x14ac:dyDescent="0.35">
      <c r="CQ375" s="252"/>
    </row>
    <row r="376" spans="95:95" ht="16" thickBot="1" x14ac:dyDescent="0.4">
      <c r="CQ376" s="255"/>
    </row>
    <row r="377" spans="95:95" ht="16" thickBot="1" x14ac:dyDescent="0.4">
      <c r="CQ377" s="256"/>
    </row>
    <row r="379" spans="95:95" x14ac:dyDescent="0.35">
      <c r="CQ379" s="162"/>
    </row>
    <row r="380" spans="95:95" x14ac:dyDescent="0.35">
      <c r="CQ380" s="257"/>
    </row>
    <row r="381" spans="95:95" x14ac:dyDescent="0.35">
      <c r="CQ381" s="255"/>
    </row>
    <row r="382" spans="95:95" x14ac:dyDescent="0.35">
      <c r="CQ382" s="250"/>
    </row>
    <row r="383" spans="95:95" x14ac:dyDescent="0.35">
      <c r="CQ383" s="250"/>
    </row>
    <row r="384" spans="95:95" x14ac:dyDescent="0.35">
      <c r="CQ384" s="250"/>
    </row>
    <row r="385" spans="95:95" x14ac:dyDescent="0.35">
      <c r="CQ385" s="250"/>
    </row>
    <row r="386" spans="95:95" ht="16" thickBot="1" x14ac:dyDescent="0.4">
      <c r="CQ386" s="258"/>
    </row>
    <row r="387" spans="95:95" ht="16" thickBot="1" x14ac:dyDescent="0.4">
      <c r="CQ387" s="259"/>
    </row>
    <row r="388" spans="95:95" x14ac:dyDescent="0.35">
      <c r="CQ388" s="260"/>
    </row>
    <row r="389" spans="95:95" x14ac:dyDescent="0.35">
      <c r="CQ389" s="246"/>
    </row>
    <row r="390" spans="95:95" x14ac:dyDescent="0.35">
      <c r="CQ390" s="246"/>
    </row>
    <row r="391" spans="95:95" x14ac:dyDescent="0.35">
      <c r="CQ391" s="246"/>
    </row>
    <row r="392" spans="95:95" x14ac:dyDescent="0.35">
      <c r="CQ392" s="246"/>
    </row>
    <row r="393" spans="95:95" x14ac:dyDescent="0.35">
      <c r="CQ393" s="246"/>
    </row>
    <row r="394" spans="95:95" x14ac:dyDescent="0.35">
      <c r="CQ394" s="246"/>
    </row>
    <row r="395" spans="95:95" x14ac:dyDescent="0.35">
      <c r="CQ395" s="246"/>
    </row>
    <row r="396" spans="95:95" x14ac:dyDescent="0.35">
      <c r="CQ396" s="246"/>
    </row>
    <row r="397" spans="95:95" x14ac:dyDescent="0.35">
      <c r="CQ397" s="162"/>
    </row>
    <row r="398" spans="95:95" x14ac:dyDescent="0.35">
      <c r="CQ398" s="162"/>
    </row>
    <row r="399" spans="95:95" x14ac:dyDescent="0.35">
      <c r="CQ399" s="162"/>
    </row>
    <row r="400" spans="95:95" x14ac:dyDescent="0.35">
      <c r="CQ400" s="261"/>
    </row>
    <row r="401" spans="95:95" x14ac:dyDescent="0.35">
      <c r="CQ401" s="247"/>
    </row>
    <row r="402" spans="95:95" x14ac:dyDescent="0.35">
      <c r="CQ402" s="251"/>
    </row>
    <row r="403" spans="95:95" x14ac:dyDescent="0.35">
      <c r="CQ403" s="251"/>
    </row>
    <row r="404" spans="95:95" x14ac:dyDescent="0.35">
      <c r="CQ404" s="262"/>
    </row>
    <row r="405" spans="95:95" x14ac:dyDescent="0.35">
      <c r="CQ405" s="263"/>
    </row>
    <row r="406" spans="95:95" x14ac:dyDescent="0.35">
      <c r="CQ406" s="264"/>
    </row>
    <row r="407" spans="95:95" x14ac:dyDescent="0.35">
      <c r="CQ407" s="252"/>
    </row>
    <row r="408" spans="95:95" x14ac:dyDescent="0.35">
      <c r="CQ408" s="252"/>
    </row>
    <row r="409" spans="95:95" x14ac:dyDescent="0.35">
      <c r="CQ409" s="253"/>
    </row>
    <row r="410" spans="95:95" x14ac:dyDescent="0.35">
      <c r="CQ410" s="252"/>
    </row>
    <row r="411" spans="95:95" x14ac:dyDescent="0.35">
      <c r="CQ411" s="252"/>
    </row>
    <row r="412" spans="95:95" x14ac:dyDescent="0.35">
      <c r="CQ412" s="265"/>
    </row>
    <row r="413" spans="95:95" x14ac:dyDescent="0.35">
      <c r="CQ413" s="254"/>
    </row>
    <row r="414" spans="95:95" x14ac:dyDescent="0.35">
      <c r="CQ414" s="252"/>
    </row>
    <row r="415" spans="95:95" x14ac:dyDescent="0.35">
      <c r="CQ415" s="253"/>
    </row>
    <row r="416" spans="95:95" x14ac:dyDescent="0.35">
      <c r="CQ416" s="252"/>
    </row>
    <row r="417" spans="95:95" x14ac:dyDescent="0.35">
      <c r="CQ417" s="252"/>
    </row>
    <row r="418" spans="95:95" x14ac:dyDescent="0.35">
      <c r="CQ418" s="252"/>
    </row>
    <row r="419" spans="95:95" x14ac:dyDescent="0.35">
      <c r="CQ419" s="253"/>
    </row>
    <row r="420" spans="95:95" x14ac:dyDescent="0.35">
      <c r="CQ420" s="252"/>
    </row>
    <row r="421" spans="95:95" x14ac:dyDescent="0.35">
      <c r="CQ421" s="252"/>
    </row>
    <row r="422" spans="95:95" x14ac:dyDescent="0.35">
      <c r="CQ422" s="266"/>
    </row>
    <row r="423" spans="95:95" x14ac:dyDescent="0.35">
      <c r="CQ423" s="252"/>
    </row>
    <row r="424" spans="95:95" x14ac:dyDescent="0.35">
      <c r="CQ424" s="252"/>
    </row>
    <row r="425" spans="95:95" x14ac:dyDescent="0.35">
      <c r="CQ425" s="252"/>
    </row>
    <row r="426" spans="95:95" ht="16" thickBot="1" x14ac:dyDescent="0.4">
      <c r="CQ426" s="267"/>
    </row>
    <row r="427" spans="95:95" x14ac:dyDescent="0.35">
      <c r="CQ427" s="162"/>
    </row>
    <row r="428" spans="95:95" x14ac:dyDescent="0.35">
      <c r="CQ428" s="162"/>
    </row>
    <row r="429" spans="95:95" ht="16" thickBot="1" x14ac:dyDescent="0.4">
      <c r="CQ429" s="268"/>
    </row>
    <row r="430" spans="95:95" x14ac:dyDescent="0.35">
      <c r="CQ430" s="269"/>
    </row>
    <row r="431" spans="95:95" x14ac:dyDescent="0.35">
      <c r="CQ431" s="250"/>
    </row>
    <row r="432" spans="95:95" x14ac:dyDescent="0.35">
      <c r="CQ432" s="270"/>
    </row>
    <row r="433" spans="95:95" x14ac:dyDescent="0.35">
      <c r="CQ433" s="270"/>
    </row>
    <row r="434" spans="95:95" x14ac:dyDescent="0.35">
      <c r="CQ434" s="270"/>
    </row>
    <row r="435" spans="95:95" x14ac:dyDescent="0.35">
      <c r="CQ435" s="250"/>
    </row>
    <row r="436" spans="95:95" x14ac:dyDescent="0.35">
      <c r="CQ436" s="271"/>
    </row>
    <row r="437" spans="95:95" x14ac:dyDescent="0.35">
      <c r="CQ437" s="271"/>
    </row>
    <row r="438" spans="95:95" x14ac:dyDescent="0.35">
      <c r="CQ438" s="271"/>
    </row>
    <row r="439" spans="95:95" x14ac:dyDescent="0.35">
      <c r="CQ439" s="250"/>
    </row>
    <row r="440" spans="95:95" x14ac:dyDescent="0.35">
      <c r="CQ440" s="250"/>
    </row>
    <row r="441" spans="95:95" x14ac:dyDescent="0.35">
      <c r="CQ441" s="250"/>
    </row>
    <row r="442" spans="95:95" x14ac:dyDescent="0.35">
      <c r="CQ442" s="272"/>
    </row>
    <row r="453" spans="95:95" x14ac:dyDescent="0.35">
      <c r="CQ453" s="162"/>
    </row>
    <row r="454" spans="95:95" x14ac:dyDescent="0.35">
      <c r="CQ454" s="162"/>
    </row>
    <row r="455" spans="95:95" x14ac:dyDescent="0.35">
      <c r="CQ455" s="162"/>
    </row>
    <row r="456" spans="95:95" ht="16" thickBot="1" x14ac:dyDescent="0.4">
      <c r="CQ456" s="273"/>
    </row>
    <row r="457" spans="95:95" x14ac:dyDescent="0.35">
      <c r="CQ457" s="269"/>
    </row>
    <row r="458" spans="95:95" x14ac:dyDescent="0.35">
      <c r="CQ458" s="274"/>
    </row>
    <row r="459" spans="95:95" x14ac:dyDescent="0.35">
      <c r="CQ459" s="274"/>
    </row>
    <row r="460" spans="95:95" ht="16" thickBot="1" x14ac:dyDescent="0.4">
      <c r="CQ460" s="250"/>
    </row>
    <row r="461" spans="95:95" ht="16" thickBot="1" x14ac:dyDescent="0.4">
      <c r="CQ461" s="259"/>
    </row>
    <row r="462" spans="95:95" x14ac:dyDescent="0.35">
      <c r="CQ462" s="275"/>
    </row>
    <row r="463" spans="95:95" x14ac:dyDescent="0.35">
      <c r="CQ463" s="263"/>
    </row>
    <row r="464" spans="95:95" x14ac:dyDescent="0.35">
      <c r="CQ464" s="263"/>
    </row>
    <row r="465" spans="95:95" x14ac:dyDescent="0.35">
      <c r="CQ465" s="263"/>
    </row>
    <row r="466" spans="95:95" x14ac:dyDescent="0.35">
      <c r="CQ466" s="276"/>
    </row>
    <row r="467" spans="95:95" x14ac:dyDescent="0.35">
      <c r="CQ467" s="263"/>
    </row>
    <row r="468" spans="95:95" x14ac:dyDescent="0.35">
      <c r="CQ468" s="277"/>
    </row>
    <row r="469" spans="95:95" x14ac:dyDescent="0.35">
      <c r="CQ469" s="263"/>
    </row>
    <row r="470" spans="95:95" x14ac:dyDescent="0.35">
      <c r="CQ470" s="263"/>
    </row>
    <row r="471" spans="95:95" x14ac:dyDescent="0.35">
      <c r="CQ471" s="276"/>
    </row>
    <row r="472" spans="95:95" x14ac:dyDescent="0.35">
      <c r="CQ472" s="263"/>
    </row>
    <row r="473" spans="95:95" x14ac:dyDescent="0.35">
      <c r="CQ473" s="263"/>
    </row>
    <row r="474" spans="95:95" x14ac:dyDescent="0.35">
      <c r="CQ474" s="263"/>
    </row>
    <row r="475" spans="95:95" x14ac:dyDescent="0.35">
      <c r="CQ475" s="278"/>
    </row>
    <row r="476" spans="95:95" x14ac:dyDescent="0.35">
      <c r="CQ476" s="275"/>
    </row>
    <row r="477" spans="95:95" x14ac:dyDescent="0.35">
      <c r="CQ477" s="279"/>
    </row>
    <row r="478" spans="95:95" x14ac:dyDescent="0.35">
      <c r="CQ478" s="277"/>
    </row>
    <row r="479" spans="95:95" x14ac:dyDescent="0.35">
      <c r="CQ479" s="275"/>
    </row>
    <row r="480" spans="95:95" x14ac:dyDescent="0.35">
      <c r="CQ480" s="278"/>
    </row>
    <row r="481" spans="95:95" x14ac:dyDescent="0.35">
      <c r="CQ481" s="270"/>
    </row>
    <row r="482" spans="95:95" x14ac:dyDescent="0.35">
      <c r="CQ482" s="277"/>
    </row>
    <row r="483" spans="95:95" x14ac:dyDescent="0.35">
      <c r="CQ483" s="280"/>
    </row>
    <row r="484" spans="95:95" x14ac:dyDescent="0.35">
      <c r="CQ484" s="280"/>
    </row>
    <row r="485" spans="95:95" x14ac:dyDescent="0.35">
      <c r="CQ485" s="281"/>
    </row>
    <row r="486" spans="95:95" x14ac:dyDescent="0.35">
      <c r="CQ486" s="281"/>
    </row>
    <row r="487" spans="95:95" x14ac:dyDescent="0.35">
      <c r="CQ487" s="263"/>
    </row>
    <row r="488" spans="95:95" x14ac:dyDescent="0.35">
      <c r="CQ488" s="263"/>
    </row>
    <row r="489" spans="95:95" x14ac:dyDescent="0.35">
      <c r="CQ489" s="275"/>
    </row>
    <row r="490" spans="95:95" x14ac:dyDescent="0.35">
      <c r="CQ490" s="282"/>
    </row>
    <row r="491" spans="95:95" ht="16" thickBot="1" x14ac:dyDescent="0.4">
      <c r="CQ491" s="283"/>
    </row>
    <row r="493" spans="95:95" x14ac:dyDescent="0.35">
      <c r="CQ493" s="162"/>
    </row>
    <row r="494" spans="95:95" x14ac:dyDescent="0.35">
      <c r="CQ494" s="257"/>
    </row>
    <row r="495" spans="95:95" x14ac:dyDescent="0.35">
      <c r="CQ495" s="284"/>
    </row>
    <row r="496" spans="95:95" x14ac:dyDescent="0.35">
      <c r="CQ496" s="284"/>
    </row>
    <row r="504" spans="95:95" x14ac:dyDescent="0.35">
      <c r="CQ504" s="285"/>
    </row>
    <row r="505" spans="95:95" x14ac:dyDescent="0.35">
      <c r="CQ505" s="198"/>
    </row>
    <row r="506" spans="95:95" x14ac:dyDescent="0.35">
      <c r="CQ506" s="198"/>
    </row>
    <row r="507" spans="95:95" x14ac:dyDescent="0.35">
      <c r="CQ507" s="198"/>
    </row>
    <row r="508" spans="95:95" x14ac:dyDescent="0.35">
      <c r="CQ508" s="198"/>
    </row>
    <row r="509" spans="95:95" x14ac:dyDescent="0.35">
      <c r="CQ509" s="198"/>
    </row>
    <row r="510" spans="95:95" x14ac:dyDescent="0.35">
      <c r="CQ510" s="198"/>
    </row>
    <row r="511" spans="95:95" x14ac:dyDescent="0.35">
      <c r="CQ511" s="198"/>
    </row>
    <row r="512" spans="95:95" x14ac:dyDescent="0.35">
      <c r="CQ512" s="198"/>
    </row>
    <row r="513" spans="95:95" x14ac:dyDescent="0.35">
      <c r="CQ513" s="198"/>
    </row>
    <row r="516" spans="95:95" x14ac:dyDescent="0.35">
      <c r="CQ516" s="162"/>
    </row>
    <row r="517" spans="95:95" x14ac:dyDescent="0.35">
      <c r="CQ517" s="162"/>
    </row>
    <row r="518" spans="95:95" x14ac:dyDescent="0.35">
      <c r="CQ518" s="162"/>
    </row>
    <row r="519" spans="95:95" ht="16" thickBot="1" x14ac:dyDescent="0.4">
      <c r="CQ519" s="185"/>
    </row>
    <row r="520" spans="95:95" x14ac:dyDescent="0.35">
      <c r="CQ520" s="286"/>
    </row>
    <row r="521" spans="95:95" x14ac:dyDescent="0.35">
      <c r="CQ521" s="287"/>
    </row>
    <row r="522" spans="95:95" x14ac:dyDescent="0.35">
      <c r="CQ522" s="288"/>
    </row>
    <row r="523" spans="95:95" x14ac:dyDescent="0.35">
      <c r="CQ523" s="287"/>
    </row>
    <row r="524" spans="95:95" x14ac:dyDescent="0.35">
      <c r="CQ524" s="288"/>
    </row>
    <row r="525" spans="95:95" x14ac:dyDescent="0.35">
      <c r="CQ525" s="288"/>
    </row>
    <row r="526" spans="95:95" x14ac:dyDescent="0.35">
      <c r="CQ526" s="289"/>
    </row>
    <row r="527" spans="95:95" x14ac:dyDescent="0.35">
      <c r="CQ527" s="290"/>
    </row>
    <row r="528" spans="95:95" x14ac:dyDescent="0.35">
      <c r="CQ528" s="290"/>
    </row>
    <row r="529" spans="95:95" x14ac:dyDescent="0.35">
      <c r="CQ529" s="290"/>
    </row>
    <row r="530" spans="95:95" ht="16" thickBot="1" x14ac:dyDescent="0.4">
      <c r="CQ530" s="291"/>
    </row>
    <row r="531" spans="95:95" ht="16" thickBot="1" x14ac:dyDescent="0.4">
      <c r="CQ531" s="292"/>
    </row>
    <row r="532" spans="95:95" ht="16" thickBot="1" x14ac:dyDescent="0.4">
      <c r="CQ532" s="292"/>
    </row>
    <row r="533" spans="95:95" ht="16" thickBot="1" x14ac:dyDescent="0.4">
      <c r="CQ533" s="292"/>
    </row>
    <row r="534" spans="95:95" ht="16" thickBot="1" x14ac:dyDescent="0.4">
      <c r="CQ534" s="292"/>
    </row>
    <row r="535" spans="95:95" ht="16" thickBot="1" x14ac:dyDescent="0.4">
      <c r="CQ535" s="292"/>
    </row>
    <row r="536" spans="95:95" ht="16" thickBot="1" x14ac:dyDescent="0.4">
      <c r="CQ536" s="292"/>
    </row>
    <row r="537" spans="95:95" ht="16" thickBot="1" x14ac:dyDescent="0.4">
      <c r="CQ537" s="292"/>
    </row>
    <row r="538" spans="95:95" ht="16" thickBot="1" x14ac:dyDescent="0.4">
      <c r="CQ538" s="292"/>
    </row>
    <row r="539" spans="95:95" ht="16" thickBot="1" x14ac:dyDescent="0.4">
      <c r="CQ539" s="292"/>
    </row>
    <row r="540" spans="95:95" ht="16" thickBot="1" x14ac:dyDescent="0.4">
      <c r="CQ540" s="292"/>
    </row>
    <row r="541" spans="95:95" x14ac:dyDescent="0.35">
      <c r="CQ541" s="292"/>
    </row>
    <row r="542" spans="95:95" x14ac:dyDescent="0.35">
      <c r="CQ542" s="250"/>
    </row>
    <row r="543" spans="95:95" x14ac:dyDescent="0.35">
      <c r="CQ543" s="291"/>
    </row>
    <row r="544" spans="95:95" x14ac:dyDescent="0.35">
      <c r="CQ544" s="264"/>
    </row>
    <row r="545" spans="95:95" x14ac:dyDescent="0.35">
      <c r="CQ545" s="264"/>
    </row>
    <row r="546" spans="95:95" x14ac:dyDescent="0.35">
      <c r="CQ546" s="264"/>
    </row>
    <row r="547" spans="95:95" x14ac:dyDescent="0.35">
      <c r="CQ547" s="264"/>
    </row>
    <row r="548" spans="95:95" x14ac:dyDescent="0.35">
      <c r="CQ548" s="264"/>
    </row>
    <row r="549" spans="95:95" x14ac:dyDescent="0.35">
      <c r="CQ549" s="264"/>
    </row>
    <row r="550" spans="95:95" x14ac:dyDescent="0.35">
      <c r="CQ550" s="264"/>
    </row>
    <row r="551" spans="95:95" x14ac:dyDescent="0.35">
      <c r="CQ551" s="293"/>
    </row>
    <row r="552" spans="95:95" x14ac:dyDescent="0.35">
      <c r="CQ552" s="294"/>
    </row>
    <row r="553" spans="95:95" x14ac:dyDescent="0.35">
      <c r="CQ553" s="295"/>
    </row>
    <row r="554" spans="95:95" x14ac:dyDescent="0.35">
      <c r="CQ554" s="295"/>
    </row>
    <row r="555" spans="95:95" x14ac:dyDescent="0.35">
      <c r="CQ555" s="295"/>
    </row>
    <row r="556" spans="95:95" x14ac:dyDescent="0.35">
      <c r="CQ556" s="295"/>
    </row>
    <row r="557" spans="95:95" x14ac:dyDescent="0.35">
      <c r="CQ557" s="295"/>
    </row>
    <row r="558" spans="95:95" x14ac:dyDescent="0.35">
      <c r="CQ558" s="295"/>
    </row>
    <row r="559" spans="95:95" ht="16" thickBot="1" x14ac:dyDescent="0.4">
      <c r="CQ559" s="283"/>
    </row>
    <row r="572" spans="95:95" x14ac:dyDescent="0.35">
      <c r="CQ572" s="162"/>
    </row>
    <row r="573" spans="95:95" x14ac:dyDescent="0.35">
      <c r="CQ573" s="162"/>
    </row>
    <row r="574" spans="95:95" x14ac:dyDescent="0.35">
      <c r="CQ574" s="162"/>
    </row>
    <row r="575" spans="95:95" x14ac:dyDescent="0.35">
      <c r="CQ575" s="162"/>
    </row>
    <row r="576" spans="95:95" x14ac:dyDescent="0.35">
      <c r="CQ576" s="261"/>
    </row>
    <row r="577" spans="95:95" x14ac:dyDescent="0.35">
      <c r="CQ577" s="295"/>
    </row>
    <row r="578" spans="95:95" x14ac:dyDescent="0.35">
      <c r="CQ578" s="250"/>
    </row>
    <row r="579" spans="95:95" x14ac:dyDescent="0.35">
      <c r="CQ579" s="250"/>
    </row>
    <row r="580" spans="95:95" x14ac:dyDescent="0.35">
      <c r="CQ580" s="258"/>
    </row>
    <row r="581" spans="95:95" x14ac:dyDescent="0.35">
      <c r="CQ581" s="264"/>
    </row>
    <row r="582" spans="95:95" x14ac:dyDescent="0.35">
      <c r="CQ582" s="264"/>
    </row>
    <row r="583" spans="95:95" x14ac:dyDescent="0.35">
      <c r="CQ583" s="258"/>
    </row>
    <row r="584" spans="95:95" x14ac:dyDescent="0.35">
      <c r="CQ584" s="264"/>
    </row>
    <row r="585" spans="95:95" x14ac:dyDescent="0.35">
      <c r="CQ585" s="264"/>
    </row>
    <row r="586" spans="95:95" x14ac:dyDescent="0.35">
      <c r="CQ586" s="258"/>
    </row>
    <row r="587" spans="95:95" x14ac:dyDescent="0.35">
      <c r="CQ587" s="258"/>
    </row>
    <row r="588" spans="95:95" x14ac:dyDescent="0.35">
      <c r="CQ588" s="264"/>
    </row>
    <row r="589" spans="95:95" x14ac:dyDescent="0.35">
      <c r="CQ589" s="258"/>
    </row>
    <row r="590" spans="95:95" x14ac:dyDescent="0.35">
      <c r="CQ590" s="264"/>
    </row>
    <row r="591" spans="95:95" x14ac:dyDescent="0.35">
      <c r="CQ591" s="250"/>
    </row>
    <row r="592" spans="95:95" x14ac:dyDescent="0.35">
      <c r="CQ592" s="264"/>
    </row>
    <row r="593" spans="95:95" x14ac:dyDescent="0.35">
      <c r="CQ593" s="296"/>
    </row>
    <row r="594" spans="95:95" x14ac:dyDescent="0.35">
      <c r="CQ594" s="250"/>
    </row>
    <row r="595" spans="95:95" x14ac:dyDescent="0.35">
      <c r="CQ595" s="250"/>
    </row>
    <row r="596" spans="95:95" x14ac:dyDescent="0.35">
      <c r="CQ596" s="297"/>
    </row>
    <row r="597" spans="95:95" x14ac:dyDescent="0.35">
      <c r="CQ597" s="298"/>
    </row>
    <row r="598" spans="95:95" x14ac:dyDescent="0.35">
      <c r="CQ598" s="250"/>
    </row>
    <row r="599" spans="95:95" x14ac:dyDescent="0.35">
      <c r="CQ599" s="250"/>
    </row>
    <row r="600" spans="95:95" ht="16" thickBot="1" x14ac:dyDescent="0.4">
      <c r="CQ600" s="299"/>
    </row>
    <row r="601" spans="95:95" x14ac:dyDescent="0.35">
      <c r="CQ601" s="162"/>
    </row>
    <row r="604" spans="95:95" x14ac:dyDescent="0.35">
      <c r="CQ604" s="162"/>
    </row>
    <row r="614" spans="95:95" x14ac:dyDescent="0.35">
      <c r="CQ614" s="162"/>
    </row>
    <row r="615" spans="95:95" x14ac:dyDescent="0.35">
      <c r="CQ615" s="162"/>
    </row>
    <row r="616" spans="95:95" x14ac:dyDescent="0.35">
      <c r="CQ616" s="162"/>
    </row>
    <row r="617" spans="95:95" ht="16" thickBot="1" x14ac:dyDescent="0.4">
      <c r="CQ617" s="273"/>
    </row>
    <row r="618" spans="95:95" x14ac:dyDescent="0.35">
      <c r="CQ618" s="269"/>
    </row>
    <row r="619" spans="95:95" x14ac:dyDescent="0.35">
      <c r="CQ619" s="251"/>
    </row>
    <row r="620" spans="95:95" x14ac:dyDescent="0.35">
      <c r="CQ620" s="251"/>
    </row>
    <row r="621" spans="95:95" x14ac:dyDescent="0.35">
      <c r="CQ621" s="291"/>
    </row>
    <row r="622" spans="95:95" x14ac:dyDescent="0.35">
      <c r="CQ622" s="162"/>
    </row>
    <row r="623" spans="95:95" x14ac:dyDescent="0.35">
      <c r="CQ623" s="300"/>
    </row>
    <row r="624" spans="95:95" x14ac:dyDescent="0.35">
      <c r="CQ624" s="162"/>
    </row>
    <row r="625" spans="95:95" x14ac:dyDescent="0.35">
      <c r="CQ625" s="301"/>
    </row>
    <row r="626" spans="95:95" x14ac:dyDescent="0.35">
      <c r="CQ626" s="302"/>
    </row>
    <row r="627" spans="95:95" x14ac:dyDescent="0.35">
      <c r="CQ627" s="291"/>
    </row>
    <row r="628" spans="95:95" x14ac:dyDescent="0.35">
      <c r="CQ628" s="303"/>
    </row>
    <row r="629" spans="95:95" x14ac:dyDescent="0.35">
      <c r="CQ629" s="301"/>
    </row>
    <row r="630" spans="95:95" x14ac:dyDescent="0.35">
      <c r="CQ630" s="251"/>
    </row>
    <row r="631" spans="95:95" x14ac:dyDescent="0.35">
      <c r="CQ631" s="251"/>
    </row>
    <row r="632" spans="95:95" x14ac:dyDescent="0.35">
      <c r="CQ632" s="291"/>
    </row>
    <row r="633" spans="95:95" x14ac:dyDescent="0.35">
      <c r="CQ633" s="304"/>
    </row>
    <row r="634" spans="95:95" x14ac:dyDescent="0.35">
      <c r="CQ634" s="251"/>
    </row>
    <row r="635" spans="95:95" x14ac:dyDescent="0.35">
      <c r="CQ635" s="305"/>
    </row>
    <row r="636" spans="95:95" x14ac:dyDescent="0.35">
      <c r="CQ636" s="305"/>
    </row>
    <row r="637" spans="95:95" x14ac:dyDescent="0.35">
      <c r="CQ637" s="306"/>
    </row>
    <row r="638" spans="95:95" x14ac:dyDescent="0.35">
      <c r="CQ638" s="307"/>
    </row>
    <row r="639" spans="95:95" x14ac:dyDescent="0.35">
      <c r="CQ639" s="307"/>
    </row>
    <row r="640" spans="95:95" x14ac:dyDescent="0.35">
      <c r="CQ640" s="263"/>
    </row>
    <row r="641" spans="95:95" x14ac:dyDescent="0.35">
      <c r="CQ641" s="305"/>
    </row>
    <row r="642" spans="95:95" x14ac:dyDescent="0.35">
      <c r="CQ642" s="305"/>
    </row>
    <row r="643" spans="95:95" x14ac:dyDescent="0.35">
      <c r="CQ643" s="307"/>
    </row>
    <row r="644" spans="95:95" x14ac:dyDescent="0.35">
      <c r="CQ644" s="306"/>
    </row>
    <row r="645" spans="95:95" x14ac:dyDescent="0.35">
      <c r="CQ645" s="306"/>
    </row>
    <row r="646" spans="95:95" x14ac:dyDescent="0.35">
      <c r="CQ646" s="305"/>
    </row>
    <row r="647" spans="95:95" x14ac:dyDescent="0.35">
      <c r="CQ647" s="305"/>
    </row>
    <row r="648" spans="95:95" x14ac:dyDescent="0.35">
      <c r="CQ648" s="304"/>
    </row>
    <row r="649" spans="95:95" x14ac:dyDescent="0.35">
      <c r="CQ649" s="308"/>
    </row>
    <row r="650" spans="95:95" x14ac:dyDescent="0.35">
      <c r="CQ650" s="263"/>
    </row>
    <row r="651" spans="95:95" x14ac:dyDescent="0.35">
      <c r="CQ651" s="263"/>
    </row>
    <row r="652" spans="95:95" ht="16" thickBot="1" x14ac:dyDescent="0.4">
      <c r="CQ652" s="283"/>
    </row>
    <row r="666" spans="95:95" x14ac:dyDescent="0.35">
      <c r="CQ666" s="162"/>
    </row>
    <row r="667" spans="95:95" x14ac:dyDescent="0.35">
      <c r="CQ667" s="162"/>
    </row>
    <row r="668" spans="95:95" x14ac:dyDescent="0.35">
      <c r="CQ668" s="162"/>
    </row>
    <row r="669" spans="95:95" ht="16" thickBot="1" x14ac:dyDescent="0.4">
      <c r="CQ669" s="185"/>
    </row>
    <row r="670" spans="95:95" x14ac:dyDescent="0.35">
      <c r="CQ670" s="309"/>
    </row>
    <row r="671" spans="95:95" x14ac:dyDescent="0.35">
      <c r="CQ671" s="301"/>
    </row>
    <row r="672" spans="95:95" x14ac:dyDescent="0.35">
      <c r="CQ672" s="310"/>
    </row>
    <row r="673" spans="95:95" x14ac:dyDescent="0.35">
      <c r="CQ673" s="301"/>
    </row>
    <row r="674" spans="95:95" x14ac:dyDescent="0.35">
      <c r="CQ674" s="301"/>
    </row>
    <row r="675" spans="95:95" x14ac:dyDescent="0.35">
      <c r="CQ675" s="284"/>
    </row>
    <row r="676" spans="95:95" x14ac:dyDescent="0.35">
      <c r="CQ676" s="301"/>
    </row>
    <row r="677" spans="95:95" x14ac:dyDescent="0.35">
      <c r="CQ677" s="310"/>
    </row>
    <row r="678" spans="95:95" x14ac:dyDescent="0.35">
      <c r="CQ678" s="311"/>
    </row>
    <row r="679" spans="95:95" x14ac:dyDescent="0.35">
      <c r="CQ679" s="311"/>
    </row>
    <row r="680" spans="95:95" x14ac:dyDescent="0.35">
      <c r="CQ680" s="311"/>
    </row>
    <row r="681" spans="95:95" x14ac:dyDescent="0.35">
      <c r="CQ681" s="284"/>
    </row>
    <row r="682" spans="95:95" x14ac:dyDescent="0.35">
      <c r="CQ682" s="311"/>
    </row>
    <row r="683" spans="95:95" x14ac:dyDescent="0.35">
      <c r="CQ683" s="258"/>
    </row>
    <row r="684" spans="95:95" x14ac:dyDescent="0.35">
      <c r="CQ684" s="280"/>
    </row>
    <row r="685" spans="95:95" x14ac:dyDescent="0.35">
      <c r="CQ685" s="312"/>
    </row>
    <row r="686" spans="95:95" x14ac:dyDescent="0.35">
      <c r="CQ686" s="312"/>
    </row>
    <row r="687" spans="95:95" x14ac:dyDescent="0.35">
      <c r="CQ687" s="312"/>
    </row>
    <row r="688" spans="95:95" x14ac:dyDescent="0.35">
      <c r="CQ688" s="312"/>
    </row>
    <row r="689" spans="95:95" x14ac:dyDescent="0.35">
      <c r="CQ689" s="284"/>
    </row>
    <row r="690" spans="95:95" x14ac:dyDescent="0.35">
      <c r="CQ690" s="312"/>
    </row>
    <row r="691" spans="95:95" x14ac:dyDescent="0.35">
      <c r="CQ691" s="284"/>
    </row>
    <row r="692" spans="95:95" x14ac:dyDescent="0.35">
      <c r="CQ692" s="312"/>
    </row>
    <row r="693" spans="95:95" x14ac:dyDescent="0.35">
      <c r="CQ693" s="312"/>
    </row>
    <row r="694" spans="95:95" x14ac:dyDescent="0.35">
      <c r="CQ694" s="312"/>
    </row>
    <row r="695" spans="95:95" x14ac:dyDescent="0.35">
      <c r="CQ695" s="258"/>
    </row>
    <row r="696" spans="95:95" x14ac:dyDescent="0.35">
      <c r="CQ696" s="312"/>
    </row>
    <row r="697" spans="95:95" x14ac:dyDescent="0.35">
      <c r="CQ697" s="312"/>
    </row>
    <row r="698" spans="95:95" x14ac:dyDescent="0.35">
      <c r="CQ698" s="312"/>
    </row>
    <row r="699" spans="95:95" ht="16" thickBot="1" x14ac:dyDescent="0.4">
      <c r="CQ699" s="283"/>
    </row>
    <row r="701" spans="95:95" x14ac:dyDescent="0.35">
      <c r="CQ701" s="162"/>
    </row>
    <row r="702" spans="95:95" x14ac:dyDescent="0.35">
      <c r="CQ702" s="162"/>
    </row>
    <row r="703" spans="95:95" x14ac:dyDescent="0.35">
      <c r="CQ703" s="162"/>
    </row>
    <row r="704" spans="95:95" x14ac:dyDescent="0.35">
      <c r="CQ704" s="247"/>
    </row>
    <row r="705" spans="95:95" x14ac:dyDescent="0.35">
      <c r="CQ705" s="269"/>
    </row>
    <row r="706" spans="95:95" x14ac:dyDescent="0.35">
      <c r="CQ706" s="258"/>
    </row>
    <row r="707" spans="95:95" x14ac:dyDescent="0.35">
      <c r="CQ707" s="271"/>
    </row>
    <row r="708" spans="95:95" x14ac:dyDescent="0.35">
      <c r="CQ708" s="313"/>
    </row>
    <row r="709" spans="95:95" x14ac:dyDescent="0.35">
      <c r="CQ709" s="271"/>
    </row>
    <row r="710" spans="95:95" x14ac:dyDescent="0.35">
      <c r="CQ710" s="310"/>
    </row>
    <row r="711" spans="95:95" x14ac:dyDescent="0.35">
      <c r="CQ711" s="291"/>
    </row>
    <row r="712" spans="95:95" x14ac:dyDescent="0.35">
      <c r="CQ712" s="314"/>
    </row>
    <row r="713" spans="95:95" x14ac:dyDescent="0.35">
      <c r="CQ713" s="291"/>
    </row>
    <row r="714" spans="95:95" x14ac:dyDescent="0.35">
      <c r="CQ714" s="291"/>
    </row>
    <row r="715" spans="95:95" x14ac:dyDescent="0.35">
      <c r="CQ715" s="271"/>
    </row>
    <row r="716" spans="95:95" x14ac:dyDescent="0.35">
      <c r="CQ716" s="271"/>
    </row>
    <row r="717" spans="95:95" x14ac:dyDescent="0.35">
      <c r="CQ717" s="162"/>
    </row>
    <row r="719" spans="95:95" x14ac:dyDescent="0.35">
      <c r="CQ719" s="315"/>
    </row>
    <row r="723" spans="95:95" x14ac:dyDescent="0.35">
      <c r="CQ723" s="162"/>
    </row>
    <row r="727" spans="95:95" x14ac:dyDescent="0.35">
      <c r="CQ727" s="162"/>
    </row>
    <row r="728" spans="95:95" x14ac:dyDescent="0.35">
      <c r="CQ728" s="162"/>
    </row>
    <row r="729" spans="95:95" x14ac:dyDescent="0.35">
      <c r="CQ729" s="162"/>
    </row>
    <row r="730" spans="95:95" x14ac:dyDescent="0.35">
      <c r="CQ730" s="261"/>
    </row>
    <row r="731" spans="95:95" x14ac:dyDescent="0.35">
      <c r="CQ731" s="284"/>
    </row>
    <row r="732" spans="95:95" x14ac:dyDescent="0.35">
      <c r="CQ732" s="271"/>
    </row>
    <row r="733" spans="95:95" x14ac:dyDescent="0.35">
      <c r="CQ733" s="250"/>
    </row>
    <row r="734" spans="95:95" x14ac:dyDescent="0.35">
      <c r="CQ734" s="280"/>
    </row>
    <row r="735" spans="95:95" x14ac:dyDescent="0.35">
      <c r="CQ735" s="250"/>
    </row>
    <row r="736" spans="95:95" x14ac:dyDescent="0.35">
      <c r="CQ736" s="280"/>
    </row>
    <row r="737" spans="95:95" x14ac:dyDescent="0.35">
      <c r="CQ737" s="250"/>
    </row>
    <row r="738" spans="95:95" x14ac:dyDescent="0.35">
      <c r="CQ738" s="316"/>
    </row>
    <row r="739" spans="95:95" x14ac:dyDescent="0.35">
      <c r="CQ739" s="271"/>
    </row>
    <row r="740" spans="95:95" x14ac:dyDescent="0.35">
      <c r="CQ740" s="280"/>
    </row>
    <row r="741" spans="95:95" x14ac:dyDescent="0.35">
      <c r="CQ741" s="280"/>
    </row>
    <row r="742" spans="95:95" x14ac:dyDescent="0.35">
      <c r="CQ742" s="301"/>
    </row>
    <row r="743" spans="95:95" x14ac:dyDescent="0.35">
      <c r="CQ743" s="250"/>
    </row>
    <row r="744" spans="95:95" x14ac:dyDescent="0.35">
      <c r="CQ744" s="280"/>
    </row>
    <row r="745" spans="95:95" x14ac:dyDescent="0.35">
      <c r="CQ745" s="280"/>
    </row>
    <row r="746" spans="95:95" x14ac:dyDescent="0.35">
      <c r="CQ746" s="280"/>
    </row>
    <row r="747" spans="95:95" x14ac:dyDescent="0.35">
      <c r="CQ747" s="280"/>
    </row>
    <row r="748" spans="95:95" x14ac:dyDescent="0.35">
      <c r="CQ748" s="280"/>
    </row>
    <row r="749" spans="95:95" x14ac:dyDescent="0.35">
      <c r="CQ749" s="280"/>
    </row>
    <row r="750" spans="95:95" x14ac:dyDescent="0.35">
      <c r="CQ750" s="280"/>
    </row>
    <row r="751" spans="95:95" x14ac:dyDescent="0.35">
      <c r="CQ751" s="317"/>
    </row>
    <row r="752" spans="95:95" x14ac:dyDescent="0.35">
      <c r="CQ752" s="317"/>
    </row>
    <row r="753" spans="95:95" x14ac:dyDescent="0.35">
      <c r="CQ753" s="280"/>
    </row>
    <row r="754" spans="95:95" x14ac:dyDescent="0.35">
      <c r="CQ754" s="318"/>
    </row>
    <row r="755" spans="95:95" x14ac:dyDescent="0.35">
      <c r="CQ755" s="270"/>
    </row>
    <row r="756" spans="95:95" x14ac:dyDescent="0.35">
      <c r="CQ756" s="275"/>
    </row>
    <row r="757" spans="95:95" ht="16" thickBot="1" x14ac:dyDescent="0.4">
      <c r="CQ757" s="283"/>
    </row>
    <row r="760" spans="95:95" x14ac:dyDescent="0.35">
      <c r="CQ760" s="319"/>
    </row>
    <row r="761" spans="95:95" x14ac:dyDescent="0.35">
      <c r="CQ761" s="319"/>
    </row>
    <row r="762" spans="95:95" x14ac:dyDescent="0.35">
      <c r="CQ762" s="320"/>
    </row>
    <row r="763" spans="95:95" x14ac:dyDescent="0.35">
      <c r="CQ763" s="321"/>
    </row>
    <row r="764" spans="95:95" x14ac:dyDescent="0.35">
      <c r="CQ764" s="321"/>
    </row>
    <row r="765" spans="95:95" x14ac:dyDescent="0.35">
      <c r="CQ765" s="321"/>
    </row>
    <row r="766" spans="95:95" x14ac:dyDescent="0.35">
      <c r="CQ766" s="321"/>
    </row>
    <row r="767" spans="95:95" x14ac:dyDescent="0.35">
      <c r="CQ767" s="321"/>
    </row>
    <row r="768" spans="95:95" x14ac:dyDescent="0.35">
      <c r="CQ768" s="321"/>
    </row>
    <row r="769" spans="95:95" x14ac:dyDescent="0.35">
      <c r="CQ769" s="320"/>
    </row>
    <row r="770" spans="95:95" x14ac:dyDescent="0.35">
      <c r="CQ770" s="320"/>
    </row>
    <row r="771" spans="95:95" x14ac:dyDescent="0.35">
      <c r="CQ771" s="320"/>
    </row>
    <row r="772" spans="95:95" x14ac:dyDescent="0.35">
      <c r="CQ772" s="320"/>
    </row>
    <row r="773" spans="95:95" x14ac:dyDescent="0.35">
      <c r="CQ773" s="162"/>
    </row>
    <row r="774" spans="95:95" x14ac:dyDescent="0.35">
      <c r="CQ774" s="162"/>
    </row>
    <row r="775" spans="95:95" x14ac:dyDescent="0.35">
      <c r="CQ775" s="162"/>
    </row>
    <row r="776" spans="95:95" ht="16" thickBot="1" x14ac:dyDescent="0.4">
      <c r="CQ776" s="185"/>
    </row>
    <row r="777" spans="95:95" x14ac:dyDescent="0.35">
      <c r="CQ777" s="322"/>
    </row>
    <row r="778" spans="95:95" x14ac:dyDescent="0.35">
      <c r="CQ778" s="301"/>
    </row>
    <row r="779" spans="95:95" ht="16" thickBot="1" x14ac:dyDescent="0.4">
      <c r="CQ779" s="301"/>
    </row>
    <row r="780" spans="95:95" ht="16" thickBot="1" x14ac:dyDescent="0.4">
      <c r="CQ780" s="323"/>
    </row>
    <row r="781" spans="95:95" x14ac:dyDescent="0.35">
      <c r="CQ781" s="301"/>
    </row>
    <row r="782" spans="95:95" x14ac:dyDescent="0.35">
      <c r="CQ782" s="301"/>
    </row>
    <row r="783" spans="95:95" x14ac:dyDescent="0.35">
      <c r="CQ783" s="301"/>
    </row>
    <row r="784" spans="95:95" x14ac:dyDescent="0.35">
      <c r="CQ784" s="264"/>
    </row>
    <row r="785" spans="95:95" x14ac:dyDescent="0.35">
      <c r="CQ785" s="301"/>
    </row>
    <row r="786" spans="95:95" ht="16" thickBot="1" x14ac:dyDescent="0.4">
      <c r="CQ786" s="301"/>
    </row>
    <row r="787" spans="95:95" x14ac:dyDescent="0.35">
      <c r="CQ787" s="324"/>
    </row>
    <row r="788" spans="95:95" x14ac:dyDescent="0.35">
      <c r="CQ788" s="301"/>
    </row>
    <row r="789" spans="95:95" x14ac:dyDescent="0.35">
      <c r="CQ789" s="301"/>
    </row>
    <row r="790" spans="95:95" x14ac:dyDescent="0.35">
      <c r="CQ790" s="301"/>
    </row>
    <row r="791" spans="95:95" x14ac:dyDescent="0.35">
      <c r="CQ791" s="301"/>
    </row>
    <row r="792" spans="95:95" x14ac:dyDescent="0.35">
      <c r="CQ792" s="301"/>
    </row>
    <row r="793" spans="95:95" x14ac:dyDescent="0.35">
      <c r="CQ793" s="301"/>
    </row>
    <row r="794" spans="95:95" x14ac:dyDescent="0.35">
      <c r="CQ794" s="301"/>
    </row>
    <row r="795" spans="95:95" x14ac:dyDescent="0.35">
      <c r="CQ795" s="301"/>
    </row>
    <row r="796" spans="95:95" x14ac:dyDescent="0.35">
      <c r="CQ796" s="301"/>
    </row>
    <row r="797" spans="95:95" x14ac:dyDescent="0.35">
      <c r="CQ797" s="301"/>
    </row>
    <row r="798" spans="95:95" x14ac:dyDescent="0.35">
      <c r="CQ798" s="301"/>
    </row>
    <row r="799" spans="95:95" x14ac:dyDescent="0.35">
      <c r="CQ799" s="301"/>
    </row>
    <row r="800" spans="95:95" x14ac:dyDescent="0.35">
      <c r="CQ800" s="301"/>
    </row>
    <row r="801" spans="95:95" x14ac:dyDescent="0.35">
      <c r="CQ801" s="301"/>
    </row>
    <row r="802" spans="95:95" x14ac:dyDescent="0.35">
      <c r="CQ802" s="301"/>
    </row>
    <row r="803" spans="95:95" x14ac:dyDescent="0.35">
      <c r="CQ803" s="301"/>
    </row>
    <row r="804" spans="95:95" x14ac:dyDescent="0.35">
      <c r="CQ804" s="301"/>
    </row>
    <row r="805" spans="95:95" x14ac:dyDescent="0.35">
      <c r="CQ805" s="301"/>
    </row>
    <row r="806" spans="95:95" x14ac:dyDescent="0.35">
      <c r="CQ806" s="325"/>
    </row>
    <row r="807" spans="95:95" x14ac:dyDescent="0.35">
      <c r="CQ807" s="326"/>
    </row>
    <row r="808" spans="95:95" ht="16" thickBot="1" x14ac:dyDescent="0.4">
      <c r="CQ808" s="283"/>
    </row>
    <row r="816" spans="95:95" x14ac:dyDescent="0.35">
      <c r="CQ816" s="162"/>
    </row>
    <row r="817" spans="95:95" x14ac:dyDescent="0.35">
      <c r="CQ817" s="162"/>
    </row>
    <row r="818" spans="95:95" x14ac:dyDescent="0.35">
      <c r="CQ818" s="162"/>
    </row>
    <row r="819" spans="95:95" ht="16" thickBot="1" x14ac:dyDescent="0.4">
      <c r="CQ819" s="185"/>
    </row>
    <row r="820" spans="95:95" x14ac:dyDescent="0.35">
      <c r="CQ820" s="286"/>
    </row>
    <row r="821" spans="95:95" x14ac:dyDescent="0.35">
      <c r="CQ821" s="327"/>
    </row>
    <row r="822" spans="95:95" x14ac:dyDescent="0.35">
      <c r="CQ822" s="251"/>
    </row>
    <row r="823" spans="95:95" x14ac:dyDescent="0.35">
      <c r="CQ823" s="328"/>
    </row>
    <row r="824" spans="95:95" x14ac:dyDescent="0.35">
      <c r="CQ824" s="328"/>
    </row>
    <row r="825" spans="95:95" x14ac:dyDescent="0.35">
      <c r="CQ825" s="327"/>
    </row>
    <row r="826" spans="95:95" x14ac:dyDescent="0.35">
      <c r="CQ826" s="327"/>
    </row>
    <row r="827" spans="95:95" x14ac:dyDescent="0.35">
      <c r="CQ827" s="327"/>
    </row>
    <row r="828" spans="95:95" x14ac:dyDescent="0.35">
      <c r="CQ828" s="327"/>
    </row>
    <row r="829" spans="95:95" x14ac:dyDescent="0.35">
      <c r="CQ829" s="250"/>
    </row>
    <row r="830" spans="95:95" x14ac:dyDescent="0.35">
      <c r="CQ830" s="301"/>
    </row>
    <row r="831" spans="95:95" x14ac:dyDescent="0.35">
      <c r="CQ831" s="301"/>
    </row>
    <row r="832" spans="95:95" x14ac:dyDescent="0.35">
      <c r="CQ832" s="250"/>
    </row>
    <row r="833" spans="95:95" x14ac:dyDescent="0.35">
      <c r="CQ833" s="251"/>
    </row>
    <row r="834" spans="95:95" x14ac:dyDescent="0.35">
      <c r="CQ834" s="250"/>
    </row>
    <row r="835" spans="95:95" x14ac:dyDescent="0.35">
      <c r="CQ835" s="328"/>
    </row>
    <row r="836" spans="95:95" x14ac:dyDescent="0.35">
      <c r="CQ836" s="328"/>
    </row>
    <row r="837" spans="95:95" x14ac:dyDescent="0.35">
      <c r="CQ837" s="250"/>
    </row>
    <row r="838" spans="95:95" x14ac:dyDescent="0.35">
      <c r="CQ838" s="329"/>
    </row>
    <row r="839" spans="95:95" x14ac:dyDescent="0.35">
      <c r="CQ839" s="250"/>
    </row>
    <row r="840" spans="95:95" x14ac:dyDescent="0.35">
      <c r="CQ840" s="328"/>
    </row>
    <row r="841" spans="95:95" x14ac:dyDescent="0.35">
      <c r="CQ841" s="301"/>
    </row>
    <row r="842" spans="95:95" x14ac:dyDescent="0.35">
      <c r="CQ842" s="330"/>
    </row>
    <row r="843" spans="95:95" x14ac:dyDescent="0.35">
      <c r="CQ843" s="301"/>
    </row>
    <row r="844" spans="95:95" x14ac:dyDescent="0.35">
      <c r="CQ844" s="330"/>
    </row>
    <row r="845" spans="95:95" x14ac:dyDescent="0.35">
      <c r="CQ845" s="330"/>
    </row>
    <row r="846" spans="95:95" x14ac:dyDescent="0.35">
      <c r="CQ846" s="330"/>
    </row>
    <row r="847" spans="95:95" x14ac:dyDescent="0.35">
      <c r="CQ847" s="330"/>
    </row>
    <row r="848" spans="95:95" x14ac:dyDescent="0.35">
      <c r="CQ848" s="330"/>
    </row>
    <row r="849" spans="95:95" x14ac:dyDescent="0.35">
      <c r="CQ849" s="328"/>
    </row>
    <row r="850" spans="95:95" x14ac:dyDescent="0.35">
      <c r="CQ850" s="330"/>
    </row>
    <row r="851" spans="95:95" x14ac:dyDescent="0.35">
      <c r="CQ851" s="330"/>
    </row>
    <row r="852" spans="95:95" x14ac:dyDescent="0.35">
      <c r="CQ852" s="301"/>
    </row>
    <row r="853" spans="95:95" x14ac:dyDescent="0.35">
      <c r="CQ853" s="331"/>
    </row>
    <row r="854" spans="95:95" x14ac:dyDescent="0.35">
      <c r="CQ854" s="330"/>
    </row>
    <row r="855" spans="95:95" x14ac:dyDescent="0.35">
      <c r="CQ855" s="330"/>
    </row>
    <row r="856" spans="95:95" x14ac:dyDescent="0.35">
      <c r="CQ856" s="251"/>
    </row>
    <row r="857" spans="95:95" x14ac:dyDescent="0.35">
      <c r="CQ857" s="328"/>
    </row>
    <row r="858" spans="95:95" x14ac:dyDescent="0.35">
      <c r="CQ858" s="251"/>
    </row>
    <row r="859" spans="95:95" x14ac:dyDescent="0.35">
      <c r="CQ859" s="301"/>
    </row>
    <row r="860" spans="95:95" x14ac:dyDescent="0.35">
      <c r="CQ860" s="330"/>
    </row>
    <row r="861" spans="95:95" x14ac:dyDescent="0.35">
      <c r="CQ861" s="330"/>
    </row>
    <row r="862" spans="95:95" ht="16" thickBot="1" x14ac:dyDescent="0.4">
      <c r="CQ862" s="299"/>
    </row>
    <row r="872" spans="95:95" x14ac:dyDescent="0.35">
      <c r="CQ872" s="162"/>
    </row>
    <row r="873" spans="95:95" x14ac:dyDescent="0.35">
      <c r="CQ873" s="162"/>
    </row>
    <row r="874" spans="95:95" x14ac:dyDescent="0.35">
      <c r="CQ874" s="162"/>
    </row>
    <row r="875" spans="95:95" ht="16" thickBot="1" x14ac:dyDescent="0.4">
      <c r="CQ875" s="185"/>
    </row>
    <row r="876" spans="95:95" x14ac:dyDescent="0.35">
      <c r="CQ876" s="332"/>
    </row>
    <row r="877" spans="95:95" x14ac:dyDescent="0.35">
      <c r="CQ877" s="288"/>
    </row>
    <row r="878" spans="95:95" x14ac:dyDescent="0.35">
      <c r="CQ878" s="250"/>
    </row>
    <row r="879" spans="95:95" x14ac:dyDescent="0.35">
      <c r="CQ879" s="250"/>
    </row>
    <row r="880" spans="95:95" x14ac:dyDescent="0.35">
      <c r="CQ880" s="288"/>
    </row>
    <row r="881" spans="95:95" x14ac:dyDescent="0.35">
      <c r="CQ881" s="288"/>
    </row>
    <row r="882" spans="95:95" x14ac:dyDescent="0.35">
      <c r="CQ882" s="250"/>
    </row>
    <row r="883" spans="95:95" x14ac:dyDescent="0.35">
      <c r="CQ883" s="310"/>
    </row>
    <row r="884" spans="95:95" x14ac:dyDescent="0.35">
      <c r="CQ884" s="288"/>
    </row>
    <row r="885" spans="95:95" x14ac:dyDescent="0.35">
      <c r="CQ885" s="310"/>
    </row>
    <row r="886" spans="95:95" x14ac:dyDescent="0.35">
      <c r="CQ886" s="310"/>
    </row>
    <row r="887" spans="95:95" x14ac:dyDescent="0.35">
      <c r="CQ887" s="288"/>
    </row>
    <row r="888" spans="95:95" x14ac:dyDescent="0.35">
      <c r="CQ888" s="328"/>
    </row>
    <row r="889" spans="95:95" x14ac:dyDescent="0.35">
      <c r="CQ889" s="250"/>
    </row>
    <row r="890" spans="95:95" x14ac:dyDescent="0.35">
      <c r="CQ890" s="290"/>
    </row>
    <row r="891" spans="95:95" x14ac:dyDescent="0.35">
      <c r="CQ891" s="333"/>
    </row>
    <row r="892" spans="95:95" x14ac:dyDescent="0.35">
      <c r="CQ892" s="333"/>
    </row>
    <row r="893" spans="95:95" x14ac:dyDescent="0.35">
      <c r="CQ893" s="290"/>
    </row>
    <row r="894" spans="95:95" x14ac:dyDescent="0.35">
      <c r="CQ894" s="276"/>
    </row>
    <row r="895" spans="95:95" x14ac:dyDescent="0.35">
      <c r="CQ895" s="301"/>
    </row>
    <row r="896" spans="95:95" x14ac:dyDescent="0.35">
      <c r="CQ896" s="334"/>
    </row>
    <row r="897" spans="95:95" x14ac:dyDescent="0.35">
      <c r="CQ897" s="301"/>
    </row>
    <row r="898" spans="95:95" x14ac:dyDescent="0.35">
      <c r="CQ898" s="331"/>
    </row>
    <row r="899" spans="95:95" x14ac:dyDescent="0.35">
      <c r="CQ899" s="331"/>
    </row>
    <row r="900" spans="95:95" x14ac:dyDescent="0.35">
      <c r="CQ900" s="301"/>
    </row>
    <row r="901" spans="95:95" x14ac:dyDescent="0.35">
      <c r="CQ901" s="301"/>
    </row>
    <row r="902" spans="95:95" x14ac:dyDescent="0.35">
      <c r="CQ902" s="301"/>
    </row>
    <row r="903" spans="95:95" x14ac:dyDescent="0.35">
      <c r="CQ903" s="301"/>
    </row>
    <row r="904" spans="95:95" x14ac:dyDescent="0.35">
      <c r="CQ904" s="290"/>
    </row>
    <row r="905" spans="95:95" x14ac:dyDescent="0.35">
      <c r="CQ905" s="333"/>
    </row>
    <row r="906" spans="95:95" x14ac:dyDescent="0.35">
      <c r="CQ906" s="335"/>
    </row>
    <row r="907" spans="95:95" x14ac:dyDescent="0.35">
      <c r="CQ907" s="290"/>
    </row>
    <row r="908" spans="95:95" x14ac:dyDescent="0.35">
      <c r="CQ908" s="290"/>
    </row>
    <row r="909" spans="95:95" x14ac:dyDescent="0.35">
      <c r="CQ909" s="290"/>
    </row>
    <row r="910" spans="95:95" ht="16" thickBot="1" x14ac:dyDescent="0.4">
      <c r="CQ910" s="336"/>
    </row>
    <row r="916" spans="95:95" x14ac:dyDescent="0.35">
      <c r="CQ916" s="162"/>
    </row>
    <row r="917" spans="95:95" x14ac:dyDescent="0.35">
      <c r="CQ917" s="162"/>
    </row>
    <row r="918" spans="95:95" x14ac:dyDescent="0.35">
      <c r="CQ918" s="162"/>
    </row>
    <row r="919" spans="95:95" x14ac:dyDescent="0.35">
      <c r="CQ919" s="257"/>
    </row>
    <row r="920" spans="95:95" x14ac:dyDescent="0.35">
      <c r="CQ920" s="284"/>
    </row>
    <row r="921" spans="95:95" x14ac:dyDescent="0.35">
      <c r="CQ921" s="310"/>
    </row>
    <row r="922" spans="95:95" x14ac:dyDescent="0.35">
      <c r="CQ922" s="291"/>
    </row>
    <row r="923" spans="95:95" x14ac:dyDescent="0.35">
      <c r="CQ923" s="291"/>
    </row>
    <row r="924" spans="95:95" x14ac:dyDescent="0.35">
      <c r="CQ924" s="337"/>
    </row>
    <row r="925" spans="95:95" x14ac:dyDescent="0.35">
      <c r="CQ925" s="338"/>
    </row>
    <row r="927" spans="95:95" x14ac:dyDescent="0.35">
      <c r="CQ927" s="162"/>
    </row>
    <row r="928" spans="95:95" x14ac:dyDescent="0.35">
      <c r="CQ928" s="162"/>
    </row>
    <row r="929" spans="95:95" x14ac:dyDescent="0.35">
      <c r="CQ929" s="162"/>
    </row>
    <row r="930" spans="95:95" x14ac:dyDescent="0.35">
      <c r="CQ930" s="261"/>
    </row>
    <row r="931" spans="95:95" x14ac:dyDescent="0.35">
      <c r="CQ931" s="339"/>
    </row>
    <row r="932" spans="95:95" x14ac:dyDescent="0.35">
      <c r="CQ932" s="340"/>
    </row>
    <row r="933" spans="95:95" x14ac:dyDescent="0.35">
      <c r="CQ933" s="341"/>
    </row>
    <row r="934" spans="95:95" x14ac:dyDescent="0.35">
      <c r="CQ934" s="341"/>
    </row>
    <row r="935" spans="95:95" x14ac:dyDescent="0.35">
      <c r="CQ935" s="341"/>
    </row>
    <row r="936" spans="95:95" x14ac:dyDescent="0.35">
      <c r="CQ936" s="341"/>
    </row>
    <row r="937" spans="95:95" x14ac:dyDescent="0.35">
      <c r="CQ937" s="341"/>
    </row>
    <row r="938" spans="95:95" x14ac:dyDescent="0.35">
      <c r="CQ938" s="341"/>
    </row>
    <row r="939" spans="95:95" x14ac:dyDescent="0.35">
      <c r="CQ939" s="301"/>
    </row>
    <row r="940" spans="95:95" x14ac:dyDescent="0.35">
      <c r="CQ940" s="341"/>
    </row>
    <row r="941" spans="95:95" x14ac:dyDescent="0.35">
      <c r="CQ941" s="341"/>
    </row>
    <row r="942" spans="95:95" x14ac:dyDescent="0.35">
      <c r="CQ942" s="341"/>
    </row>
    <row r="943" spans="95:95" x14ac:dyDescent="0.35">
      <c r="CQ943" s="341"/>
    </row>
    <row r="944" spans="95:95" x14ac:dyDescent="0.35">
      <c r="CQ944" s="341"/>
    </row>
    <row r="945" spans="95:95" x14ac:dyDescent="0.35">
      <c r="CQ945" s="341"/>
    </row>
    <row r="946" spans="95:95" ht="16" thickBot="1" x14ac:dyDescent="0.4">
      <c r="CQ946" s="283"/>
    </row>
    <row r="947" spans="95:95" x14ac:dyDescent="0.35">
      <c r="CQ947" s="162"/>
    </row>
    <row r="948" spans="95:95" x14ac:dyDescent="0.35">
      <c r="CQ948" s="162"/>
    </row>
    <row r="949" spans="95:95" x14ac:dyDescent="0.35">
      <c r="CQ949" s="162"/>
    </row>
    <row r="950" spans="95:95" x14ac:dyDescent="0.35">
      <c r="CQ950" s="257"/>
    </row>
    <row r="951" spans="95:95" x14ac:dyDescent="0.35">
      <c r="CQ951" s="300"/>
    </row>
    <row r="952" spans="95:95" x14ac:dyDescent="0.35">
      <c r="CQ952" s="342"/>
    </row>
    <row r="953" spans="95:95" x14ac:dyDescent="0.35">
      <c r="CQ953" s="343"/>
    </row>
    <row r="954" spans="95:95" x14ac:dyDescent="0.35">
      <c r="CQ954" s="272"/>
    </row>
    <row r="955" spans="95:95" ht="16" thickBot="1" x14ac:dyDescent="0.4">
      <c r="CQ955" s="299"/>
    </row>
    <row r="956" spans="95:95" x14ac:dyDescent="0.35">
      <c r="CQ956" s="344"/>
    </row>
    <row r="957" spans="95:95" x14ac:dyDescent="0.35">
      <c r="CQ957" s="344"/>
    </row>
    <row r="961" spans="95:95" x14ac:dyDescent="0.35">
      <c r="CQ961" s="345"/>
    </row>
    <row r="962" spans="95:95" x14ac:dyDescent="0.35">
      <c r="CQ962" s="162"/>
    </row>
    <row r="963" spans="95:95" x14ac:dyDescent="0.35">
      <c r="CQ963" s="162"/>
    </row>
    <row r="964" spans="95:95" x14ac:dyDescent="0.35">
      <c r="CQ964" s="162"/>
    </row>
    <row r="965" spans="95:95" x14ac:dyDescent="0.35">
      <c r="CQ965" s="257"/>
    </row>
    <row r="966" spans="95:95" x14ac:dyDescent="0.35">
      <c r="CQ966" s="346"/>
    </row>
    <row r="967" spans="95:95" x14ac:dyDescent="0.35">
      <c r="CQ967" s="284"/>
    </row>
    <row r="973" spans="95:95" x14ac:dyDescent="0.35">
      <c r="CQ973" s="162"/>
    </row>
    <row r="975" spans="95:95" x14ac:dyDescent="0.35">
      <c r="CQ975" s="162"/>
    </row>
    <row r="976" spans="95:95" ht="16" thickBot="1" x14ac:dyDescent="0.4">
      <c r="CQ976" s="273"/>
    </row>
    <row r="977" spans="95:95" x14ac:dyDescent="0.35">
      <c r="CQ977" s="269"/>
    </row>
    <row r="978" spans="95:95" x14ac:dyDescent="0.35">
      <c r="CQ978" s="250"/>
    </row>
    <row r="979" spans="95:95" x14ac:dyDescent="0.35">
      <c r="CQ979" s="250"/>
    </row>
    <row r="980" spans="95:95" x14ac:dyDescent="0.35">
      <c r="CQ980" s="250"/>
    </row>
    <row r="981" spans="95:95" x14ac:dyDescent="0.35">
      <c r="CQ981" s="301"/>
    </row>
    <row r="982" spans="95:95" x14ac:dyDescent="0.35">
      <c r="CQ982" s="301"/>
    </row>
    <row r="983" spans="95:95" x14ac:dyDescent="0.35">
      <c r="CQ983" s="301"/>
    </row>
    <row r="984" spans="95:95" x14ac:dyDescent="0.35">
      <c r="CQ984" s="251"/>
    </row>
    <row r="985" spans="95:95" x14ac:dyDescent="0.35">
      <c r="CQ985" s="276"/>
    </row>
    <row r="986" spans="95:95" x14ac:dyDescent="0.35">
      <c r="CQ986" s="251"/>
    </row>
    <row r="987" spans="95:95" x14ac:dyDescent="0.35">
      <c r="CQ987" s="251"/>
    </row>
    <row r="988" spans="95:95" x14ac:dyDescent="0.35">
      <c r="CQ988" s="251"/>
    </row>
    <row r="989" spans="95:95" x14ac:dyDescent="0.35">
      <c r="CQ989" s="251"/>
    </row>
    <row r="990" spans="95:95" x14ac:dyDescent="0.35">
      <c r="CQ990" s="251"/>
    </row>
    <row r="991" spans="95:95" x14ac:dyDescent="0.35">
      <c r="CQ991" s="251"/>
    </row>
    <row r="992" spans="95:95" x14ac:dyDescent="0.35">
      <c r="CQ992" s="284"/>
    </row>
    <row r="993" spans="95:95" x14ac:dyDescent="0.35">
      <c r="CQ993" s="347"/>
    </row>
    <row r="994" spans="95:95" x14ac:dyDescent="0.35">
      <c r="CQ994" s="301"/>
    </row>
    <row r="995" spans="95:95" x14ac:dyDescent="0.35">
      <c r="CQ995" s="301"/>
    </row>
    <row r="996" spans="95:95" x14ac:dyDescent="0.35">
      <c r="CQ996" s="284"/>
    </row>
    <row r="997" spans="95:95" x14ac:dyDescent="0.35">
      <c r="CQ997" s="311"/>
    </row>
    <row r="998" spans="95:95" x14ac:dyDescent="0.35">
      <c r="CQ998" s="284"/>
    </row>
    <row r="999" spans="95:95" x14ac:dyDescent="0.35">
      <c r="CQ999" s="284"/>
    </row>
    <row r="1000" spans="95:95" x14ac:dyDescent="0.35">
      <c r="CQ1000" s="284"/>
    </row>
    <row r="1001" spans="95:95" x14ac:dyDescent="0.35">
      <c r="CQ1001" s="284"/>
    </row>
    <row r="1002" spans="95:95" x14ac:dyDescent="0.35">
      <c r="CQ1002" s="284"/>
    </row>
    <row r="1003" spans="95:95" ht="16" thickBot="1" x14ac:dyDescent="0.4">
      <c r="CQ1003" s="299"/>
    </row>
    <row r="1004" spans="95:95" x14ac:dyDescent="0.35">
      <c r="CQ1004" s="348"/>
    </row>
    <row r="1010" spans="95:95" x14ac:dyDescent="0.35">
      <c r="CQ1010" s="162"/>
    </row>
    <row r="1011" spans="95:95" x14ac:dyDescent="0.35">
      <c r="CQ1011" s="162"/>
    </row>
    <row r="1012" spans="95:95" ht="16" thickBot="1" x14ac:dyDescent="0.4">
      <c r="CQ1012" s="185"/>
    </row>
    <row r="1013" spans="95:95" x14ac:dyDescent="0.35">
      <c r="CQ1013" s="286"/>
    </row>
    <row r="1014" spans="95:95" x14ac:dyDescent="0.35">
      <c r="CQ1014" s="284"/>
    </row>
    <row r="1015" spans="95:95" x14ac:dyDescent="0.35">
      <c r="CQ1015" s="284"/>
    </row>
    <row r="1016" spans="95:95" x14ac:dyDescent="0.35">
      <c r="CQ1016" s="284"/>
    </row>
    <row r="1017" spans="95:95" x14ac:dyDescent="0.35">
      <c r="CQ1017" s="291"/>
    </row>
    <row r="1018" spans="95:95" x14ac:dyDescent="0.35">
      <c r="CQ1018" s="251"/>
    </row>
    <row r="1019" spans="95:95" x14ac:dyDescent="0.35">
      <c r="CQ1019" s="349"/>
    </row>
    <row r="1020" spans="95:95" x14ac:dyDescent="0.35">
      <c r="CQ1020" s="350"/>
    </row>
    <row r="1021" spans="95:95" x14ac:dyDescent="0.35">
      <c r="CQ1021" s="251"/>
    </row>
    <row r="1022" spans="95:95" x14ac:dyDescent="0.35">
      <c r="CQ1022" s="251"/>
    </row>
    <row r="1023" spans="95:95" x14ac:dyDescent="0.35">
      <c r="CQ1023" s="251"/>
    </row>
    <row r="1024" spans="95:95" x14ac:dyDescent="0.35">
      <c r="CQ1024" s="301"/>
    </row>
    <row r="1025" spans="95:95" x14ac:dyDescent="0.35">
      <c r="CQ1025" s="350"/>
    </row>
    <row r="1026" spans="95:95" x14ac:dyDescent="0.35">
      <c r="CQ1026" s="251"/>
    </row>
    <row r="1027" spans="95:95" x14ac:dyDescent="0.35">
      <c r="CQ1027" s="276"/>
    </row>
    <row r="1028" spans="95:95" x14ac:dyDescent="0.35">
      <c r="CQ1028" s="350"/>
    </row>
    <row r="1029" spans="95:95" x14ac:dyDescent="0.35">
      <c r="CQ1029" s="276"/>
    </row>
    <row r="1030" spans="95:95" x14ac:dyDescent="0.35">
      <c r="CQ1030" s="251"/>
    </row>
    <row r="1031" spans="95:95" x14ac:dyDescent="0.35">
      <c r="CQ1031" s="276"/>
    </row>
    <row r="1032" spans="95:95" x14ac:dyDescent="0.35">
      <c r="CQ1032" s="276"/>
    </row>
    <row r="1033" spans="95:95" x14ac:dyDescent="0.35">
      <c r="CQ1033" s="351"/>
    </row>
    <row r="1034" spans="95:95" x14ac:dyDescent="0.35">
      <c r="CQ1034" s="352"/>
    </row>
    <row r="1035" spans="95:95" x14ac:dyDescent="0.35">
      <c r="CQ1035" s="291"/>
    </row>
    <row r="1036" spans="95:95" x14ac:dyDescent="0.35">
      <c r="CQ1036" s="291"/>
    </row>
    <row r="1037" spans="95:95" ht="16" thickBot="1" x14ac:dyDescent="0.4">
      <c r="CQ1037" s="353"/>
    </row>
    <row r="1038" spans="95:95" x14ac:dyDescent="0.35">
      <c r="CQ1038" s="354"/>
    </row>
    <row r="1065" spans="95:95" x14ac:dyDescent="0.35">
      <c r="CQ1065" s="162"/>
    </row>
    <row r="1066" spans="95:95" x14ac:dyDescent="0.35">
      <c r="CQ1066" s="162"/>
    </row>
    <row r="1067" spans="95:95" x14ac:dyDescent="0.35">
      <c r="CQ1067" s="162"/>
    </row>
    <row r="1068" spans="95:95" x14ac:dyDescent="0.35">
      <c r="CQ1068" s="185"/>
    </row>
    <row r="1069" spans="95:95" x14ac:dyDescent="0.35">
      <c r="CQ1069" s="284"/>
    </row>
    <row r="1070" spans="95:95" x14ac:dyDescent="0.35">
      <c r="CQ1070" s="355"/>
    </row>
    <row r="1071" spans="95:95" x14ac:dyDescent="0.35">
      <c r="CQ1071" s="355"/>
    </row>
    <row r="1072" spans="95:95" x14ac:dyDescent="0.35">
      <c r="CQ1072" s="356"/>
    </row>
    <row r="1073" spans="95:95" x14ac:dyDescent="0.35">
      <c r="CQ1073" s="357"/>
    </row>
    <row r="1074" spans="95:95" x14ac:dyDescent="0.35">
      <c r="CQ1074" s="358"/>
    </row>
    <row r="1075" spans="95:95" x14ac:dyDescent="0.35">
      <c r="CQ1075" s="358"/>
    </row>
    <row r="1076" spans="95:95" x14ac:dyDescent="0.35">
      <c r="CQ1076" s="310"/>
    </row>
    <row r="1077" spans="95:95" x14ac:dyDescent="0.35">
      <c r="CQ1077" s="359"/>
    </row>
    <row r="1078" spans="95:95" x14ac:dyDescent="0.35">
      <c r="CQ1078" s="291"/>
    </row>
    <row r="1079" spans="95:95" x14ac:dyDescent="0.35">
      <c r="CQ1079" s="360"/>
    </row>
    <row r="1080" spans="95:95" x14ac:dyDescent="0.35">
      <c r="CQ1080" s="360"/>
    </row>
    <row r="1081" spans="95:95" x14ac:dyDescent="0.35">
      <c r="CQ1081" s="284"/>
    </row>
    <row r="1082" spans="95:95" x14ac:dyDescent="0.35">
      <c r="CQ1082" s="284"/>
    </row>
    <row r="1083" spans="95:95" x14ac:dyDescent="0.35">
      <c r="CQ1083" s="284"/>
    </row>
    <row r="1084" spans="95:95" x14ac:dyDescent="0.35">
      <c r="CQ1084" s="274"/>
    </row>
    <row r="1085" spans="95:95" x14ac:dyDescent="0.35">
      <c r="CQ1085" s="274"/>
    </row>
    <row r="1086" spans="95:95" x14ac:dyDescent="0.35">
      <c r="CQ1086" s="274"/>
    </row>
    <row r="1087" spans="95:95" x14ac:dyDescent="0.35">
      <c r="CQ1087" s="274"/>
    </row>
    <row r="1088" spans="95:95" x14ac:dyDescent="0.35">
      <c r="CQ1088" s="274"/>
    </row>
    <row r="1089" spans="95:95" x14ac:dyDescent="0.35">
      <c r="CQ1089" s="274"/>
    </row>
    <row r="1090" spans="95:95" x14ac:dyDescent="0.35">
      <c r="CQ1090" s="361"/>
    </row>
    <row r="1091" spans="95:95" x14ac:dyDescent="0.35">
      <c r="CQ1091" s="361"/>
    </row>
    <row r="1092" spans="95:95" x14ac:dyDescent="0.35">
      <c r="CQ1092" s="274"/>
    </row>
    <row r="1093" spans="95:95" x14ac:dyDescent="0.35">
      <c r="CQ1093" s="274"/>
    </row>
    <row r="1094" spans="95:95" x14ac:dyDescent="0.35">
      <c r="CQ1094" s="274"/>
    </row>
    <row r="1095" spans="95:95" x14ac:dyDescent="0.35">
      <c r="CQ1095" s="274"/>
    </row>
    <row r="1096" spans="95:95" x14ac:dyDescent="0.35">
      <c r="CQ1096" s="274"/>
    </row>
    <row r="1097" spans="95:95" x14ac:dyDescent="0.35">
      <c r="CQ1097" s="361"/>
    </row>
    <row r="1098" spans="95:95" x14ac:dyDescent="0.35">
      <c r="CQ1098" s="274"/>
    </row>
    <row r="1099" spans="95:95" x14ac:dyDescent="0.35">
      <c r="CQ1099" s="274"/>
    </row>
    <row r="1100" spans="95:95" x14ac:dyDescent="0.35">
      <c r="CQ1100" s="274"/>
    </row>
    <row r="1101" spans="95:95" ht="16" thickBot="1" x14ac:dyDescent="0.4">
      <c r="CQ1101" s="362"/>
    </row>
    <row r="1102" spans="95:95" x14ac:dyDescent="0.35">
      <c r="CQ1102" s="162"/>
    </row>
    <row r="1117" spans="95:95" x14ac:dyDescent="0.35">
      <c r="CQ1117" s="162"/>
    </row>
    <row r="1118" spans="95:95" x14ac:dyDescent="0.35">
      <c r="CQ1118" s="162"/>
    </row>
    <row r="1119" spans="95:95" x14ac:dyDescent="0.35">
      <c r="CQ1119" s="162"/>
    </row>
    <row r="1120" spans="95:95" x14ac:dyDescent="0.35">
      <c r="CQ1120" s="185"/>
    </row>
    <row r="1121" spans="95:95" x14ac:dyDescent="0.35">
      <c r="CQ1121" s="247"/>
    </row>
    <row r="1122" spans="95:95" x14ac:dyDescent="0.35">
      <c r="CQ1122" s="301"/>
    </row>
    <row r="1123" spans="95:95" x14ac:dyDescent="0.35">
      <c r="CQ1123" s="301"/>
    </row>
    <row r="1124" spans="95:95" x14ac:dyDescent="0.35">
      <c r="CQ1124" s="250"/>
    </row>
    <row r="1125" spans="95:95" x14ac:dyDescent="0.35">
      <c r="CQ1125" s="291"/>
    </row>
    <row r="1126" spans="95:95" x14ac:dyDescent="0.35">
      <c r="CQ1126" s="301"/>
    </row>
    <row r="1127" spans="95:95" x14ac:dyDescent="0.35">
      <c r="CQ1127" s="250"/>
    </row>
    <row r="1128" spans="95:95" x14ac:dyDescent="0.35">
      <c r="CQ1128" s="250"/>
    </row>
    <row r="1129" spans="95:95" x14ac:dyDescent="0.35">
      <c r="CQ1129" s="250"/>
    </row>
    <row r="1130" spans="95:95" x14ac:dyDescent="0.35">
      <c r="CQ1130" s="250"/>
    </row>
    <row r="1131" spans="95:95" x14ac:dyDescent="0.35">
      <c r="CQ1131" s="250"/>
    </row>
    <row r="1132" spans="95:95" x14ac:dyDescent="0.35">
      <c r="CQ1132" s="291"/>
    </row>
    <row r="1133" spans="95:95" x14ac:dyDescent="0.35">
      <c r="CQ1133" s="250"/>
    </row>
    <row r="1134" spans="95:95" x14ac:dyDescent="0.35">
      <c r="CQ1134" s="291"/>
    </row>
    <row r="1135" spans="95:95" x14ac:dyDescent="0.35">
      <c r="CQ1135" s="291"/>
    </row>
    <row r="1136" spans="95:95" x14ac:dyDescent="0.35">
      <c r="CQ1136" s="291"/>
    </row>
    <row r="1137" spans="95:95" x14ac:dyDescent="0.35">
      <c r="CQ1137" s="250"/>
    </row>
    <row r="1138" spans="95:95" x14ac:dyDescent="0.35">
      <c r="CQ1138" s="250"/>
    </row>
    <row r="1139" spans="95:95" x14ac:dyDescent="0.35">
      <c r="CQ1139" s="250"/>
    </row>
    <row r="1140" spans="95:95" x14ac:dyDescent="0.35">
      <c r="CQ1140" s="363"/>
    </row>
    <row r="1141" spans="95:95" x14ac:dyDescent="0.35">
      <c r="CQ1141" s="364"/>
    </row>
    <row r="1142" spans="95:95" x14ac:dyDescent="0.35">
      <c r="CQ1142" s="365"/>
    </row>
    <row r="1143" spans="95:95" x14ac:dyDescent="0.35">
      <c r="CQ1143" s="250"/>
    </row>
    <row r="1144" spans="95:95" x14ac:dyDescent="0.35">
      <c r="CQ1144" s="365"/>
    </row>
    <row r="1145" spans="95:95" x14ac:dyDescent="0.35">
      <c r="CQ1145" s="301"/>
    </row>
    <row r="1146" spans="95:95" x14ac:dyDescent="0.35">
      <c r="CQ1146" s="301"/>
    </row>
    <row r="1147" spans="95:95" x14ac:dyDescent="0.35">
      <c r="CQ1147" s="365"/>
    </row>
    <row r="1148" spans="95:95" x14ac:dyDescent="0.35">
      <c r="CQ1148" s="363"/>
    </row>
    <row r="1149" spans="95:95" x14ac:dyDescent="0.35">
      <c r="CQ1149" s="366"/>
    </row>
    <row r="1150" spans="95:95" ht="16" thickBot="1" x14ac:dyDescent="0.4">
      <c r="CQ1150" s="367"/>
    </row>
    <row r="1159" spans="95:95" x14ac:dyDescent="0.35">
      <c r="CQ1159" s="162"/>
    </row>
    <row r="1160" spans="95:95" x14ac:dyDescent="0.35">
      <c r="CQ1160" s="162"/>
    </row>
    <row r="1161" spans="95:95" x14ac:dyDescent="0.35">
      <c r="CQ1161" s="368"/>
    </row>
    <row r="1162" spans="95:95" x14ac:dyDescent="0.35">
      <c r="CQ1162" s="162"/>
    </row>
    <row r="1163" spans="95:95" ht="16" thickBot="1" x14ac:dyDescent="0.4">
      <c r="CQ1163" s="185"/>
    </row>
    <row r="1164" spans="95:95" x14ac:dyDescent="0.35">
      <c r="CQ1164" s="286"/>
    </row>
    <row r="1165" spans="95:95" x14ac:dyDescent="0.35">
      <c r="CQ1165" s="369"/>
    </row>
    <row r="1166" spans="95:95" x14ac:dyDescent="0.35">
      <c r="CQ1166" s="370"/>
    </row>
    <row r="1167" spans="95:95" x14ac:dyDescent="0.35">
      <c r="CQ1167" s="371"/>
    </row>
    <row r="1168" spans="95:95" x14ac:dyDescent="0.35">
      <c r="CQ1168" s="274"/>
    </row>
    <row r="1169" spans="95:95" x14ac:dyDescent="0.35">
      <c r="CQ1169" s="251"/>
    </row>
    <row r="1170" spans="95:95" x14ac:dyDescent="0.35">
      <c r="CQ1170" s="250"/>
    </row>
    <row r="1171" spans="95:95" x14ac:dyDescent="0.35">
      <c r="CQ1171" s="250"/>
    </row>
    <row r="1172" spans="95:95" x14ac:dyDescent="0.35">
      <c r="CQ1172" s="372"/>
    </row>
    <row r="1173" spans="95:95" x14ac:dyDescent="0.35">
      <c r="CQ1173" s="250"/>
    </row>
    <row r="1174" spans="95:95" x14ac:dyDescent="0.35">
      <c r="CQ1174" s="251"/>
    </row>
    <row r="1175" spans="95:95" ht="16" thickBot="1" x14ac:dyDescent="0.4">
      <c r="CQ1175" s="373"/>
    </row>
    <row r="1176" spans="95:95" ht="16" thickBot="1" x14ac:dyDescent="0.4">
      <c r="CQ1176" s="323"/>
    </row>
    <row r="1177" spans="95:95" x14ac:dyDescent="0.35">
      <c r="CQ1177" s="251"/>
    </row>
    <row r="1178" spans="95:95" x14ac:dyDescent="0.35">
      <c r="CQ1178" s="251"/>
    </row>
    <row r="1179" spans="95:95" x14ac:dyDescent="0.35">
      <c r="CQ1179" s="251"/>
    </row>
    <row r="1180" spans="95:95" x14ac:dyDescent="0.35">
      <c r="CQ1180" s="301"/>
    </row>
    <row r="1181" spans="95:95" x14ac:dyDescent="0.35">
      <c r="CQ1181" s="301"/>
    </row>
    <row r="1182" spans="95:95" x14ac:dyDescent="0.35">
      <c r="CQ1182" s="301"/>
    </row>
    <row r="1183" spans="95:95" x14ac:dyDescent="0.35">
      <c r="CQ1183" s="251"/>
    </row>
    <row r="1184" spans="95:95" x14ac:dyDescent="0.35">
      <c r="CQ1184" s="373"/>
    </row>
    <row r="1185" spans="95:95" x14ac:dyDescent="0.35">
      <c r="CQ1185" s="251"/>
    </row>
    <row r="1186" spans="95:95" x14ac:dyDescent="0.35">
      <c r="CQ1186" s="251"/>
    </row>
    <row r="1187" spans="95:95" x14ac:dyDescent="0.35">
      <c r="CQ1187" s="251"/>
    </row>
    <row r="1188" spans="95:95" ht="16" thickBot="1" x14ac:dyDescent="0.4">
      <c r="CQ1188" s="374"/>
    </row>
    <row r="1189" spans="95:95" x14ac:dyDescent="0.35">
      <c r="CQ1189" s="375"/>
    </row>
    <row r="1200" spans="95:95" x14ac:dyDescent="0.35">
      <c r="CQ1200" s="162"/>
    </row>
    <row r="1201" spans="95:95" x14ac:dyDescent="0.35">
      <c r="CQ1201" s="162"/>
    </row>
    <row r="1202" spans="95:95" x14ac:dyDescent="0.35">
      <c r="CQ1202" s="162"/>
    </row>
    <row r="1203" spans="95:95" ht="16" thickBot="1" x14ac:dyDescent="0.4">
      <c r="CQ1203" s="257"/>
    </row>
    <row r="1204" spans="95:95" x14ac:dyDescent="0.35">
      <c r="CQ1204" s="286"/>
    </row>
    <row r="1205" spans="95:95" x14ac:dyDescent="0.35">
      <c r="CQ1205" s="361"/>
    </row>
    <row r="1206" spans="95:95" ht="16" thickBot="1" x14ac:dyDescent="0.4">
      <c r="CQ1206" s="376"/>
    </row>
    <row r="1207" spans="95:95" ht="16" thickBot="1" x14ac:dyDescent="0.4">
      <c r="CQ1207" s="377"/>
    </row>
    <row r="1208" spans="95:95" x14ac:dyDescent="0.35">
      <c r="CQ1208" s="378"/>
    </row>
    <row r="1209" spans="95:95" x14ac:dyDescent="0.35">
      <c r="CQ1209" s="378"/>
    </row>
    <row r="1218" spans="95:95" x14ac:dyDescent="0.35">
      <c r="CQ1218" s="162"/>
    </row>
    <row r="1219" spans="95:95" x14ac:dyDescent="0.35">
      <c r="CQ1219" s="162"/>
    </row>
    <row r="1220" spans="95:95" x14ac:dyDescent="0.35">
      <c r="CQ1220" s="368"/>
    </row>
    <row r="1221" spans="95:95" x14ac:dyDescent="0.35">
      <c r="CQ1221" s="162"/>
    </row>
    <row r="1222" spans="95:95" ht="16" thickBot="1" x14ac:dyDescent="0.4">
      <c r="CQ1222" s="185"/>
    </row>
    <row r="1223" spans="95:95" x14ac:dyDescent="0.35">
      <c r="CQ1223" s="286"/>
    </row>
    <row r="1224" spans="95:95" x14ac:dyDescent="0.35">
      <c r="CQ1224" s="251"/>
    </row>
    <row r="1225" spans="95:95" x14ac:dyDescent="0.35">
      <c r="CQ1225" s="251"/>
    </row>
    <row r="1226" spans="95:95" x14ac:dyDescent="0.35">
      <c r="CQ1226" s="250"/>
    </row>
    <row r="1227" spans="95:95" x14ac:dyDescent="0.35">
      <c r="CQ1227" s="276"/>
    </row>
    <row r="1228" spans="95:95" x14ac:dyDescent="0.35">
      <c r="CQ1228" s="276"/>
    </row>
    <row r="1229" spans="95:95" x14ac:dyDescent="0.35">
      <c r="CQ1229" s="276"/>
    </row>
    <row r="1230" spans="95:95" x14ac:dyDescent="0.35">
      <c r="CQ1230" s="276"/>
    </row>
    <row r="1231" spans="95:95" ht="16" thickBot="1" x14ac:dyDescent="0.4">
      <c r="CQ1231" s="276"/>
    </row>
    <row r="1232" spans="95:95" ht="16" thickBot="1" x14ac:dyDescent="0.4">
      <c r="CQ1232" s="323"/>
    </row>
    <row r="1233" spans="95:95" x14ac:dyDescent="0.35">
      <c r="CQ1233" s="379"/>
    </row>
    <row r="1234" spans="95:95" x14ac:dyDescent="0.35">
      <c r="CQ1234" s="379"/>
    </row>
    <row r="1235" spans="95:95" x14ac:dyDescent="0.35">
      <c r="CQ1235" s="379"/>
    </row>
    <row r="1236" spans="95:95" x14ac:dyDescent="0.35">
      <c r="CQ1236" s="379"/>
    </row>
    <row r="1237" spans="95:95" x14ac:dyDescent="0.35">
      <c r="CQ1237" s="380"/>
    </row>
    <row r="1238" spans="95:95" x14ac:dyDescent="0.35">
      <c r="CQ1238" s="381"/>
    </row>
    <row r="1239" spans="95:95" x14ac:dyDescent="0.35">
      <c r="CQ1239" s="381"/>
    </row>
    <row r="1240" spans="95:95" x14ac:dyDescent="0.35">
      <c r="CQ1240" s="381"/>
    </row>
    <row r="1241" spans="95:95" x14ac:dyDescent="0.35">
      <c r="CQ1241" s="381"/>
    </row>
    <row r="1242" spans="95:95" x14ac:dyDescent="0.35">
      <c r="CQ1242" s="381"/>
    </row>
    <row r="1243" spans="95:95" x14ac:dyDescent="0.35">
      <c r="CQ1243" s="382"/>
    </row>
    <row r="1244" spans="95:95" x14ac:dyDescent="0.35">
      <c r="CQ1244" s="381"/>
    </row>
    <row r="1245" spans="95:95" x14ac:dyDescent="0.35">
      <c r="CQ1245" s="275"/>
    </row>
    <row r="1246" spans="95:95" x14ac:dyDescent="0.35">
      <c r="CQ1246" s="275"/>
    </row>
    <row r="1247" spans="95:95" ht="16" thickBot="1" x14ac:dyDescent="0.4">
      <c r="CQ1247" s="383"/>
    </row>
    <row r="1248" spans="95:95" ht="16" thickBot="1" x14ac:dyDescent="0.4">
      <c r="CQ1248" s="384"/>
    </row>
    <row r="1283" spans="95:95" x14ac:dyDescent="0.35">
      <c r="CQ1283" s="162"/>
    </row>
    <row r="1284" spans="95:95" x14ac:dyDescent="0.35">
      <c r="CQ1284" s="162"/>
    </row>
    <row r="1285" spans="95:95" x14ac:dyDescent="0.35">
      <c r="CQ1285" s="368"/>
    </row>
    <row r="1286" spans="95:95" x14ac:dyDescent="0.35">
      <c r="CQ1286" s="162"/>
    </row>
    <row r="1287" spans="95:95" ht="16" thickBot="1" x14ac:dyDescent="0.4">
      <c r="CQ1287" s="185"/>
    </row>
    <row r="1288" spans="95:95" x14ac:dyDescent="0.35">
      <c r="CQ1288" s="286"/>
    </row>
    <row r="1289" spans="95:95" x14ac:dyDescent="0.35">
      <c r="CQ1289" s="251"/>
    </row>
    <row r="1290" spans="95:95" x14ac:dyDescent="0.35">
      <c r="CQ1290" s="251"/>
    </row>
    <row r="1291" spans="95:95" x14ac:dyDescent="0.35">
      <c r="CQ1291" s="250"/>
    </row>
    <row r="1292" spans="95:95" x14ac:dyDescent="0.35">
      <c r="CQ1292" s="328"/>
    </row>
    <row r="1293" spans="95:95" x14ac:dyDescent="0.35">
      <c r="CQ1293" s="328"/>
    </row>
    <row r="1294" spans="95:95" x14ac:dyDescent="0.35">
      <c r="CQ1294" s="251"/>
    </row>
    <row r="1295" spans="95:95" x14ac:dyDescent="0.35">
      <c r="CQ1295" s="328"/>
    </row>
    <row r="1296" spans="95:95" x14ac:dyDescent="0.35">
      <c r="CQ1296" s="251"/>
    </row>
    <row r="1297" spans="95:95" x14ac:dyDescent="0.35">
      <c r="CQ1297" s="251"/>
    </row>
    <row r="1298" spans="95:95" x14ac:dyDescent="0.35">
      <c r="CQ1298" s="351"/>
    </row>
    <row r="1299" spans="95:95" x14ac:dyDescent="0.35">
      <c r="CQ1299" s="385"/>
    </row>
    <row r="1300" spans="95:95" x14ac:dyDescent="0.35">
      <c r="CQ1300" s="276"/>
    </row>
    <row r="1301" spans="95:95" x14ac:dyDescent="0.35">
      <c r="CQ1301" s="276"/>
    </row>
    <row r="1302" spans="95:95" x14ac:dyDescent="0.35">
      <c r="CQ1302" s="276"/>
    </row>
    <row r="1303" spans="95:95" x14ac:dyDescent="0.35">
      <c r="CQ1303" s="275"/>
    </row>
    <row r="1304" spans="95:95" x14ac:dyDescent="0.35">
      <c r="CQ1304" s="386"/>
    </row>
    <row r="1305" spans="95:95" x14ac:dyDescent="0.35">
      <c r="CQ1305" s="263"/>
    </row>
    <row r="1306" spans="95:95" x14ac:dyDescent="0.35">
      <c r="CQ1306" s="263"/>
    </row>
    <row r="1307" spans="95:95" ht="16" thickBot="1" x14ac:dyDescent="0.4">
      <c r="CQ1307" s="263"/>
    </row>
    <row r="1308" spans="95:95" ht="16" thickBot="1" x14ac:dyDescent="0.4">
      <c r="CQ1308" s="384"/>
    </row>
    <row r="1336" spans="95:95" x14ac:dyDescent="0.35">
      <c r="CQ1336" s="162"/>
    </row>
    <row r="1337" spans="95:95" x14ac:dyDescent="0.35">
      <c r="CQ1337" s="162"/>
    </row>
    <row r="1338" spans="95:95" x14ac:dyDescent="0.35">
      <c r="CQ1338" s="185"/>
    </row>
    <row r="1339" spans="95:95" x14ac:dyDescent="0.35">
      <c r="CQ1339" s="247"/>
    </row>
    <row r="1340" spans="95:95" x14ac:dyDescent="0.35">
      <c r="CQ1340" s="276"/>
    </row>
    <row r="1341" spans="95:95" x14ac:dyDescent="0.35">
      <c r="CQ1341" s="276"/>
    </row>
    <row r="1342" spans="95:95" x14ac:dyDescent="0.35">
      <c r="CQ1342" s="387"/>
    </row>
    <row r="1343" spans="95:95" x14ac:dyDescent="0.35">
      <c r="CQ1343" s="276"/>
    </row>
    <row r="1344" spans="95:95" x14ac:dyDescent="0.35">
      <c r="CQ1344" s="276"/>
    </row>
    <row r="1345" spans="95:95" x14ac:dyDescent="0.35">
      <c r="CQ1345" s="387"/>
    </row>
    <row r="1346" spans="95:95" x14ac:dyDescent="0.35">
      <c r="CQ1346" s="284"/>
    </row>
    <row r="1347" spans="95:95" x14ac:dyDescent="0.35">
      <c r="CQ1347" s="284"/>
    </row>
    <row r="1348" spans="95:95" x14ac:dyDescent="0.35">
      <c r="CQ1348" s="387"/>
    </row>
    <row r="1349" spans="95:95" x14ac:dyDescent="0.35">
      <c r="CQ1349" s="251"/>
    </row>
    <row r="1350" spans="95:95" x14ac:dyDescent="0.35">
      <c r="CQ1350" s="251"/>
    </row>
    <row r="1351" spans="95:95" x14ac:dyDescent="0.35">
      <c r="CQ1351" s="276"/>
    </row>
    <row r="1352" spans="95:95" x14ac:dyDescent="0.35">
      <c r="CQ1352" s="328"/>
    </row>
    <row r="1353" spans="95:95" x14ac:dyDescent="0.35">
      <c r="CQ1353" s="264"/>
    </row>
    <row r="1354" spans="95:95" x14ac:dyDescent="0.35">
      <c r="CQ1354" s="251"/>
    </row>
    <row r="1355" spans="95:95" x14ac:dyDescent="0.35">
      <c r="CQ1355" s="251"/>
    </row>
    <row r="1356" spans="95:95" x14ac:dyDescent="0.35">
      <c r="CQ1356" s="251"/>
    </row>
    <row r="1357" spans="95:95" x14ac:dyDescent="0.35">
      <c r="CQ1357" s="301"/>
    </row>
    <row r="1358" spans="95:95" x14ac:dyDescent="0.35">
      <c r="CQ1358" s="264"/>
    </row>
    <row r="1359" spans="95:95" x14ac:dyDescent="0.35">
      <c r="CQ1359" s="251"/>
    </row>
    <row r="1360" spans="95:95" x14ac:dyDescent="0.35">
      <c r="CQ1360" s="251"/>
    </row>
    <row r="1361" spans="95:95" x14ac:dyDescent="0.35">
      <c r="CQ1361" s="251"/>
    </row>
    <row r="1362" spans="95:95" x14ac:dyDescent="0.35">
      <c r="CQ1362" s="263"/>
    </row>
    <row r="1363" spans="95:95" x14ac:dyDescent="0.35">
      <c r="CQ1363" s="210"/>
    </row>
    <row r="1364" spans="95:95" x14ac:dyDescent="0.35">
      <c r="CQ1364" s="210"/>
    </row>
    <row r="1365" spans="95:95" x14ac:dyDescent="0.35">
      <c r="CQ1365" s="162"/>
    </row>
    <row r="1368" spans="95:95" x14ac:dyDescent="0.35">
      <c r="CQ1368" s="162"/>
    </row>
    <row r="1369" spans="95:95" x14ac:dyDescent="0.35">
      <c r="CQ1369" s="257"/>
    </row>
    <row r="1370" spans="95:95" x14ac:dyDescent="0.35">
      <c r="CQ1370" s="388"/>
    </row>
    <row r="1371" spans="95:95" x14ac:dyDescent="0.35">
      <c r="CQ1371" s="388"/>
    </row>
    <row r="1372" spans="95:95" x14ac:dyDescent="0.35">
      <c r="CQ1372" s="388"/>
    </row>
    <row r="1373" spans="95:95" x14ac:dyDescent="0.35">
      <c r="CQ1373" s="388"/>
    </row>
    <row r="1374" spans="95:95" x14ac:dyDescent="0.35">
      <c r="CQ1374" s="388"/>
    </row>
    <row r="1375" spans="95:95" x14ac:dyDescent="0.35">
      <c r="CQ1375" s="388"/>
    </row>
    <row r="1379" spans="95:95" x14ac:dyDescent="0.35">
      <c r="CQ1379" s="227"/>
    </row>
    <row r="1380" spans="95:95" x14ac:dyDescent="0.35">
      <c r="CQ1380" s="227"/>
    </row>
    <row r="1388" spans="95:95" x14ac:dyDescent="0.35">
      <c r="CQ1388" s="162"/>
    </row>
    <row r="1389" spans="95:95" x14ac:dyDescent="0.35">
      <c r="CQ1389" s="162"/>
    </row>
    <row r="1390" spans="95:95" x14ac:dyDescent="0.35">
      <c r="CQ1390" s="261"/>
    </row>
    <row r="1391" spans="95:95" x14ac:dyDescent="0.35">
      <c r="CQ1391" s="371"/>
    </row>
    <row r="1392" spans="95:95" x14ac:dyDescent="0.35">
      <c r="CQ1392" s="276"/>
    </row>
    <row r="1393" spans="95:95" x14ac:dyDescent="0.35">
      <c r="CQ1393" s="276"/>
    </row>
    <row r="1394" spans="95:95" x14ac:dyDescent="0.35">
      <c r="CQ1394" s="276"/>
    </row>
    <row r="1395" spans="95:95" x14ac:dyDescent="0.35">
      <c r="CQ1395" s="276"/>
    </row>
    <row r="1396" spans="95:95" x14ac:dyDescent="0.35">
      <c r="CQ1396" s="276"/>
    </row>
    <row r="1397" spans="95:95" x14ac:dyDescent="0.35">
      <c r="CQ1397" s="276"/>
    </row>
    <row r="1398" spans="95:95" x14ac:dyDescent="0.35">
      <c r="CQ1398" s="276"/>
    </row>
    <row r="1399" spans="95:95" x14ac:dyDescent="0.35">
      <c r="CQ1399" s="276"/>
    </row>
    <row r="1400" spans="95:95" x14ac:dyDescent="0.35">
      <c r="CQ1400" s="276"/>
    </row>
    <row r="1401" spans="95:95" x14ac:dyDescent="0.35">
      <c r="CQ1401" s="276"/>
    </row>
    <row r="1402" spans="95:95" x14ac:dyDescent="0.35">
      <c r="CQ1402" s="276"/>
    </row>
    <row r="1403" spans="95:95" x14ac:dyDescent="0.35">
      <c r="CQ1403" s="276"/>
    </row>
    <row r="1404" spans="95:95" x14ac:dyDescent="0.35">
      <c r="CQ1404" s="276"/>
    </row>
    <row r="1406" spans="95:95" x14ac:dyDescent="0.35">
      <c r="CQ1406" s="389"/>
    </row>
    <row r="1407" spans="95:95" x14ac:dyDescent="0.35">
      <c r="CQ1407" s="276"/>
    </row>
    <row r="1409" spans="95:95" x14ac:dyDescent="0.35">
      <c r="CQ1409" s="276"/>
    </row>
    <row r="1410" spans="95:95" x14ac:dyDescent="0.35">
      <c r="CQ1410" s="390"/>
    </row>
    <row r="1411" spans="95:95" x14ac:dyDescent="0.35">
      <c r="CQ1411" s="291"/>
    </row>
    <row r="1412" spans="95:95" x14ac:dyDescent="0.35">
      <c r="CQ1412" s="390"/>
    </row>
    <row r="1413" spans="95:95" x14ac:dyDescent="0.35">
      <c r="CQ1413" s="391"/>
    </row>
    <row r="1414" spans="95:95" x14ac:dyDescent="0.35">
      <c r="CQ1414" s="291"/>
    </row>
    <row r="1415" spans="95:95" x14ac:dyDescent="0.35">
      <c r="CQ1415" s="390"/>
    </row>
    <row r="1416" spans="95:95" x14ac:dyDescent="0.35">
      <c r="CQ1416" s="291"/>
    </row>
    <row r="1417" spans="95:95" x14ac:dyDescent="0.35">
      <c r="CQ1417" s="390"/>
    </row>
    <row r="1418" spans="95:95" x14ac:dyDescent="0.35">
      <c r="CQ1418" s="291"/>
    </row>
    <row r="1419" spans="95:95" x14ac:dyDescent="0.35">
      <c r="CQ1419" s="276"/>
    </row>
    <row r="1420" spans="95:95" ht="16" thickBot="1" x14ac:dyDescent="0.4">
      <c r="CQ1420" s="392"/>
    </row>
    <row r="1421" spans="95:95" x14ac:dyDescent="0.35">
      <c r="CQ1421" s="393"/>
    </row>
    <row r="1422" spans="95:95" x14ac:dyDescent="0.35">
      <c r="CQ1422" s="393"/>
    </row>
    <row r="1423" spans="95:95" x14ac:dyDescent="0.35">
      <c r="CQ1423" s="393"/>
    </row>
    <row r="1424" spans="95:95" x14ac:dyDescent="0.35">
      <c r="CQ1424" s="393"/>
    </row>
    <row r="1425" spans="95:95" x14ac:dyDescent="0.35">
      <c r="CQ1425" s="393"/>
    </row>
    <row r="1426" spans="95:95" x14ac:dyDescent="0.35">
      <c r="CQ1426" s="393"/>
    </row>
    <row r="1427" spans="95:95" x14ac:dyDescent="0.35">
      <c r="CQ1427" s="393"/>
    </row>
    <row r="1428" spans="95:95" x14ac:dyDescent="0.35">
      <c r="CQ1428" s="393"/>
    </row>
    <row r="1429" spans="95:95" x14ac:dyDescent="0.35">
      <c r="CQ1429" s="393"/>
    </row>
    <row r="1430" spans="95:95" x14ac:dyDescent="0.35">
      <c r="CQ1430" s="393"/>
    </row>
    <row r="1431" spans="95:95" x14ac:dyDescent="0.35">
      <c r="CQ1431" s="393"/>
    </row>
    <row r="1432" spans="95:95" x14ac:dyDescent="0.35">
      <c r="CQ1432" s="393"/>
    </row>
    <row r="1433" spans="95:95" x14ac:dyDescent="0.35">
      <c r="CQ1433" s="393"/>
    </row>
    <row r="1434" spans="95:95" x14ac:dyDescent="0.35">
      <c r="CQ1434" s="393"/>
    </row>
    <row r="1435" spans="95:95" x14ac:dyDescent="0.35">
      <c r="CQ1435" s="393"/>
    </row>
    <row r="1436" spans="95:95" x14ac:dyDescent="0.35">
      <c r="CQ1436" s="393"/>
    </row>
    <row r="1437" spans="95:95" x14ac:dyDescent="0.35">
      <c r="CQ1437" s="393"/>
    </row>
    <row r="1438" spans="95:95" x14ac:dyDescent="0.35">
      <c r="CQ1438" s="393"/>
    </row>
    <row r="1439" spans="95:95" x14ac:dyDescent="0.35">
      <c r="CQ1439" s="393"/>
    </row>
    <row r="1440" spans="95:95" x14ac:dyDescent="0.35">
      <c r="CQ1440" s="393"/>
    </row>
    <row r="1441" spans="95:95" x14ac:dyDescent="0.35">
      <c r="CQ1441" s="393"/>
    </row>
    <row r="1442" spans="95:95" x14ac:dyDescent="0.35">
      <c r="CQ1442" s="393"/>
    </row>
    <row r="1443" spans="95:95" x14ac:dyDescent="0.35">
      <c r="CQ1443" s="393"/>
    </row>
    <row r="1444" spans="95:95" x14ac:dyDescent="0.35">
      <c r="CQ1444" s="393"/>
    </row>
    <row r="1445" spans="95:95" x14ac:dyDescent="0.35">
      <c r="CQ1445" s="393"/>
    </row>
    <row r="1446" spans="95:95" x14ac:dyDescent="0.35">
      <c r="CQ1446" s="162"/>
    </row>
    <row r="1447" spans="95:95" x14ac:dyDescent="0.35">
      <c r="CQ1447" s="162"/>
    </row>
    <row r="1448" spans="95:95" x14ac:dyDescent="0.35">
      <c r="CQ1448" s="247"/>
    </row>
    <row r="1449" spans="95:95" x14ac:dyDescent="0.35">
      <c r="CQ1449" s="247"/>
    </row>
    <row r="1450" spans="95:95" x14ac:dyDescent="0.35">
      <c r="CQ1450" s="291"/>
    </row>
    <row r="1451" spans="95:95" x14ac:dyDescent="0.35">
      <c r="CQ1451" s="291"/>
    </row>
    <row r="1452" spans="95:95" x14ac:dyDescent="0.35">
      <c r="CQ1452" s="162"/>
    </row>
    <row r="1453" spans="95:95" x14ac:dyDescent="0.35">
      <c r="CQ1453" s="162"/>
    </row>
    <row r="1454" spans="95:95" x14ac:dyDescent="0.35">
      <c r="CQ1454" s="291"/>
    </row>
    <row r="1455" spans="95:95" x14ac:dyDescent="0.35">
      <c r="CQ1455" s="291"/>
    </row>
    <row r="1456" spans="95:95" x14ac:dyDescent="0.35">
      <c r="CQ1456" s="162"/>
    </row>
    <row r="1457" spans="95:95" x14ac:dyDescent="0.35">
      <c r="CQ1457" s="394"/>
    </row>
    <row r="1458" spans="95:95" x14ac:dyDescent="0.35">
      <c r="CQ1458" s="264"/>
    </row>
    <row r="1459" spans="95:95" x14ac:dyDescent="0.35">
      <c r="CQ1459" s="328"/>
    </row>
    <row r="1460" spans="95:95" x14ac:dyDescent="0.35">
      <c r="CQ1460" s="328"/>
    </row>
    <row r="1461" spans="95:95" x14ac:dyDescent="0.35">
      <c r="CQ1461" s="291"/>
    </row>
    <row r="1462" spans="95:95" x14ac:dyDescent="0.35">
      <c r="CQ1462" s="394"/>
    </row>
    <row r="1463" spans="95:95" x14ac:dyDescent="0.35">
      <c r="CQ1463" s="351"/>
    </row>
    <row r="1464" spans="95:95" x14ac:dyDescent="0.35">
      <c r="CQ1464" s="395"/>
    </row>
    <row r="1465" spans="95:95" x14ac:dyDescent="0.35">
      <c r="CQ1465" s="395"/>
    </row>
    <row r="1466" spans="95:95" x14ac:dyDescent="0.35">
      <c r="CQ1466" s="351"/>
    </row>
    <row r="1467" spans="95:95" x14ac:dyDescent="0.35">
      <c r="CQ1467" s="351"/>
    </row>
    <row r="1468" spans="95:95" x14ac:dyDescent="0.35">
      <c r="CQ1468" s="351"/>
    </row>
    <row r="1469" spans="95:95" x14ac:dyDescent="0.35">
      <c r="CQ1469" s="351"/>
    </row>
    <row r="1470" spans="95:95" x14ac:dyDescent="0.35">
      <c r="CQ1470" s="284"/>
    </row>
    <row r="1471" spans="95:95" x14ac:dyDescent="0.35">
      <c r="CQ1471" s="162"/>
    </row>
  </sheetData>
  <mergeCells count="7">
    <mergeCell ref="FQ71:FR71"/>
    <mergeCell ref="EE2:EI2"/>
    <mergeCell ref="EH5:ES5"/>
    <mergeCell ref="ET5:FD5"/>
    <mergeCell ref="FE5:FP5"/>
    <mergeCell ref="FQ11:FR11"/>
    <mergeCell ref="FQ24:FR24"/>
  </mergeCells>
  <conditionalFormatting sqref="CQ939">
    <cfRule type="top10" dxfId="8" priority="5" percent="1" rank="10"/>
  </conditionalFormatting>
  <conditionalFormatting sqref="CQ932:CQ938">
    <cfRule type="top10" dxfId="7" priority="4" percent="1" rank="10"/>
  </conditionalFormatting>
  <conditionalFormatting sqref="CQ940:CQ945">
    <cfRule type="top10" dxfId="6" priority="3" percent="1" rank="10"/>
  </conditionalFormatting>
  <conditionalFormatting sqref="CQ932:CQ938">
    <cfRule type="top10" dxfId="5" priority="2" percent="1" rank="10"/>
  </conditionalFormatting>
  <conditionalFormatting sqref="CQ940:CQ945">
    <cfRule type="top10" dxfId="4" priority="1" percent="1" rank="10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O1955"/>
  <sheetViews>
    <sheetView topLeftCell="E1922" zoomScale="90" zoomScaleNormal="90" workbookViewId="0">
      <selection activeCell="Q1935" sqref="Q1935"/>
    </sheetView>
  </sheetViews>
  <sheetFormatPr defaultRowHeight="14.5" x14ac:dyDescent="0.35"/>
  <cols>
    <col min="1" max="1" width="3.54296875" customWidth="1"/>
    <col min="2" max="2" width="39.1796875" customWidth="1"/>
    <col min="3" max="3" width="5.7265625" customWidth="1"/>
    <col min="4" max="4" width="12.7265625" style="34" customWidth="1"/>
    <col min="5" max="5" width="12.7265625" customWidth="1"/>
    <col min="6" max="6" width="12.7265625" style="809" customWidth="1"/>
    <col min="7" max="8" width="15.1796875" customWidth="1"/>
    <col min="9" max="13" width="12.7265625" customWidth="1"/>
    <col min="14" max="14" width="15.81640625" customWidth="1"/>
    <col min="15" max="15" width="12.7265625" customWidth="1"/>
  </cols>
  <sheetData>
    <row r="6" spans="1:15" ht="30" x14ac:dyDescent="0.35">
      <c r="A6" s="2219" t="s">
        <v>1159</v>
      </c>
      <c r="B6" s="2219"/>
      <c r="C6" s="2219"/>
      <c r="D6" s="2219"/>
      <c r="E6" s="2219"/>
      <c r="F6" s="2219"/>
      <c r="G6" s="2219"/>
      <c r="H6" s="2219"/>
      <c r="I6" s="2219"/>
      <c r="J6" s="2219"/>
      <c r="K6" s="2219"/>
      <c r="L6" s="2219"/>
      <c r="M6" s="2219"/>
      <c r="N6" s="2219"/>
      <c r="O6" s="756" t="e">
        <f>#REF!</f>
        <v>#REF!</v>
      </c>
    </row>
    <row r="7" spans="1:15" ht="15.5" x14ac:dyDescent="0.35">
      <c r="A7" s="2096" t="s">
        <v>0</v>
      </c>
      <c r="B7" s="2098" t="s">
        <v>1</v>
      </c>
      <c r="C7" s="2100" t="s">
        <v>2</v>
      </c>
      <c r="D7" s="2101"/>
      <c r="E7" s="2102"/>
      <c r="F7" s="2216" t="s">
        <v>3</v>
      </c>
      <c r="G7" s="2100" t="s">
        <v>4</v>
      </c>
      <c r="H7" s="2102"/>
      <c r="I7" s="2085"/>
      <c r="J7" s="2103" t="s">
        <v>5</v>
      </c>
      <c r="K7" s="2100" t="s">
        <v>6</v>
      </c>
      <c r="L7" s="2102"/>
      <c r="M7" s="97" t="s">
        <v>1088</v>
      </c>
      <c r="N7" s="98"/>
      <c r="O7" s="2084" t="s">
        <v>7</v>
      </c>
    </row>
    <row r="8" spans="1:15" ht="15.5" x14ac:dyDescent="0.35">
      <c r="A8" s="2097"/>
      <c r="B8" s="2099"/>
      <c r="C8" s="2086" t="s">
        <v>1108</v>
      </c>
      <c r="D8" s="2087"/>
      <c r="E8" s="87" t="s">
        <v>9</v>
      </c>
      <c r="F8" s="2217"/>
      <c r="G8" s="2">
        <v>44774</v>
      </c>
      <c r="H8" s="2">
        <v>44805</v>
      </c>
      <c r="I8" s="1" t="s">
        <v>10</v>
      </c>
      <c r="J8" s="2097"/>
      <c r="K8" s="1" t="s">
        <v>11</v>
      </c>
      <c r="L8" s="1" t="s">
        <v>12</v>
      </c>
      <c r="M8" s="617" t="s">
        <v>33</v>
      </c>
      <c r="N8" s="76" t="s">
        <v>47</v>
      </c>
      <c r="O8" s="2085"/>
    </row>
    <row r="9" spans="1:15" ht="15.5" x14ac:dyDescent="0.35">
      <c r="A9" s="3">
        <v>1</v>
      </c>
      <c r="B9" s="88">
        <v>2</v>
      </c>
      <c r="C9" s="2088">
        <v>4</v>
      </c>
      <c r="D9" s="2089"/>
      <c r="E9" s="88">
        <v>5</v>
      </c>
      <c r="F9" s="803">
        <v>7</v>
      </c>
      <c r="G9" s="3">
        <v>8</v>
      </c>
      <c r="H9" s="3">
        <v>9</v>
      </c>
      <c r="I9" s="3" t="s">
        <v>13</v>
      </c>
      <c r="J9" s="3">
        <v>11</v>
      </c>
      <c r="K9" s="3" t="s">
        <v>19</v>
      </c>
      <c r="L9" s="3" t="s">
        <v>20</v>
      </c>
      <c r="M9" s="3">
        <v>14</v>
      </c>
      <c r="N9" s="77">
        <v>15</v>
      </c>
      <c r="O9" s="3">
        <v>16</v>
      </c>
    </row>
    <row r="10" spans="1:15" ht="15.5" x14ac:dyDescent="0.35">
      <c r="A10" s="11"/>
      <c r="B10" s="624" t="s">
        <v>1365</v>
      </c>
      <c r="C10" s="625"/>
      <c r="D10" s="695"/>
      <c r="E10" s="667"/>
      <c r="F10" s="804"/>
      <c r="G10" s="625"/>
      <c r="H10" s="625"/>
      <c r="I10" s="625"/>
      <c r="J10" s="625"/>
      <c r="K10" s="695"/>
      <c r="L10" s="625"/>
      <c r="M10" s="626"/>
      <c r="N10" s="627"/>
      <c r="O10" s="8"/>
    </row>
    <row r="11" spans="1:15" ht="15.5" x14ac:dyDescent="0.35">
      <c r="A11" s="631"/>
      <c r="B11" s="100" t="s">
        <v>1368</v>
      </c>
      <c r="C11" s="52">
        <v>132</v>
      </c>
      <c r="D11" s="819" t="s">
        <v>698</v>
      </c>
      <c r="E11" s="619"/>
      <c r="F11" s="805">
        <v>1</v>
      </c>
      <c r="G11" s="5"/>
      <c r="H11" s="5"/>
      <c r="I11" s="5"/>
      <c r="J11" s="799">
        <v>1000</v>
      </c>
      <c r="K11" s="696">
        <f>J11*I11*F11</f>
        <v>0</v>
      </c>
      <c r="L11" s="7"/>
      <c r="M11" s="7"/>
      <c r="N11" s="78"/>
      <c r="O11" s="616"/>
    </row>
    <row r="12" spans="1:15" ht="15.5" x14ac:dyDescent="0.35">
      <c r="A12" s="631"/>
      <c r="B12" s="100" t="s">
        <v>1369</v>
      </c>
      <c r="C12" s="52">
        <v>132</v>
      </c>
      <c r="D12" s="1927"/>
      <c r="E12" s="619"/>
      <c r="F12" s="805">
        <v>1</v>
      </c>
      <c r="G12" s="5"/>
      <c r="H12" s="5"/>
      <c r="I12" s="5"/>
      <c r="J12" s="799">
        <v>1000</v>
      </c>
      <c r="K12" s="696"/>
      <c r="L12" s="16">
        <f>J12*I12*F12</f>
        <v>0</v>
      </c>
      <c r="M12" s="16"/>
      <c r="N12" s="79"/>
      <c r="O12" s="616"/>
    </row>
    <row r="13" spans="1:15" ht="15.5" x14ac:dyDescent="0.35">
      <c r="A13" s="631"/>
      <c r="B13" s="100" t="s">
        <v>1366</v>
      </c>
      <c r="C13" s="52">
        <v>132</v>
      </c>
      <c r="D13" s="1927"/>
      <c r="E13" s="619"/>
      <c r="F13" s="805">
        <v>1</v>
      </c>
      <c r="G13" s="5"/>
      <c r="H13" s="5"/>
      <c r="I13" s="5"/>
      <c r="J13" s="799">
        <v>1000</v>
      </c>
      <c r="K13" s="696">
        <f>J13*I13*F13</f>
        <v>0</v>
      </c>
      <c r="L13" s="7"/>
      <c r="M13" s="7"/>
      <c r="N13" s="78"/>
      <c r="O13" s="616"/>
    </row>
    <row r="14" spans="1:15" ht="15.5" x14ac:dyDescent="0.35">
      <c r="A14" s="631"/>
      <c r="B14" s="100" t="s">
        <v>1367</v>
      </c>
      <c r="C14" s="52">
        <v>132</v>
      </c>
      <c r="D14" s="1927"/>
      <c r="E14" s="619"/>
      <c r="F14" s="805">
        <v>1</v>
      </c>
      <c r="G14" s="5"/>
      <c r="H14" s="5"/>
      <c r="I14" s="5"/>
      <c r="J14" s="799">
        <v>1000</v>
      </c>
      <c r="K14" s="697"/>
      <c r="L14" s="17">
        <f>J14*I14*F14</f>
        <v>0</v>
      </c>
      <c r="M14" s="17"/>
      <c r="N14" s="80"/>
      <c r="O14" s="616"/>
    </row>
    <row r="15" spans="1:15" ht="15.5" x14ac:dyDescent="0.35">
      <c r="A15" s="631"/>
      <c r="B15" s="100" t="s">
        <v>1370</v>
      </c>
      <c r="C15" s="52">
        <v>132</v>
      </c>
      <c r="D15" s="1927"/>
      <c r="E15" s="93"/>
      <c r="F15" s="805">
        <v>1</v>
      </c>
      <c r="G15" s="5"/>
      <c r="H15" s="5"/>
      <c r="I15" s="5"/>
      <c r="J15" s="799">
        <v>1000</v>
      </c>
      <c r="K15" s="697"/>
      <c r="L15" s="17"/>
      <c r="M15" s="800"/>
      <c r="N15" s="801"/>
      <c r="O15" s="616"/>
    </row>
    <row r="16" spans="1:15" ht="15.5" x14ac:dyDescent="0.35">
      <c r="A16" s="631"/>
      <c r="B16" s="100" t="s">
        <v>1371</v>
      </c>
      <c r="C16" s="52">
        <v>132</v>
      </c>
      <c r="D16" s="1445"/>
      <c r="E16" s="93"/>
      <c r="F16" s="805">
        <v>1</v>
      </c>
      <c r="G16" s="5"/>
      <c r="H16" s="5"/>
      <c r="I16" s="5"/>
      <c r="J16" s="799">
        <v>1000</v>
      </c>
      <c r="K16" s="697"/>
      <c r="L16" s="17"/>
      <c r="M16" s="800"/>
      <c r="N16" s="801"/>
      <c r="O16" s="616"/>
    </row>
    <row r="17" spans="1:15" ht="15.5" x14ac:dyDescent="0.35">
      <c r="A17" s="631"/>
      <c r="B17" s="95"/>
      <c r="C17" s="89"/>
      <c r="D17" s="1846"/>
      <c r="E17" s="89"/>
      <c r="F17" s="806"/>
      <c r="G17" s="37"/>
      <c r="H17" s="37"/>
      <c r="I17" s="2136" t="s">
        <v>236</v>
      </c>
      <c r="J17" s="2137"/>
      <c r="K17" s="698">
        <f>SUM(K11:K14)</f>
        <v>0</v>
      </c>
      <c r="L17" s="94">
        <f>SUM(L11:L14)</f>
        <v>0</v>
      </c>
      <c r="M17" s="18"/>
      <c r="N17" s="81"/>
      <c r="O17" s="616"/>
    </row>
    <row r="18" spans="1:15" ht="15.5" x14ac:dyDescent="0.35">
      <c r="A18" s="631"/>
      <c r="B18" s="95"/>
      <c r="C18" s="89"/>
      <c r="D18" s="1846"/>
      <c r="E18" s="89"/>
      <c r="F18" s="806"/>
      <c r="G18" s="37"/>
      <c r="H18" s="37"/>
      <c r="I18" s="665"/>
      <c r="J18" s="665" t="s">
        <v>31</v>
      </c>
      <c r="K18" s="699">
        <f>K28</f>
        <v>43041000</v>
      </c>
      <c r="L18" s="40"/>
      <c r="M18" s="41"/>
      <c r="N18" s="632"/>
      <c r="O18" s="616"/>
    </row>
    <row r="19" spans="1:15" ht="15.5" x14ac:dyDescent="0.35">
      <c r="A19" s="631"/>
      <c r="B19" s="624" t="s">
        <v>1372</v>
      </c>
      <c r="C19" s="625"/>
      <c r="D19" s="695"/>
      <c r="E19" s="625"/>
      <c r="F19" s="804"/>
      <c r="G19" s="625"/>
      <c r="H19" s="625"/>
      <c r="I19" s="625"/>
      <c r="J19" s="625"/>
      <c r="K19" s="695"/>
      <c r="L19" s="625"/>
      <c r="M19" s="626"/>
      <c r="N19" s="627"/>
      <c r="O19" s="616"/>
    </row>
    <row r="20" spans="1:15" ht="15.5" x14ac:dyDescent="0.35">
      <c r="A20" s="631">
        <v>1</v>
      </c>
      <c r="B20" s="100" t="s">
        <v>3810</v>
      </c>
      <c r="C20" s="52">
        <v>132</v>
      </c>
      <c r="D20" s="819" t="s">
        <v>1084</v>
      </c>
      <c r="E20" s="619" t="s">
        <v>3812</v>
      </c>
      <c r="F20" s="805">
        <v>1</v>
      </c>
      <c r="G20" s="20"/>
      <c r="H20" s="20"/>
      <c r="I20" s="20">
        <f t="shared" ref="I20:I26" si="0">H20-G20</f>
        <v>0</v>
      </c>
      <c r="J20" s="616">
        <v>1000</v>
      </c>
      <c r="K20" s="696">
        <f>F20*I20*J20</f>
        <v>0</v>
      </c>
      <c r="L20" s="16"/>
      <c r="M20" s="16"/>
      <c r="N20" s="79"/>
      <c r="O20" s="616"/>
    </row>
    <row r="21" spans="1:15" ht="15.5" x14ac:dyDescent="0.35">
      <c r="A21" s="631">
        <v>2</v>
      </c>
      <c r="B21" s="100" t="s">
        <v>3813</v>
      </c>
      <c r="C21" s="52">
        <v>132</v>
      </c>
      <c r="D21" s="1927"/>
      <c r="E21" s="619" t="s">
        <v>3814</v>
      </c>
      <c r="F21" s="805">
        <v>1</v>
      </c>
      <c r="G21" s="20">
        <v>1588161</v>
      </c>
      <c r="H21" s="20">
        <v>1605976</v>
      </c>
      <c r="I21" s="20">
        <f t="shared" si="0"/>
        <v>17815</v>
      </c>
      <c r="J21" s="616">
        <v>1000</v>
      </c>
      <c r="K21" s="696">
        <f>F21*I21*J21</f>
        <v>17815000</v>
      </c>
      <c r="L21" s="16"/>
      <c r="M21" s="16"/>
      <c r="N21" s="79"/>
      <c r="O21" s="616"/>
    </row>
    <row r="22" spans="1:15" ht="15.5" x14ac:dyDescent="0.35">
      <c r="A22" s="631"/>
      <c r="B22" s="100" t="s">
        <v>3815</v>
      </c>
      <c r="C22" s="52">
        <v>132</v>
      </c>
      <c r="D22" s="1927"/>
      <c r="E22" s="619" t="s">
        <v>3814</v>
      </c>
      <c r="F22" s="805">
        <v>1</v>
      </c>
      <c r="G22" s="20">
        <v>1588</v>
      </c>
      <c r="H22" s="20">
        <v>1588</v>
      </c>
      <c r="I22" s="20">
        <f>H22-G22</f>
        <v>0</v>
      </c>
      <c r="J22" s="616">
        <v>1000</v>
      </c>
      <c r="K22" s="696">
        <f>F22*I22*J22</f>
        <v>0</v>
      </c>
      <c r="L22" s="16"/>
      <c r="M22" s="16"/>
      <c r="N22" s="79"/>
      <c r="O22" s="616"/>
    </row>
    <row r="23" spans="1:15" ht="15.5" x14ac:dyDescent="0.35">
      <c r="A23" s="631">
        <v>3</v>
      </c>
      <c r="B23" s="100" t="s">
        <v>3815</v>
      </c>
      <c r="C23" s="52">
        <v>132</v>
      </c>
      <c r="D23" s="1927"/>
      <c r="E23" s="619" t="s">
        <v>3817</v>
      </c>
      <c r="F23" s="805">
        <v>1</v>
      </c>
      <c r="G23" s="20">
        <v>281129</v>
      </c>
      <c r="H23" s="20">
        <v>281129</v>
      </c>
      <c r="I23" s="20">
        <f t="shared" si="0"/>
        <v>0</v>
      </c>
      <c r="J23" s="616">
        <v>1000</v>
      </c>
      <c r="K23" s="697"/>
      <c r="L23" s="17">
        <f>F23*I23*J23</f>
        <v>0</v>
      </c>
      <c r="M23" s="17"/>
      <c r="N23" s="80"/>
      <c r="O23" s="616"/>
    </row>
    <row r="24" spans="1:15" ht="15.5" x14ac:dyDescent="0.35">
      <c r="A24" s="631">
        <v>6</v>
      </c>
      <c r="B24" s="100" t="s">
        <v>3818</v>
      </c>
      <c r="C24" s="52">
        <v>132</v>
      </c>
      <c r="D24" s="1927"/>
      <c r="E24" s="93" t="s">
        <v>3819</v>
      </c>
      <c r="F24" s="805">
        <v>1</v>
      </c>
      <c r="G24" s="36">
        <v>1964510</v>
      </c>
      <c r="H24" s="36">
        <v>1976310</v>
      </c>
      <c r="I24" s="20">
        <f t="shared" si="0"/>
        <v>11800</v>
      </c>
      <c r="J24" s="799">
        <v>1000</v>
      </c>
      <c r="K24" s="696">
        <f>F24*I24*J24</f>
        <v>11800000</v>
      </c>
      <c r="L24" s="16"/>
      <c r="M24" s="800"/>
      <c r="N24" s="801"/>
      <c r="O24" s="616"/>
    </row>
    <row r="25" spans="1:15" ht="15.5" x14ac:dyDescent="0.35">
      <c r="A25" s="631">
        <v>7</v>
      </c>
      <c r="B25" s="100" t="s">
        <v>3820</v>
      </c>
      <c r="C25" s="52">
        <v>132</v>
      </c>
      <c r="D25" s="1927"/>
      <c r="E25" s="93" t="s">
        <v>3821</v>
      </c>
      <c r="F25" s="805">
        <v>1</v>
      </c>
      <c r="G25" s="36"/>
      <c r="H25" s="36"/>
      <c r="I25" s="20">
        <f t="shared" si="0"/>
        <v>0</v>
      </c>
      <c r="J25" s="799">
        <v>1000</v>
      </c>
      <c r="K25" s="697">
        <f>F25*I25*J25</f>
        <v>0</v>
      </c>
      <c r="L25" s="17"/>
      <c r="M25" s="800"/>
      <c r="N25" s="801"/>
      <c r="O25" s="616"/>
    </row>
    <row r="26" spans="1:15" ht="15.5" x14ac:dyDescent="0.35">
      <c r="A26" s="631">
        <v>8</v>
      </c>
      <c r="B26" s="100" t="s">
        <v>3822</v>
      </c>
      <c r="C26" s="52">
        <v>132</v>
      </c>
      <c r="D26" s="1445"/>
      <c r="E26" s="93" t="s">
        <v>3823</v>
      </c>
      <c r="F26" s="805">
        <v>1</v>
      </c>
      <c r="G26" s="36">
        <v>2713247</v>
      </c>
      <c r="H26" s="36">
        <v>2726673</v>
      </c>
      <c r="I26" s="20">
        <f t="shared" si="0"/>
        <v>13426</v>
      </c>
      <c r="J26" s="799">
        <v>1000</v>
      </c>
      <c r="K26" s="697">
        <f>F26*I26*J26</f>
        <v>13426000</v>
      </c>
      <c r="L26" s="17"/>
      <c r="M26" s="800"/>
      <c r="N26" s="801"/>
      <c r="O26" s="616"/>
    </row>
    <row r="27" spans="1:15" ht="15.5" x14ac:dyDescent="0.35">
      <c r="A27" s="631"/>
      <c r="B27" s="95"/>
      <c r="C27" s="89"/>
      <c r="D27" s="1846"/>
      <c r="E27" s="89"/>
      <c r="F27" s="806"/>
      <c r="G27" s="788"/>
      <c r="H27" s="788"/>
      <c r="I27" s="2136" t="s">
        <v>303</v>
      </c>
      <c r="J27" s="2137"/>
      <c r="K27" s="698">
        <f>SUM(K20:K26)</f>
        <v>43041000</v>
      </c>
      <c r="L27" s="94">
        <f>SUM(L20:L26)</f>
        <v>0</v>
      </c>
      <c r="M27" s="18"/>
      <c r="N27" s="81"/>
      <c r="O27" s="633"/>
    </row>
    <row r="28" spans="1:15" ht="15.5" x14ac:dyDescent="0.35">
      <c r="A28" s="631"/>
      <c r="B28" s="95"/>
      <c r="C28" s="89"/>
      <c r="D28" s="1846"/>
      <c r="E28" s="89"/>
      <c r="F28" s="806"/>
      <c r="G28" s="788"/>
      <c r="H28" s="788"/>
      <c r="I28" s="2136" t="s">
        <v>31</v>
      </c>
      <c r="J28" s="2137"/>
      <c r="K28" s="699">
        <f>K27-L27</f>
        <v>43041000</v>
      </c>
      <c r="L28" s="40"/>
      <c r="M28" s="42"/>
      <c r="N28" s="634"/>
      <c r="O28" s="633"/>
    </row>
    <row r="29" spans="1:15" ht="15.5" x14ac:dyDescent="0.35">
      <c r="A29" s="11"/>
      <c r="B29" s="647" t="s">
        <v>1375</v>
      </c>
      <c r="C29" s="648"/>
      <c r="D29" s="700"/>
      <c r="E29" s="648"/>
      <c r="F29" s="807"/>
      <c r="G29" s="789"/>
      <c r="H29" s="789"/>
      <c r="I29" s="648"/>
      <c r="J29" s="648"/>
      <c r="K29" s="700"/>
      <c r="L29" s="648"/>
      <c r="M29" s="651"/>
      <c r="N29" s="649"/>
      <c r="O29" s="8"/>
    </row>
    <row r="30" spans="1:15" ht="15.5" x14ac:dyDescent="0.35">
      <c r="A30" s="631"/>
      <c r="B30" s="100" t="s">
        <v>1373</v>
      </c>
      <c r="C30" s="52">
        <v>132</v>
      </c>
      <c r="D30" s="1919" t="s">
        <v>1083</v>
      </c>
      <c r="E30" s="615"/>
      <c r="F30" s="805">
        <v>1</v>
      </c>
      <c r="G30" s="20">
        <v>281129</v>
      </c>
      <c r="H30" s="20">
        <v>281129</v>
      </c>
      <c r="I30" s="20">
        <f>H30-G30</f>
        <v>0</v>
      </c>
      <c r="J30" s="799">
        <v>1000</v>
      </c>
      <c r="K30" s="696"/>
      <c r="L30" s="16">
        <f>J30*I30*F30</f>
        <v>0</v>
      </c>
      <c r="M30" s="7"/>
      <c r="N30" s="78"/>
      <c r="O30" s="616"/>
    </row>
    <row r="31" spans="1:15" ht="15.5" x14ac:dyDescent="0.35">
      <c r="A31" s="631"/>
      <c r="B31" s="100" t="s">
        <v>1374</v>
      </c>
      <c r="C31" s="52">
        <v>132</v>
      </c>
      <c r="D31" s="1920"/>
      <c r="E31" s="615"/>
      <c r="F31" s="805">
        <v>1</v>
      </c>
      <c r="G31" s="20">
        <v>1588</v>
      </c>
      <c r="H31" s="20">
        <v>1588</v>
      </c>
      <c r="I31" s="20">
        <f>H31-G31</f>
        <v>0</v>
      </c>
      <c r="J31" s="799">
        <v>1000</v>
      </c>
      <c r="K31" s="696"/>
      <c r="L31" s="16">
        <f>J31*I31*F31</f>
        <v>0</v>
      </c>
      <c r="M31" s="16"/>
      <c r="N31" s="79"/>
      <c r="O31" s="616"/>
    </row>
    <row r="32" spans="1:15" ht="15.5" x14ac:dyDescent="0.35">
      <c r="A32" s="631"/>
      <c r="B32" s="95"/>
      <c r="C32" s="89"/>
      <c r="D32" s="1846"/>
      <c r="E32" s="89"/>
      <c r="F32" s="806"/>
      <c r="G32" s="788"/>
      <c r="H32" s="788"/>
      <c r="I32" s="788"/>
      <c r="J32" s="95" t="s">
        <v>279</v>
      </c>
      <c r="K32" s="699"/>
      <c r="L32" s="55">
        <f>SUM(L30:L31)</f>
        <v>0</v>
      </c>
      <c r="M32" s="633"/>
      <c r="N32" s="634"/>
      <c r="O32" s="616"/>
    </row>
    <row r="33" spans="1:15" ht="15.5" x14ac:dyDescent="0.35">
      <c r="A33" s="11"/>
      <c r="B33" s="647" t="s">
        <v>1388</v>
      </c>
      <c r="C33" s="648"/>
      <c r="D33" s="700"/>
      <c r="E33" s="648"/>
      <c r="F33" s="807"/>
      <c r="G33" s="789"/>
      <c r="H33" s="789"/>
      <c r="I33" s="789"/>
      <c r="J33" s="648"/>
      <c r="K33" s="700"/>
      <c r="L33" s="648"/>
      <c r="M33" s="651"/>
      <c r="N33" s="649"/>
      <c r="O33" s="8"/>
    </row>
    <row r="34" spans="1:15" ht="15.75" customHeight="1" x14ac:dyDescent="0.35">
      <c r="A34" s="631">
        <v>4</v>
      </c>
      <c r="B34" s="100" t="s">
        <v>3824</v>
      </c>
      <c r="C34" s="52">
        <v>132</v>
      </c>
      <c r="D34" s="2140" t="s">
        <v>1085</v>
      </c>
      <c r="E34" s="619" t="s">
        <v>3825</v>
      </c>
      <c r="F34" s="805">
        <v>1</v>
      </c>
      <c r="G34" s="20">
        <v>777672</v>
      </c>
      <c r="H34" s="20">
        <v>787193</v>
      </c>
      <c r="I34" s="20">
        <f>H34-G34</f>
        <v>9521</v>
      </c>
      <c r="J34" s="616">
        <v>1000</v>
      </c>
      <c r="K34" s="4"/>
      <c r="L34" s="16">
        <f>F34*I34*J34</f>
        <v>9521000</v>
      </c>
      <c r="M34" s="16"/>
      <c r="N34" s="78"/>
      <c r="O34" s="616"/>
    </row>
    <row r="35" spans="1:15" ht="15.5" x14ac:dyDescent="0.35">
      <c r="A35" s="631">
        <v>5</v>
      </c>
      <c r="B35" s="100" t="s">
        <v>3826</v>
      </c>
      <c r="C35" s="52">
        <v>132</v>
      </c>
      <c r="D35" s="2141"/>
      <c r="E35" s="619" t="s">
        <v>3827</v>
      </c>
      <c r="F35" s="805">
        <v>1</v>
      </c>
      <c r="G35" s="20">
        <v>1401331</v>
      </c>
      <c r="H35" s="20">
        <v>1407068</v>
      </c>
      <c r="I35" s="20">
        <f>H35-G35</f>
        <v>5737</v>
      </c>
      <c r="J35" s="616">
        <v>2000</v>
      </c>
      <c r="K35" s="4"/>
      <c r="L35" s="16">
        <f>F35*I35*J35</f>
        <v>11474000</v>
      </c>
      <c r="M35" s="16"/>
      <c r="N35" s="78"/>
      <c r="O35" s="616"/>
    </row>
    <row r="36" spans="1:15" ht="15.5" x14ac:dyDescent="0.35">
      <c r="A36" s="631">
        <v>9</v>
      </c>
      <c r="B36" s="100" t="s">
        <v>3828</v>
      </c>
      <c r="C36" s="52">
        <v>132</v>
      </c>
      <c r="D36" s="2141"/>
      <c r="E36" s="619" t="s">
        <v>3829</v>
      </c>
      <c r="F36" s="805">
        <v>1</v>
      </c>
      <c r="G36" s="20">
        <v>1289898</v>
      </c>
      <c r="H36" s="20">
        <v>1294040</v>
      </c>
      <c r="I36" s="20">
        <f>H36-G36</f>
        <v>4142</v>
      </c>
      <c r="J36" s="616">
        <v>2000</v>
      </c>
      <c r="K36" s="4"/>
      <c r="L36" s="16">
        <f>F36*I36*J36</f>
        <v>8284000</v>
      </c>
      <c r="M36" s="16"/>
      <c r="N36" s="78"/>
      <c r="O36" s="616"/>
    </row>
    <row r="37" spans="1:15" ht="15.5" x14ac:dyDescent="0.35">
      <c r="A37" s="631">
        <v>10</v>
      </c>
      <c r="B37" s="100" t="s">
        <v>3830</v>
      </c>
      <c r="C37" s="52">
        <v>132</v>
      </c>
      <c r="D37" s="2157"/>
      <c r="E37" s="619" t="s">
        <v>3831</v>
      </c>
      <c r="F37" s="805">
        <v>1</v>
      </c>
      <c r="G37" s="20">
        <v>1219864</v>
      </c>
      <c r="H37" s="20">
        <v>1226736</v>
      </c>
      <c r="I37" s="20">
        <f>H37-G37</f>
        <v>6872</v>
      </c>
      <c r="J37" s="616">
        <v>2000</v>
      </c>
      <c r="K37" s="4"/>
      <c r="L37" s="16">
        <f>F37*I37*J37</f>
        <v>13744000</v>
      </c>
      <c r="M37" s="16"/>
      <c r="N37" s="78"/>
      <c r="O37" s="616"/>
    </row>
    <row r="38" spans="1:15" ht="15.5" x14ac:dyDescent="0.35">
      <c r="A38" s="631"/>
      <c r="B38" s="95"/>
      <c r="C38" s="89"/>
      <c r="D38" s="1846"/>
      <c r="E38" s="65"/>
      <c r="F38" s="808"/>
      <c r="G38" s="65"/>
      <c r="H38" s="65"/>
      <c r="I38" s="65"/>
      <c r="J38" s="95" t="s">
        <v>30</v>
      </c>
      <c r="K38" s="701"/>
      <c r="L38" s="43">
        <f>SUM(L34:L37)</f>
        <v>43023000</v>
      </c>
      <c r="M38" s="55"/>
      <c r="N38" s="78"/>
      <c r="O38" s="616"/>
    </row>
    <row r="39" spans="1:15" ht="15" thickBot="1" x14ac:dyDescent="0.4">
      <c r="A39" s="620"/>
      <c r="B39" s="635"/>
      <c r="C39" s="632"/>
      <c r="D39" s="1900"/>
      <c r="K39" s="702"/>
      <c r="L39" s="620"/>
      <c r="M39" s="620"/>
      <c r="N39" s="632"/>
      <c r="O39" s="620"/>
    </row>
    <row r="40" spans="1:15" s="620" customFormat="1" x14ac:dyDescent="0.35">
      <c r="B40" s="2142" t="s">
        <v>1090</v>
      </c>
      <c r="C40" s="2143"/>
      <c r="D40" s="683" t="s">
        <v>14</v>
      </c>
      <c r="E40"/>
      <c r="F40" s="2144" t="s">
        <v>1091</v>
      </c>
      <c r="G40" s="2145"/>
      <c r="H40" s="2146"/>
      <c r="I40" s="683" t="s">
        <v>14</v>
      </c>
      <c r="K40" s="2147" t="s">
        <v>1092</v>
      </c>
      <c r="L40" s="2148"/>
      <c r="M40" s="684" t="s">
        <v>14</v>
      </c>
      <c r="N40" s="632"/>
    </row>
    <row r="41" spans="1:15" s="620" customFormat="1" x14ac:dyDescent="0.35">
      <c r="B41" s="2122" t="str">
        <f>B16</f>
        <v>132 KV DHANMONDI-3 CKT(EXP)</v>
      </c>
      <c r="C41" s="2123"/>
      <c r="D41" s="1438">
        <f>K18</f>
        <v>43041000</v>
      </c>
      <c r="E41"/>
      <c r="F41" s="2124" t="s">
        <v>1093</v>
      </c>
      <c r="G41" s="2125"/>
      <c r="H41" s="2126"/>
      <c r="I41" s="689">
        <f>L32</f>
        <v>0</v>
      </c>
      <c r="K41" s="2189" t="s">
        <v>4625</v>
      </c>
      <c r="L41" s="2190"/>
      <c r="M41" s="687">
        <f>I42</f>
        <v>43023000</v>
      </c>
      <c r="N41" s="632"/>
    </row>
    <row r="42" spans="1:15" s="620" customFormat="1" x14ac:dyDescent="0.35">
      <c r="B42" s="2122" t="s">
        <v>1116</v>
      </c>
      <c r="C42" s="2123"/>
      <c r="D42" s="721"/>
      <c r="E42"/>
      <c r="F42" s="2124" t="s">
        <v>4625</v>
      </c>
      <c r="G42" s="2125"/>
      <c r="H42" s="2126"/>
      <c r="I42" s="689">
        <f>L38</f>
        <v>43023000</v>
      </c>
      <c r="K42" s="2191" t="s">
        <v>2455</v>
      </c>
      <c r="L42" s="2192"/>
      <c r="M42" s="1908">
        <f>K61</f>
        <v>42844799.999999613</v>
      </c>
      <c r="N42" s="632"/>
    </row>
    <row r="43" spans="1:15" s="620" customFormat="1" x14ac:dyDescent="0.35">
      <c r="B43" s="2122" t="s">
        <v>1117</v>
      </c>
      <c r="C43" s="2123"/>
      <c r="D43" s="721"/>
      <c r="E43"/>
      <c r="F43" s="2124" t="s">
        <v>1089</v>
      </c>
      <c r="G43" s="2125"/>
      <c r="H43" s="2126"/>
      <c r="I43" s="689">
        <f>I41+I42</f>
        <v>43023000</v>
      </c>
      <c r="K43" s="2191" t="s">
        <v>4622</v>
      </c>
      <c r="L43" s="2192"/>
      <c r="M43" s="689">
        <f>M41-M42</f>
        <v>178200.00000038743</v>
      </c>
      <c r="N43" s="632"/>
    </row>
    <row r="44" spans="1:15" s="620" customFormat="1" ht="15.5" thickBot="1" x14ac:dyDescent="0.4">
      <c r="B44" s="2122" t="s">
        <v>1118</v>
      </c>
      <c r="C44" s="2123"/>
      <c r="D44" s="722"/>
      <c r="E44"/>
      <c r="F44" s="2124" t="s">
        <v>4623</v>
      </c>
      <c r="G44" s="2125"/>
      <c r="H44" s="2126"/>
      <c r="I44" s="689">
        <f>D45-I43</f>
        <v>18000</v>
      </c>
      <c r="K44" s="2193" t="s">
        <v>285</v>
      </c>
      <c r="L44" s="2194"/>
      <c r="M44" s="688">
        <f>M43/M41</f>
        <v>4.1419705738880933E-3</v>
      </c>
      <c r="N44" s="632"/>
    </row>
    <row r="45" spans="1:15" s="620" customFormat="1" ht="16" thickBot="1" x14ac:dyDescent="0.4">
      <c r="B45" s="2109" t="s">
        <v>4620</v>
      </c>
      <c r="C45" s="2110"/>
      <c r="D45" s="1435">
        <f>SUM(D41:D44)</f>
        <v>43041000</v>
      </c>
      <c r="E45"/>
      <c r="F45" s="2113" t="s">
        <v>2454</v>
      </c>
      <c r="G45" s="2114"/>
      <c r="H45" s="2115"/>
      <c r="I45" s="690">
        <f>(D45-I43)/I43</f>
        <v>4.1838086604839271E-4</v>
      </c>
      <c r="K45" s="702"/>
      <c r="N45" s="632"/>
    </row>
    <row r="46" spans="1:15" s="620" customFormat="1" x14ac:dyDescent="0.35">
      <c r="B46" s="2116" t="s">
        <v>4624</v>
      </c>
      <c r="C46" s="2117"/>
      <c r="D46" s="2011">
        <f>K61</f>
        <v>42844799.999999613</v>
      </c>
      <c r="E46"/>
      <c r="F46" s="791"/>
      <c r="G46"/>
      <c r="H46"/>
      <c r="I46"/>
      <c r="J46"/>
      <c r="K46" s="702"/>
      <c r="N46" s="632"/>
    </row>
    <row r="47" spans="1:15" s="620" customFormat="1" x14ac:dyDescent="0.35">
      <c r="B47" s="2116" t="s">
        <v>4621</v>
      </c>
      <c r="C47" s="2117"/>
      <c r="D47" s="741">
        <f>D45-D46</f>
        <v>196200.00000038743</v>
      </c>
      <c r="E47"/>
      <c r="F47" s="791"/>
      <c r="G47"/>
      <c r="H47"/>
      <c r="I47"/>
      <c r="J47"/>
      <c r="K47" s="702"/>
      <c r="N47" s="632"/>
    </row>
    <row r="48" spans="1:15" s="620" customFormat="1" ht="15" thickBot="1" x14ac:dyDescent="0.4">
      <c r="B48" s="2120" t="str">
        <f>K44</f>
        <v>LOSS % IN =&gt;</v>
      </c>
      <c r="C48" s="2121"/>
      <c r="D48" s="2012">
        <f>D47/D41</f>
        <v>4.5584442740732659E-3</v>
      </c>
      <c r="E48"/>
      <c r="F48" s="791"/>
      <c r="G48" s="678"/>
      <c r="H48" s="678"/>
      <c r="I48" s="678"/>
      <c r="J48" s="679"/>
      <c r="K48" s="702"/>
      <c r="N48" s="632"/>
    </row>
    <row r="49" spans="1:15" x14ac:dyDescent="0.35">
      <c r="A49" s="620"/>
      <c r="B49" s="635"/>
      <c r="C49" s="632"/>
      <c r="D49" s="1900"/>
      <c r="G49" s="678"/>
      <c r="H49" s="678"/>
      <c r="I49" s="678"/>
      <c r="J49" s="679"/>
      <c r="K49" s="702"/>
      <c r="L49" s="620"/>
      <c r="M49" s="620"/>
      <c r="N49" s="632"/>
      <c r="O49" s="620"/>
    </row>
    <row r="50" spans="1:15" x14ac:dyDescent="0.35">
      <c r="A50" s="620"/>
      <c r="B50" s="635"/>
      <c r="C50" s="632"/>
      <c r="D50" s="1900"/>
      <c r="G50" s="678"/>
      <c r="H50" s="678"/>
      <c r="I50" s="678"/>
      <c r="J50" s="679"/>
      <c r="K50" s="702"/>
      <c r="L50" s="620"/>
      <c r="M50" s="620"/>
      <c r="N50" s="632"/>
      <c r="O50" s="620"/>
    </row>
    <row r="51" spans="1:15" x14ac:dyDescent="0.35">
      <c r="A51" s="620"/>
      <c r="B51" s="635"/>
      <c r="C51" s="632"/>
      <c r="D51" s="1900"/>
      <c r="E51" s="632"/>
      <c r="F51" s="810"/>
      <c r="G51" s="620"/>
      <c r="H51" s="620"/>
      <c r="I51" s="620"/>
      <c r="J51" s="620"/>
      <c r="K51" s="702"/>
      <c r="L51" s="620"/>
      <c r="M51" s="620"/>
      <c r="N51" s="632"/>
      <c r="O51" s="620"/>
    </row>
    <row r="52" spans="1:15" ht="30" x14ac:dyDescent="0.35">
      <c r="A52" s="2219" t="s">
        <v>1160</v>
      </c>
      <c r="B52" s="2219"/>
      <c r="C52" s="2219"/>
      <c r="D52" s="2219"/>
      <c r="E52" s="2219"/>
      <c r="F52" s="2219"/>
      <c r="G52" s="2219"/>
      <c r="H52" s="2219"/>
      <c r="I52" s="2219"/>
      <c r="J52" s="2219"/>
      <c r="K52" s="2219"/>
      <c r="L52" s="2219"/>
      <c r="M52" s="2219"/>
      <c r="N52" s="2219"/>
      <c r="O52" s="756" t="e">
        <f>$O$6</f>
        <v>#REF!</v>
      </c>
    </row>
    <row r="53" spans="1:15" ht="15.5" x14ac:dyDescent="0.35">
      <c r="A53" s="2096" t="s">
        <v>0</v>
      </c>
      <c r="B53" s="2098" t="s">
        <v>1</v>
      </c>
      <c r="C53" s="2100" t="s">
        <v>2</v>
      </c>
      <c r="D53" s="2101"/>
      <c r="E53" s="2102"/>
      <c r="F53" s="2216" t="s">
        <v>3</v>
      </c>
      <c r="G53" s="2100" t="s">
        <v>4</v>
      </c>
      <c r="H53" s="2102"/>
      <c r="I53" s="2085"/>
      <c r="J53" s="2103" t="s">
        <v>5</v>
      </c>
      <c r="K53" s="2100" t="s">
        <v>6</v>
      </c>
      <c r="L53" s="2085"/>
      <c r="M53" s="97" t="s">
        <v>32</v>
      </c>
      <c r="N53" s="98"/>
      <c r="O53" s="2084" t="s">
        <v>7</v>
      </c>
    </row>
    <row r="54" spans="1:15" ht="15.5" x14ac:dyDescent="0.35">
      <c r="A54" s="2111"/>
      <c r="B54" s="2112"/>
      <c r="C54" s="2086" t="s">
        <v>1108</v>
      </c>
      <c r="D54" s="2087"/>
      <c r="E54" s="675" t="s">
        <v>9</v>
      </c>
      <c r="F54" s="2218"/>
      <c r="G54" s="2">
        <f>'NORTH-1'!$G$8</f>
        <v>44774</v>
      </c>
      <c r="H54" s="2">
        <f>'NORTH-1'!$H$8</f>
        <v>44805</v>
      </c>
      <c r="I54" s="676" t="s">
        <v>10</v>
      </c>
      <c r="J54" s="2111"/>
      <c r="K54" s="676" t="s">
        <v>11</v>
      </c>
      <c r="L54" s="676" t="s">
        <v>12</v>
      </c>
      <c r="M54" s="715" t="s">
        <v>33</v>
      </c>
      <c r="N54" s="716" t="s">
        <v>47</v>
      </c>
      <c r="O54" s="2104"/>
    </row>
    <row r="55" spans="1:15" ht="15.5" x14ac:dyDescent="0.35">
      <c r="A55" s="717">
        <v>1</v>
      </c>
      <c r="B55" s="673">
        <v>2</v>
      </c>
      <c r="C55" s="2088">
        <v>4</v>
      </c>
      <c r="D55" s="2089"/>
      <c r="E55" s="673">
        <v>5</v>
      </c>
      <c r="F55" s="811">
        <v>7</v>
      </c>
      <c r="G55" s="717">
        <v>8</v>
      </c>
      <c r="H55" s="717">
        <v>9</v>
      </c>
      <c r="I55" s="717" t="s">
        <v>13</v>
      </c>
      <c r="J55" s="717">
        <v>11</v>
      </c>
      <c r="K55" s="717" t="s">
        <v>19</v>
      </c>
      <c r="L55" s="717" t="s">
        <v>20</v>
      </c>
      <c r="M55" s="717">
        <v>14</v>
      </c>
      <c r="N55" s="673">
        <v>15</v>
      </c>
      <c r="O55" s="717">
        <v>16</v>
      </c>
    </row>
    <row r="56" spans="1:15" ht="15.5" x14ac:dyDescent="0.35">
      <c r="A56" s="11"/>
      <c r="B56" s="624" t="s">
        <v>1393</v>
      </c>
      <c r="C56" s="625"/>
      <c r="D56" s="695"/>
      <c r="E56" s="625"/>
      <c r="F56" s="804"/>
      <c r="G56" s="625"/>
      <c r="H56" s="625"/>
      <c r="I56" s="625"/>
      <c r="J56" s="625"/>
      <c r="K56" s="695"/>
      <c r="L56" s="625"/>
      <c r="M56" s="626"/>
      <c r="N56" s="627"/>
      <c r="O56" s="8"/>
    </row>
    <row r="57" spans="1:15" ht="15.5" x14ac:dyDescent="0.35">
      <c r="A57" s="631">
        <v>7</v>
      </c>
      <c r="B57" s="100" t="s">
        <v>3832</v>
      </c>
      <c r="C57" s="52">
        <v>33</v>
      </c>
      <c r="D57" s="819" t="s">
        <v>698</v>
      </c>
      <c r="E57" s="52" t="s">
        <v>3834</v>
      </c>
      <c r="F57" s="805">
        <v>1</v>
      </c>
      <c r="G57" s="5">
        <v>2061.7800000000002</v>
      </c>
      <c r="H57" s="5">
        <v>2077.63</v>
      </c>
      <c r="I57" s="5">
        <f>H57-G57</f>
        <v>15.849999999999909</v>
      </c>
      <c r="J57" s="616">
        <v>720000</v>
      </c>
      <c r="K57" s="696">
        <f>F57*I57*J57</f>
        <v>11411999.999999935</v>
      </c>
      <c r="L57" s="7"/>
      <c r="M57" s="7"/>
      <c r="N57" s="78"/>
      <c r="O57" s="616"/>
    </row>
    <row r="58" spans="1:15" ht="15.5" x14ac:dyDescent="0.35">
      <c r="A58" s="631">
        <v>12</v>
      </c>
      <c r="B58" s="100" t="s">
        <v>3835</v>
      </c>
      <c r="C58" s="52">
        <v>33</v>
      </c>
      <c r="D58" s="1927"/>
      <c r="E58" s="52" t="s">
        <v>3836</v>
      </c>
      <c r="F58" s="805">
        <v>1</v>
      </c>
      <c r="G58" s="5">
        <v>2081.2800000000002</v>
      </c>
      <c r="H58" s="5">
        <v>2092.7399999999998</v>
      </c>
      <c r="I58" s="5">
        <f>H58-G58</f>
        <v>11.459999999999582</v>
      </c>
      <c r="J58" s="616">
        <v>720000</v>
      </c>
      <c r="K58" s="696">
        <f>F58*I58*J58</f>
        <v>8251199.9999996992</v>
      </c>
      <c r="L58" s="7"/>
      <c r="M58" s="7"/>
      <c r="N58" s="78"/>
      <c r="O58" s="616"/>
    </row>
    <row r="59" spans="1:15" ht="15.5" x14ac:dyDescent="0.35">
      <c r="A59" s="631">
        <v>17</v>
      </c>
      <c r="B59" s="100" t="s">
        <v>3837</v>
      </c>
      <c r="C59" s="52">
        <v>33</v>
      </c>
      <c r="D59" s="1927"/>
      <c r="E59" s="52" t="s">
        <v>3838</v>
      </c>
      <c r="F59" s="805">
        <v>1</v>
      </c>
      <c r="G59" s="5">
        <v>1715.47</v>
      </c>
      <c r="H59" s="5">
        <v>1734.5</v>
      </c>
      <c r="I59" s="5">
        <f>H59-G59</f>
        <v>19.029999999999973</v>
      </c>
      <c r="J59" s="616">
        <v>720000</v>
      </c>
      <c r="K59" s="696">
        <f>F59*I59*J59</f>
        <v>13701599.99999998</v>
      </c>
      <c r="L59" s="7"/>
      <c r="M59" s="7"/>
      <c r="N59" s="78"/>
      <c r="O59" s="616"/>
    </row>
    <row r="60" spans="1:15" ht="15.5" x14ac:dyDescent="0.35">
      <c r="A60" s="631">
        <v>24</v>
      </c>
      <c r="B60" s="100" t="s">
        <v>3839</v>
      </c>
      <c r="C60" s="52">
        <v>33</v>
      </c>
      <c r="D60" s="1445"/>
      <c r="E60" s="52" t="s">
        <v>3840</v>
      </c>
      <c r="F60" s="805">
        <v>1</v>
      </c>
      <c r="G60" s="798">
        <v>1612.6</v>
      </c>
      <c r="H60" s="798">
        <v>1632.35</v>
      </c>
      <c r="I60" s="5">
        <f>H60-G60</f>
        <v>19.75</v>
      </c>
      <c r="J60" s="802">
        <v>480000</v>
      </c>
      <c r="K60" s="696">
        <f>F60*I60*J60</f>
        <v>9480000</v>
      </c>
      <c r="L60" s="7"/>
      <c r="M60" s="7"/>
      <c r="N60" s="78"/>
      <c r="O60" s="616"/>
    </row>
    <row r="61" spans="1:15" ht="15.5" x14ac:dyDescent="0.35">
      <c r="A61" s="631"/>
      <c r="B61" s="95"/>
      <c r="C61" s="89"/>
      <c r="D61" s="1846"/>
      <c r="E61" s="89"/>
      <c r="F61" s="806"/>
      <c r="G61" s="37"/>
      <c r="H61" s="37"/>
      <c r="I61" s="37"/>
      <c r="J61" s="95" t="s">
        <v>30</v>
      </c>
      <c r="K61" s="1908">
        <f>SUM(K57:K60)</f>
        <v>42844799.999999613</v>
      </c>
      <c r="L61" s="40"/>
      <c r="M61" s="40">
        <f>SUM(M57:M60)</f>
        <v>0</v>
      </c>
      <c r="N61" s="78"/>
      <c r="O61" s="616"/>
    </row>
    <row r="62" spans="1:15" ht="15.5" x14ac:dyDescent="0.35">
      <c r="A62" s="631"/>
      <c r="B62" s="647" t="s">
        <v>1394</v>
      </c>
      <c r="C62" s="648"/>
      <c r="D62" s="700"/>
      <c r="E62" s="648"/>
      <c r="F62" s="807"/>
      <c r="G62" s="648"/>
      <c r="H62" s="648"/>
      <c r="I62" s="648"/>
      <c r="J62" s="648"/>
      <c r="K62" s="700"/>
      <c r="L62" s="648"/>
      <c r="M62" s="651"/>
      <c r="N62" s="649"/>
      <c r="O62" s="616"/>
    </row>
    <row r="63" spans="1:15" ht="15.5" x14ac:dyDescent="0.35">
      <c r="A63" s="631"/>
      <c r="B63" s="662" t="s">
        <v>1106</v>
      </c>
      <c r="C63" s="52"/>
      <c r="D63" s="1919" t="s">
        <v>1083</v>
      </c>
      <c r="E63" s="52"/>
      <c r="F63" s="812"/>
      <c r="G63" s="5"/>
      <c r="H63" s="5"/>
      <c r="I63" s="6"/>
      <c r="J63" s="616"/>
      <c r="K63" s="696"/>
      <c r="L63" s="7"/>
      <c r="M63" s="7"/>
      <c r="N63" s="78"/>
      <c r="O63" s="616"/>
    </row>
    <row r="64" spans="1:15" ht="15.5" x14ac:dyDescent="0.35">
      <c r="A64" s="11">
        <v>6</v>
      </c>
      <c r="B64" s="100" t="s">
        <v>3841</v>
      </c>
      <c r="C64" s="661">
        <v>33</v>
      </c>
      <c r="D64" s="1920"/>
      <c r="E64" s="674" t="s">
        <v>3842</v>
      </c>
      <c r="F64" s="812">
        <v>1</v>
      </c>
      <c r="G64" s="21">
        <v>1902.83</v>
      </c>
      <c r="H64" s="21">
        <v>1920</v>
      </c>
      <c r="I64" s="20">
        <f>H64-G64</f>
        <v>17.170000000000073</v>
      </c>
      <c r="J64" s="616">
        <v>240000</v>
      </c>
      <c r="K64" s="696"/>
      <c r="L64" s="22">
        <f>F64*I64*J64</f>
        <v>4120800.0000000177</v>
      </c>
      <c r="M64" s="22">
        <f>L64*$K$83/$L$83</f>
        <v>4123557.3922456685</v>
      </c>
      <c r="N64" s="82"/>
      <c r="O64" s="9"/>
    </row>
    <row r="65" spans="1:15" ht="15.5" x14ac:dyDescent="0.35">
      <c r="A65" s="631">
        <v>14</v>
      </c>
      <c r="B65" s="100" t="s">
        <v>2930</v>
      </c>
      <c r="C65" s="661">
        <v>33</v>
      </c>
      <c r="D65" s="1920"/>
      <c r="E65" s="674" t="s">
        <v>3843</v>
      </c>
      <c r="F65" s="812">
        <v>1</v>
      </c>
      <c r="G65" s="21">
        <v>2143.4699999999998</v>
      </c>
      <c r="H65" s="21">
        <v>2169.31</v>
      </c>
      <c r="I65" s="20">
        <f>H65-G65</f>
        <v>25.840000000000146</v>
      </c>
      <c r="J65" s="616">
        <v>240000</v>
      </c>
      <c r="K65" s="696"/>
      <c r="L65" s="22">
        <f>F65*I65*J65</f>
        <v>6201600.0000000354</v>
      </c>
      <c r="M65" s="22">
        <f>L65*$K$83/$L$83</f>
        <v>6205749.7388251731</v>
      </c>
      <c r="N65" s="82"/>
      <c r="O65" s="616"/>
    </row>
    <row r="66" spans="1:15" ht="15.5" x14ac:dyDescent="0.35">
      <c r="A66" s="616"/>
      <c r="B66" s="662" t="s">
        <v>1107</v>
      </c>
      <c r="C66" s="89"/>
      <c r="D66" s="1920"/>
      <c r="E66" s="89"/>
      <c r="F66" s="806"/>
      <c r="G66" s="37"/>
      <c r="H66" s="37"/>
      <c r="I66" s="37"/>
      <c r="J66" s="95" t="s">
        <v>30</v>
      </c>
      <c r="K66" s="696"/>
      <c r="L66" s="43">
        <f>SUM(L64:L65)</f>
        <v>10322400.000000052</v>
      </c>
      <c r="M66" s="43">
        <f>SUM(M64:M65)</f>
        <v>10329307.131070841</v>
      </c>
      <c r="N66" s="83"/>
      <c r="O66" s="12"/>
    </row>
    <row r="67" spans="1:15" ht="15.5" x14ac:dyDescent="0.35">
      <c r="A67" s="636">
        <v>5</v>
      </c>
      <c r="B67" s="100" t="s">
        <v>3869</v>
      </c>
      <c r="C67" s="661">
        <v>33</v>
      </c>
      <c r="D67" s="1920"/>
      <c r="E67" s="674" t="s">
        <v>3870</v>
      </c>
      <c r="F67" s="812">
        <v>1</v>
      </c>
      <c r="G67" s="6">
        <v>1354.33</v>
      </c>
      <c r="H67" s="6">
        <v>1361.5</v>
      </c>
      <c r="I67" s="20">
        <f>H67-G67</f>
        <v>7.1700000000000728</v>
      </c>
      <c r="J67" s="616">
        <v>240000</v>
      </c>
      <c r="K67" s="703"/>
      <c r="L67" s="22">
        <f t="shared" ref="L67:L79" si="1">F67*I67*J67</f>
        <v>1720800.0000000175</v>
      </c>
      <c r="M67" s="22">
        <f>L67*$K$83/$L$83</f>
        <v>1721951.4561678285</v>
      </c>
      <c r="N67" s="82"/>
      <c r="O67" s="817"/>
    </row>
    <row r="68" spans="1:15" ht="15.5" x14ac:dyDescent="0.35">
      <c r="A68" s="636">
        <v>8</v>
      </c>
      <c r="B68" s="100" t="s">
        <v>3844</v>
      </c>
      <c r="C68" s="661">
        <v>33</v>
      </c>
      <c r="D68" s="1920"/>
      <c r="E68" s="674" t="s">
        <v>3845</v>
      </c>
      <c r="F68" s="812">
        <v>1</v>
      </c>
      <c r="G68" s="6">
        <v>690.51</v>
      </c>
      <c r="H68" s="6">
        <v>703.69</v>
      </c>
      <c r="I68" s="20">
        <f t="shared" ref="I68:I81" si="2">H68-G68</f>
        <v>13.180000000000064</v>
      </c>
      <c r="J68" s="616">
        <v>240000</v>
      </c>
      <c r="K68" s="703"/>
      <c r="L68" s="22">
        <f t="shared" si="1"/>
        <v>3163200.0000000154</v>
      </c>
      <c r="M68" s="22">
        <f t="shared" ref="M68:M81" si="3">L68*$K$83/$L$83</f>
        <v>3165316.6237506084</v>
      </c>
      <c r="N68" s="82"/>
      <c r="O68" s="817"/>
    </row>
    <row r="69" spans="1:15" ht="15.5" x14ac:dyDescent="0.35">
      <c r="A69" s="636">
        <v>9</v>
      </c>
      <c r="B69" s="100" t="s">
        <v>3846</v>
      </c>
      <c r="C69" s="661">
        <v>33</v>
      </c>
      <c r="D69" s="1920"/>
      <c r="E69" s="691" t="s">
        <v>3847</v>
      </c>
      <c r="F69" s="812">
        <v>1</v>
      </c>
      <c r="G69" s="6">
        <v>1735.34</v>
      </c>
      <c r="H69" s="6">
        <v>1745.33</v>
      </c>
      <c r="I69" s="20">
        <f t="shared" si="2"/>
        <v>9.9900000000000091</v>
      </c>
      <c r="J69" s="616">
        <v>240000</v>
      </c>
      <c r="K69" s="704"/>
      <c r="L69" s="22">
        <f t="shared" si="1"/>
        <v>2397600.0000000023</v>
      </c>
      <c r="M69" s="22">
        <f t="shared" si="3"/>
        <v>2399204.3301417641</v>
      </c>
      <c r="N69" s="82"/>
      <c r="O69" s="817"/>
    </row>
    <row r="70" spans="1:15" ht="15.5" x14ac:dyDescent="0.35">
      <c r="A70" s="636">
        <v>10</v>
      </c>
      <c r="B70" s="100" t="s">
        <v>3848</v>
      </c>
      <c r="C70" s="661">
        <v>33</v>
      </c>
      <c r="D70" s="1920"/>
      <c r="E70" s="674" t="s">
        <v>3849</v>
      </c>
      <c r="F70" s="812">
        <v>1</v>
      </c>
      <c r="G70" s="6">
        <v>1121.32</v>
      </c>
      <c r="H70" s="6">
        <v>1129.83</v>
      </c>
      <c r="I70" s="20">
        <f t="shared" si="2"/>
        <v>8.5099999999999909</v>
      </c>
      <c r="J70" s="616">
        <v>240000</v>
      </c>
      <c r="K70" s="696"/>
      <c r="L70" s="22">
        <f t="shared" si="1"/>
        <v>2042399.9999999979</v>
      </c>
      <c r="M70" s="22">
        <f t="shared" si="3"/>
        <v>2043766.6516022396</v>
      </c>
      <c r="N70" s="82"/>
      <c r="O70" s="817"/>
    </row>
    <row r="71" spans="1:15" ht="15.5" x14ac:dyDescent="0.35">
      <c r="A71" s="636">
        <v>11</v>
      </c>
      <c r="B71" s="100" t="s">
        <v>3850</v>
      </c>
      <c r="C71" s="661">
        <v>33</v>
      </c>
      <c r="D71" s="1920"/>
      <c r="E71" s="691" t="s">
        <v>3851</v>
      </c>
      <c r="F71" s="812">
        <v>1</v>
      </c>
      <c r="G71" s="6">
        <v>462.43</v>
      </c>
      <c r="H71" s="6">
        <v>462.43</v>
      </c>
      <c r="I71" s="20">
        <f t="shared" si="2"/>
        <v>0</v>
      </c>
      <c r="J71" s="616">
        <v>240000</v>
      </c>
      <c r="K71" s="704"/>
      <c r="L71" s="22">
        <f t="shared" si="1"/>
        <v>0</v>
      </c>
      <c r="M71" s="22">
        <f t="shared" si="3"/>
        <v>0</v>
      </c>
      <c r="N71" s="82"/>
      <c r="O71" s="817"/>
    </row>
    <row r="72" spans="1:15" ht="15.5" x14ac:dyDescent="0.35">
      <c r="A72" s="636">
        <v>13</v>
      </c>
      <c r="B72" s="100" t="s">
        <v>3852</v>
      </c>
      <c r="C72" s="661">
        <v>33</v>
      </c>
      <c r="D72" s="1920"/>
      <c r="E72" s="674" t="s">
        <v>3853</v>
      </c>
      <c r="F72" s="812">
        <v>1</v>
      </c>
      <c r="G72" s="6">
        <v>365.9</v>
      </c>
      <c r="H72" s="6">
        <v>365.9</v>
      </c>
      <c r="I72" s="20">
        <f t="shared" si="2"/>
        <v>0</v>
      </c>
      <c r="J72" s="616">
        <v>240000</v>
      </c>
      <c r="K72" s="704"/>
      <c r="L72" s="22">
        <f t="shared" si="1"/>
        <v>0</v>
      </c>
      <c r="M72" s="22">
        <f t="shared" si="3"/>
        <v>0</v>
      </c>
      <c r="N72" s="82"/>
      <c r="O72" s="817"/>
    </row>
    <row r="73" spans="1:15" ht="15.5" x14ac:dyDescent="0.35">
      <c r="A73" s="636">
        <v>15</v>
      </c>
      <c r="B73" s="100" t="s">
        <v>3854</v>
      </c>
      <c r="C73" s="661">
        <v>33</v>
      </c>
      <c r="D73" s="1920"/>
      <c r="E73" s="674" t="s">
        <v>3584</v>
      </c>
      <c r="F73" s="812">
        <v>1</v>
      </c>
      <c r="G73" s="6">
        <v>1897.5</v>
      </c>
      <c r="H73" s="6">
        <v>1912.82</v>
      </c>
      <c r="I73" s="20">
        <f t="shared" si="2"/>
        <v>15.319999999999936</v>
      </c>
      <c r="J73" s="616">
        <v>240000</v>
      </c>
      <c r="K73" s="703"/>
      <c r="L73" s="22">
        <f t="shared" si="1"/>
        <v>3676799.9999999846</v>
      </c>
      <c r="M73" s="22">
        <f t="shared" si="3"/>
        <v>3679260.2940712348</v>
      </c>
      <c r="N73" s="82"/>
      <c r="O73" s="817"/>
    </row>
    <row r="74" spans="1:15" ht="15.5" x14ac:dyDescent="0.35">
      <c r="A74" s="636">
        <v>16</v>
      </c>
      <c r="B74" s="100" t="s">
        <v>3855</v>
      </c>
      <c r="C74" s="661">
        <v>33</v>
      </c>
      <c r="D74" s="1920"/>
      <c r="E74" s="674" t="s">
        <v>3856</v>
      </c>
      <c r="F74" s="812">
        <v>1</v>
      </c>
      <c r="G74" s="6">
        <v>1470.4</v>
      </c>
      <c r="H74" s="6">
        <v>1481.8</v>
      </c>
      <c r="I74" s="20">
        <f t="shared" si="2"/>
        <v>11.399999999999864</v>
      </c>
      <c r="J74" s="616">
        <v>240000</v>
      </c>
      <c r="K74" s="704"/>
      <c r="L74" s="22">
        <f t="shared" si="1"/>
        <v>2735999.9999999674</v>
      </c>
      <c r="M74" s="22">
        <f t="shared" si="3"/>
        <v>2737830.7671287046</v>
      </c>
      <c r="N74" s="82"/>
      <c r="O74" s="817"/>
    </row>
    <row r="75" spans="1:15" ht="15.5" x14ac:dyDescent="0.35">
      <c r="A75" s="636">
        <v>18</v>
      </c>
      <c r="B75" s="100" t="s">
        <v>3857</v>
      </c>
      <c r="C75" s="661">
        <v>33</v>
      </c>
      <c r="D75" s="1920"/>
      <c r="E75" s="674" t="s">
        <v>3858</v>
      </c>
      <c r="F75" s="812">
        <v>1</v>
      </c>
      <c r="G75" s="6">
        <v>614.88</v>
      </c>
      <c r="H75" s="6">
        <v>623.36</v>
      </c>
      <c r="I75" s="20">
        <f t="shared" si="2"/>
        <v>8.4800000000000182</v>
      </c>
      <c r="J75" s="616">
        <v>240000</v>
      </c>
      <c r="K75" s="703"/>
      <c r="L75" s="22">
        <f t="shared" si="1"/>
        <v>2035200.0000000044</v>
      </c>
      <c r="M75" s="22">
        <f t="shared" si="3"/>
        <v>2036561.8337940127</v>
      </c>
      <c r="N75" s="82"/>
      <c r="O75" s="817"/>
    </row>
    <row r="76" spans="1:15" ht="15.5" x14ac:dyDescent="0.35">
      <c r="A76" s="636">
        <v>19</v>
      </c>
      <c r="B76" s="101" t="s">
        <v>3859</v>
      </c>
      <c r="C76" s="661">
        <v>33</v>
      </c>
      <c r="D76" s="1920"/>
      <c r="E76" s="674" t="s">
        <v>3860</v>
      </c>
      <c r="F76" s="812">
        <v>1</v>
      </c>
      <c r="G76" s="6">
        <v>1752.17</v>
      </c>
      <c r="H76" s="6">
        <v>1773.97</v>
      </c>
      <c r="I76" s="20">
        <f t="shared" si="2"/>
        <v>21.799999999999955</v>
      </c>
      <c r="J76" s="616">
        <v>240000</v>
      </c>
      <c r="K76" s="705"/>
      <c r="L76" s="22">
        <f t="shared" si="1"/>
        <v>5231999.9999999888</v>
      </c>
      <c r="M76" s="22">
        <f t="shared" si="3"/>
        <v>5235500.9406496799</v>
      </c>
      <c r="N76" s="82"/>
      <c r="O76" s="817"/>
    </row>
    <row r="77" spans="1:15" ht="15.5" x14ac:dyDescent="0.35">
      <c r="A77" s="636">
        <v>20</v>
      </c>
      <c r="B77" s="100" t="s">
        <v>3861</v>
      </c>
      <c r="C77" s="661">
        <v>33</v>
      </c>
      <c r="D77" s="1920"/>
      <c r="E77" s="674" t="s">
        <v>3862</v>
      </c>
      <c r="F77" s="812">
        <v>1</v>
      </c>
      <c r="G77" s="6">
        <v>1670.13</v>
      </c>
      <c r="H77" s="6">
        <v>1687.11</v>
      </c>
      <c r="I77" s="20">
        <f t="shared" si="2"/>
        <v>16.979999999999791</v>
      </c>
      <c r="J77" s="616">
        <v>240000</v>
      </c>
      <c r="K77" s="696"/>
      <c r="L77" s="22">
        <f t="shared" si="1"/>
        <v>4075199.9999999497</v>
      </c>
      <c r="M77" s="22">
        <f t="shared" si="3"/>
        <v>4077926.879460122</v>
      </c>
      <c r="N77" s="82"/>
      <c r="O77" s="817"/>
    </row>
    <row r="78" spans="1:15" ht="15.5" x14ac:dyDescent="0.35">
      <c r="A78" s="636">
        <v>22</v>
      </c>
      <c r="B78" s="101" t="s">
        <v>3863</v>
      </c>
      <c r="C78" s="661">
        <v>33</v>
      </c>
      <c r="D78" s="1920"/>
      <c r="E78" s="674" t="s">
        <v>3864</v>
      </c>
      <c r="F78" s="812">
        <v>1</v>
      </c>
      <c r="G78" s="6">
        <v>117.34</v>
      </c>
      <c r="H78" s="6">
        <v>120.22</v>
      </c>
      <c r="I78" s="20">
        <f t="shared" si="2"/>
        <v>2.8799999999999955</v>
      </c>
      <c r="J78" s="616">
        <v>240000</v>
      </c>
      <c r="K78" s="705"/>
      <c r="L78" s="22">
        <f t="shared" si="1"/>
        <v>691199.99999999895</v>
      </c>
      <c r="M78" s="22">
        <f t="shared" si="3"/>
        <v>691662.5095904168</v>
      </c>
      <c r="N78" s="82"/>
      <c r="O78" s="817"/>
    </row>
    <row r="79" spans="1:15" ht="15.5" x14ac:dyDescent="0.35">
      <c r="A79" s="636">
        <v>23</v>
      </c>
      <c r="B79" s="100" t="s">
        <v>3865</v>
      </c>
      <c r="C79" s="661">
        <v>33</v>
      </c>
      <c r="D79" s="1920"/>
      <c r="E79" s="674" t="s">
        <v>3583</v>
      </c>
      <c r="F79" s="812">
        <v>1</v>
      </c>
      <c r="G79" s="6">
        <v>1205.18</v>
      </c>
      <c r="H79" s="6">
        <v>1224.82</v>
      </c>
      <c r="I79" s="20">
        <f t="shared" si="2"/>
        <v>19.639999999999873</v>
      </c>
      <c r="J79" s="802">
        <v>240000</v>
      </c>
      <c r="K79" s="696"/>
      <c r="L79" s="22">
        <f t="shared" si="1"/>
        <v>4713599.9999999693</v>
      </c>
      <c r="M79" s="22">
        <f t="shared" si="3"/>
        <v>4716754.0584568465</v>
      </c>
      <c r="N79" s="82"/>
      <c r="O79" s="817"/>
    </row>
    <row r="80" spans="1:15" ht="15.5" x14ac:dyDescent="0.35">
      <c r="A80" s="636">
        <v>26</v>
      </c>
      <c r="B80" s="100" t="s">
        <v>3866</v>
      </c>
      <c r="C80" s="661">
        <v>0.4</v>
      </c>
      <c r="D80" s="1920"/>
      <c r="E80" s="674">
        <v>84.265900000000002</v>
      </c>
      <c r="F80" s="812">
        <v>1</v>
      </c>
      <c r="G80" s="6">
        <v>305513</v>
      </c>
      <c r="H80" s="6">
        <v>306488</v>
      </c>
      <c r="I80" s="20">
        <f t="shared" si="2"/>
        <v>975</v>
      </c>
      <c r="J80" s="802">
        <v>10</v>
      </c>
      <c r="K80" s="696"/>
      <c r="L80" s="22">
        <f>F80*I80*J80</f>
        <v>9750</v>
      </c>
      <c r="M80" s="22">
        <f t="shared" si="3"/>
        <v>9756.5241153162242</v>
      </c>
      <c r="N80" s="82"/>
      <c r="O80" s="817"/>
    </row>
    <row r="81" spans="1:15" ht="15.5" x14ac:dyDescent="0.35">
      <c r="A81" s="636">
        <v>25</v>
      </c>
      <c r="B81" s="100" t="s">
        <v>3868</v>
      </c>
      <c r="C81" s="661">
        <v>0.4</v>
      </c>
      <c r="D81" s="1920"/>
      <c r="E81" s="674">
        <v>84.267300000000006</v>
      </c>
      <c r="F81" s="812">
        <v>1</v>
      </c>
      <c r="G81" s="6">
        <v>474544</v>
      </c>
      <c r="H81" s="6">
        <v>474544</v>
      </c>
      <c r="I81" s="20">
        <f t="shared" si="2"/>
        <v>0</v>
      </c>
      <c r="J81" s="802">
        <v>10</v>
      </c>
      <c r="K81" s="696">
        <f>F81*I81*J81</f>
        <v>0</v>
      </c>
      <c r="L81" s="22">
        <f>F81*I81*J81</f>
        <v>0</v>
      </c>
      <c r="M81" s="22">
        <f t="shared" si="3"/>
        <v>0</v>
      </c>
      <c r="N81" s="82"/>
      <c r="O81" s="817"/>
    </row>
    <row r="82" spans="1:15" ht="15.5" x14ac:dyDescent="0.35">
      <c r="A82" s="636"/>
      <c r="B82" s="96" t="s">
        <v>237</v>
      </c>
      <c r="C82" s="90"/>
      <c r="D82" s="96"/>
      <c r="E82" s="90"/>
      <c r="F82" s="813"/>
      <c r="G82" s="38"/>
      <c r="H82" s="38"/>
      <c r="I82" s="38"/>
      <c r="J82" s="95" t="s">
        <v>30</v>
      </c>
      <c r="K82" s="696"/>
      <c r="L82" s="43">
        <f>SUM(L67:L81)</f>
        <v>32493749.999999896</v>
      </c>
      <c r="M82" s="43">
        <f>SUM(M67:M81)</f>
        <v>32515492.868928775</v>
      </c>
      <c r="N82" s="83"/>
      <c r="O82" s="13"/>
    </row>
    <row r="83" spans="1:15" ht="20" x14ac:dyDescent="0.35">
      <c r="A83" s="636"/>
      <c r="B83" s="96"/>
      <c r="C83" s="90"/>
      <c r="D83" s="96"/>
      <c r="E83" s="90"/>
      <c r="F83" s="813"/>
      <c r="G83" s="38"/>
      <c r="H83" s="38"/>
      <c r="I83" s="2107" t="s">
        <v>44</v>
      </c>
      <c r="J83" s="2108"/>
      <c r="K83" s="1908">
        <f>K61</f>
        <v>42844799.999999613</v>
      </c>
      <c r="L83" s="44">
        <f>L66+L82</f>
        <v>42816149.999999948</v>
      </c>
      <c r="M83" s="2007">
        <f>M82+M66</f>
        <v>42844799.999999613</v>
      </c>
      <c r="N83" s="2008">
        <f>(M83-L83)/L83*100</f>
        <v>6.6914003243320003E-2</v>
      </c>
      <c r="O83" s="29"/>
    </row>
    <row r="84" spans="1:15" x14ac:dyDescent="0.35">
      <c r="A84" s="620"/>
      <c r="B84" s="635"/>
      <c r="C84" s="632"/>
      <c r="D84" s="1900"/>
      <c r="K84" s="702"/>
      <c r="L84" s="620"/>
      <c r="M84" s="620"/>
      <c r="N84" s="632"/>
      <c r="O84" s="620"/>
    </row>
    <row r="85" spans="1:15" ht="15" x14ac:dyDescent="0.35">
      <c r="A85" s="620"/>
      <c r="D85" s="2013"/>
      <c r="G85" s="2092" t="s">
        <v>1096</v>
      </c>
      <c r="H85" s="2092"/>
      <c r="I85" s="2092"/>
      <c r="J85" s="677" t="s">
        <v>14</v>
      </c>
      <c r="K85" s="69" t="s">
        <v>1098</v>
      </c>
      <c r="L85" s="620"/>
      <c r="M85" s="620"/>
      <c r="N85" s="632"/>
      <c r="O85" s="620"/>
    </row>
    <row r="86" spans="1:15" ht="25.5" customHeight="1" x14ac:dyDescent="0.35">
      <c r="A86" s="620"/>
      <c r="D86" s="2013"/>
      <c r="G86" s="2093" t="s">
        <v>1379</v>
      </c>
      <c r="H86" s="2093"/>
      <c r="I86" s="2093"/>
      <c r="J86" s="43">
        <f>M66</f>
        <v>10329307.131070841</v>
      </c>
      <c r="K86" s="70">
        <f>N125</f>
        <v>0.35776719274796664</v>
      </c>
      <c r="L86" s="620"/>
      <c r="M86" s="620"/>
      <c r="N86" s="632"/>
      <c r="O86" s="620"/>
    </row>
    <row r="87" spans="1:15" ht="25.5" customHeight="1" x14ac:dyDescent="0.35">
      <c r="A87" s="620"/>
      <c r="D87" s="2013"/>
      <c r="G87" s="2093" t="s">
        <v>1380</v>
      </c>
      <c r="H87" s="2093"/>
      <c r="I87" s="2093"/>
      <c r="J87" s="692">
        <f>M67+M69</f>
        <v>4121155.7863095924</v>
      </c>
      <c r="K87" s="70">
        <f>'%Loss '!$E$19</f>
        <v>-100</v>
      </c>
      <c r="L87" s="620"/>
      <c r="M87" s="620"/>
      <c r="N87" s="632"/>
      <c r="O87" s="620"/>
    </row>
    <row r="88" spans="1:15" ht="25.5" customHeight="1" x14ac:dyDescent="0.35">
      <c r="A88" s="620"/>
      <c r="D88" s="2013"/>
      <c r="G88" s="2093" t="s">
        <v>1381</v>
      </c>
      <c r="H88" s="2093"/>
      <c r="I88" s="2093"/>
      <c r="J88" s="692">
        <f>M70+M71</f>
        <v>2043766.6516022396</v>
      </c>
      <c r="K88" s="70">
        <v>6.933634163553025</v>
      </c>
      <c r="L88" s="620"/>
      <c r="M88" s="620"/>
      <c r="N88" s="632"/>
      <c r="O88" s="620"/>
    </row>
    <row r="89" spans="1:15" ht="25.5" customHeight="1" x14ac:dyDescent="0.35">
      <c r="A89" s="620"/>
      <c r="D89" s="2013"/>
      <c r="G89" s="2093" t="s">
        <v>1382</v>
      </c>
      <c r="H89" s="2093"/>
      <c r="I89" s="2093"/>
      <c r="J89" s="692">
        <f>M72+M73</f>
        <v>3679260.2940712348</v>
      </c>
      <c r="K89" s="70">
        <v>6.933634163553025</v>
      </c>
      <c r="L89" s="620"/>
      <c r="M89" s="620"/>
      <c r="N89" s="632"/>
      <c r="O89" s="620"/>
    </row>
    <row r="90" spans="1:15" ht="25.5" customHeight="1" x14ac:dyDescent="0.35">
      <c r="A90" s="620"/>
      <c r="B90" s="635"/>
      <c r="C90" s="632"/>
      <c r="D90" s="1900"/>
      <c r="G90" s="2093" t="s">
        <v>1383</v>
      </c>
      <c r="H90" s="2093"/>
      <c r="I90" s="2093"/>
      <c r="J90" s="692">
        <f>M74+M75</f>
        <v>4774392.6009227168</v>
      </c>
      <c r="K90" s="70">
        <v>6.933634163553025</v>
      </c>
      <c r="L90" s="620"/>
      <c r="M90" s="620"/>
      <c r="N90" s="632"/>
      <c r="O90" s="620"/>
    </row>
    <row r="91" spans="1:15" ht="25.5" customHeight="1" x14ac:dyDescent="0.35">
      <c r="A91" s="620"/>
      <c r="B91" s="635"/>
      <c r="C91" s="632"/>
      <c r="D91" s="1900"/>
      <c r="G91" s="2093" t="s">
        <v>1384</v>
      </c>
      <c r="H91" s="2093"/>
      <c r="I91" s="2093"/>
      <c r="J91" s="692">
        <f>M76+M77</f>
        <v>9313427.8201098014</v>
      </c>
      <c r="K91" s="70">
        <v>6.933634163553025</v>
      </c>
      <c r="L91" s="620"/>
      <c r="M91" s="620"/>
      <c r="N91" s="632"/>
      <c r="O91" s="620"/>
    </row>
    <row r="92" spans="1:15" ht="25.5" customHeight="1" x14ac:dyDescent="0.35">
      <c r="A92" s="620"/>
      <c r="B92" s="635"/>
      <c r="C92" s="632"/>
      <c r="D92" s="1900"/>
      <c r="G92" s="2093" t="s">
        <v>1385</v>
      </c>
      <c r="H92" s="2093"/>
      <c r="I92" s="2093"/>
      <c r="J92" s="692">
        <f>M78</f>
        <v>691662.5095904168</v>
      </c>
      <c r="K92" s="70">
        <v>6.933634163553025</v>
      </c>
      <c r="L92" s="620"/>
      <c r="M92" s="620"/>
      <c r="N92" s="632"/>
      <c r="O92" s="620"/>
    </row>
    <row r="93" spans="1:15" ht="25.5" customHeight="1" x14ac:dyDescent="0.35">
      <c r="A93" s="620"/>
      <c r="B93" s="635"/>
      <c r="C93" s="632"/>
      <c r="D93" s="1900"/>
      <c r="G93" s="2093" t="s">
        <v>1386</v>
      </c>
      <c r="H93" s="2093"/>
      <c r="I93" s="2093"/>
      <c r="J93" s="693">
        <f>M79+M80</f>
        <v>4726510.5825721631</v>
      </c>
      <c r="K93" s="70">
        <v>6.933634163553025</v>
      </c>
      <c r="L93" s="620"/>
      <c r="M93" s="620"/>
      <c r="N93" s="632"/>
      <c r="O93" s="620"/>
    </row>
    <row r="94" spans="1:15" ht="25.5" customHeight="1" thickBot="1" x14ac:dyDescent="0.4">
      <c r="A94" s="620"/>
      <c r="B94" s="635"/>
      <c r="C94" s="632"/>
      <c r="D94" s="1900"/>
      <c r="E94" s="632"/>
      <c r="F94" s="810"/>
      <c r="G94" s="2094" t="s">
        <v>1387</v>
      </c>
      <c r="H94" s="2094"/>
      <c r="I94" s="2094"/>
      <c r="J94" s="693" t="e">
        <f>M81+#REF!</f>
        <v>#REF!</v>
      </c>
      <c r="K94" s="70"/>
      <c r="L94" s="620"/>
      <c r="M94" s="620"/>
      <c r="N94" s="632"/>
      <c r="O94" s="620"/>
    </row>
    <row r="95" spans="1:15" ht="20.5" thickBot="1" x14ac:dyDescent="0.4">
      <c r="A95" s="620"/>
      <c r="B95" s="635"/>
      <c r="C95" s="632"/>
      <c r="D95" s="1900"/>
      <c r="E95" s="632"/>
      <c r="F95" s="810"/>
      <c r="G95" s="620"/>
      <c r="H95" s="620"/>
      <c r="I95" s="642" t="s">
        <v>210</v>
      </c>
      <c r="J95" s="680" t="e">
        <f>SUM(J86:J94)</f>
        <v>#REF!</v>
      </c>
      <c r="K95" s="682" t="e">
        <f>J95-M83</f>
        <v>#REF!</v>
      </c>
      <c r="L95" s="620"/>
      <c r="M95" s="620"/>
      <c r="N95" s="632"/>
      <c r="O95" s="620"/>
    </row>
    <row r="96" spans="1:15" x14ac:dyDescent="0.35">
      <c r="A96" s="620"/>
      <c r="B96" s="635"/>
      <c r="C96" s="632"/>
      <c r="D96" s="1900"/>
      <c r="E96" s="632"/>
      <c r="F96" s="810"/>
      <c r="G96" s="620"/>
      <c r="H96" s="620"/>
      <c r="I96" s="620"/>
      <c r="J96" s="620"/>
      <c r="K96" s="702"/>
      <c r="L96" s="620"/>
      <c r="M96" s="620"/>
      <c r="N96" s="632"/>
      <c r="O96" s="620"/>
    </row>
    <row r="97" spans="1:15" ht="30" x14ac:dyDescent="0.35">
      <c r="A97" s="2219" t="s">
        <v>1161</v>
      </c>
      <c r="B97" s="2219"/>
      <c r="C97" s="2219"/>
      <c r="D97" s="2219"/>
      <c r="E97" s="2219"/>
      <c r="F97" s="2219"/>
      <c r="G97" s="2219"/>
      <c r="H97" s="2219"/>
      <c r="I97" s="2219"/>
      <c r="J97" s="2219"/>
      <c r="K97" s="2219"/>
      <c r="L97" s="2219"/>
      <c r="M97" s="2219"/>
      <c r="N97" s="2219"/>
      <c r="O97" s="756" t="e">
        <f>$O$6</f>
        <v>#REF!</v>
      </c>
    </row>
    <row r="98" spans="1:15" ht="15.5" x14ac:dyDescent="0.35">
      <c r="A98" s="2096" t="s">
        <v>0</v>
      </c>
      <c r="B98" s="2098" t="s">
        <v>1</v>
      </c>
      <c r="C98" s="2100" t="s">
        <v>2</v>
      </c>
      <c r="D98" s="2101"/>
      <c r="E98" s="2102"/>
      <c r="F98" s="2216" t="s">
        <v>3</v>
      </c>
      <c r="G98" s="2100" t="s">
        <v>4</v>
      </c>
      <c r="H98" s="2102"/>
      <c r="I98" s="2085"/>
      <c r="J98" s="2103" t="s">
        <v>5</v>
      </c>
      <c r="K98" s="2100" t="s">
        <v>6</v>
      </c>
      <c r="L98" s="2085"/>
      <c r="M98" s="97" t="s">
        <v>32</v>
      </c>
      <c r="N98" s="98"/>
      <c r="O98" s="2084" t="s">
        <v>7</v>
      </c>
    </row>
    <row r="99" spans="1:15" ht="15.5" x14ac:dyDescent="0.35">
      <c r="A99" s="2097"/>
      <c r="B99" s="2099"/>
      <c r="C99" s="2086" t="s">
        <v>1108</v>
      </c>
      <c r="D99" s="2087"/>
      <c r="E99" s="87" t="s">
        <v>9</v>
      </c>
      <c r="F99" s="2217"/>
      <c r="G99" s="2">
        <f>'NORTH-1'!$G$8</f>
        <v>44774</v>
      </c>
      <c r="H99" s="2">
        <f>'NORTH-1'!$H$8</f>
        <v>44805</v>
      </c>
      <c r="I99" s="1" t="s">
        <v>10</v>
      </c>
      <c r="J99" s="2097"/>
      <c r="K99" s="1" t="s">
        <v>11</v>
      </c>
      <c r="L99" s="1" t="s">
        <v>12</v>
      </c>
      <c r="M99" s="617" t="s">
        <v>33</v>
      </c>
      <c r="N99" s="76" t="s">
        <v>47</v>
      </c>
      <c r="O99" s="2085"/>
    </row>
    <row r="100" spans="1:15" ht="15.5" x14ac:dyDescent="0.35">
      <c r="A100" s="3">
        <v>1</v>
      </c>
      <c r="B100" s="88">
        <v>2</v>
      </c>
      <c r="C100" s="2088">
        <v>4</v>
      </c>
      <c r="D100" s="2089"/>
      <c r="E100" s="88">
        <v>5</v>
      </c>
      <c r="F100" s="803">
        <v>7</v>
      </c>
      <c r="G100" s="3">
        <v>8</v>
      </c>
      <c r="H100" s="3">
        <v>9</v>
      </c>
      <c r="I100" s="3" t="s">
        <v>13</v>
      </c>
      <c r="J100" s="3">
        <v>11</v>
      </c>
      <c r="K100" s="3" t="s">
        <v>19</v>
      </c>
      <c r="L100" s="3" t="s">
        <v>20</v>
      </c>
      <c r="M100" s="3">
        <v>14</v>
      </c>
      <c r="N100" s="77">
        <v>15</v>
      </c>
      <c r="O100" s="3">
        <v>16</v>
      </c>
    </row>
    <row r="101" spans="1:15" ht="15" x14ac:dyDescent="0.35">
      <c r="A101" s="636"/>
      <c r="B101" s="624" t="s">
        <v>1468</v>
      </c>
      <c r="C101" s="625"/>
      <c r="D101" s="695"/>
      <c r="E101" s="625"/>
      <c r="F101" s="804"/>
      <c r="G101" s="625"/>
      <c r="H101" s="625"/>
      <c r="I101" s="625"/>
      <c r="J101" s="625"/>
      <c r="K101" s="695"/>
      <c r="L101" s="625"/>
      <c r="M101" s="626"/>
      <c r="N101" s="627"/>
      <c r="O101" s="12"/>
    </row>
    <row r="102" spans="1:15" ht="21.75" customHeight="1" x14ac:dyDescent="0.35">
      <c r="A102" s="631">
        <v>15</v>
      </c>
      <c r="B102" s="100" t="s">
        <v>1711</v>
      </c>
      <c r="C102" s="73">
        <v>11</v>
      </c>
      <c r="D102" s="818" t="s">
        <v>698</v>
      </c>
      <c r="E102" s="52" t="s">
        <v>3890</v>
      </c>
      <c r="F102" s="812">
        <v>1</v>
      </c>
      <c r="G102" s="6">
        <v>571357.6</v>
      </c>
      <c r="H102" s="6">
        <v>605669</v>
      </c>
      <c r="I102" s="20">
        <f>H102-G102</f>
        <v>34311.400000000023</v>
      </c>
      <c r="J102" s="616">
        <v>180</v>
      </c>
      <c r="K102" s="703">
        <f>F102*I102*J102</f>
        <v>6176052.0000000037</v>
      </c>
      <c r="L102" s="22"/>
      <c r="M102" s="22"/>
      <c r="N102" s="72"/>
      <c r="O102" s="15"/>
    </row>
    <row r="103" spans="1:15" ht="21.75" customHeight="1" x14ac:dyDescent="0.35">
      <c r="A103" s="631">
        <v>16</v>
      </c>
      <c r="B103" s="100" t="s">
        <v>3389</v>
      </c>
      <c r="C103" s="73">
        <v>11</v>
      </c>
      <c r="D103" s="1444"/>
      <c r="E103" s="52" t="s">
        <v>3891</v>
      </c>
      <c r="F103" s="812">
        <v>1</v>
      </c>
      <c r="G103" s="6">
        <v>258769.1</v>
      </c>
      <c r="H103" s="6">
        <v>281406</v>
      </c>
      <c r="I103" s="20">
        <f>H103-G103</f>
        <v>22636.899999999994</v>
      </c>
      <c r="J103" s="616">
        <v>180</v>
      </c>
      <c r="K103" s="703">
        <f>F103*I103*J103</f>
        <v>4074641.9999999991</v>
      </c>
      <c r="L103" s="22"/>
      <c r="M103" s="22"/>
      <c r="N103" s="72"/>
      <c r="O103" s="15"/>
    </row>
    <row r="104" spans="1:15" ht="15" x14ac:dyDescent="0.35">
      <c r="A104" s="636"/>
      <c r="B104" s="96"/>
      <c r="C104" s="90"/>
      <c r="D104" s="96"/>
      <c r="E104" s="90"/>
      <c r="F104" s="813"/>
      <c r="G104" s="38"/>
      <c r="H104" s="38"/>
      <c r="I104" s="38"/>
      <c r="J104" s="96" t="s">
        <v>30</v>
      </c>
      <c r="K104" s="708">
        <f>SUM(K102:K103)</f>
        <v>10250694.000000004</v>
      </c>
      <c r="L104" s="43"/>
      <c r="M104" s="2009">
        <f>M66</f>
        <v>10329307.131070841</v>
      </c>
      <c r="N104" s="83"/>
      <c r="O104" s="12"/>
    </row>
    <row r="105" spans="1:15" ht="15.5" x14ac:dyDescent="0.35">
      <c r="A105" s="631"/>
      <c r="B105" s="647" t="s">
        <v>1469</v>
      </c>
      <c r="C105" s="648"/>
      <c r="D105" s="700"/>
      <c r="E105" s="648"/>
      <c r="F105" s="807"/>
      <c r="G105" s="648"/>
      <c r="H105" s="648"/>
      <c r="I105" s="648"/>
      <c r="J105" s="648"/>
      <c r="K105" s="700"/>
      <c r="L105" s="648"/>
      <c r="M105" s="651"/>
      <c r="N105" s="649"/>
      <c r="O105" s="616"/>
    </row>
    <row r="106" spans="1:15" ht="21.75" customHeight="1" x14ac:dyDescent="0.35">
      <c r="A106" s="631">
        <v>4</v>
      </c>
      <c r="B106" s="100" t="s">
        <v>3871</v>
      </c>
      <c r="C106" s="73">
        <v>11</v>
      </c>
      <c r="D106" s="1768" t="s">
        <v>1083</v>
      </c>
      <c r="E106" s="52" t="s">
        <v>3873</v>
      </c>
      <c r="F106" s="812">
        <v>1</v>
      </c>
      <c r="G106" s="6">
        <v>99538315</v>
      </c>
      <c r="H106" s="6">
        <v>100128820</v>
      </c>
      <c r="I106" s="20">
        <f t="shared" ref="I106:I124" si="4">H106-G106</f>
        <v>590505</v>
      </c>
      <c r="J106" s="616">
        <v>1</v>
      </c>
      <c r="K106" s="703"/>
      <c r="L106" s="22">
        <f t="shared" ref="L106:L124" si="5">F106*I106*J106</f>
        <v>590505</v>
      </c>
      <c r="M106" s="22">
        <f>L106*$K$125/$L$125</f>
        <v>592617.63316153642</v>
      </c>
      <c r="N106" s="72" t="s">
        <v>108</v>
      </c>
      <c r="O106" s="15"/>
    </row>
    <row r="107" spans="1:15" ht="21.75" customHeight="1" x14ac:dyDescent="0.35">
      <c r="A107" s="631">
        <v>5</v>
      </c>
      <c r="B107" s="100" t="s">
        <v>3874</v>
      </c>
      <c r="C107" s="73">
        <v>11</v>
      </c>
      <c r="D107" s="1782"/>
      <c r="E107" s="52" t="s">
        <v>3875</v>
      </c>
      <c r="F107" s="812">
        <v>1</v>
      </c>
      <c r="G107" s="6">
        <v>38078215</v>
      </c>
      <c r="H107" s="6">
        <v>38971515</v>
      </c>
      <c r="I107" s="20">
        <f t="shared" si="4"/>
        <v>893300</v>
      </c>
      <c r="J107" s="616">
        <v>1</v>
      </c>
      <c r="K107" s="703"/>
      <c r="L107" s="22">
        <f t="shared" si="5"/>
        <v>893300</v>
      </c>
      <c r="M107" s="22">
        <f t="shared" ref="M107:M124" si="6">L107*$K$125/$L$125</f>
        <v>896495.93433281756</v>
      </c>
      <c r="N107" s="72" t="s">
        <v>108</v>
      </c>
      <c r="O107" s="15"/>
    </row>
    <row r="108" spans="1:15" ht="21.75" customHeight="1" x14ac:dyDescent="0.35">
      <c r="A108" s="631">
        <v>6</v>
      </c>
      <c r="B108" s="100" t="s">
        <v>3876</v>
      </c>
      <c r="C108" s="73">
        <v>11</v>
      </c>
      <c r="D108" s="1782"/>
      <c r="E108" s="52" t="s">
        <v>3877</v>
      </c>
      <c r="F108" s="812">
        <v>1</v>
      </c>
      <c r="G108" s="6">
        <v>48808909</v>
      </c>
      <c r="H108" s="6">
        <v>49541522</v>
      </c>
      <c r="I108" s="20">
        <f t="shared" si="4"/>
        <v>732613</v>
      </c>
      <c r="J108" s="616">
        <v>1</v>
      </c>
      <c r="K108" s="703"/>
      <c r="L108" s="22">
        <f t="shared" si="5"/>
        <v>732613</v>
      </c>
      <c r="M108" s="22">
        <f t="shared" si="6"/>
        <v>735234.04896380671</v>
      </c>
      <c r="N108" s="72" t="s">
        <v>108</v>
      </c>
      <c r="O108" s="15"/>
    </row>
    <row r="109" spans="1:15" ht="21.75" customHeight="1" x14ac:dyDescent="0.35">
      <c r="A109" s="631">
        <v>7</v>
      </c>
      <c r="B109" s="100" t="s">
        <v>3878</v>
      </c>
      <c r="C109" s="73">
        <v>11</v>
      </c>
      <c r="D109" s="1782"/>
      <c r="E109" s="52" t="s">
        <v>3879</v>
      </c>
      <c r="F109" s="812">
        <v>1</v>
      </c>
      <c r="G109" s="6">
        <v>166405.9</v>
      </c>
      <c r="H109" s="6">
        <v>171162.6</v>
      </c>
      <c r="I109" s="20">
        <f t="shared" si="4"/>
        <v>4756.7000000000116</v>
      </c>
      <c r="J109" s="616">
        <v>60</v>
      </c>
      <c r="K109" s="703"/>
      <c r="L109" s="22">
        <f t="shared" si="5"/>
        <v>285402.0000000007</v>
      </c>
      <c r="M109" s="22">
        <f t="shared" si="6"/>
        <v>286423.07472344721</v>
      </c>
      <c r="N109" s="72" t="s">
        <v>108</v>
      </c>
      <c r="O109" s="15"/>
    </row>
    <row r="110" spans="1:15" ht="21.75" customHeight="1" x14ac:dyDescent="0.35">
      <c r="A110" s="631">
        <v>8</v>
      </c>
      <c r="B110" s="100" t="s">
        <v>1391</v>
      </c>
      <c r="C110" s="73">
        <v>11</v>
      </c>
      <c r="D110" s="1782"/>
      <c r="E110" s="52" t="s">
        <v>3880</v>
      </c>
      <c r="F110" s="812">
        <v>1</v>
      </c>
      <c r="G110" s="6">
        <v>260218</v>
      </c>
      <c r="H110" s="6">
        <v>262269</v>
      </c>
      <c r="I110" s="20">
        <f t="shared" si="4"/>
        <v>2051</v>
      </c>
      <c r="J110" s="616">
        <v>60</v>
      </c>
      <c r="K110" s="703"/>
      <c r="L110" s="22">
        <f t="shared" si="5"/>
        <v>123060</v>
      </c>
      <c r="M110" s="22">
        <f t="shared" si="6"/>
        <v>123500.26830739564</v>
      </c>
      <c r="N110" s="72" t="s">
        <v>108</v>
      </c>
      <c r="O110" s="15"/>
    </row>
    <row r="111" spans="1:15" ht="21.75" customHeight="1" x14ac:dyDescent="0.35">
      <c r="A111" s="631">
        <v>9</v>
      </c>
      <c r="B111" s="100" t="s">
        <v>3881</v>
      </c>
      <c r="C111" s="73">
        <v>11</v>
      </c>
      <c r="D111" s="1782"/>
      <c r="E111" s="52" t="s">
        <v>3882</v>
      </c>
      <c r="F111" s="812">
        <v>1</v>
      </c>
      <c r="G111" s="6">
        <v>654.07000000000005</v>
      </c>
      <c r="H111" s="6">
        <v>658.58</v>
      </c>
      <c r="I111" s="20">
        <f t="shared" si="4"/>
        <v>4.5099999999999909</v>
      </c>
      <c r="J111" s="616">
        <v>60000</v>
      </c>
      <c r="K111" s="703"/>
      <c r="L111" s="22">
        <f t="shared" si="5"/>
        <v>270599.99999999948</v>
      </c>
      <c r="M111" s="22">
        <f t="shared" si="6"/>
        <v>271568.11802357546</v>
      </c>
      <c r="N111" s="72" t="s">
        <v>108</v>
      </c>
      <c r="O111" s="15"/>
    </row>
    <row r="112" spans="1:15" ht="21.75" customHeight="1" x14ac:dyDescent="0.35">
      <c r="A112" s="631">
        <v>10</v>
      </c>
      <c r="B112" s="100" t="s">
        <v>1392</v>
      </c>
      <c r="C112" s="73">
        <v>11</v>
      </c>
      <c r="D112" s="1782"/>
      <c r="E112" s="52" t="s">
        <v>3883</v>
      </c>
      <c r="F112" s="812">
        <v>1</v>
      </c>
      <c r="G112" s="6">
        <v>489687.9</v>
      </c>
      <c r="H112" s="6">
        <v>500778.5</v>
      </c>
      <c r="I112" s="20">
        <f t="shared" si="4"/>
        <v>11090.599999999977</v>
      </c>
      <c r="J112" s="616">
        <v>60</v>
      </c>
      <c r="K112" s="703"/>
      <c r="L112" s="22">
        <f t="shared" si="5"/>
        <v>665435.9999999986</v>
      </c>
      <c r="M112" s="22">
        <f t="shared" si="6"/>
        <v>667816.71169673302</v>
      </c>
      <c r="N112" s="72" t="s">
        <v>111</v>
      </c>
      <c r="O112" s="15"/>
    </row>
    <row r="113" spans="1:15" ht="21.75" customHeight="1" x14ac:dyDescent="0.35">
      <c r="A113" s="631">
        <v>11</v>
      </c>
      <c r="B113" s="100" t="s">
        <v>1390</v>
      </c>
      <c r="C113" s="73">
        <v>11</v>
      </c>
      <c r="D113" s="1782"/>
      <c r="E113" s="52" t="s">
        <v>3884</v>
      </c>
      <c r="F113" s="812">
        <v>1</v>
      </c>
      <c r="G113" s="6"/>
      <c r="H113" s="6"/>
      <c r="I113" s="20">
        <f t="shared" si="4"/>
        <v>0</v>
      </c>
      <c r="J113" s="616">
        <v>60</v>
      </c>
      <c r="K113" s="703"/>
      <c r="L113" s="22">
        <f t="shared" si="5"/>
        <v>0</v>
      </c>
      <c r="M113" s="22">
        <f t="shared" si="6"/>
        <v>0</v>
      </c>
      <c r="N113" s="72" t="s">
        <v>48</v>
      </c>
      <c r="O113" s="15"/>
    </row>
    <row r="114" spans="1:15" ht="21.75" customHeight="1" x14ac:dyDescent="0.35">
      <c r="A114" s="631">
        <v>12</v>
      </c>
      <c r="B114" s="100" t="s">
        <v>1389</v>
      </c>
      <c r="C114" s="73">
        <v>11</v>
      </c>
      <c r="D114" s="1782"/>
      <c r="E114" s="52" t="s">
        <v>3885</v>
      </c>
      <c r="F114" s="812">
        <v>1</v>
      </c>
      <c r="G114" s="6">
        <v>874439.1</v>
      </c>
      <c r="H114" s="6">
        <v>882944.6</v>
      </c>
      <c r="I114" s="20">
        <f t="shared" si="4"/>
        <v>8505.5</v>
      </c>
      <c r="J114" s="616">
        <v>60</v>
      </c>
      <c r="K114" s="703"/>
      <c r="L114" s="22">
        <f t="shared" si="5"/>
        <v>510330</v>
      </c>
      <c r="M114" s="22">
        <f t="shared" si="6"/>
        <v>512155.79331475077</v>
      </c>
      <c r="N114" s="72" t="s">
        <v>111</v>
      </c>
      <c r="O114" s="15"/>
    </row>
    <row r="115" spans="1:15" ht="21.75" customHeight="1" x14ac:dyDescent="0.35">
      <c r="A115" s="631">
        <v>13</v>
      </c>
      <c r="B115" s="100" t="s">
        <v>3886</v>
      </c>
      <c r="C115" s="73">
        <v>11</v>
      </c>
      <c r="D115" s="1782"/>
      <c r="E115" s="52" t="s">
        <v>3887</v>
      </c>
      <c r="F115" s="812">
        <v>1</v>
      </c>
      <c r="G115" s="6">
        <v>27264.3</v>
      </c>
      <c r="H115" s="6">
        <v>27473</v>
      </c>
      <c r="I115" s="20">
        <f t="shared" si="4"/>
        <v>208.70000000000073</v>
      </c>
      <c r="J115" s="616">
        <v>60</v>
      </c>
      <c r="K115" s="703"/>
      <c r="L115" s="22">
        <f t="shared" si="5"/>
        <v>12522.000000000044</v>
      </c>
      <c r="M115" s="22">
        <f t="shared" si="6"/>
        <v>12566.799607875944</v>
      </c>
      <c r="N115" s="72" t="s">
        <v>108</v>
      </c>
      <c r="O115" s="15"/>
    </row>
    <row r="116" spans="1:15" ht="21.75" customHeight="1" x14ac:dyDescent="0.35">
      <c r="A116" s="631">
        <v>14</v>
      </c>
      <c r="B116" s="100" t="s">
        <v>3888</v>
      </c>
      <c r="C116" s="73">
        <v>11</v>
      </c>
      <c r="D116" s="1782"/>
      <c r="E116" s="52" t="s">
        <v>3889</v>
      </c>
      <c r="F116" s="812">
        <v>1</v>
      </c>
      <c r="G116" s="6">
        <v>239462</v>
      </c>
      <c r="H116" s="6">
        <v>274761.40000000002</v>
      </c>
      <c r="I116" s="20">
        <f t="shared" si="4"/>
        <v>35299.400000000023</v>
      </c>
      <c r="J116" s="616">
        <v>60</v>
      </c>
      <c r="K116" s="703"/>
      <c r="L116" s="22">
        <f t="shared" si="5"/>
        <v>2117964.0000000014</v>
      </c>
      <c r="M116" s="22">
        <f t="shared" si="6"/>
        <v>2125541.3803462139</v>
      </c>
      <c r="N116" s="72" t="s">
        <v>108</v>
      </c>
      <c r="O116" s="15"/>
    </row>
    <row r="117" spans="1:15" ht="21.75" customHeight="1" x14ac:dyDescent="0.35">
      <c r="A117" s="631">
        <v>17</v>
      </c>
      <c r="B117" s="100" t="s">
        <v>3892</v>
      </c>
      <c r="C117" s="73">
        <v>11</v>
      </c>
      <c r="D117" s="1782"/>
      <c r="E117" s="52" t="s">
        <v>3893</v>
      </c>
      <c r="F117" s="812">
        <v>1</v>
      </c>
      <c r="G117" s="6">
        <v>956883.5</v>
      </c>
      <c r="H117" s="6">
        <v>967460.5</v>
      </c>
      <c r="I117" s="20">
        <f t="shared" si="4"/>
        <v>10577</v>
      </c>
      <c r="J117" s="616">
        <v>60</v>
      </c>
      <c r="K117" s="703"/>
      <c r="L117" s="22">
        <f t="shared" si="5"/>
        <v>634620</v>
      </c>
      <c r="M117" s="22">
        <f t="shared" si="6"/>
        <v>636890.4621586171</v>
      </c>
      <c r="N117" s="72" t="s">
        <v>108</v>
      </c>
      <c r="O117" s="15"/>
    </row>
    <row r="118" spans="1:15" ht="21.75" customHeight="1" x14ac:dyDescent="0.35">
      <c r="A118" s="631">
        <v>18</v>
      </c>
      <c r="B118" s="100" t="s">
        <v>3894</v>
      </c>
      <c r="C118" s="73">
        <v>11</v>
      </c>
      <c r="D118" s="1782"/>
      <c r="E118" s="52" t="s">
        <v>3895</v>
      </c>
      <c r="F118" s="812">
        <v>1</v>
      </c>
      <c r="G118" s="6">
        <v>240467.3</v>
      </c>
      <c r="H118" s="6">
        <v>257867.4</v>
      </c>
      <c r="I118" s="20">
        <f t="shared" si="4"/>
        <v>17400.100000000006</v>
      </c>
      <c r="J118" s="616">
        <v>60</v>
      </c>
      <c r="K118" s="703"/>
      <c r="L118" s="22">
        <f t="shared" si="5"/>
        <v>1044006.0000000003</v>
      </c>
      <c r="M118" s="22">
        <f t="shared" si="6"/>
        <v>1047741.1109583207</v>
      </c>
      <c r="N118" s="72" t="s">
        <v>108</v>
      </c>
      <c r="O118" s="15"/>
    </row>
    <row r="119" spans="1:15" ht="21.75" customHeight="1" x14ac:dyDescent="0.35">
      <c r="A119" s="631">
        <v>19</v>
      </c>
      <c r="B119" s="100" t="s">
        <v>3896</v>
      </c>
      <c r="C119" s="73">
        <v>11</v>
      </c>
      <c r="D119" s="1782"/>
      <c r="E119" s="52" t="s">
        <v>3897</v>
      </c>
      <c r="F119" s="812">
        <v>1</v>
      </c>
      <c r="G119" s="6">
        <v>157258.6</v>
      </c>
      <c r="H119" s="6">
        <v>174652</v>
      </c>
      <c r="I119" s="20">
        <f t="shared" si="4"/>
        <v>17393.399999999994</v>
      </c>
      <c r="J119" s="616">
        <v>60</v>
      </c>
      <c r="K119" s="703"/>
      <c r="L119" s="22">
        <f t="shared" si="5"/>
        <v>1043603.9999999997</v>
      </c>
      <c r="M119" s="22">
        <f t="shared" si="6"/>
        <v>1047337.6727342051</v>
      </c>
      <c r="N119" s="72" t="s">
        <v>108</v>
      </c>
      <c r="O119" s="15"/>
    </row>
    <row r="120" spans="1:15" ht="21.75" customHeight="1" x14ac:dyDescent="0.35">
      <c r="A120" s="631">
        <v>20</v>
      </c>
      <c r="B120" s="101" t="s">
        <v>3898</v>
      </c>
      <c r="C120" s="73">
        <v>11</v>
      </c>
      <c r="D120" s="1782"/>
      <c r="E120" s="52" t="s">
        <v>3899</v>
      </c>
      <c r="F120" s="812">
        <v>1</v>
      </c>
      <c r="G120" s="6">
        <v>529240.19999999995</v>
      </c>
      <c r="H120" s="6">
        <v>533203.80000000005</v>
      </c>
      <c r="I120" s="20">
        <f t="shared" si="4"/>
        <v>3963.6000000000931</v>
      </c>
      <c r="J120" s="616">
        <v>60</v>
      </c>
      <c r="K120" s="703"/>
      <c r="L120" s="22">
        <f t="shared" si="5"/>
        <v>237816.00000000559</v>
      </c>
      <c r="M120" s="22">
        <f t="shared" si="6"/>
        <v>238666.82762711111</v>
      </c>
      <c r="N120" s="72" t="s">
        <v>111</v>
      </c>
      <c r="O120" s="15"/>
    </row>
    <row r="121" spans="1:15" ht="21.75" customHeight="1" x14ac:dyDescent="0.35">
      <c r="A121" s="631">
        <v>21</v>
      </c>
      <c r="B121" s="100" t="s">
        <v>3900</v>
      </c>
      <c r="C121" s="73">
        <v>11</v>
      </c>
      <c r="D121" s="1782"/>
      <c r="E121" s="52" t="s">
        <v>3901</v>
      </c>
      <c r="F121" s="812">
        <v>1</v>
      </c>
      <c r="G121" s="6">
        <v>320464.8</v>
      </c>
      <c r="H121" s="6">
        <v>322302</v>
      </c>
      <c r="I121" s="20">
        <f t="shared" si="4"/>
        <v>1837.2000000000116</v>
      </c>
      <c r="J121" s="616">
        <v>60</v>
      </c>
      <c r="K121" s="703"/>
      <c r="L121" s="22">
        <f t="shared" si="5"/>
        <v>110232.0000000007</v>
      </c>
      <c r="M121" s="22">
        <f t="shared" si="6"/>
        <v>110626.37393191065</v>
      </c>
      <c r="N121" s="72" t="s">
        <v>108</v>
      </c>
      <c r="O121" s="15"/>
    </row>
    <row r="122" spans="1:15" ht="21.75" customHeight="1" x14ac:dyDescent="0.35">
      <c r="A122" s="631">
        <v>22</v>
      </c>
      <c r="B122" s="100" t="s">
        <v>3902</v>
      </c>
      <c r="C122" s="73">
        <v>11</v>
      </c>
      <c r="D122" s="1782"/>
      <c r="E122" s="52" t="s">
        <v>3903</v>
      </c>
      <c r="F122" s="812">
        <v>1</v>
      </c>
      <c r="G122" s="6">
        <v>603774.9</v>
      </c>
      <c r="H122" s="6">
        <v>611523.80000000005</v>
      </c>
      <c r="I122" s="20">
        <f t="shared" si="4"/>
        <v>7748.9000000000233</v>
      </c>
      <c r="J122" s="616">
        <v>60</v>
      </c>
      <c r="K122" s="703"/>
      <c r="L122" s="22">
        <f t="shared" si="5"/>
        <v>464934.0000000014</v>
      </c>
      <c r="M122" s="22">
        <f t="shared" si="6"/>
        <v>466597.38131993223</v>
      </c>
      <c r="N122" s="72" t="s">
        <v>109</v>
      </c>
      <c r="O122" s="15"/>
    </row>
    <row r="123" spans="1:15" ht="21.75" customHeight="1" x14ac:dyDescent="0.35">
      <c r="A123" s="631">
        <v>23</v>
      </c>
      <c r="B123" s="100" t="s">
        <v>3904</v>
      </c>
      <c r="C123" s="73">
        <v>11</v>
      </c>
      <c r="D123" s="1782"/>
      <c r="E123" s="52" t="s">
        <v>3905</v>
      </c>
      <c r="F123" s="812">
        <v>1</v>
      </c>
      <c r="G123" s="6"/>
      <c r="H123" s="6"/>
      <c r="I123" s="20">
        <f t="shared" si="4"/>
        <v>0</v>
      </c>
      <c r="J123" s="616">
        <v>60</v>
      </c>
      <c r="K123" s="703"/>
      <c r="L123" s="22">
        <f t="shared" si="5"/>
        <v>0</v>
      </c>
      <c r="M123" s="22">
        <f t="shared" si="6"/>
        <v>0</v>
      </c>
      <c r="N123" s="72" t="s">
        <v>48</v>
      </c>
      <c r="O123" s="15"/>
    </row>
    <row r="124" spans="1:15" ht="21.75" customHeight="1" x14ac:dyDescent="0.35">
      <c r="A124" s="631">
        <v>24</v>
      </c>
      <c r="B124" s="100" t="s">
        <v>3906</v>
      </c>
      <c r="C124" s="73">
        <v>11</v>
      </c>
      <c r="D124" s="1783"/>
      <c r="E124" s="52" t="s">
        <v>3907</v>
      </c>
      <c r="F124" s="812">
        <v>1</v>
      </c>
      <c r="G124" s="6">
        <v>690565.8</v>
      </c>
      <c r="H124" s="6">
        <v>699824.8</v>
      </c>
      <c r="I124" s="20">
        <f t="shared" si="4"/>
        <v>9259</v>
      </c>
      <c r="J124" s="616">
        <v>60</v>
      </c>
      <c r="K124" s="703"/>
      <c r="L124" s="22">
        <f t="shared" si="5"/>
        <v>555540</v>
      </c>
      <c r="M124" s="22">
        <f t="shared" si="6"/>
        <v>557527.53986259201</v>
      </c>
      <c r="N124" s="1930" t="s">
        <v>4697</v>
      </c>
      <c r="O124" s="15"/>
    </row>
    <row r="125" spans="1:15" ht="20" x14ac:dyDescent="0.35">
      <c r="A125" s="636"/>
      <c r="B125" s="96"/>
      <c r="C125" s="90"/>
      <c r="D125" s="96"/>
      <c r="E125" s="90"/>
      <c r="F125" s="813"/>
      <c r="G125" s="38"/>
      <c r="H125" s="38"/>
      <c r="I125" s="38"/>
      <c r="J125" s="96" t="s">
        <v>30</v>
      </c>
      <c r="K125" s="2010">
        <f>M104</f>
        <v>10329307.131070841</v>
      </c>
      <c r="L125" s="658">
        <f>SUM(L106:L124)</f>
        <v>10292484.000000007</v>
      </c>
      <c r="M125" s="43">
        <f>SUM(M106:M124)</f>
        <v>10329307.131070841</v>
      </c>
      <c r="N125" s="84">
        <f>(M125-L125)/L125*100</f>
        <v>0.35776719274796664</v>
      </c>
      <c r="O125" s="13"/>
    </row>
    <row r="126" spans="1:15" x14ac:dyDescent="0.35">
      <c r="D126" s="2013"/>
      <c r="K126" s="34"/>
    </row>
    <row r="127" spans="1:15" ht="15" x14ac:dyDescent="0.35">
      <c r="A127" s="620"/>
      <c r="B127" s="635"/>
      <c r="C127" s="632"/>
      <c r="D127" s="1900"/>
      <c r="G127" s="2092" t="s">
        <v>1099</v>
      </c>
      <c r="H127" s="2092"/>
      <c r="I127" s="2092"/>
      <c r="J127" s="677" t="s">
        <v>14</v>
      </c>
      <c r="K127" s="702"/>
      <c r="L127" s="620"/>
      <c r="M127" s="620"/>
      <c r="N127" s="632"/>
      <c r="O127" s="620"/>
    </row>
    <row r="128" spans="1:15" ht="15.5" x14ac:dyDescent="0.35">
      <c r="A128" s="620"/>
      <c r="B128" s="635"/>
      <c r="C128" s="632"/>
      <c r="D128" s="1900"/>
      <c r="G128" s="2082" t="s">
        <v>1346</v>
      </c>
      <c r="H128" s="2082"/>
      <c r="I128" s="2082"/>
      <c r="J128" s="643">
        <f>SUM(M106:M111,M115:M119,M121)</f>
        <v>7886542.8772497214</v>
      </c>
      <c r="K128" s="702"/>
      <c r="L128" s="620"/>
      <c r="M128" s="620"/>
      <c r="N128" s="632"/>
      <c r="O128" s="620" t="s">
        <v>237</v>
      </c>
    </row>
    <row r="129" spans="1:15" ht="15.5" x14ac:dyDescent="0.35">
      <c r="A129" s="620"/>
      <c r="B129" s="635"/>
      <c r="C129" s="632"/>
      <c r="D129" s="1900"/>
      <c r="G129" s="2082" t="s">
        <v>4675</v>
      </c>
      <c r="H129" s="2082"/>
      <c r="I129" s="2082"/>
      <c r="J129" s="643">
        <f>M113+M123</f>
        <v>0</v>
      </c>
      <c r="K129" s="702"/>
      <c r="L129" s="620"/>
      <c r="M129" s="620"/>
      <c r="N129" s="632"/>
      <c r="O129" s="620"/>
    </row>
    <row r="130" spans="1:15" ht="15.5" x14ac:dyDescent="0.35">
      <c r="A130" s="620"/>
      <c r="B130" s="635"/>
      <c r="C130" s="632"/>
      <c r="D130" s="1900"/>
      <c r="G130" s="2082" t="s">
        <v>4676</v>
      </c>
      <c r="H130" s="2082"/>
      <c r="I130" s="2082"/>
      <c r="J130" s="643">
        <f>M112+M114+M120</f>
        <v>1418639.3326385948</v>
      </c>
      <c r="K130" s="702"/>
      <c r="L130" s="620"/>
      <c r="M130" s="620"/>
      <c r="N130" s="632"/>
      <c r="O130" s="620"/>
    </row>
    <row r="131" spans="1:15" ht="16" thickBot="1" x14ac:dyDescent="0.4">
      <c r="A131" s="620"/>
      <c r="B131" s="635"/>
      <c r="C131" s="632"/>
      <c r="D131" s="1900"/>
      <c r="G131" s="2082" t="s">
        <v>232</v>
      </c>
      <c r="H131" s="2082"/>
      <c r="I131" s="2082"/>
      <c r="J131" s="643">
        <f>M122+M124</f>
        <v>1024124.9211825242</v>
      </c>
      <c r="K131" s="702"/>
      <c r="L131" s="620"/>
      <c r="M131" s="620"/>
      <c r="N131" s="632"/>
      <c r="O131" s="620"/>
    </row>
    <row r="132" spans="1:15" ht="20.5" thickBot="1" x14ac:dyDescent="0.4">
      <c r="A132" s="620"/>
      <c r="B132" s="635"/>
      <c r="C132" s="632"/>
      <c r="D132" s="1900"/>
      <c r="G132" s="2083" t="s">
        <v>210</v>
      </c>
      <c r="H132" s="2083"/>
      <c r="I132" s="2083"/>
      <c r="J132" s="714">
        <f>SUM(J128:J131)</f>
        <v>10329307.131070841</v>
      </c>
      <c r="K132" s="682">
        <f>J132-M125</f>
        <v>0</v>
      </c>
      <c r="L132" s="620"/>
      <c r="M132" s="620"/>
      <c r="N132" s="632"/>
      <c r="O132" s="620"/>
    </row>
    <row r="133" spans="1:15" x14ac:dyDescent="0.35">
      <c r="A133" s="620"/>
      <c r="B133" s="635"/>
      <c r="C133" s="632"/>
      <c r="D133" s="1900"/>
      <c r="E133" s="632"/>
      <c r="F133" s="810"/>
      <c r="G133" s="620"/>
      <c r="H133" s="620"/>
      <c r="I133" s="620"/>
      <c r="J133" s="620"/>
      <c r="K133" s="702"/>
      <c r="L133" s="620"/>
      <c r="M133" s="620"/>
      <c r="N133" s="632"/>
      <c r="O133" s="620"/>
    </row>
    <row r="134" spans="1:15" x14ac:dyDescent="0.35">
      <c r="A134" s="620"/>
      <c r="B134" s="635"/>
      <c r="C134" s="632"/>
      <c r="D134" s="1900"/>
      <c r="E134" s="632"/>
      <c r="F134" s="810"/>
      <c r="G134" s="620"/>
      <c r="H134" s="620"/>
      <c r="I134" s="620"/>
      <c r="J134" s="620"/>
      <c r="K134" s="702"/>
      <c r="L134" s="620"/>
      <c r="M134" s="620"/>
      <c r="N134" s="632"/>
      <c r="O134" s="620"/>
    </row>
    <row r="135" spans="1:15" x14ac:dyDescent="0.35">
      <c r="A135" s="620"/>
      <c r="B135" s="635"/>
      <c r="C135" s="632"/>
      <c r="D135" s="1900"/>
      <c r="E135" s="632"/>
      <c r="F135" s="810"/>
      <c r="G135" s="620"/>
      <c r="H135" s="620"/>
      <c r="I135" s="620"/>
      <c r="J135" s="620"/>
      <c r="K135" s="702"/>
      <c r="L135" s="620"/>
      <c r="M135" s="620"/>
      <c r="N135" s="632"/>
      <c r="O135" s="620"/>
    </row>
    <row r="136" spans="1:15" x14ac:dyDescent="0.35">
      <c r="A136" s="620"/>
      <c r="B136" s="635"/>
      <c r="C136" s="632"/>
      <c r="D136" s="1900"/>
      <c r="E136" s="632"/>
      <c r="F136" s="810"/>
      <c r="G136" s="620"/>
      <c r="H136" s="620"/>
      <c r="I136" s="620"/>
      <c r="J136" s="620"/>
      <c r="K136" s="702"/>
      <c r="L136" s="620"/>
      <c r="M136" s="620"/>
      <c r="N136" s="632"/>
      <c r="O136" s="620"/>
    </row>
    <row r="137" spans="1:15" x14ac:dyDescent="0.35">
      <c r="A137" s="620"/>
      <c r="B137" s="635"/>
      <c r="C137" s="632"/>
      <c r="D137" s="1900"/>
      <c r="E137" s="632"/>
      <c r="F137" s="810"/>
      <c r="G137" s="620"/>
      <c r="H137" s="620"/>
      <c r="I137" s="620"/>
      <c r="J137" s="620"/>
      <c r="K137" s="702"/>
      <c r="L137" s="620"/>
      <c r="M137" s="620"/>
      <c r="N137" s="632"/>
      <c r="O137" s="620"/>
    </row>
    <row r="138" spans="1:15" x14ac:dyDescent="0.35">
      <c r="A138" s="620"/>
      <c r="B138" s="632"/>
      <c r="C138" s="632"/>
      <c r="D138" s="1900"/>
      <c r="E138" s="632"/>
      <c r="F138" s="810"/>
      <c r="G138" s="620"/>
      <c r="H138" s="620"/>
      <c r="I138" s="620"/>
      <c r="J138" s="620"/>
      <c r="K138" s="702"/>
      <c r="L138" s="620"/>
      <c r="M138" s="620"/>
      <c r="N138" s="632"/>
      <c r="O138" s="620"/>
    </row>
    <row r="139" spans="1:15" x14ac:dyDescent="0.35">
      <c r="A139" s="620"/>
      <c r="B139" s="632"/>
      <c r="C139" s="632"/>
      <c r="D139" s="1900"/>
      <c r="E139" s="632"/>
      <c r="F139" s="810"/>
      <c r="G139" s="620"/>
      <c r="H139" s="620"/>
      <c r="I139" s="620"/>
      <c r="J139" s="620"/>
      <c r="K139" s="702"/>
      <c r="L139" s="620"/>
      <c r="M139" s="620"/>
      <c r="N139" s="632"/>
      <c r="O139" s="620"/>
    </row>
    <row r="140" spans="1:15" x14ac:dyDescent="0.35">
      <c r="A140" s="620"/>
      <c r="B140" s="635"/>
      <c r="C140" s="632"/>
      <c r="D140" s="1900"/>
      <c r="E140" s="632"/>
      <c r="F140" s="810"/>
      <c r="G140" s="620"/>
      <c r="H140" s="620"/>
      <c r="I140" s="620"/>
      <c r="J140" s="620"/>
      <c r="K140" s="702"/>
      <c r="L140" s="620"/>
      <c r="M140" s="620"/>
      <c r="N140" s="632"/>
      <c r="O140" s="620"/>
    </row>
    <row r="141" spans="1:15" x14ac:dyDescent="0.35">
      <c r="A141" s="620"/>
      <c r="B141" s="635"/>
      <c r="C141" s="632"/>
      <c r="D141" s="1900"/>
      <c r="E141" s="632"/>
      <c r="F141" s="810"/>
      <c r="G141" s="620"/>
      <c r="H141" s="620"/>
      <c r="I141" s="620"/>
      <c r="J141" s="620"/>
      <c r="K141" s="702"/>
      <c r="L141" s="620"/>
      <c r="M141" s="620"/>
      <c r="N141" s="632"/>
      <c r="O141" s="620"/>
    </row>
    <row r="142" spans="1:15" x14ac:dyDescent="0.35">
      <c r="A142" s="620"/>
      <c r="B142" s="635"/>
      <c r="C142" s="632"/>
      <c r="D142" s="1900"/>
      <c r="E142" s="632"/>
      <c r="F142" s="810"/>
      <c r="G142" s="620"/>
      <c r="H142" s="620"/>
      <c r="I142" s="620"/>
      <c r="J142" s="620"/>
      <c r="K142" s="702"/>
      <c r="L142" s="620"/>
      <c r="M142" s="620"/>
      <c r="N142" s="632"/>
      <c r="O142" s="620"/>
    </row>
    <row r="143" spans="1:15" ht="25" x14ac:dyDescent="0.35">
      <c r="A143" s="28"/>
      <c r="B143" s="2152"/>
      <c r="C143" s="2152"/>
      <c r="D143" s="2152"/>
      <c r="E143" s="2152"/>
      <c r="F143" s="2152"/>
      <c r="G143" s="2152"/>
      <c r="H143" s="2152"/>
      <c r="I143" s="2152"/>
      <c r="J143" s="2152"/>
      <c r="K143" s="2152"/>
      <c r="L143" s="2152"/>
      <c r="M143" s="2152"/>
      <c r="N143" s="632"/>
      <c r="O143" s="620"/>
    </row>
    <row r="144" spans="1:15" x14ac:dyDescent="0.35">
      <c r="A144" s="620"/>
      <c r="B144" s="635"/>
      <c r="C144" s="632"/>
      <c r="D144" s="1900"/>
      <c r="E144" s="632"/>
      <c r="F144" s="810"/>
      <c r="G144" s="620"/>
      <c r="H144" s="620"/>
      <c r="I144" s="620"/>
      <c r="J144" s="620"/>
      <c r="K144" s="702"/>
      <c r="L144" s="620"/>
      <c r="M144" s="620"/>
      <c r="N144" s="632"/>
      <c r="O144" s="620"/>
    </row>
    <row r="145" spans="1:15" x14ac:dyDescent="0.35">
      <c r="A145" s="620"/>
      <c r="B145" s="635"/>
      <c r="C145" s="632"/>
      <c r="D145" s="1900"/>
      <c r="E145" s="632"/>
      <c r="F145" s="810"/>
      <c r="G145" s="620"/>
      <c r="H145" s="620"/>
      <c r="I145" s="620"/>
      <c r="J145" s="620"/>
      <c r="K145" s="702"/>
      <c r="L145" s="620"/>
      <c r="M145" s="620"/>
      <c r="N145" s="632"/>
      <c r="O145" s="620"/>
    </row>
    <row r="146" spans="1:15" ht="30" x14ac:dyDescent="0.35">
      <c r="A146" s="2219" t="s">
        <v>1162</v>
      </c>
      <c r="B146" s="2219"/>
      <c r="C146" s="2219"/>
      <c r="D146" s="2219"/>
      <c r="E146" s="2219"/>
      <c r="F146" s="2219"/>
      <c r="G146" s="2219"/>
      <c r="H146" s="2219"/>
      <c r="I146" s="2219"/>
      <c r="J146" s="2219"/>
      <c r="K146" s="2219"/>
      <c r="L146" s="2219"/>
      <c r="M146" s="2219"/>
      <c r="N146" s="2219"/>
      <c r="O146" s="756" t="e">
        <f>$O$6</f>
        <v>#REF!</v>
      </c>
    </row>
    <row r="147" spans="1:15" ht="15.5" x14ac:dyDescent="0.35">
      <c r="A147" s="2096" t="s">
        <v>0</v>
      </c>
      <c r="B147" s="2098" t="s">
        <v>1</v>
      </c>
      <c r="C147" s="2100" t="s">
        <v>2</v>
      </c>
      <c r="D147" s="2101"/>
      <c r="E147" s="2102"/>
      <c r="F147" s="2216" t="s">
        <v>3</v>
      </c>
      <c r="G147" s="2100" t="s">
        <v>4</v>
      </c>
      <c r="H147" s="2102"/>
      <c r="I147" s="2085"/>
      <c r="J147" s="2103" t="s">
        <v>5</v>
      </c>
      <c r="K147" s="2100" t="s">
        <v>6</v>
      </c>
      <c r="L147" s="2085"/>
      <c r="M147" s="97" t="s">
        <v>32</v>
      </c>
      <c r="N147" s="98"/>
      <c r="O147" s="2084" t="s">
        <v>7</v>
      </c>
    </row>
    <row r="148" spans="1:15" ht="15.5" x14ac:dyDescent="0.35">
      <c r="A148" s="2097"/>
      <c r="B148" s="2099"/>
      <c r="C148" s="2086" t="s">
        <v>1108</v>
      </c>
      <c r="D148" s="2087"/>
      <c r="E148" s="87" t="s">
        <v>9</v>
      </c>
      <c r="F148" s="2217"/>
      <c r="G148" s="2">
        <f>'NORTH-1'!$G$8</f>
        <v>44774</v>
      </c>
      <c r="H148" s="2">
        <f>'NORTH-1'!$H$8</f>
        <v>44805</v>
      </c>
      <c r="I148" s="1" t="s">
        <v>10</v>
      </c>
      <c r="J148" s="2097"/>
      <c r="K148" s="1" t="s">
        <v>11</v>
      </c>
      <c r="L148" s="1" t="s">
        <v>12</v>
      </c>
      <c r="M148" s="617" t="s">
        <v>33</v>
      </c>
      <c r="N148" s="76" t="s">
        <v>47</v>
      </c>
      <c r="O148" s="2085"/>
    </row>
    <row r="149" spans="1:15" ht="15.5" x14ac:dyDescent="0.35">
      <c r="A149" s="3">
        <v>1</v>
      </c>
      <c r="B149" s="88">
        <v>2</v>
      </c>
      <c r="C149" s="2088">
        <v>4</v>
      </c>
      <c r="D149" s="2089"/>
      <c r="E149" s="88">
        <v>5</v>
      </c>
      <c r="F149" s="803">
        <v>7</v>
      </c>
      <c r="G149" s="3">
        <v>8</v>
      </c>
      <c r="H149" s="3">
        <v>9</v>
      </c>
      <c r="I149" s="3" t="s">
        <v>13</v>
      </c>
      <c r="J149" s="3">
        <v>11</v>
      </c>
      <c r="K149" s="3" t="s">
        <v>19</v>
      </c>
      <c r="L149" s="3" t="s">
        <v>20</v>
      </c>
      <c r="M149" s="3">
        <v>14</v>
      </c>
      <c r="N149" s="77">
        <v>15</v>
      </c>
      <c r="O149" s="3">
        <v>16</v>
      </c>
    </row>
    <row r="150" spans="1:15" ht="15.5" x14ac:dyDescent="0.35">
      <c r="A150" s="631"/>
      <c r="B150" s="624" t="s">
        <v>1393</v>
      </c>
      <c r="C150" s="625"/>
      <c r="D150" s="695"/>
      <c r="E150" s="625"/>
      <c r="F150" s="804"/>
      <c r="G150" s="625"/>
      <c r="H150" s="625"/>
      <c r="I150" s="625"/>
      <c r="J150" s="625"/>
      <c r="K150" s="695"/>
      <c r="L150" s="625"/>
      <c r="M150" s="626"/>
      <c r="N150" s="627"/>
      <c r="O150" s="616"/>
    </row>
    <row r="151" spans="1:15" ht="15.5" x14ac:dyDescent="0.35">
      <c r="A151" s="11"/>
      <c r="B151" s="100" t="s">
        <v>1377</v>
      </c>
      <c r="C151" s="52">
        <f>C76</f>
        <v>33</v>
      </c>
      <c r="D151" s="2105" t="s">
        <v>698</v>
      </c>
      <c r="E151" s="52"/>
      <c r="F151" s="812">
        <f>F76</f>
        <v>1</v>
      </c>
      <c r="G151" s="21">
        <f t="shared" ref="G151:J152" si="7">G74</f>
        <v>1470.4</v>
      </c>
      <c r="H151" s="21">
        <f t="shared" si="7"/>
        <v>1481.8</v>
      </c>
      <c r="I151" s="20">
        <f t="shared" si="7"/>
        <v>11.399999999999864</v>
      </c>
      <c r="J151" s="707">
        <f t="shared" si="7"/>
        <v>240000</v>
      </c>
      <c r="K151" s="696">
        <f>F151*I151*J151</f>
        <v>2735999.9999999674</v>
      </c>
      <c r="L151" s="16"/>
      <c r="M151" s="22"/>
      <c r="N151" s="82"/>
      <c r="O151" s="9"/>
    </row>
    <row r="152" spans="1:15" ht="15.5" x14ac:dyDescent="0.35">
      <c r="A152" s="631"/>
      <c r="B152" s="100" t="s">
        <v>1378</v>
      </c>
      <c r="C152" s="52">
        <f>C77</f>
        <v>33</v>
      </c>
      <c r="D152" s="2151"/>
      <c r="E152" s="52"/>
      <c r="F152" s="812">
        <f>F77</f>
        <v>1</v>
      </c>
      <c r="G152" s="21">
        <f t="shared" si="7"/>
        <v>614.88</v>
      </c>
      <c r="H152" s="21">
        <f t="shared" si="7"/>
        <v>623.36</v>
      </c>
      <c r="I152" s="20">
        <f t="shared" si="7"/>
        <v>8.4800000000000182</v>
      </c>
      <c r="J152" s="707">
        <f t="shared" si="7"/>
        <v>240000</v>
      </c>
      <c r="K152" s="696">
        <f>F152*I152*J152</f>
        <v>2035200.0000000044</v>
      </c>
      <c r="L152" s="16"/>
      <c r="M152" s="22"/>
      <c r="N152" s="82"/>
      <c r="O152" s="616"/>
    </row>
    <row r="153" spans="1:15" ht="15.5" x14ac:dyDescent="0.35">
      <c r="A153" s="631"/>
      <c r="B153" s="102"/>
      <c r="C153" s="91"/>
      <c r="D153" s="726"/>
      <c r="E153" s="91"/>
      <c r="F153" s="814"/>
      <c r="G153" s="48"/>
      <c r="H153" s="48"/>
      <c r="I153" s="48"/>
      <c r="J153" s="96" t="s">
        <v>30</v>
      </c>
      <c r="K153" s="43">
        <f>SUM(K151:K152)</f>
        <v>4771199.9999999721</v>
      </c>
      <c r="L153" s="43"/>
      <c r="M153" s="43"/>
      <c r="N153" s="646"/>
      <c r="O153" s="616"/>
    </row>
    <row r="154" spans="1:15" ht="15.5" x14ac:dyDescent="0.35">
      <c r="A154" s="616"/>
      <c r="B154" s="624" t="s">
        <v>1100</v>
      </c>
      <c r="C154" s="625"/>
      <c r="D154" s="695"/>
      <c r="E154" s="625"/>
      <c r="F154" s="804"/>
      <c r="G154" s="625"/>
      <c r="H154" s="625"/>
      <c r="I154" s="625"/>
      <c r="J154" s="732"/>
      <c r="K154" s="733"/>
      <c r="L154" s="734"/>
      <c r="M154" s="734"/>
      <c r="N154" s="627"/>
      <c r="O154" s="616"/>
    </row>
    <row r="155" spans="1:15" ht="15.5" x14ac:dyDescent="0.35">
      <c r="A155" s="616"/>
      <c r="B155" s="100" t="s">
        <v>41</v>
      </c>
      <c r="C155" s="52">
        <v>33</v>
      </c>
      <c r="D155" s="735" t="s">
        <v>698</v>
      </c>
      <c r="E155" s="52"/>
      <c r="F155" s="812">
        <v>1</v>
      </c>
      <c r="G155" s="21">
        <f>'NORTH-2'!G72</f>
        <v>0</v>
      </c>
      <c r="H155" s="21">
        <f>'NORTH-2'!H72</f>
        <v>0</v>
      </c>
      <c r="I155" s="20">
        <f>'NORTH-2'!I72</f>
        <v>0</v>
      </c>
      <c r="J155" s="616">
        <f>'NORTH-2'!J72</f>
        <v>0</v>
      </c>
      <c r="K155" s="696">
        <f>'NORTH-2'!K72</f>
        <v>0</v>
      </c>
      <c r="L155" s="22"/>
      <c r="M155" s="22">
        <f>'NORTH-2'!M72</f>
        <v>0</v>
      </c>
      <c r="N155" s="82"/>
      <c r="O155" s="12"/>
    </row>
    <row r="156" spans="1:15" ht="15.5" x14ac:dyDescent="0.35">
      <c r="A156" s="616"/>
      <c r="B156" s="102"/>
      <c r="C156" s="91"/>
      <c r="D156" s="726"/>
      <c r="E156" s="91"/>
      <c r="F156" s="814"/>
      <c r="G156" s="48"/>
      <c r="H156" s="48"/>
      <c r="I156" s="36"/>
      <c r="J156" s="96" t="s">
        <v>30</v>
      </c>
      <c r="K156" s="706"/>
      <c r="L156" s="43"/>
      <c r="M156" s="43">
        <f>SUM(M155)</f>
        <v>0</v>
      </c>
      <c r="N156" s="85"/>
      <c r="O156" s="12"/>
    </row>
    <row r="157" spans="1:15" ht="15.5" x14ac:dyDescent="0.35">
      <c r="A157" s="616"/>
      <c r="B157" s="624" t="s">
        <v>1395</v>
      </c>
      <c r="C157" s="625"/>
      <c r="D157" s="695"/>
      <c r="E157" s="625"/>
      <c r="F157" s="804"/>
      <c r="G157" s="625"/>
      <c r="H157" s="625"/>
      <c r="I157" s="625"/>
      <c r="J157" s="732"/>
      <c r="K157" s="733"/>
      <c r="L157" s="734"/>
      <c r="M157" s="734"/>
      <c r="N157" s="627"/>
      <c r="O157" s="12"/>
    </row>
    <row r="158" spans="1:15" ht="15.5" x14ac:dyDescent="0.35">
      <c r="A158" s="616">
        <v>1</v>
      </c>
      <c r="B158" s="100" t="s">
        <v>3908</v>
      </c>
      <c r="C158" s="52" t="s">
        <v>3833</v>
      </c>
      <c r="D158" s="818"/>
      <c r="E158" s="52" t="s">
        <v>3909</v>
      </c>
      <c r="F158" s="812">
        <v>1</v>
      </c>
      <c r="G158" s="21">
        <v>3324.17</v>
      </c>
      <c r="H158" s="21">
        <v>3333.08</v>
      </c>
      <c r="I158" s="20">
        <f>H158-G158</f>
        <v>8.9099999999998545</v>
      </c>
      <c r="J158" s="616">
        <v>270000</v>
      </c>
      <c r="K158" s="696">
        <f>F158*I158*J158</f>
        <v>2405699.9999999609</v>
      </c>
      <c r="L158" s="22"/>
      <c r="M158" s="22"/>
      <c r="N158" s="82"/>
      <c r="O158" s="12"/>
    </row>
    <row r="159" spans="1:15" ht="15.5" x14ac:dyDescent="0.35">
      <c r="A159" s="616">
        <v>5</v>
      </c>
      <c r="B159" s="100" t="s">
        <v>3910</v>
      </c>
      <c r="C159" s="52" t="s">
        <v>3833</v>
      </c>
      <c r="D159" s="1918"/>
      <c r="E159" s="52" t="s">
        <v>3911</v>
      </c>
      <c r="F159" s="812">
        <v>1</v>
      </c>
      <c r="G159" s="21">
        <v>3308.49</v>
      </c>
      <c r="H159" s="21">
        <v>3308.49</v>
      </c>
      <c r="I159" s="20">
        <f>H159-G159</f>
        <v>0</v>
      </c>
      <c r="J159" s="616">
        <v>270000</v>
      </c>
      <c r="K159" s="696">
        <f>F159*I159*J159</f>
        <v>0</v>
      </c>
      <c r="L159" s="22"/>
      <c r="M159" s="22"/>
      <c r="N159" s="82"/>
      <c r="O159" s="12"/>
    </row>
    <row r="160" spans="1:15" ht="15.5" x14ac:dyDescent="0.35">
      <c r="A160" s="616">
        <v>4</v>
      </c>
      <c r="B160" s="100" t="s">
        <v>3912</v>
      </c>
      <c r="C160" s="52" t="s">
        <v>3833</v>
      </c>
      <c r="D160" s="1444"/>
      <c r="E160" s="52" t="s">
        <v>3913</v>
      </c>
      <c r="F160" s="812">
        <v>1</v>
      </c>
      <c r="G160" s="21">
        <v>1059.48</v>
      </c>
      <c r="H160" s="21">
        <v>1059.48</v>
      </c>
      <c r="I160" s="20">
        <f>H160-G160</f>
        <v>0</v>
      </c>
      <c r="J160" s="616">
        <v>270000</v>
      </c>
      <c r="K160" s="696">
        <f>F160*I160*J160</f>
        <v>0</v>
      </c>
      <c r="L160" s="22"/>
      <c r="M160" s="22"/>
      <c r="N160" s="82"/>
      <c r="O160" s="12"/>
    </row>
    <row r="161" spans="1:15" ht="15.5" x14ac:dyDescent="0.35">
      <c r="A161" s="616"/>
      <c r="B161" s="102"/>
      <c r="C161" s="91"/>
      <c r="D161" s="726"/>
      <c r="E161" s="91"/>
      <c r="F161" s="814"/>
      <c r="G161" s="48"/>
      <c r="H161" s="48"/>
      <c r="I161" s="36"/>
      <c r="J161" s="96" t="s">
        <v>30</v>
      </c>
      <c r="K161" s="43">
        <f>SUM(K158:K160)</f>
        <v>2405699.9999999609</v>
      </c>
      <c r="L161" s="43">
        <f>SUM(L158:L160)</f>
        <v>0</v>
      </c>
      <c r="M161" s="43">
        <f>M153+M156</f>
        <v>0</v>
      </c>
      <c r="N161" s="85"/>
      <c r="O161" s="12"/>
    </row>
    <row r="162" spans="1:15" ht="15.5" x14ac:dyDescent="0.35">
      <c r="A162" s="616"/>
      <c r="B162" s="647" t="s">
        <v>1396</v>
      </c>
      <c r="C162" s="648"/>
      <c r="D162" s="700"/>
      <c r="E162" s="648"/>
      <c r="F162" s="807"/>
      <c r="G162" s="648"/>
      <c r="H162" s="648"/>
      <c r="I162" s="648"/>
      <c r="J162" s="648"/>
      <c r="K162" s="700"/>
      <c r="L162" s="648"/>
      <c r="M162" s="651"/>
      <c r="N162" s="649"/>
      <c r="O162" s="8"/>
    </row>
    <row r="163" spans="1:15" ht="15.5" x14ac:dyDescent="0.35">
      <c r="A163" s="616"/>
      <c r="B163" s="100" t="s">
        <v>1079</v>
      </c>
      <c r="C163" s="52">
        <v>33</v>
      </c>
      <c r="D163" s="2138" t="s">
        <v>1083</v>
      </c>
      <c r="E163" s="615"/>
      <c r="F163" s="812"/>
      <c r="G163" s="5"/>
      <c r="H163" s="5"/>
      <c r="I163" s="5"/>
      <c r="J163" s="616"/>
      <c r="K163" s="696"/>
      <c r="L163" s="16">
        <f>J163*I163*F163</f>
        <v>0</v>
      </c>
      <c r="M163" s="7"/>
      <c r="N163" s="78"/>
      <c r="O163" s="616"/>
    </row>
    <row r="164" spans="1:15" ht="15.5" x14ac:dyDescent="0.35">
      <c r="A164" s="616"/>
      <c r="B164" s="100" t="s">
        <v>1078</v>
      </c>
      <c r="C164" s="52">
        <v>33</v>
      </c>
      <c r="D164" s="2139"/>
      <c r="E164" s="615"/>
      <c r="F164" s="812"/>
      <c r="G164" s="5"/>
      <c r="H164" s="5"/>
      <c r="I164" s="5"/>
      <c r="J164" s="616"/>
      <c r="K164" s="696"/>
      <c r="L164" s="16">
        <f>J164*I164*F164</f>
        <v>0</v>
      </c>
      <c r="M164" s="16"/>
      <c r="N164" s="79"/>
      <c r="O164" s="616"/>
    </row>
    <row r="165" spans="1:15" ht="15.5" x14ac:dyDescent="0.35">
      <c r="A165" s="616"/>
      <c r="B165" s="95"/>
      <c r="C165" s="89"/>
      <c r="D165" s="1846"/>
      <c r="E165" s="89"/>
      <c r="F165" s="806"/>
      <c r="G165" s="37"/>
      <c r="H165" s="37"/>
      <c r="I165" s="37"/>
      <c r="J165" s="95" t="s">
        <v>279</v>
      </c>
      <c r="K165" s="699"/>
      <c r="L165" s="55">
        <f>SUM(L163:L164)</f>
        <v>0</v>
      </c>
      <c r="M165" s="633"/>
      <c r="N165" s="634"/>
      <c r="O165" s="616"/>
    </row>
    <row r="166" spans="1:15" ht="15.5" x14ac:dyDescent="0.35">
      <c r="A166" s="616"/>
      <c r="B166" s="102"/>
      <c r="C166" s="91"/>
      <c r="D166" s="726"/>
      <c r="E166" s="91"/>
      <c r="F166" s="814"/>
      <c r="G166" s="48"/>
      <c r="H166" s="48"/>
      <c r="I166" s="36"/>
      <c r="J166" s="96"/>
      <c r="K166" s="706"/>
      <c r="L166" s="43"/>
      <c r="M166" s="43"/>
      <c r="N166" s="85"/>
      <c r="O166" s="12"/>
    </row>
    <row r="167" spans="1:15" ht="15.5" x14ac:dyDescent="0.35">
      <c r="A167" s="636"/>
      <c r="B167" s="647" t="s">
        <v>1397</v>
      </c>
      <c r="C167" s="648"/>
      <c r="D167" s="700"/>
      <c r="E167" s="648"/>
      <c r="F167" s="807"/>
      <c r="G167" s="648"/>
      <c r="H167" s="648"/>
      <c r="I167" s="648"/>
      <c r="J167" s="50"/>
      <c r="K167" s="710"/>
      <c r="L167" s="51"/>
      <c r="M167" s="51"/>
      <c r="N167" s="649"/>
      <c r="O167" s="12"/>
    </row>
    <row r="168" spans="1:15" ht="15.75" customHeight="1" x14ac:dyDescent="0.35">
      <c r="A168" s="616">
        <v>2</v>
      </c>
      <c r="B168" s="100" t="s">
        <v>1732</v>
      </c>
      <c r="C168" s="52" t="s">
        <v>3833</v>
      </c>
      <c r="D168" s="1924"/>
      <c r="E168" s="52" t="s">
        <v>3914</v>
      </c>
      <c r="F168" s="812">
        <v>1</v>
      </c>
      <c r="G168" s="21">
        <v>4990.29</v>
      </c>
      <c r="H168" s="21">
        <v>5003.6499999999996</v>
      </c>
      <c r="I168" s="21">
        <f>H168-G168</f>
        <v>13.359999999999673</v>
      </c>
      <c r="J168" s="31">
        <v>180000</v>
      </c>
      <c r="K168" s="707"/>
      <c r="L168" s="22">
        <f>F168*I168*J168</f>
        <v>2404799.9999999409</v>
      </c>
      <c r="M168" s="22"/>
      <c r="N168" s="83"/>
      <c r="O168" s="12"/>
    </row>
    <row r="169" spans="1:15" ht="15.5" x14ac:dyDescent="0.35">
      <c r="A169" s="616">
        <v>3</v>
      </c>
      <c r="B169" s="100" t="s">
        <v>1996</v>
      </c>
      <c r="C169" s="52" t="s">
        <v>3833</v>
      </c>
      <c r="D169" s="1925"/>
      <c r="E169" s="52" t="s">
        <v>3915</v>
      </c>
      <c r="F169" s="812">
        <v>1</v>
      </c>
      <c r="G169" s="21">
        <v>3308.49</v>
      </c>
      <c r="H169" s="21">
        <v>3308.49</v>
      </c>
      <c r="I169" s="21">
        <f>H169-G169</f>
        <v>0</v>
      </c>
      <c r="J169" s="31">
        <v>180000</v>
      </c>
      <c r="K169" s="707"/>
      <c r="L169" s="22">
        <f>F169*I169*J169</f>
        <v>0</v>
      </c>
      <c r="M169" s="22"/>
      <c r="N169" s="83"/>
      <c r="O169" s="12"/>
    </row>
    <row r="170" spans="1:15" ht="15" x14ac:dyDescent="0.35">
      <c r="A170" s="636"/>
      <c r="B170" s="96"/>
      <c r="C170" s="90"/>
      <c r="D170" s="96"/>
      <c r="E170" s="90"/>
      <c r="F170" s="813"/>
      <c r="G170" s="38"/>
      <c r="H170" s="38"/>
      <c r="I170" s="38"/>
      <c r="J170" s="96" t="s">
        <v>30</v>
      </c>
      <c r="K170" s="708"/>
      <c r="L170" s="43">
        <f>SUM(L168:L169)</f>
        <v>2404799.9999999409</v>
      </c>
      <c r="M170" s="43">
        <f>SUM(M168:M169)</f>
        <v>0</v>
      </c>
      <c r="N170" s="650">
        <f>(M170-L170)/L170*100</f>
        <v>-100</v>
      </c>
      <c r="O170" s="12"/>
    </row>
    <row r="171" spans="1:15" ht="15.5" thickBot="1" x14ac:dyDescent="0.4">
      <c r="A171" s="702"/>
      <c r="B171" s="736"/>
      <c r="C171" s="92"/>
      <c r="D171" s="736"/>
      <c r="E171" s="92"/>
      <c r="F171" s="815"/>
      <c r="G171" s="737"/>
      <c r="H171" s="737"/>
      <c r="I171" s="737"/>
      <c r="J171" s="736"/>
      <c r="K171" s="738"/>
      <c r="L171" s="739"/>
      <c r="M171" s="739"/>
      <c r="N171" s="646"/>
      <c r="O171" s="740"/>
    </row>
    <row r="172" spans="1:15" ht="15" x14ac:dyDescent="0.35">
      <c r="A172" s="702"/>
      <c r="B172" s="2142" t="s">
        <v>1339</v>
      </c>
      <c r="C172" s="2143"/>
      <c r="D172" s="683" t="s">
        <v>14</v>
      </c>
      <c r="F172" s="2144" t="s">
        <v>1350</v>
      </c>
      <c r="G172" s="2145"/>
      <c r="H172" s="2146"/>
      <c r="I172" s="683" t="s">
        <v>14</v>
      </c>
      <c r="J172" s="620"/>
      <c r="K172" s="2147" t="s">
        <v>1092</v>
      </c>
      <c r="L172" s="2148"/>
      <c r="M172" s="684" t="s">
        <v>14</v>
      </c>
      <c r="N172" s="646"/>
      <c r="O172" s="740"/>
    </row>
    <row r="173" spans="1:15" ht="15" x14ac:dyDescent="0.35">
      <c r="A173" s="702"/>
      <c r="B173" s="2122" t="str">
        <f>B150</f>
        <v>DHANMONDI 33 KV SIDE</v>
      </c>
      <c r="C173" s="2123"/>
      <c r="D173" s="689">
        <f>M153</f>
        <v>0</v>
      </c>
      <c r="F173" s="2124" t="s">
        <v>1093</v>
      </c>
      <c r="G173" s="2125"/>
      <c r="H173" s="2126"/>
      <c r="I173" s="685">
        <f>L165</f>
        <v>0</v>
      </c>
      <c r="J173" s="620"/>
      <c r="K173" s="2160" t="str">
        <f>F174</f>
        <v>KAWRANBAZAR 33 KV NET IMPORT</v>
      </c>
      <c r="L173" s="2161"/>
      <c r="M173" s="687">
        <f>I174</f>
        <v>0</v>
      </c>
      <c r="N173" s="646"/>
      <c r="O173" s="740"/>
    </row>
    <row r="174" spans="1:15" ht="15" x14ac:dyDescent="0.35">
      <c r="A174" s="702"/>
      <c r="B174" s="2122" t="str">
        <f>B154</f>
        <v>MOGBAZAR 33 KV SIDE</v>
      </c>
      <c r="C174" s="2123"/>
      <c r="D174" s="741">
        <f>M156</f>
        <v>0</v>
      </c>
      <c r="F174" s="2124" t="s">
        <v>1398</v>
      </c>
      <c r="G174" s="2125"/>
      <c r="H174" s="2126"/>
      <c r="I174" s="685">
        <f>D177-I173</f>
        <v>0</v>
      </c>
      <c r="J174" s="620"/>
      <c r="K174" s="2162" t="s">
        <v>1399</v>
      </c>
      <c r="L174" s="2163"/>
      <c r="M174" s="685">
        <f>M201</f>
        <v>2359000.0000000144</v>
      </c>
      <c r="N174" s="646"/>
      <c r="O174" s="740"/>
    </row>
    <row r="175" spans="1:15" ht="15" x14ac:dyDescent="0.35">
      <c r="A175" s="702"/>
      <c r="B175" s="2122" t="s">
        <v>1117</v>
      </c>
      <c r="C175" s="2123"/>
      <c r="D175" s="721"/>
      <c r="F175" s="2124" t="s">
        <v>1089</v>
      </c>
      <c r="G175" s="2125"/>
      <c r="H175" s="2126"/>
      <c r="I175" s="685">
        <f>I173+I174</f>
        <v>0</v>
      </c>
      <c r="J175" s="620"/>
      <c r="K175" s="2127" t="s">
        <v>284</v>
      </c>
      <c r="L175" s="2128"/>
      <c r="M175" s="685">
        <f>M173-M174</f>
        <v>-2359000.0000000144</v>
      </c>
      <c r="N175" s="646"/>
      <c r="O175" s="740"/>
    </row>
    <row r="176" spans="1:15" ht="16" thickBot="1" x14ac:dyDescent="0.4">
      <c r="A176" s="702"/>
      <c r="B176" s="2122" t="s">
        <v>1118</v>
      </c>
      <c r="C176" s="2123"/>
      <c r="D176" s="722"/>
      <c r="F176" s="2113" t="s">
        <v>1102</v>
      </c>
      <c r="G176" s="2114"/>
      <c r="H176" s="2115"/>
      <c r="I176" s="690"/>
      <c r="J176" s="620"/>
      <c r="K176" s="2134" t="s">
        <v>285</v>
      </c>
      <c r="L176" s="2135"/>
      <c r="M176" s="688" t="e">
        <f>M175/M173</f>
        <v>#DIV/0!</v>
      </c>
      <c r="N176" s="646"/>
      <c r="O176" s="740"/>
    </row>
    <row r="177" spans="1:15" ht="16" thickBot="1" x14ac:dyDescent="0.4">
      <c r="A177" s="702"/>
      <c r="B177" s="2158" t="s">
        <v>1082</v>
      </c>
      <c r="C177" s="2159"/>
      <c r="D177" s="686">
        <f>SUM(D173:D175)</f>
        <v>0</v>
      </c>
      <c r="F177" s="810"/>
      <c r="G177" s="620"/>
      <c r="H177" s="620"/>
      <c r="I177" s="690" t="e">
        <f>(D178-I176)/I176</f>
        <v>#DIV/0!</v>
      </c>
      <c r="J177" s="620"/>
      <c r="K177" s="702"/>
      <c r="L177" s="620"/>
      <c r="M177" s="620"/>
      <c r="N177" s="646"/>
      <c r="O177" s="740"/>
    </row>
    <row r="178" spans="1:15" ht="15" x14ac:dyDescent="0.35">
      <c r="A178" s="702"/>
      <c r="B178" s="736"/>
      <c r="C178" s="92"/>
      <c r="D178" s="736"/>
      <c r="E178" s="92"/>
      <c r="F178" s="815"/>
      <c r="G178" s="737"/>
      <c r="H178" s="737"/>
      <c r="I178" s="737"/>
      <c r="J178" s="736"/>
      <c r="K178" s="738"/>
      <c r="L178" s="739"/>
      <c r="M178" s="739"/>
      <c r="N178" s="646"/>
      <c r="O178" s="740"/>
    </row>
    <row r="179" spans="1:15" x14ac:dyDescent="0.35">
      <c r="A179" s="620"/>
      <c r="B179" s="632"/>
      <c r="C179" s="620"/>
      <c r="D179" s="2014"/>
      <c r="E179" s="620"/>
      <c r="F179" s="810"/>
      <c r="G179" s="620"/>
      <c r="H179" s="620"/>
      <c r="I179" s="620"/>
      <c r="J179" s="620"/>
      <c r="K179" s="702"/>
      <c r="L179" s="620"/>
      <c r="M179" s="620"/>
      <c r="N179" s="620"/>
      <c r="O179" s="620"/>
    </row>
    <row r="180" spans="1:15" x14ac:dyDescent="0.35">
      <c r="A180" s="620"/>
      <c r="B180" s="632"/>
      <c r="C180" s="620"/>
      <c r="D180" s="2014"/>
      <c r="E180" s="620"/>
      <c r="F180" s="810"/>
      <c r="G180" s="620"/>
      <c r="H180" s="620"/>
      <c r="I180" s="620"/>
      <c r="J180" s="620"/>
      <c r="K180" s="702"/>
      <c r="L180" s="620"/>
      <c r="M180" s="620"/>
      <c r="N180" s="620"/>
      <c r="O180" s="620"/>
    </row>
    <row r="181" spans="1:15" ht="30" x14ac:dyDescent="0.35">
      <c r="A181" s="2219" t="s">
        <v>1163</v>
      </c>
      <c r="B181" s="2219"/>
      <c r="C181" s="2219"/>
      <c r="D181" s="2219"/>
      <c r="E181" s="2219"/>
      <c r="F181" s="2219"/>
      <c r="G181" s="2219"/>
      <c r="H181" s="2219"/>
      <c r="I181" s="2219"/>
      <c r="J181" s="2219"/>
      <c r="K181" s="2219"/>
      <c r="L181" s="2219"/>
      <c r="M181" s="2219"/>
      <c r="N181" s="2219"/>
      <c r="O181" s="756" t="e">
        <f>$O$6</f>
        <v>#REF!</v>
      </c>
    </row>
    <row r="182" spans="1:15" ht="15.5" x14ac:dyDescent="0.35">
      <c r="A182" s="2096" t="s">
        <v>0</v>
      </c>
      <c r="B182" s="2098" t="s">
        <v>1</v>
      </c>
      <c r="C182" s="2100" t="s">
        <v>2</v>
      </c>
      <c r="D182" s="2101"/>
      <c r="E182" s="2102"/>
      <c r="F182" s="2216" t="s">
        <v>3</v>
      </c>
      <c r="G182" s="2100" t="s">
        <v>4</v>
      </c>
      <c r="H182" s="2102"/>
      <c r="I182" s="2085"/>
      <c r="J182" s="2103" t="s">
        <v>5</v>
      </c>
      <c r="K182" s="2100" t="s">
        <v>6</v>
      </c>
      <c r="L182" s="2085"/>
      <c r="M182" s="97" t="s">
        <v>32</v>
      </c>
      <c r="N182" s="98"/>
      <c r="O182" s="2084" t="s">
        <v>7</v>
      </c>
    </row>
    <row r="183" spans="1:15" ht="15.5" x14ac:dyDescent="0.35">
      <c r="A183" s="2097"/>
      <c r="B183" s="2099"/>
      <c r="C183" s="2086" t="s">
        <v>1108</v>
      </c>
      <c r="D183" s="2087"/>
      <c r="E183" s="87" t="s">
        <v>9</v>
      </c>
      <c r="F183" s="2217"/>
      <c r="G183" s="2">
        <f>'NORTH-1'!$G$8</f>
        <v>44774</v>
      </c>
      <c r="H183" s="2">
        <f>'NORTH-1'!$H$8</f>
        <v>44805</v>
      </c>
      <c r="I183" s="1" t="s">
        <v>10</v>
      </c>
      <c r="J183" s="2097"/>
      <c r="K183" s="1" t="s">
        <v>11</v>
      </c>
      <c r="L183" s="1" t="s">
        <v>12</v>
      </c>
      <c r="M183" s="617" t="s">
        <v>33</v>
      </c>
      <c r="N183" s="76" t="s">
        <v>47</v>
      </c>
      <c r="O183" s="2085"/>
    </row>
    <row r="184" spans="1:15" ht="15.5" x14ac:dyDescent="0.35">
      <c r="A184" s="3">
        <v>1</v>
      </c>
      <c r="B184" s="88">
        <v>2</v>
      </c>
      <c r="C184" s="2088">
        <v>4</v>
      </c>
      <c r="D184" s="2089"/>
      <c r="E184" s="88">
        <v>5</v>
      </c>
      <c r="F184" s="803">
        <v>7</v>
      </c>
      <c r="G184" s="3">
        <v>8</v>
      </c>
      <c r="H184" s="3">
        <v>9</v>
      </c>
      <c r="I184" s="3" t="s">
        <v>13</v>
      </c>
      <c r="J184" s="3">
        <v>11</v>
      </c>
      <c r="K184" s="3" t="s">
        <v>19</v>
      </c>
      <c r="L184" s="3" t="s">
        <v>20</v>
      </c>
      <c r="M184" s="3">
        <v>14</v>
      </c>
      <c r="N184" s="77">
        <v>15</v>
      </c>
      <c r="O184" s="3">
        <v>16</v>
      </c>
    </row>
    <row r="185" spans="1:15" ht="15.5" x14ac:dyDescent="0.35">
      <c r="A185" s="631"/>
      <c r="B185" s="624" t="s">
        <v>1470</v>
      </c>
      <c r="C185" s="625"/>
      <c r="D185" s="695"/>
      <c r="E185" s="625"/>
      <c r="F185" s="804"/>
      <c r="G185" s="625"/>
      <c r="H185" s="625"/>
      <c r="I185" s="625"/>
      <c r="J185" s="625"/>
      <c r="K185" s="695"/>
      <c r="L185" s="625"/>
      <c r="M185" s="626"/>
      <c r="N185" s="627"/>
      <c r="O185" s="616"/>
    </row>
    <row r="186" spans="1:15" ht="15.5" x14ac:dyDescent="0.35">
      <c r="A186" s="631">
        <v>14</v>
      </c>
      <c r="B186" s="100" t="s">
        <v>2011</v>
      </c>
      <c r="C186" s="52">
        <v>11</v>
      </c>
      <c r="D186" s="2105"/>
      <c r="E186" s="52" t="s">
        <v>3916</v>
      </c>
      <c r="F186" s="812">
        <v>1</v>
      </c>
      <c r="G186" s="21">
        <v>11491.3</v>
      </c>
      <c r="H186" s="21">
        <v>11727.2</v>
      </c>
      <c r="I186" s="21">
        <f>H186-G186</f>
        <v>235.90000000000146</v>
      </c>
      <c r="J186" s="616">
        <v>10000</v>
      </c>
      <c r="K186" s="696">
        <f>F186*I186*J186</f>
        <v>2359000.0000000144</v>
      </c>
      <c r="L186" s="22"/>
      <c r="M186" s="22"/>
      <c r="N186" s="82"/>
      <c r="O186" s="616"/>
    </row>
    <row r="187" spans="1:15" ht="15.5" x14ac:dyDescent="0.35">
      <c r="A187" s="631">
        <v>15</v>
      </c>
      <c r="B187" s="100" t="s">
        <v>2013</v>
      </c>
      <c r="C187" s="52">
        <v>11</v>
      </c>
      <c r="D187" s="2151"/>
      <c r="E187" s="52" t="s">
        <v>3917</v>
      </c>
      <c r="F187" s="812">
        <v>1</v>
      </c>
      <c r="G187" s="21">
        <v>75128.399999999994</v>
      </c>
      <c r="H187" s="21">
        <v>75128.399999999994</v>
      </c>
      <c r="I187" s="21">
        <f>H187-G187</f>
        <v>0</v>
      </c>
      <c r="J187" s="616">
        <v>10000</v>
      </c>
      <c r="K187" s="696">
        <f>F187*I187*J187</f>
        <v>0</v>
      </c>
      <c r="L187" s="22"/>
      <c r="M187" s="22"/>
      <c r="N187" s="82"/>
      <c r="O187" s="616"/>
    </row>
    <row r="188" spans="1:15" ht="15.5" x14ac:dyDescent="0.35">
      <c r="A188" s="631"/>
      <c r="B188" s="102"/>
      <c r="C188" s="91"/>
      <c r="D188" s="726"/>
      <c r="E188" s="91"/>
      <c r="F188" s="814"/>
      <c r="G188" s="48"/>
      <c r="H188" s="48"/>
      <c r="I188" s="48"/>
      <c r="J188" s="39" t="s">
        <v>30</v>
      </c>
      <c r="K188" s="43">
        <f>SUM(K186:K187)</f>
        <v>2359000.0000000144</v>
      </c>
      <c r="L188" s="49"/>
      <c r="M188" s="43">
        <f>SUM(M186:M187)</f>
        <v>0</v>
      </c>
      <c r="N188" s="85"/>
      <c r="O188" s="616"/>
    </row>
    <row r="189" spans="1:15" ht="15.5" x14ac:dyDescent="0.35">
      <c r="A189" s="631"/>
      <c r="B189" s="647" t="s">
        <v>1470</v>
      </c>
      <c r="C189" s="648"/>
      <c r="D189" s="700"/>
      <c r="E189" s="648"/>
      <c r="F189" s="807"/>
      <c r="G189" s="648"/>
      <c r="H189" s="648"/>
      <c r="I189" s="648"/>
      <c r="J189" s="50"/>
      <c r="K189" s="710"/>
      <c r="L189" s="51"/>
      <c r="M189" s="51"/>
      <c r="N189" s="649"/>
      <c r="O189" s="616"/>
    </row>
    <row r="190" spans="1:15" ht="25.5" customHeight="1" x14ac:dyDescent="0.35">
      <c r="A190" s="631">
        <v>6</v>
      </c>
      <c r="B190" s="100" t="s">
        <v>3918</v>
      </c>
      <c r="C190" s="73">
        <v>11</v>
      </c>
      <c r="D190" s="2167"/>
      <c r="E190" s="52">
        <v>8536188</v>
      </c>
      <c r="F190" s="812">
        <v>1</v>
      </c>
      <c r="G190" s="6">
        <v>1207.5</v>
      </c>
      <c r="H190" s="6">
        <v>1349.1</v>
      </c>
      <c r="I190" s="20">
        <f t="shared" ref="I190:I200" si="8">H190-G190</f>
        <v>141.59999999999991</v>
      </c>
      <c r="J190" s="616">
        <v>1000</v>
      </c>
      <c r="K190" s="703"/>
      <c r="L190" s="22">
        <f t="shared" ref="L190:L199" si="9">F190*I190*J190</f>
        <v>141599.99999999991</v>
      </c>
      <c r="M190" s="22">
        <f>L190*$K$201/$L$201</f>
        <v>257043.95110022943</v>
      </c>
      <c r="N190" s="72" t="s">
        <v>109</v>
      </c>
      <c r="O190" s="15"/>
    </row>
    <row r="191" spans="1:15" ht="25.5" customHeight="1" x14ac:dyDescent="0.35">
      <c r="A191" s="631">
        <v>7</v>
      </c>
      <c r="B191" s="100" t="s">
        <v>3919</v>
      </c>
      <c r="C191" s="73">
        <v>11</v>
      </c>
      <c r="D191" s="2168"/>
      <c r="E191" s="52">
        <v>8536178</v>
      </c>
      <c r="F191" s="812">
        <v>1</v>
      </c>
      <c r="G191" s="6">
        <v>554895</v>
      </c>
      <c r="H191" s="6">
        <v>554943</v>
      </c>
      <c r="I191" s="20">
        <f t="shared" si="8"/>
        <v>48</v>
      </c>
      <c r="J191" s="616">
        <v>44</v>
      </c>
      <c r="K191" s="703"/>
      <c r="L191" s="22">
        <f t="shared" si="9"/>
        <v>2112</v>
      </c>
      <c r="M191" s="22">
        <f t="shared" ref="M191:M200" si="10">L191*$K$201/$L$201</f>
        <v>3833.8758808169841</v>
      </c>
      <c r="N191" s="72" t="s">
        <v>4693</v>
      </c>
      <c r="O191" s="15"/>
    </row>
    <row r="192" spans="1:15" ht="25.5" customHeight="1" x14ac:dyDescent="0.35">
      <c r="A192" s="631">
        <v>8</v>
      </c>
      <c r="B192" s="100" t="s">
        <v>3920</v>
      </c>
      <c r="C192" s="73">
        <v>11</v>
      </c>
      <c r="D192" s="2168"/>
      <c r="E192" s="52">
        <v>8536182</v>
      </c>
      <c r="F192" s="812">
        <v>1</v>
      </c>
      <c r="G192" s="6">
        <v>95783</v>
      </c>
      <c r="H192" s="6">
        <v>96175.6</v>
      </c>
      <c r="I192" s="20">
        <f t="shared" si="8"/>
        <v>392.60000000000582</v>
      </c>
      <c r="J192" s="616">
        <v>1000</v>
      </c>
      <c r="K192" s="703"/>
      <c r="L192" s="775">
        <f t="shared" si="9"/>
        <v>392600.00000000582</v>
      </c>
      <c r="M192" s="22">
        <f t="shared" si="10"/>
        <v>712679.76837536471</v>
      </c>
      <c r="N192" s="72" t="s">
        <v>4693</v>
      </c>
      <c r="O192" s="15"/>
    </row>
    <row r="193" spans="1:15" ht="25.5" customHeight="1" x14ac:dyDescent="0.35">
      <c r="A193" s="631">
        <v>9</v>
      </c>
      <c r="B193" s="100" t="s">
        <v>3921</v>
      </c>
      <c r="C193" s="73">
        <v>11</v>
      </c>
      <c r="D193" s="2168"/>
      <c r="E193" s="52">
        <v>8536193</v>
      </c>
      <c r="F193" s="812">
        <v>1</v>
      </c>
      <c r="G193" s="6">
        <v>32420.3</v>
      </c>
      <c r="H193" s="6">
        <v>32420.400000000001</v>
      </c>
      <c r="I193" s="20">
        <f t="shared" si="8"/>
        <v>0.10000000000218279</v>
      </c>
      <c r="J193" s="616">
        <v>1000</v>
      </c>
      <c r="K193" s="703"/>
      <c r="L193" s="22">
        <f t="shared" si="9"/>
        <v>100.00000000218279</v>
      </c>
      <c r="M193" s="22">
        <f t="shared" si="10"/>
        <v>181.52821405779684</v>
      </c>
      <c r="N193" s="72" t="s">
        <v>4693</v>
      </c>
      <c r="O193" s="15"/>
    </row>
    <row r="194" spans="1:15" ht="25.5" customHeight="1" x14ac:dyDescent="0.35">
      <c r="A194" s="631">
        <v>10</v>
      </c>
      <c r="B194" s="100" t="s">
        <v>3922</v>
      </c>
      <c r="C194" s="73">
        <v>11</v>
      </c>
      <c r="D194" s="2168"/>
      <c r="E194" s="52" t="s">
        <v>3923</v>
      </c>
      <c r="F194" s="812">
        <v>1</v>
      </c>
      <c r="G194" s="6">
        <v>11663.8</v>
      </c>
      <c r="H194" s="6">
        <v>12099.5</v>
      </c>
      <c r="I194" s="20">
        <f t="shared" si="8"/>
        <v>435.70000000000073</v>
      </c>
      <c r="J194" s="616">
        <v>444.44</v>
      </c>
      <c r="K194" s="703"/>
      <c r="L194" s="22">
        <f t="shared" si="9"/>
        <v>193642.50800000032</v>
      </c>
      <c r="M194" s="22">
        <f t="shared" si="10"/>
        <v>351515.7864214541</v>
      </c>
      <c r="N194" s="72" t="s">
        <v>4693</v>
      </c>
      <c r="O194" s="15"/>
    </row>
    <row r="195" spans="1:15" ht="25.5" customHeight="1" x14ac:dyDescent="0.35">
      <c r="A195" s="631">
        <v>11</v>
      </c>
      <c r="B195" s="100" t="s">
        <v>3924</v>
      </c>
      <c r="C195" s="73">
        <v>11</v>
      </c>
      <c r="D195" s="2168"/>
      <c r="E195" s="52">
        <v>8536190</v>
      </c>
      <c r="F195" s="812">
        <v>1</v>
      </c>
      <c r="G195" s="6">
        <v>51744.1</v>
      </c>
      <c r="H195" s="6">
        <v>51744.1</v>
      </c>
      <c r="I195" s="20">
        <f t="shared" si="8"/>
        <v>0</v>
      </c>
      <c r="J195" s="616">
        <v>1000</v>
      </c>
      <c r="K195" s="703"/>
      <c r="L195" s="22">
        <f t="shared" si="9"/>
        <v>0</v>
      </c>
      <c r="M195" s="22">
        <f t="shared" si="10"/>
        <v>0</v>
      </c>
      <c r="N195" s="72" t="s">
        <v>109</v>
      </c>
      <c r="O195" s="15"/>
    </row>
    <row r="196" spans="1:15" ht="25.5" customHeight="1" x14ac:dyDescent="0.35">
      <c r="A196" s="631">
        <v>12</v>
      </c>
      <c r="B196" s="100" t="s">
        <v>3925</v>
      </c>
      <c r="C196" s="73">
        <v>11</v>
      </c>
      <c r="D196" s="2168"/>
      <c r="E196" s="52">
        <v>8536184</v>
      </c>
      <c r="F196" s="812">
        <v>1</v>
      </c>
      <c r="G196" s="6">
        <v>29301.599999999999</v>
      </c>
      <c r="H196" s="6">
        <v>29868.3</v>
      </c>
      <c r="I196" s="20">
        <f t="shared" si="8"/>
        <v>566.70000000000073</v>
      </c>
      <c r="J196" s="616">
        <v>1000</v>
      </c>
      <c r="K196" s="703"/>
      <c r="L196" s="22">
        <f t="shared" si="9"/>
        <v>566700.0000000007</v>
      </c>
      <c r="M196" s="22">
        <f t="shared" si="10"/>
        <v>1028720.3890430811</v>
      </c>
      <c r="N196" s="72" t="s">
        <v>4693</v>
      </c>
      <c r="O196" s="15"/>
    </row>
    <row r="197" spans="1:15" ht="25.5" customHeight="1" x14ac:dyDescent="0.35">
      <c r="A197" s="631">
        <v>13</v>
      </c>
      <c r="B197" s="100" t="s">
        <v>3926</v>
      </c>
      <c r="C197" s="73">
        <v>11</v>
      </c>
      <c r="D197" s="2168"/>
      <c r="E197" s="52" t="s">
        <v>3927</v>
      </c>
      <c r="F197" s="812">
        <v>1</v>
      </c>
      <c r="G197" s="6">
        <v>53082.400000000001</v>
      </c>
      <c r="H197" s="6">
        <v>53344</v>
      </c>
      <c r="I197" s="20">
        <f t="shared" si="8"/>
        <v>261.59999999999854</v>
      </c>
      <c r="J197" s="616">
        <v>5</v>
      </c>
      <c r="K197" s="703"/>
      <c r="L197" s="22">
        <f t="shared" si="9"/>
        <v>1307.9999999999927</v>
      </c>
      <c r="M197" s="22">
        <f t="shared" si="10"/>
        <v>2374.3890398241419</v>
      </c>
      <c r="N197" s="72" t="s">
        <v>109</v>
      </c>
      <c r="O197" s="15"/>
    </row>
    <row r="198" spans="1:15" ht="25.5" customHeight="1" x14ac:dyDescent="0.35">
      <c r="A198" s="631">
        <v>16</v>
      </c>
      <c r="B198" s="100" t="s">
        <v>3928</v>
      </c>
      <c r="C198" s="73">
        <v>11</v>
      </c>
      <c r="D198" s="2168"/>
      <c r="E198" s="52" t="s">
        <v>3929</v>
      </c>
      <c r="F198" s="812">
        <v>1</v>
      </c>
      <c r="G198" s="6"/>
      <c r="H198" s="6"/>
      <c r="I198" s="20">
        <f t="shared" si="8"/>
        <v>0</v>
      </c>
      <c r="J198" s="616">
        <v>444.44</v>
      </c>
      <c r="K198" s="703"/>
      <c r="L198" s="22">
        <f t="shared" si="9"/>
        <v>0</v>
      </c>
      <c r="M198" s="22">
        <f t="shared" si="10"/>
        <v>0</v>
      </c>
      <c r="N198" s="72"/>
      <c r="O198" s="15"/>
    </row>
    <row r="199" spans="1:15" ht="25.5" customHeight="1" x14ac:dyDescent="0.35">
      <c r="A199" s="631">
        <v>26</v>
      </c>
      <c r="B199" s="100" t="s">
        <v>3930</v>
      </c>
      <c r="C199" s="73">
        <v>11</v>
      </c>
      <c r="D199" s="2168"/>
      <c r="E199" s="52" t="s">
        <v>3931</v>
      </c>
      <c r="F199" s="812">
        <v>1</v>
      </c>
      <c r="G199" s="6">
        <v>66735</v>
      </c>
      <c r="H199" s="6">
        <v>66881</v>
      </c>
      <c r="I199" s="20">
        <f t="shared" si="8"/>
        <v>146</v>
      </c>
      <c r="J199" s="616">
        <v>10</v>
      </c>
      <c r="K199" s="703"/>
      <c r="L199" s="775">
        <f t="shared" si="9"/>
        <v>1460</v>
      </c>
      <c r="M199" s="22">
        <f t="shared" si="10"/>
        <v>2650.311925185983</v>
      </c>
      <c r="N199" s="72" t="s">
        <v>4693</v>
      </c>
      <c r="O199" s="15"/>
    </row>
    <row r="200" spans="1:15" ht="25.5" customHeight="1" x14ac:dyDescent="0.35">
      <c r="A200" s="631">
        <v>27</v>
      </c>
      <c r="B200" s="100" t="s">
        <v>3932</v>
      </c>
      <c r="C200" s="73">
        <v>11</v>
      </c>
      <c r="D200" s="2168"/>
      <c r="E200" s="52" t="s">
        <v>3933</v>
      </c>
      <c r="F200" s="812">
        <v>1</v>
      </c>
      <c r="G200" s="6">
        <v>58961</v>
      </c>
      <c r="H200" s="6">
        <v>58961</v>
      </c>
      <c r="I200" s="20">
        <f t="shared" si="8"/>
        <v>0</v>
      </c>
      <c r="J200" s="616">
        <v>10</v>
      </c>
      <c r="K200" s="703"/>
      <c r="L200" s="22">
        <f>F200*I200*J200</f>
        <v>0</v>
      </c>
      <c r="M200" s="22">
        <f t="shared" si="10"/>
        <v>0</v>
      </c>
      <c r="N200" s="72" t="s">
        <v>4693</v>
      </c>
      <c r="O200" s="15"/>
    </row>
    <row r="201" spans="1:15" ht="20" x14ac:dyDescent="0.35">
      <c r="A201" s="636"/>
      <c r="B201" s="96"/>
      <c r="C201" s="90"/>
      <c r="D201" s="96"/>
      <c r="E201" s="90"/>
      <c r="F201" s="813"/>
      <c r="G201" s="38"/>
      <c r="H201" s="38"/>
      <c r="I201" s="38"/>
      <c r="J201" s="53" t="s">
        <v>44</v>
      </c>
      <c r="K201" s="43">
        <f>K188</f>
        <v>2359000.0000000144</v>
      </c>
      <c r="L201" s="43">
        <f>SUM(L190:L200)</f>
        <v>1299522.508000009</v>
      </c>
      <c r="M201" s="43">
        <f>SUM(M190:M200)</f>
        <v>2359000.0000000144</v>
      </c>
      <c r="N201" s="84">
        <f>(M201-L201)/L201*100</f>
        <v>81.528214053834475</v>
      </c>
      <c r="O201" s="29"/>
    </row>
    <row r="203" spans="1:15" ht="15" x14ac:dyDescent="0.35">
      <c r="A203" s="620"/>
      <c r="B203" s="635"/>
      <c r="C203" s="632"/>
      <c r="D203" s="1900"/>
      <c r="F203" s="2092" t="s">
        <v>1099</v>
      </c>
      <c r="G203" s="2092"/>
      <c r="H203" s="2092"/>
      <c r="I203" s="677" t="s">
        <v>14</v>
      </c>
      <c r="J203" s="620"/>
      <c r="K203" s="702"/>
      <c r="L203" s="620"/>
      <c r="M203" s="620"/>
      <c r="N203" s="632"/>
      <c r="O203" s="620"/>
    </row>
    <row r="204" spans="1:15" ht="15.5" x14ac:dyDescent="0.35">
      <c r="A204" s="620"/>
      <c r="B204" s="635"/>
      <c r="C204" s="632"/>
      <c r="D204" s="1900"/>
      <c r="F204" s="2153" t="s">
        <v>232</v>
      </c>
      <c r="G204" s="2154"/>
      <c r="H204" s="2155"/>
      <c r="I204" s="643">
        <f>SUM(M190,M195,M197)</f>
        <v>259418.34014005357</v>
      </c>
      <c r="J204" s="620"/>
      <c r="K204" s="702"/>
      <c r="L204" s="620"/>
      <c r="M204" s="620"/>
      <c r="N204" s="632"/>
      <c r="O204" s="620" t="s">
        <v>237</v>
      </c>
    </row>
    <row r="205" spans="1:15" ht="16" thickBot="1" x14ac:dyDescent="0.4">
      <c r="A205" s="620"/>
      <c r="B205" s="635"/>
      <c r="C205" s="632"/>
      <c r="D205" s="1900"/>
      <c r="F205" s="2153" t="s">
        <v>4694</v>
      </c>
      <c r="G205" s="2154"/>
      <c r="H205" s="2155"/>
      <c r="I205" s="643">
        <f>SUM(M191:M194,M196,M199:M200)</f>
        <v>2099581.6598599604</v>
      </c>
      <c r="J205" s="620"/>
      <c r="K205" s="702"/>
      <c r="L205" s="620"/>
      <c r="M205" s="620"/>
      <c r="N205" s="632"/>
      <c r="O205" s="620"/>
    </row>
    <row r="206" spans="1:15" ht="20.5" thickBot="1" x14ac:dyDescent="0.4">
      <c r="A206" s="620"/>
      <c r="B206" s="635"/>
      <c r="C206" s="632"/>
      <c r="D206" s="1900"/>
      <c r="E206" s="632"/>
      <c r="F206" s="2156" t="s">
        <v>210</v>
      </c>
      <c r="G206" s="2156"/>
      <c r="H206" s="2156"/>
      <c r="I206" s="656">
        <f>SUM(I204:I205)</f>
        <v>2359000.000000014</v>
      </c>
      <c r="J206" s="682">
        <f>I206-M201</f>
        <v>0</v>
      </c>
      <c r="K206" s="702"/>
      <c r="L206" s="620"/>
      <c r="M206" s="620"/>
      <c r="N206" s="632"/>
      <c r="O206" s="620"/>
    </row>
    <row r="207" spans="1:15" x14ac:dyDescent="0.35">
      <c r="A207" s="620"/>
      <c r="B207" s="635"/>
      <c r="C207" s="632"/>
      <c r="D207" s="1900"/>
      <c r="E207" s="632"/>
      <c r="F207" s="810"/>
      <c r="G207" s="620"/>
      <c r="H207" s="620"/>
      <c r="I207" s="620"/>
      <c r="J207" s="620"/>
      <c r="K207" s="702"/>
      <c r="L207" s="620"/>
      <c r="M207" s="620"/>
      <c r="N207" s="632"/>
      <c r="O207" s="620"/>
    </row>
    <row r="208" spans="1:15" x14ac:dyDescent="0.35">
      <c r="A208" s="620"/>
      <c r="B208" s="635"/>
      <c r="C208" s="632"/>
      <c r="D208" s="1900"/>
      <c r="E208" s="632"/>
      <c r="F208" s="810"/>
      <c r="G208" s="620"/>
      <c r="H208" s="620"/>
      <c r="I208" s="620"/>
      <c r="J208" s="620"/>
      <c r="K208" s="702"/>
      <c r="L208" s="620"/>
      <c r="M208" s="620"/>
      <c r="N208" s="632"/>
      <c r="O208" s="620"/>
    </row>
    <row r="209" spans="1:15" x14ac:dyDescent="0.35">
      <c r="A209" s="620"/>
      <c r="B209" s="635"/>
      <c r="C209" s="632"/>
      <c r="D209" s="1900"/>
      <c r="E209" s="632"/>
      <c r="F209" s="810"/>
      <c r="G209" s="620"/>
      <c r="H209" s="620"/>
      <c r="I209" s="620"/>
      <c r="J209" s="620"/>
      <c r="K209" s="702"/>
      <c r="L209" s="620"/>
      <c r="M209" s="620"/>
      <c r="N209" s="632"/>
      <c r="O209" s="620"/>
    </row>
    <row r="210" spans="1:15" x14ac:dyDescent="0.35">
      <c r="A210" s="620"/>
      <c r="B210" s="635"/>
      <c r="C210" s="632"/>
      <c r="D210" s="1900"/>
      <c r="E210" s="632"/>
      <c r="F210" s="810"/>
      <c r="G210" s="620"/>
      <c r="H210" s="620"/>
      <c r="I210" s="620"/>
      <c r="J210" s="620"/>
      <c r="K210" s="702"/>
      <c r="L210" s="620"/>
      <c r="M210" s="620"/>
      <c r="N210" s="632"/>
      <c r="O210" s="620"/>
    </row>
    <row r="211" spans="1:15" x14ac:dyDescent="0.35">
      <c r="A211" s="620"/>
      <c r="B211" s="635"/>
      <c r="C211" s="632"/>
      <c r="D211" s="1900"/>
      <c r="E211" s="632"/>
      <c r="F211" s="810"/>
      <c r="G211" s="620"/>
      <c r="H211" s="620"/>
      <c r="I211" s="620"/>
      <c r="J211" s="620"/>
      <c r="K211" s="702"/>
      <c r="L211" s="620"/>
      <c r="M211" s="620"/>
      <c r="N211" s="632"/>
      <c r="O211" s="620"/>
    </row>
    <row r="212" spans="1:15" x14ac:dyDescent="0.35">
      <c r="A212" s="620"/>
      <c r="B212" s="632"/>
      <c r="C212" s="632"/>
      <c r="D212" s="1900"/>
      <c r="E212" s="632"/>
      <c r="F212" s="810"/>
      <c r="G212" s="620"/>
      <c r="H212" s="620"/>
      <c r="I212" s="620"/>
      <c r="J212" s="620"/>
      <c r="K212" s="702"/>
      <c r="L212" s="620"/>
      <c r="M212" s="620"/>
      <c r="N212" s="632"/>
      <c r="O212" s="620"/>
    </row>
    <row r="213" spans="1:15" x14ac:dyDescent="0.35">
      <c r="A213" s="620"/>
      <c r="B213" s="632"/>
      <c r="C213" s="632"/>
      <c r="D213" s="1900"/>
      <c r="E213" s="632"/>
      <c r="F213" s="810"/>
      <c r="G213" s="620"/>
      <c r="H213" s="620"/>
      <c r="I213" s="620"/>
      <c r="J213" s="620"/>
      <c r="K213" s="702"/>
      <c r="L213" s="620"/>
      <c r="M213" s="620"/>
      <c r="N213" s="632"/>
      <c r="O213" s="620"/>
    </row>
    <row r="214" spans="1:15" x14ac:dyDescent="0.35">
      <c r="A214" s="620"/>
      <c r="B214" s="635"/>
      <c r="C214" s="632"/>
      <c r="D214" s="1900"/>
      <c r="E214" s="632"/>
      <c r="F214" s="810"/>
      <c r="G214" s="620"/>
      <c r="H214" s="620"/>
      <c r="I214" s="620"/>
      <c r="J214" s="620"/>
      <c r="K214" s="702"/>
      <c r="L214" s="620"/>
      <c r="M214" s="620"/>
      <c r="N214" s="632"/>
      <c r="O214" s="620"/>
    </row>
    <row r="215" spans="1:15" x14ac:dyDescent="0.35">
      <c r="A215" s="620"/>
      <c r="B215" s="635"/>
      <c r="C215" s="632"/>
      <c r="D215" s="1900"/>
      <c r="E215" s="632"/>
      <c r="F215" s="810"/>
      <c r="G215" s="620"/>
      <c r="H215" s="620"/>
      <c r="I215" s="620"/>
      <c r="J215" s="620"/>
      <c r="K215" s="702"/>
      <c r="L215" s="620"/>
      <c r="M215" s="620"/>
      <c r="N215" s="632"/>
      <c r="O215" s="620"/>
    </row>
    <row r="216" spans="1:15" x14ac:dyDescent="0.35">
      <c r="A216" s="620"/>
      <c r="B216" s="635"/>
      <c r="C216" s="632"/>
      <c r="D216" s="1900"/>
      <c r="E216" s="632"/>
      <c r="F216" s="810"/>
      <c r="G216" s="620"/>
      <c r="H216" s="620"/>
      <c r="I216" s="620"/>
      <c r="J216" s="620"/>
      <c r="K216" s="702"/>
      <c r="L216" s="620"/>
      <c r="M216" s="620"/>
      <c r="N216" s="632"/>
      <c r="O216" s="620"/>
    </row>
    <row r="217" spans="1:15" ht="25" x14ac:dyDescent="0.35">
      <c r="A217" s="28"/>
      <c r="B217" s="2152"/>
      <c r="C217" s="2152"/>
      <c r="D217" s="2152"/>
      <c r="E217" s="2152"/>
      <c r="F217" s="2152"/>
      <c r="G217" s="2152"/>
      <c r="H217" s="2152"/>
      <c r="I217" s="2152"/>
      <c r="J217" s="2152"/>
      <c r="K217" s="2152"/>
      <c r="L217" s="2152"/>
      <c r="M217" s="2152"/>
      <c r="N217" s="632"/>
      <c r="O217" s="620"/>
    </row>
    <row r="218" spans="1:15" x14ac:dyDescent="0.35">
      <c r="A218" s="620"/>
      <c r="B218" s="635"/>
      <c r="C218" s="632"/>
      <c r="D218" s="1900"/>
      <c r="E218" s="632"/>
      <c r="F218" s="810"/>
      <c r="G218" s="620"/>
      <c r="H218" s="620"/>
      <c r="I218" s="620"/>
      <c r="J218" s="620"/>
      <c r="K218" s="702"/>
      <c r="L218" s="620"/>
      <c r="M218" s="620"/>
      <c r="N218" s="632"/>
      <c r="O218" s="620"/>
    </row>
    <row r="219" spans="1:15" x14ac:dyDescent="0.35">
      <c r="A219" s="620"/>
      <c r="B219" s="635"/>
      <c r="C219" s="632"/>
      <c r="D219" s="1900"/>
      <c r="E219" s="632"/>
      <c r="F219" s="810"/>
      <c r="G219" s="620"/>
      <c r="H219" s="620"/>
      <c r="I219" s="620"/>
      <c r="J219" s="620"/>
      <c r="K219" s="702"/>
      <c r="L219" s="620"/>
      <c r="M219" s="620"/>
      <c r="N219" s="632"/>
      <c r="O219" s="620"/>
    </row>
    <row r="220" spans="1:15" ht="39" customHeight="1" x14ac:dyDescent="0.35">
      <c r="A220" s="2219" t="s">
        <v>1164</v>
      </c>
      <c r="B220" s="2219"/>
      <c r="C220" s="2219"/>
      <c r="D220" s="2219"/>
      <c r="E220" s="2219"/>
      <c r="F220" s="2219"/>
      <c r="G220" s="2219"/>
      <c r="H220" s="2219"/>
      <c r="I220" s="2219"/>
      <c r="J220" s="2219"/>
      <c r="K220" s="2219"/>
      <c r="L220" s="2219"/>
      <c r="M220" s="2219"/>
      <c r="N220" s="2219"/>
      <c r="O220" s="756" t="e">
        <f>$O$6</f>
        <v>#REF!</v>
      </c>
    </row>
    <row r="221" spans="1:15" ht="15.5" x14ac:dyDescent="0.35">
      <c r="A221" s="2096" t="s">
        <v>0</v>
      </c>
      <c r="B221" s="2098" t="s">
        <v>1</v>
      </c>
      <c r="C221" s="2100" t="s">
        <v>2</v>
      </c>
      <c r="D221" s="2101"/>
      <c r="E221" s="2102"/>
      <c r="F221" s="2216" t="s">
        <v>3</v>
      </c>
      <c r="G221" s="2100" t="s">
        <v>4</v>
      </c>
      <c r="H221" s="2102"/>
      <c r="I221" s="2085"/>
      <c r="J221" s="2103" t="s">
        <v>5</v>
      </c>
      <c r="K221" s="2100" t="s">
        <v>6</v>
      </c>
      <c r="L221" s="2085"/>
      <c r="M221" s="97" t="s">
        <v>32</v>
      </c>
      <c r="N221" s="98"/>
      <c r="O221" s="2084" t="s">
        <v>7</v>
      </c>
    </row>
    <row r="222" spans="1:15" ht="15.5" x14ac:dyDescent="0.35">
      <c r="A222" s="2097"/>
      <c r="B222" s="2099"/>
      <c r="C222" s="2086" t="s">
        <v>1108</v>
      </c>
      <c r="D222" s="2087"/>
      <c r="E222" s="87" t="s">
        <v>9</v>
      </c>
      <c r="F222" s="2217"/>
      <c r="G222" s="2">
        <f>'NORTH-1'!$G$8</f>
        <v>44774</v>
      </c>
      <c r="H222" s="2">
        <f>'NORTH-1'!$H$8</f>
        <v>44805</v>
      </c>
      <c r="I222" s="1" t="s">
        <v>10</v>
      </c>
      <c r="J222" s="2097"/>
      <c r="K222" s="1" t="s">
        <v>11</v>
      </c>
      <c r="L222" s="1" t="s">
        <v>12</v>
      </c>
      <c r="M222" s="617" t="s">
        <v>33</v>
      </c>
      <c r="N222" s="76" t="s">
        <v>47</v>
      </c>
      <c r="O222" s="2085"/>
    </row>
    <row r="223" spans="1:15" ht="15.5" x14ac:dyDescent="0.35">
      <c r="A223" s="3">
        <v>1</v>
      </c>
      <c r="B223" s="88">
        <v>2</v>
      </c>
      <c r="C223" s="2088">
        <v>4</v>
      </c>
      <c r="D223" s="2089"/>
      <c r="E223" s="88">
        <v>5</v>
      </c>
      <c r="F223" s="803">
        <v>7</v>
      </c>
      <c r="G223" s="3">
        <v>8</v>
      </c>
      <c r="H223" s="3">
        <v>9</v>
      </c>
      <c r="I223" s="3" t="s">
        <v>13</v>
      </c>
      <c r="J223" s="3">
        <v>11</v>
      </c>
      <c r="K223" s="3" t="s">
        <v>19</v>
      </c>
      <c r="L223" s="3" t="s">
        <v>20</v>
      </c>
      <c r="M223" s="3">
        <v>14</v>
      </c>
      <c r="N223" s="77">
        <v>15</v>
      </c>
      <c r="O223" s="3">
        <v>16</v>
      </c>
    </row>
    <row r="224" spans="1:15" ht="15.5" x14ac:dyDescent="0.35">
      <c r="A224" s="631"/>
      <c r="B224" s="624" t="s">
        <v>1393</v>
      </c>
      <c r="C224" s="625"/>
      <c r="D224" s="695"/>
      <c r="E224" s="625"/>
      <c r="F224" s="804"/>
      <c r="G224" s="625"/>
      <c r="H224" s="625"/>
      <c r="I224" s="625"/>
      <c r="J224" s="625"/>
      <c r="K224" s="695"/>
      <c r="L224" s="625"/>
      <c r="M224" s="626"/>
      <c r="N224" s="627"/>
      <c r="O224" s="616"/>
    </row>
    <row r="225" spans="1:15" ht="15.5" x14ac:dyDescent="0.35">
      <c r="A225" s="11">
        <v>1</v>
      </c>
      <c r="B225" s="100" t="s">
        <v>3934</v>
      </c>
      <c r="C225" s="52" t="s">
        <v>3833</v>
      </c>
      <c r="D225" s="818"/>
      <c r="E225" s="52" t="s">
        <v>3870</v>
      </c>
      <c r="F225" s="812">
        <v>1</v>
      </c>
      <c r="G225" s="21">
        <v>1354.33</v>
      </c>
      <c r="H225" s="21">
        <v>1361.5</v>
      </c>
      <c r="I225" s="21">
        <f>H225-G225</f>
        <v>7.1700000000000728</v>
      </c>
      <c r="J225" s="32">
        <v>240000</v>
      </c>
      <c r="K225" s="696">
        <f>F225*I225*J225</f>
        <v>1720800.0000000175</v>
      </c>
      <c r="L225" s="22"/>
      <c r="M225" s="22"/>
      <c r="N225" s="82"/>
      <c r="O225" s="9"/>
    </row>
    <row r="226" spans="1:15" ht="15.5" x14ac:dyDescent="0.35">
      <c r="A226" s="631">
        <v>2</v>
      </c>
      <c r="B226" s="100" t="s">
        <v>3935</v>
      </c>
      <c r="C226" s="52" t="s">
        <v>3833</v>
      </c>
      <c r="D226" s="1444"/>
      <c r="E226" s="52" t="s">
        <v>3849</v>
      </c>
      <c r="F226" s="812">
        <v>1</v>
      </c>
      <c r="G226" s="21">
        <v>1121.32</v>
      </c>
      <c r="H226" s="21">
        <v>1129.83</v>
      </c>
      <c r="I226" s="21">
        <f>H226-G226</f>
        <v>8.5099999999999909</v>
      </c>
      <c r="J226" s="32">
        <v>240000</v>
      </c>
      <c r="K226" s="696">
        <f>F226*I226*J226</f>
        <v>2042399.9999999979</v>
      </c>
      <c r="L226" s="22"/>
      <c r="M226" s="22"/>
      <c r="N226" s="82"/>
      <c r="O226" s="616"/>
    </row>
    <row r="227" spans="1:15" ht="15.5" x14ac:dyDescent="0.35">
      <c r="A227" s="631"/>
      <c r="B227" s="102"/>
      <c r="C227" s="91"/>
      <c r="D227" s="726"/>
      <c r="E227" s="91"/>
      <c r="F227" s="814"/>
      <c r="G227" s="48"/>
      <c r="H227" s="48"/>
      <c r="I227" s="48"/>
      <c r="J227" s="96" t="s">
        <v>30</v>
      </c>
      <c r="K227" s="43">
        <f>SUM(K225:K226)</f>
        <v>3763200.0000000154</v>
      </c>
      <c r="L227" s="43">
        <f>SUM(L225:L226)</f>
        <v>0</v>
      </c>
      <c r="M227" s="43">
        <f>SUM(M225:M226)</f>
        <v>0</v>
      </c>
      <c r="N227" s="646"/>
      <c r="O227" s="616"/>
    </row>
    <row r="228" spans="1:15" ht="15.5" x14ac:dyDescent="0.35">
      <c r="A228" s="616"/>
      <c r="B228" s="624" t="s">
        <v>1400</v>
      </c>
      <c r="C228" s="625"/>
      <c r="D228" s="695"/>
      <c r="E228" s="625"/>
      <c r="F228" s="804"/>
      <c r="G228" s="625"/>
      <c r="H228" s="625"/>
      <c r="I228" s="625"/>
      <c r="J228" s="732"/>
      <c r="K228" s="733"/>
      <c r="L228" s="734"/>
      <c r="M228" s="734"/>
      <c r="N228" s="627"/>
      <c r="O228" s="616"/>
    </row>
    <row r="229" spans="1:15" ht="15.5" x14ac:dyDescent="0.35">
      <c r="A229" s="616">
        <v>3</v>
      </c>
      <c r="B229" s="100" t="s">
        <v>3936</v>
      </c>
      <c r="C229" s="52" t="s">
        <v>3833</v>
      </c>
      <c r="D229" s="735"/>
      <c r="E229" s="52">
        <v>9155465</v>
      </c>
      <c r="F229" s="812">
        <v>1</v>
      </c>
      <c r="G229" s="21"/>
      <c r="H229" s="21"/>
      <c r="I229" s="20">
        <f>H229-G229</f>
        <v>0</v>
      </c>
      <c r="J229" s="616">
        <v>1000</v>
      </c>
      <c r="K229" s="696">
        <f>F229*I229*J229</f>
        <v>0</v>
      </c>
      <c r="L229" s="22"/>
      <c r="M229" s="22"/>
      <c r="N229" s="82"/>
      <c r="O229" s="12"/>
    </row>
    <row r="230" spans="1:15" ht="15.5" x14ac:dyDescent="0.35">
      <c r="A230" s="616"/>
      <c r="B230" s="102"/>
      <c r="C230" s="91"/>
      <c r="D230" s="726"/>
      <c r="E230" s="91"/>
      <c r="F230" s="814"/>
      <c r="G230" s="48"/>
      <c r="H230" s="48"/>
      <c r="I230" s="36"/>
      <c r="J230" s="96" t="s">
        <v>30</v>
      </c>
      <c r="K230" s="43">
        <f>SUM(K229)</f>
        <v>0</v>
      </c>
      <c r="L230" s="43">
        <f>SUM(L229)</f>
        <v>0</v>
      </c>
      <c r="M230" s="43">
        <f>SUM(M229)</f>
        <v>0</v>
      </c>
      <c r="N230" s="85"/>
      <c r="O230" s="12"/>
    </row>
    <row r="231" spans="1:15" ht="15.5" x14ac:dyDescent="0.35">
      <c r="A231" s="616"/>
      <c r="B231" s="624" t="s">
        <v>1401</v>
      </c>
      <c r="C231" s="625"/>
      <c r="D231" s="695"/>
      <c r="E231" s="625"/>
      <c r="F231" s="804"/>
      <c r="G231" s="625"/>
      <c r="H231" s="625"/>
      <c r="I231" s="625"/>
      <c r="J231" s="732"/>
      <c r="K231" s="733"/>
      <c r="L231" s="734"/>
      <c r="M231" s="734"/>
      <c r="N231" s="627"/>
      <c r="O231" s="12"/>
    </row>
    <row r="232" spans="1:15" ht="15.5" x14ac:dyDescent="0.35">
      <c r="A232" s="616"/>
      <c r="B232" s="100"/>
      <c r="C232" s="52">
        <v>33</v>
      </c>
      <c r="D232" s="2105" t="s">
        <v>1084</v>
      </c>
      <c r="E232" s="52"/>
      <c r="F232" s="812">
        <v>1</v>
      </c>
      <c r="G232" s="21"/>
      <c r="H232" s="21"/>
      <c r="I232" s="20">
        <f>H232-G232</f>
        <v>0</v>
      </c>
      <c r="J232" s="616">
        <v>180</v>
      </c>
      <c r="K232" s="696"/>
      <c r="L232" s="22">
        <f>J232*I232*F232</f>
        <v>0</v>
      </c>
      <c r="M232" s="22"/>
      <c r="N232" s="82"/>
      <c r="O232" s="12"/>
    </row>
    <row r="233" spans="1:15" ht="15.5" x14ac:dyDescent="0.35">
      <c r="A233" s="616"/>
      <c r="B233" s="100"/>
      <c r="C233" s="52">
        <v>33</v>
      </c>
      <c r="D233" s="2106"/>
      <c r="E233" s="52"/>
      <c r="F233" s="812">
        <v>1</v>
      </c>
      <c r="G233" s="21"/>
      <c r="H233" s="21"/>
      <c r="I233" s="20">
        <f>H233-G233</f>
        <v>0</v>
      </c>
      <c r="J233" s="616">
        <v>180000</v>
      </c>
      <c r="K233" s="696"/>
      <c r="L233" s="22">
        <f>J233*I233*F233</f>
        <v>0</v>
      </c>
      <c r="M233" s="22"/>
      <c r="N233" s="82"/>
      <c r="O233" s="12"/>
    </row>
    <row r="234" spans="1:15" ht="15.5" x14ac:dyDescent="0.35">
      <c r="A234" s="616"/>
      <c r="B234" s="100"/>
      <c r="C234" s="52">
        <v>33</v>
      </c>
      <c r="D234" s="2151"/>
      <c r="E234" s="52"/>
      <c r="F234" s="812">
        <v>1</v>
      </c>
      <c r="G234" s="21"/>
      <c r="H234" s="21"/>
      <c r="I234" s="20">
        <f>H234-G234</f>
        <v>0</v>
      </c>
      <c r="J234" s="616">
        <v>180000</v>
      </c>
      <c r="K234" s="696"/>
      <c r="L234" s="22">
        <f>J234*I234*F234</f>
        <v>0</v>
      </c>
      <c r="M234" s="22"/>
      <c r="N234" s="82"/>
      <c r="O234" s="12"/>
    </row>
    <row r="235" spans="1:15" ht="15.5" x14ac:dyDescent="0.35">
      <c r="A235" s="616"/>
      <c r="B235" s="102"/>
      <c r="C235" s="91"/>
      <c r="D235" s="726"/>
      <c r="E235" s="91"/>
      <c r="F235" s="814"/>
      <c r="G235" s="48"/>
      <c r="H235" s="48"/>
      <c r="I235" s="36"/>
      <c r="J235" s="96" t="s">
        <v>30</v>
      </c>
      <c r="K235" s="706"/>
      <c r="L235" s="43">
        <f>SUM(L232:L234)</f>
        <v>0</v>
      </c>
      <c r="M235" s="43">
        <f>M227+M230</f>
        <v>0</v>
      </c>
      <c r="N235" s="85"/>
      <c r="O235" s="12"/>
    </row>
    <row r="236" spans="1:15" ht="15.5" x14ac:dyDescent="0.35">
      <c r="A236" s="616"/>
      <c r="B236" s="647" t="s">
        <v>1402</v>
      </c>
      <c r="C236" s="648"/>
      <c r="D236" s="700"/>
      <c r="E236" s="648"/>
      <c r="F236" s="807"/>
      <c r="G236" s="648"/>
      <c r="H236" s="648"/>
      <c r="I236" s="648"/>
      <c r="J236" s="648"/>
      <c r="K236" s="700"/>
      <c r="L236" s="648"/>
      <c r="M236" s="651"/>
      <c r="N236" s="649"/>
      <c r="O236" s="8"/>
    </row>
    <row r="237" spans="1:15" ht="15.5" x14ac:dyDescent="0.35">
      <c r="A237" s="616"/>
      <c r="B237" s="100" t="s">
        <v>1079</v>
      </c>
      <c r="C237" s="52">
        <v>132</v>
      </c>
      <c r="D237" s="2138" t="s">
        <v>1083</v>
      </c>
      <c r="E237" s="615"/>
      <c r="F237" s="812"/>
      <c r="G237" s="5"/>
      <c r="H237" s="5"/>
      <c r="I237" s="20">
        <f>H237-G237</f>
        <v>0</v>
      </c>
      <c r="J237" s="616"/>
      <c r="K237" s="696"/>
      <c r="L237" s="16">
        <f>J237*I237*F237</f>
        <v>0</v>
      </c>
      <c r="M237" s="7"/>
      <c r="N237" s="78"/>
      <c r="O237" s="616"/>
    </row>
    <row r="238" spans="1:15" ht="15.5" x14ac:dyDescent="0.35">
      <c r="A238" s="616"/>
      <c r="B238" s="100" t="s">
        <v>1078</v>
      </c>
      <c r="C238" s="52">
        <v>132</v>
      </c>
      <c r="D238" s="2139"/>
      <c r="E238" s="615"/>
      <c r="F238" s="812"/>
      <c r="G238" s="5"/>
      <c r="H238" s="5"/>
      <c r="I238" s="20">
        <f>H238-G238</f>
        <v>0</v>
      </c>
      <c r="J238" s="616"/>
      <c r="K238" s="696"/>
      <c r="L238" s="16">
        <f>J238*I238*F238</f>
        <v>0</v>
      </c>
      <c r="M238" s="16"/>
      <c r="N238" s="79"/>
      <c r="O238" s="616"/>
    </row>
    <row r="239" spans="1:15" ht="15.5" x14ac:dyDescent="0.35">
      <c r="A239" s="616"/>
      <c r="B239" s="95"/>
      <c r="C239" s="89"/>
      <c r="D239" s="1846"/>
      <c r="E239" s="89"/>
      <c r="F239" s="806"/>
      <c r="G239" s="37"/>
      <c r="H239" s="37"/>
      <c r="I239" s="37"/>
      <c r="J239" s="95" t="s">
        <v>279</v>
      </c>
      <c r="K239" s="699"/>
      <c r="L239" s="55">
        <f>SUM(L237:L238)</f>
        <v>0</v>
      </c>
      <c r="M239" s="55">
        <f>SUM(M237:M238)</f>
        <v>0</v>
      </c>
      <c r="N239" s="634"/>
      <c r="O239" s="616"/>
    </row>
    <row r="240" spans="1:15" ht="15.5" x14ac:dyDescent="0.35">
      <c r="A240" s="616"/>
      <c r="B240" s="102"/>
      <c r="C240" s="91"/>
      <c r="D240" s="726"/>
      <c r="E240" s="91"/>
      <c r="F240" s="814"/>
      <c r="G240" s="48"/>
      <c r="H240" s="48"/>
      <c r="I240" s="36"/>
      <c r="J240" s="96"/>
      <c r="K240" s="706"/>
      <c r="L240" s="43"/>
      <c r="M240" s="43"/>
      <c r="N240" s="85"/>
      <c r="O240" s="12"/>
    </row>
    <row r="241" spans="1:15" ht="15.5" x14ac:dyDescent="0.35">
      <c r="A241" s="636"/>
      <c r="B241" s="647" t="s">
        <v>1403</v>
      </c>
      <c r="C241" s="648"/>
      <c r="D241" s="700"/>
      <c r="E241" s="648"/>
      <c r="F241" s="807"/>
      <c r="G241" s="648"/>
      <c r="H241" s="648"/>
      <c r="I241" s="648"/>
      <c r="J241" s="50"/>
      <c r="K241" s="710"/>
      <c r="L241" s="51"/>
      <c r="M241" s="51"/>
      <c r="N241" s="649"/>
      <c r="O241" s="12"/>
    </row>
    <row r="242" spans="1:15" ht="15.75" customHeight="1" x14ac:dyDescent="0.35">
      <c r="A242" s="616"/>
      <c r="B242" s="100" t="s">
        <v>34</v>
      </c>
      <c r="C242" s="52">
        <v>33</v>
      </c>
      <c r="D242" s="2140" t="s">
        <v>1085</v>
      </c>
      <c r="E242" s="52"/>
      <c r="F242" s="812">
        <v>1</v>
      </c>
      <c r="G242" s="21"/>
      <c r="H242" s="21"/>
      <c r="I242" s="20">
        <f>H242-G242</f>
        <v>0</v>
      </c>
      <c r="J242" s="31"/>
      <c r="K242" s="707"/>
      <c r="L242" s="16">
        <f>J242*I242*F242</f>
        <v>0</v>
      </c>
      <c r="M242" s="22"/>
      <c r="N242" s="83"/>
      <c r="O242" s="12"/>
    </row>
    <row r="243" spans="1:15" ht="15.5" x14ac:dyDescent="0.35">
      <c r="A243" s="616"/>
      <c r="B243" s="100" t="s">
        <v>35</v>
      </c>
      <c r="C243" s="52">
        <v>33</v>
      </c>
      <c r="D243" s="2141"/>
      <c r="E243" s="52"/>
      <c r="F243" s="812">
        <v>1</v>
      </c>
      <c r="G243" s="21"/>
      <c r="H243" s="21"/>
      <c r="I243" s="20">
        <f>H243-G243</f>
        <v>0</v>
      </c>
      <c r="J243" s="31"/>
      <c r="K243" s="707"/>
      <c r="L243" s="16">
        <f>J243*I243*F243</f>
        <v>0</v>
      </c>
      <c r="M243" s="22"/>
      <c r="N243" s="83"/>
      <c r="O243" s="12"/>
    </row>
    <row r="244" spans="1:15" ht="15.5" x14ac:dyDescent="0.35">
      <c r="A244" s="616"/>
      <c r="B244" s="100" t="s">
        <v>36</v>
      </c>
      <c r="C244" s="52">
        <v>33</v>
      </c>
      <c r="D244" s="2157"/>
      <c r="E244" s="52"/>
      <c r="F244" s="812">
        <v>1</v>
      </c>
      <c r="G244" s="21"/>
      <c r="H244" s="21"/>
      <c r="I244" s="20">
        <f>H244-G244</f>
        <v>0</v>
      </c>
      <c r="J244" s="31"/>
      <c r="K244" s="707"/>
      <c r="L244" s="16">
        <f>J244*I244*F244</f>
        <v>0</v>
      </c>
      <c r="M244" s="22"/>
      <c r="N244" s="83"/>
      <c r="O244" s="12"/>
    </row>
    <row r="245" spans="1:15" ht="15" x14ac:dyDescent="0.35">
      <c r="A245" s="636"/>
      <c r="B245" s="96"/>
      <c r="C245" s="90"/>
      <c r="D245" s="96"/>
      <c r="E245" s="90"/>
      <c r="F245" s="813"/>
      <c r="G245" s="38"/>
      <c r="H245" s="38"/>
      <c r="I245" s="38"/>
      <c r="J245" s="96" t="s">
        <v>30</v>
      </c>
      <c r="K245" s="708"/>
      <c r="L245" s="55">
        <f>SUM(L242:L243)</f>
        <v>0</v>
      </c>
      <c r="M245" s="43">
        <f>M235-M239</f>
        <v>0</v>
      </c>
      <c r="N245" s="650" t="e">
        <f>(M245-L245)/L245*100</f>
        <v>#DIV/0!</v>
      </c>
      <c r="O245" s="12"/>
    </row>
    <row r="246" spans="1:15" ht="15.5" thickBot="1" x14ac:dyDescent="0.4">
      <c r="A246" s="702"/>
      <c r="B246" s="736"/>
      <c r="C246" s="92"/>
      <c r="D246" s="736"/>
      <c r="E246" s="92"/>
      <c r="F246" s="815"/>
      <c r="G246" s="737"/>
      <c r="H246" s="737"/>
      <c r="I246" s="737"/>
      <c r="J246" s="736"/>
      <c r="K246" s="738"/>
      <c r="L246" s="739"/>
      <c r="M246" s="739"/>
      <c r="N246" s="646"/>
      <c r="O246" s="740"/>
    </row>
    <row r="247" spans="1:15" ht="15" x14ac:dyDescent="0.35">
      <c r="A247" s="702"/>
      <c r="B247" s="2142" t="s">
        <v>1339</v>
      </c>
      <c r="C247" s="2143"/>
      <c r="D247" s="683" t="s">
        <v>14</v>
      </c>
      <c r="F247" s="2144" t="s">
        <v>1350</v>
      </c>
      <c r="G247" s="2145"/>
      <c r="H247" s="2146"/>
      <c r="I247" s="683" t="s">
        <v>14</v>
      </c>
      <c r="J247" s="620"/>
      <c r="K247" s="2147" t="s">
        <v>1092</v>
      </c>
      <c r="L247" s="2148"/>
      <c r="M247" s="684" t="s">
        <v>14</v>
      </c>
      <c r="N247" s="646"/>
      <c r="O247" s="740"/>
    </row>
    <row r="248" spans="1:15" ht="15" x14ac:dyDescent="0.35">
      <c r="A248" s="702"/>
      <c r="B248" s="2122" t="str">
        <f>B224</f>
        <v>DHANMONDI 33 KV SIDE</v>
      </c>
      <c r="C248" s="2123"/>
      <c r="D248" s="689">
        <f>M227</f>
        <v>0</v>
      </c>
      <c r="F248" s="2124" t="s">
        <v>1093</v>
      </c>
      <c r="G248" s="2125"/>
      <c r="H248" s="2126"/>
      <c r="I248" s="685">
        <f>L239</f>
        <v>0</v>
      </c>
      <c r="J248" s="620"/>
      <c r="K248" s="2160" t="str">
        <f>F249</f>
        <v>NEW RAMNA 33 KV NET IMPORT</v>
      </c>
      <c r="L248" s="2161"/>
      <c r="M248" s="687">
        <f>I249</f>
        <v>0</v>
      </c>
      <c r="N248" s="646"/>
      <c r="O248" s="740"/>
    </row>
    <row r="249" spans="1:15" ht="15" x14ac:dyDescent="0.35">
      <c r="A249" s="702"/>
      <c r="B249" s="2122" t="str">
        <f>B228</f>
        <v>NARINDA 33 KV SIDE</v>
      </c>
      <c r="C249" s="2123"/>
      <c r="D249" s="741">
        <f>M230</f>
        <v>0</v>
      </c>
      <c r="F249" s="2124" t="s">
        <v>1404</v>
      </c>
      <c r="G249" s="2125"/>
      <c r="H249" s="2126"/>
      <c r="I249" s="685">
        <f>D252-I248</f>
        <v>0</v>
      </c>
      <c r="J249" s="620"/>
      <c r="K249" s="2162" t="s">
        <v>1405</v>
      </c>
      <c r="L249" s="2163"/>
      <c r="M249" s="685">
        <f>M289</f>
        <v>0</v>
      </c>
      <c r="N249" s="646"/>
      <c r="O249" s="740"/>
    </row>
    <row r="250" spans="1:15" ht="15" x14ac:dyDescent="0.35">
      <c r="A250" s="702"/>
      <c r="B250" s="2122" t="s">
        <v>1117</v>
      </c>
      <c r="C250" s="2123"/>
      <c r="D250" s="721"/>
      <c r="F250" s="2124" t="s">
        <v>1089</v>
      </c>
      <c r="G250" s="2125"/>
      <c r="H250" s="2126"/>
      <c r="I250" s="685">
        <f>I248+I249</f>
        <v>0</v>
      </c>
      <c r="J250" s="620"/>
      <c r="K250" s="2127" t="s">
        <v>284</v>
      </c>
      <c r="L250" s="2128"/>
      <c r="M250" s="685">
        <f>M248-M249</f>
        <v>0</v>
      </c>
      <c r="N250" s="646" t="s">
        <v>237</v>
      </c>
      <c r="O250" s="740"/>
    </row>
    <row r="251" spans="1:15" ht="16" thickBot="1" x14ac:dyDescent="0.4">
      <c r="A251" s="702"/>
      <c r="B251" s="2122" t="s">
        <v>1118</v>
      </c>
      <c r="C251" s="2123"/>
      <c r="D251" s="722"/>
      <c r="F251" s="2113" t="s">
        <v>1102</v>
      </c>
      <c r="G251" s="2114"/>
      <c r="H251" s="2115"/>
      <c r="I251" s="690" t="e">
        <f>(D252-I250)/I250</f>
        <v>#DIV/0!</v>
      </c>
      <c r="J251" s="620"/>
      <c r="K251" s="2134" t="s">
        <v>285</v>
      </c>
      <c r="L251" s="2135"/>
      <c r="M251" s="688" t="e">
        <f>M250/M248</f>
        <v>#DIV/0!</v>
      </c>
      <c r="N251" s="646"/>
      <c r="O251" s="740"/>
    </row>
    <row r="252" spans="1:15" ht="15.5" thickBot="1" x14ac:dyDescent="0.4">
      <c r="A252" s="702"/>
      <c r="B252" s="2158" t="s">
        <v>1082</v>
      </c>
      <c r="C252" s="2159"/>
      <c r="D252" s="686">
        <f>SUM(D248:D250)</f>
        <v>0</v>
      </c>
      <c r="F252" s="810"/>
      <c r="G252" s="620"/>
      <c r="H252" s="620"/>
      <c r="I252" s="620"/>
      <c r="J252" s="620"/>
      <c r="K252" s="702"/>
      <c r="L252" s="620"/>
      <c r="M252" s="620"/>
      <c r="N252" s="646"/>
      <c r="O252" s="740"/>
    </row>
    <row r="253" spans="1:15" ht="15" x14ac:dyDescent="0.35">
      <c r="A253" s="702"/>
      <c r="B253" s="736"/>
      <c r="C253" s="92"/>
      <c r="D253" s="736"/>
      <c r="E253" s="92"/>
      <c r="F253" s="815"/>
      <c r="G253" s="737"/>
      <c r="H253" s="737"/>
      <c r="I253" s="737"/>
      <c r="J253" s="736"/>
      <c r="K253" s="738"/>
      <c r="L253" s="739"/>
      <c r="M253" s="739"/>
      <c r="N253" s="646"/>
      <c r="O253" s="740"/>
    </row>
    <row r="254" spans="1:15" x14ac:dyDescent="0.35">
      <c r="A254" s="620"/>
      <c r="B254" s="632"/>
      <c r="C254" s="620"/>
      <c r="D254" s="2014"/>
      <c r="E254" s="620"/>
      <c r="F254" s="810"/>
      <c r="G254" s="620"/>
      <c r="H254" s="620"/>
      <c r="I254" s="620"/>
      <c r="J254" s="620"/>
      <c r="K254" s="702"/>
      <c r="L254" s="620"/>
      <c r="M254" s="620"/>
      <c r="N254" s="620"/>
      <c r="O254" s="620"/>
    </row>
    <row r="255" spans="1:15" x14ac:dyDescent="0.35">
      <c r="A255" s="620"/>
      <c r="B255" s="632"/>
      <c r="C255" s="620"/>
      <c r="D255" s="2014"/>
      <c r="E255" s="620"/>
      <c r="F255" s="810"/>
      <c r="G255" s="620"/>
      <c r="H255" s="620"/>
      <c r="I255" s="620"/>
      <c r="J255" s="620"/>
      <c r="K255" s="702"/>
      <c r="L255" s="620"/>
      <c r="M255" s="620"/>
      <c r="N255" s="620"/>
      <c r="O255" s="620"/>
    </row>
    <row r="256" spans="1:15" ht="30" x14ac:dyDescent="0.35">
      <c r="A256" s="2219" t="s">
        <v>1165</v>
      </c>
      <c r="B256" s="2219"/>
      <c r="C256" s="2219"/>
      <c r="D256" s="2219"/>
      <c r="E256" s="2219"/>
      <c r="F256" s="2219"/>
      <c r="G256" s="2219"/>
      <c r="H256" s="2219"/>
      <c r="I256" s="2219"/>
      <c r="J256" s="2219"/>
      <c r="K256" s="2219"/>
      <c r="L256" s="2219"/>
      <c r="M256" s="2219"/>
      <c r="N256" s="2219"/>
      <c r="O256" s="756" t="e">
        <f>$O$6</f>
        <v>#REF!</v>
      </c>
    </row>
    <row r="257" spans="1:15" ht="15.5" x14ac:dyDescent="0.35">
      <c r="A257" s="2096" t="s">
        <v>0</v>
      </c>
      <c r="B257" s="2098" t="s">
        <v>1</v>
      </c>
      <c r="C257" s="2100" t="s">
        <v>2</v>
      </c>
      <c r="D257" s="2101"/>
      <c r="E257" s="2102"/>
      <c r="F257" s="2216" t="s">
        <v>3</v>
      </c>
      <c r="G257" s="2100" t="s">
        <v>4</v>
      </c>
      <c r="H257" s="2102"/>
      <c r="I257" s="2085"/>
      <c r="J257" s="2103" t="s">
        <v>5</v>
      </c>
      <c r="K257" s="2100" t="s">
        <v>6</v>
      </c>
      <c r="L257" s="2085"/>
      <c r="M257" s="97" t="s">
        <v>32</v>
      </c>
      <c r="N257" s="98"/>
      <c r="O257" s="2084" t="s">
        <v>7</v>
      </c>
    </row>
    <row r="258" spans="1:15" ht="15.5" x14ac:dyDescent="0.35">
      <c r="A258" s="2097"/>
      <c r="B258" s="2099"/>
      <c r="C258" s="2086" t="s">
        <v>1108</v>
      </c>
      <c r="D258" s="2087"/>
      <c r="E258" s="87" t="s">
        <v>9</v>
      </c>
      <c r="F258" s="2217"/>
      <c r="G258" s="2">
        <f>'NORTH-1'!$G$8</f>
        <v>44774</v>
      </c>
      <c r="H258" s="2">
        <f>'NORTH-1'!$H$8</f>
        <v>44805</v>
      </c>
      <c r="I258" s="1" t="s">
        <v>10</v>
      </c>
      <c r="J258" s="2097"/>
      <c r="K258" s="1" t="s">
        <v>11</v>
      </c>
      <c r="L258" s="1" t="s">
        <v>12</v>
      </c>
      <c r="M258" s="617" t="s">
        <v>33</v>
      </c>
      <c r="N258" s="76" t="s">
        <v>47</v>
      </c>
      <c r="O258" s="2085"/>
    </row>
    <row r="259" spans="1:15" ht="15.5" x14ac:dyDescent="0.35">
      <c r="A259" s="3">
        <v>1</v>
      </c>
      <c r="B259" s="88">
        <v>2</v>
      </c>
      <c r="C259" s="2088">
        <v>4</v>
      </c>
      <c r="D259" s="2089"/>
      <c r="E259" s="88">
        <v>5</v>
      </c>
      <c r="F259" s="803">
        <v>7</v>
      </c>
      <c r="G259" s="3">
        <v>8</v>
      </c>
      <c r="H259" s="3">
        <v>9</v>
      </c>
      <c r="I259" s="3" t="s">
        <v>13</v>
      </c>
      <c r="J259" s="3">
        <v>11</v>
      </c>
      <c r="K259" s="3" t="s">
        <v>19</v>
      </c>
      <c r="L259" s="3" t="s">
        <v>20</v>
      </c>
      <c r="M259" s="3">
        <v>14</v>
      </c>
      <c r="N259" s="77">
        <v>15</v>
      </c>
      <c r="O259" s="3">
        <v>16</v>
      </c>
    </row>
    <row r="260" spans="1:15" ht="15.5" x14ac:dyDescent="0.35">
      <c r="A260" s="631"/>
      <c r="B260" s="624" t="s">
        <v>1471</v>
      </c>
      <c r="C260" s="625"/>
      <c r="D260" s="695"/>
      <c r="E260" s="625"/>
      <c r="F260" s="804"/>
      <c r="G260" s="625"/>
      <c r="H260" s="625"/>
      <c r="I260" s="625"/>
      <c r="J260" s="625"/>
      <c r="K260" s="695"/>
      <c r="L260" s="625"/>
      <c r="M260" s="626"/>
      <c r="N260" s="627"/>
      <c r="O260" s="616"/>
    </row>
    <row r="261" spans="1:15" ht="15.5" x14ac:dyDescent="0.35">
      <c r="A261" s="631">
        <v>14</v>
      </c>
      <c r="B261" s="100" t="s">
        <v>3937</v>
      </c>
      <c r="C261" s="52" t="s">
        <v>3872</v>
      </c>
      <c r="D261" s="1429"/>
      <c r="E261" s="52" t="s">
        <v>3938</v>
      </c>
      <c r="F261" s="805">
        <v>1</v>
      </c>
      <c r="G261" s="21">
        <v>22630.2</v>
      </c>
      <c r="H261" s="21">
        <v>22800.9</v>
      </c>
      <c r="I261" s="21">
        <f>H261-G261</f>
        <v>170.70000000000073</v>
      </c>
      <c r="J261" s="616">
        <v>10000</v>
      </c>
      <c r="K261" s="696">
        <f>F261*I261*J261</f>
        <v>1707000.0000000072</v>
      </c>
      <c r="L261" s="22"/>
      <c r="M261" s="22"/>
      <c r="N261" s="82"/>
      <c r="O261" s="616"/>
    </row>
    <row r="262" spans="1:15" ht="15.5" x14ac:dyDescent="0.35">
      <c r="A262" s="631">
        <v>15</v>
      </c>
      <c r="B262" s="100" t="s">
        <v>3939</v>
      </c>
      <c r="C262" s="52" t="s">
        <v>3872</v>
      </c>
      <c r="D262" s="2015"/>
      <c r="E262" s="52" t="s">
        <v>3940</v>
      </c>
      <c r="F262" s="805">
        <v>1</v>
      </c>
      <c r="G262" s="21">
        <v>11855.3</v>
      </c>
      <c r="H262" s="21">
        <v>12058.1</v>
      </c>
      <c r="I262" s="21">
        <f>H262-G262</f>
        <v>202.80000000000109</v>
      </c>
      <c r="J262" s="616">
        <v>10000</v>
      </c>
      <c r="K262" s="696">
        <f>F262*I262*J262</f>
        <v>2028000.0000000109</v>
      </c>
      <c r="L262" s="22"/>
      <c r="M262" s="22"/>
      <c r="N262" s="82"/>
      <c r="O262" s="616"/>
    </row>
    <row r="263" spans="1:15" ht="15.5" x14ac:dyDescent="0.35">
      <c r="A263" s="631">
        <v>27</v>
      </c>
      <c r="B263" s="100" t="s">
        <v>3941</v>
      </c>
      <c r="C263" s="52" t="s">
        <v>3872</v>
      </c>
      <c r="D263" s="2016"/>
      <c r="E263" s="52" t="s">
        <v>3942</v>
      </c>
      <c r="F263" s="805">
        <v>1</v>
      </c>
      <c r="G263" s="21">
        <v>543.58029999999997</v>
      </c>
      <c r="H263" s="21">
        <v>548.73009999999999</v>
      </c>
      <c r="I263" s="21">
        <f>H263-G263</f>
        <v>5.1498000000000275</v>
      </c>
      <c r="J263" s="616">
        <v>180000</v>
      </c>
      <c r="K263" s="696">
        <f>F263*I263*J263</f>
        <v>926964.00000000489</v>
      </c>
      <c r="L263" s="22"/>
      <c r="M263" s="22"/>
      <c r="N263" s="82"/>
      <c r="O263" s="616"/>
    </row>
    <row r="264" spans="1:15" ht="15.5" x14ac:dyDescent="0.35">
      <c r="A264" s="631"/>
      <c r="B264" s="102"/>
      <c r="C264" s="91"/>
      <c r="D264" s="726"/>
      <c r="E264" s="91"/>
      <c r="F264" s="814"/>
      <c r="G264" s="48"/>
      <c r="H264" s="48"/>
      <c r="I264" s="48"/>
      <c r="J264" s="39" t="s">
        <v>30</v>
      </c>
      <c r="K264" s="43">
        <f>SUM(K261:K263)</f>
        <v>4661964.0000000233</v>
      </c>
      <c r="L264" s="49"/>
      <c r="M264" s="43">
        <f>SUM(M261:M263)</f>
        <v>0</v>
      </c>
      <c r="N264" s="85"/>
      <c r="O264" s="616"/>
    </row>
    <row r="265" spans="1:15" ht="15.5" x14ac:dyDescent="0.35">
      <c r="A265" s="631"/>
      <c r="B265" s="647" t="s">
        <v>1471</v>
      </c>
      <c r="C265" s="648"/>
      <c r="D265" s="700"/>
      <c r="E265" s="648"/>
      <c r="F265" s="807"/>
      <c r="G265" s="648"/>
      <c r="H265" s="648"/>
      <c r="I265" s="648"/>
      <c r="J265" s="50"/>
      <c r="K265" s="710"/>
      <c r="L265" s="51"/>
      <c r="M265" s="51"/>
      <c r="N265" s="649"/>
      <c r="O265" s="616"/>
    </row>
    <row r="266" spans="1:15" ht="21.75" customHeight="1" x14ac:dyDescent="0.35">
      <c r="A266" s="631">
        <v>4</v>
      </c>
      <c r="B266" s="100" t="s">
        <v>3943</v>
      </c>
      <c r="C266" s="73">
        <v>11</v>
      </c>
      <c r="D266" s="1768"/>
      <c r="E266" s="52" t="s">
        <v>3944</v>
      </c>
      <c r="F266" s="812">
        <v>1</v>
      </c>
      <c r="G266" s="6">
        <v>71783.8</v>
      </c>
      <c r="H266" s="6">
        <v>71879.8</v>
      </c>
      <c r="I266" s="20">
        <f t="shared" ref="I266:I288" si="11">H266-G266</f>
        <v>96</v>
      </c>
      <c r="J266" s="616">
        <v>444.44</v>
      </c>
      <c r="K266" s="703"/>
      <c r="L266" s="22">
        <f t="shared" ref="L266:L286" si="12">F266*I266*J266</f>
        <v>42666.239999999998</v>
      </c>
      <c r="M266" s="22"/>
      <c r="N266" s="72" t="s">
        <v>111</v>
      </c>
      <c r="O266" s="15"/>
    </row>
    <row r="267" spans="1:15" ht="21.75" customHeight="1" x14ac:dyDescent="0.35">
      <c r="A267" s="631">
        <v>5</v>
      </c>
      <c r="B267" s="100" t="s">
        <v>3945</v>
      </c>
      <c r="C267" s="73">
        <v>11</v>
      </c>
      <c r="D267" s="1769"/>
      <c r="E267" s="52" t="s">
        <v>3946</v>
      </c>
      <c r="F267" s="812">
        <v>1</v>
      </c>
      <c r="G267" s="6"/>
      <c r="H267" s="6"/>
      <c r="I267" s="20">
        <f t="shared" si="11"/>
        <v>0</v>
      </c>
      <c r="J267" s="616">
        <v>444.44</v>
      </c>
      <c r="K267" s="703"/>
      <c r="L267" s="22">
        <f t="shared" si="12"/>
        <v>0</v>
      </c>
      <c r="M267" s="22"/>
      <c r="N267" s="72" t="s">
        <v>90</v>
      </c>
      <c r="O267" s="15"/>
    </row>
    <row r="268" spans="1:15" ht="21.75" customHeight="1" x14ac:dyDescent="0.35">
      <c r="A268" s="631">
        <v>6</v>
      </c>
      <c r="B268" s="100" t="s">
        <v>3947</v>
      </c>
      <c r="C268" s="73">
        <v>11</v>
      </c>
      <c r="D268" s="1769"/>
      <c r="E268" s="52" t="s">
        <v>3948</v>
      </c>
      <c r="F268" s="812">
        <v>1</v>
      </c>
      <c r="G268" s="6">
        <v>94081.5</v>
      </c>
      <c r="H268" s="6">
        <v>94424.2</v>
      </c>
      <c r="I268" s="20">
        <f t="shared" si="11"/>
        <v>342.69999999999709</v>
      </c>
      <c r="J268" s="616">
        <v>444.44</v>
      </c>
      <c r="K268" s="703"/>
      <c r="L268" s="22">
        <f t="shared" si="12"/>
        <v>152309.58799999871</v>
      </c>
      <c r="M268" s="22"/>
      <c r="N268" s="72" t="s">
        <v>111</v>
      </c>
      <c r="O268" s="15"/>
    </row>
    <row r="269" spans="1:15" ht="21.75" customHeight="1" x14ac:dyDescent="0.35">
      <c r="A269" s="631">
        <v>7</v>
      </c>
      <c r="B269" s="100" t="s">
        <v>3949</v>
      </c>
      <c r="C269" s="73">
        <v>11</v>
      </c>
      <c r="D269" s="1769"/>
      <c r="E269" s="52">
        <v>8536184</v>
      </c>
      <c r="F269" s="812">
        <v>1</v>
      </c>
      <c r="G269" s="6">
        <v>39936.6</v>
      </c>
      <c r="H269" s="6">
        <v>39936.6</v>
      </c>
      <c r="I269" s="20">
        <f t="shared" si="11"/>
        <v>0</v>
      </c>
      <c r="J269" s="616">
        <v>444.44</v>
      </c>
      <c r="K269" s="703"/>
      <c r="L269" s="22">
        <f t="shared" si="12"/>
        <v>0</v>
      </c>
      <c r="M269" s="22"/>
      <c r="N269" s="72" t="s">
        <v>111</v>
      </c>
      <c r="O269" s="15"/>
    </row>
    <row r="270" spans="1:15" ht="21.75" customHeight="1" x14ac:dyDescent="0.35">
      <c r="A270" s="631">
        <v>8</v>
      </c>
      <c r="B270" s="100" t="s">
        <v>3950</v>
      </c>
      <c r="C270" s="73">
        <v>11</v>
      </c>
      <c r="D270" s="1769"/>
      <c r="E270" s="52" t="s">
        <v>3951</v>
      </c>
      <c r="F270" s="812">
        <v>1</v>
      </c>
      <c r="G270" s="6">
        <v>81633.100000000006</v>
      </c>
      <c r="H270" s="6">
        <v>81635.7</v>
      </c>
      <c r="I270" s="20">
        <f t="shared" si="11"/>
        <v>2.5999999999912689</v>
      </c>
      <c r="J270" s="616">
        <v>444.44</v>
      </c>
      <c r="K270" s="703"/>
      <c r="L270" s="22">
        <f t="shared" si="12"/>
        <v>1155.5439999961195</v>
      </c>
      <c r="M270" s="22"/>
      <c r="N270" s="72" t="s">
        <v>111</v>
      </c>
      <c r="O270" s="15"/>
    </row>
    <row r="271" spans="1:15" ht="21.75" customHeight="1" x14ac:dyDescent="0.35">
      <c r="A271" s="631">
        <v>9</v>
      </c>
      <c r="B271" s="100" t="s">
        <v>3952</v>
      </c>
      <c r="C271" s="73">
        <v>11</v>
      </c>
      <c r="D271" s="1769"/>
      <c r="E271" s="52" t="s">
        <v>3953</v>
      </c>
      <c r="F271" s="812">
        <v>1</v>
      </c>
      <c r="G271" s="6">
        <v>15601.2</v>
      </c>
      <c r="H271" s="6">
        <v>15942.5</v>
      </c>
      <c r="I271" s="20">
        <f t="shared" si="11"/>
        <v>341.29999999999927</v>
      </c>
      <c r="J271" s="616">
        <v>444.44</v>
      </c>
      <c r="K271" s="703"/>
      <c r="L271" s="22">
        <f t="shared" si="12"/>
        <v>151687.37199999968</v>
      </c>
      <c r="M271" s="22"/>
      <c r="N271" s="72" t="s">
        <v>102</v>
      </c>
      <c r="O271" s="15"/>
    </row>
    <row r="272" spans="1:15" ht="21.75" customHeight="1" x14ac:dyDescent="0.35">
      <c r="A272" s="631">
        <v>10</v>
      </c>
      <c r="B272" s="100" t="s">
        <v>3954</v>
      </c>
      <c r="C272" s="73">
        <v>11</v>
      </c>
      <c r="D272" s="1769"/>
      <c r="E272" s="52" t="s">
        <v>3955</v>
      </c>
      <c r="F272" s="812">
        <v>1</v>
      </c>
      <c r="G272" s="6">
        <v>77070</v>
      </c>
      <c r="H272" s="6">
        <v>78207.899999999994</v>
      </c>
      <c r="I272" s="20">
        <f t="shared" si="11"/>
        <v>1137.8999999999942</v>
      </c>
      <c r="J272" s="616">
        <v>444.44</v>
      </c>
      <c r="K272" s="703"/>
      <c r="L272" s="22">
        <f t="shared" si="12"/>
        <v>505728.27599999739</v>
      </c>
      <c r="M272" s="22"/>
      <c r="N272" s="72" t="s">
        <v>111</v>
      </c>
      <c r="O272" s="15"/>
    </row>
    <row r="273" spans="1:15" ht="21.75" customHeight="1" x14ac:dyDescent="0.35">
      <c r="A273" s="631">
        <v>11</v>
      </c>
      <c r="B273" s="100" t="s">
        <v>3956</v>
      </c>
      <c r="C273" s="73">
        <v>11</v>
      </c>
      <c r="D273" s="1769"/>
      <c r="E273" s="52" t="s">
        <v>3957</v>
      </c>
      <c r="F273" s="812">
        <v>1</v>
      </c>
      <c r="G273" s="6">
        <v>34854.5</v>
      </c>
      <c r="H273" s="6">
        <v>35231.199999999997</v>
      </c>
      <c r="I273" s="20">
        <f t="shared" si="11"/>
        <v>376.69999999999709</v>
      </c>
      <c r="J273" s="616">
        <v>444.44</v>
      </c>
      <c r="K273" s="703"/>
      <c r="L273" s="22">
        <f t="shared" si="12"/>
        <v>167420.5479999987</v>
      </c>
      <c r="M273" s="22"/>
      <c r="N273" s="72" t="s">
        <v>111</v>
      </c>
      <c r="O273" s="15"/>
    </row>
    <row r="274" spans="1:15" ht="21.75" customHeight="1" x14ac:dyDescent="0.35">
      <c r="A274" s="631">
        <v>12</v>
      </c>
      <c r="B274" s="100" t="s">
        <v>3958</v>
      </c>
      <c r="C274" s="73">
        <v>11</v>
      </c>
      <c r="D274" s="1769"/>
      <c r="E274" s="52" t="s">
        <v>3959</v>
      </c>
      <c r="F274" s="812">
        <v>1</v>
      </c>
      <c r="G274" s="6">
        <v>54030.3</v>
      </c>
      <c r="H274" s="6">
        <v>54896.3</v>
      </c>
      <c r="I274" s="20">
        <f t="shared" si="11"/>
        <v>866</v>
      </c>
      <c r="J274" s="616">
        <v>444.44</v>
      </c>
      <c r="K274" s="703"/>
      <c r="L274" s="22">
        <f t="shared" si="12"/>
        <v>384885.04</v>
      </c>
      <c r="M274" s="22"/>
      <c r="N274" s="72" t="s">
        <v>111</v>
      </c>
      <c r="O274" s="15"/>
    </row>
    <row r="275" spans="1:15" ht="21.75" customHeight="1" x14ac:dyDescent="0.35">
      <c r="A275" s="631">
        <v>13</v>
      </c>
      <c r="B275" s="100" t="s">
        <v>3960</v>
      </c>
      <c r="C275" s="73">
        <v>11</v>
      </c>
      <c r="D275" s="1769"/>
      <c r="E275" s="52" t="s">
        <v>3961</v>
      </c>
      <c r="F275" s="812">
        <v>1</v>
      </c>
      <c r="G275" s="6">
        <v>2712.3</v>
      </c>
      <c r="H275" s="6">
        <v>2712.3</v>
      </c>
      <c r="I275" s="20">
        <f t="shared" si="11"/>
        <v>0</v>
      </c>
      <c r="J275" s="616">
        <v>444.44</v>
      </c>
      <c r="K275" s="703"/>
      <c r="L275" s="22">
        <f t="shared" si="12"/>
        <v>0</v>
      </c>
      <c r="M275" s="22"/>
      <c r="N275" s="72" t="s">
        <v>88</v>
      </c>
      <c r="O275" s="15"/>
    </row>
    <row r="276" spans="1:15" ht="21.75" customHeight="1" x14ac:dyDescent="0.35">
      <c r="A276" s="631">
        <v>16</v>
      </c>
      <c r="B276" s="100" t="s">
        <v>3962</v>
      </c>
      <c r="C276" s="73">
        <v>11</v>
      </c>
      <c r="D276" s="1769"/>
      <c r="E276" s="52" t="s">
        <v>3963</v>
      </c>
      <c r="F276" s="812">
        <v>1</v>
      </c>
      <c r="G276" s="6">
        <v>63956.7</v>
      </c>
      <c r="H276" s="6">
        <v>64438.2</v>
      </c>
      <c r="I276" s="20">
        <f t="shared" si="11"/>
        <v>481.5</v>
      </c>
      <c r="J276" s="616">
        <v>444.44</v>
      </c>
      <c r="K276" s="703"/>
      <c r="L276" s="22">
        <f t="shared" si="12"/>
        <v>213997.86</v>
      </c>
      <c r="M276" s="22"/>
      <c r="N276" s="72" t="s">
        <v>111</v>
      </c>
      <c r="O276" s="15"/>
    </row>
    <row r="277" spans="1:15" ht="21.75" customHeight="1" x14ac:dyDescent="0.35">
      <c r="A277" s="631">
        <v>17</v>
      </c>
      <c r="B277" s="100" t="s">
        <v>3964</v>
      </c>
      <c r="C277" s="73">
        <v>11</v>
      </c>
      <c r="D277" s="1769"/>
      <c r="E277" s="52" t="s">
        <v>3965</v>
      </c>
      <c r="F277" s="812">
        <v>1</v>
      </c>
      <c r="G277" s="6">
        <v>84300.2</v>
      </c>
      <c r="H277" s="6">
        <v>84565.2</v>
      </c>
      <c r="I277" s="20">
        <f t="shared" si="11"/>
        <v>265</v>
      </c>
      <c r="J277" s="616">
        <v>444.44</v>
      </c>
      <c r="K277" s="703"/>
      <c r="L277" s="22">
        <f t="shared" si="12"/>
        <v>117776.6</v>
      </c>
      <c r="M277" s="22"/>
      <c r="N277" s="72" t="s">
        <v>111</v>
      </c>
      <c r="O277" s="15"/>
    </row>
    <row r="278" spans="1:15" ht="21.75" customHeight="1" x14ac:dyDescent="0.35">
      <c r="A278" s="631">
        <v>18</v>
      </c>
      <c r="B278" s="100" t="s">
        <v>3966</v>
      </c>
      <c r="C278" s="73">
        <v>11</v>
      </c>
      <c r="D278" s="1769"/>
      <c r="E278" s="52" t="s">
        <v>3967</v>
      </c>
      <c r="F278" s="812">
        <v>1</v>
      </c>
      <c r="G278" s="6">
        <v>14814.7</v>
      </c>
      <c r="H278" s="6">
        <v>16317.6</v>
      </c>
      <c r="I278" s="20">
        <f t="shared" si="11"/>
        <v>1502.8999999999996</v>
      </c>
      <c r="J278" s="616">
        <v>444.44</v>
      </c>
      <c r="K278" s="703"/>
      <c r="L278" s="22">
        <f t="shared" si="12"/>
        <v>667948.87599999981</v>
      </c>
      <c r="M278" s="22"/>
      <c r="N278" s="72" t="s">
        <v>111</v>
      </c>
      <c r="O278" s="15"/>
    </row>
    <row r="279" spans="1:15" ht="21.75" customHeight="1" x14ac:dyDescent="0.35">
      <c r="A279" s="631">
        <v>19</v>
      </c>
      <c r="B279" s="100" t="s">
        <v>3968</v>
      </c>
      <c r="C279" s="73">
        <v>11</v>
      </c>
      <c r="D279" s="1769"/>
      <c r="E279" s="52" t="s">
        <v>3969</v>
      </c>
      <c r="F279" s="812">
        <v>1</v>
      </c>
      <c r="G279" s="6">
        <v>52191.6</v>
      </c>
      <c r="H279" s="6">
        <v>52419.9</v>
      </c>
      <c r="I279" s="20">
        <f t="shared" si="11"/>
        <v>228.30000000000291</v>
      </c>
      <c r="J279" s="616">
        <v>444.44</v>
      </c>
      <c r="K279" s="703"/>
      <c r="L279" s="22">
        <f t="shared" si="12"/>
        <v>101465.6520000013</v>
      </c>
      <c r="M279" s="22"/>
      <c r="N279" s="72" t="s">
        <v>111</v>
      </c>
      <c r="O279" s="15"/>
    </row>
    <row r="280" spans="1:15" ht="21.75" customHeight="1" x14ac:dyDescent="0.35">
      <c r="A280" s="631">
        <v>20</v>
      </c>
      <c r="B280" s="100" t="s">
        <v>3970</v>
      </c>
      <c r="C280" s="73">
        <v>11</v>
      </c>
      <c r="D280" s="1769"/>
      <c r="E280" s="52" t="s">
        <v>3971</v>
      </c>
      <c r="F280" s="812">
        <v>1</v>
      </c>
      <c r="G280" s="6">
        <v>99360.4</v>
      </c>
      <c r="H280" s="6">
        <v>99438.8</v>
      </c>
      <c r="I280" s="20">
        <f t="shared" si="11"/>
        <v>78.400000000008731</v>
      </c>
      <c r="J280" s="616">
        <v>444.44</v>
      </c>
      <c r="K280" s="703"/>
      <c r="L280" s="22">
        <f t="shared" si="12"/>
        <v>34844.096000003883</v>
      </c>
      <c r="M280" s="22"/>
      <c r="N280" s="72" t="s">
        <v>111</v>
      </c>
      <c r="O280" s="15"/>
    </row>
    <row r="281" spans="1:15" ht="21.75" customHeight="1" x14ac:dyDescent="0.35">
      <c r="A281" s="631">
        <v>21</v>
      </c>
      <c r="B281" s="100" t="s">
        <v>3972</v>
      </c>
      <c r="C281" s="73">
        <v>11</v>
      </c>
      <c r="D281" s="1769"/>
      <c r="E281" s="52" t="s">
        <v>3973</v>
      </c>
      <c r="F281" s="812">
        <v>1</v>
      </c>
      <c r="G281" s="6">
        <v>14727.8</v>
      </c>
      <c r="H281" s="6">
        <v>16455.3</v>
      </c>
      <c r="I281" s="20">
        <f t="shared" si="11"/>
        <v>1727.5</v>
      </c>
      <c r="J281" s="616">
        <v>444.44</v>
      </c>
      <c r="K281" s="703"/>
      <c r="L281" s="22">
        <f t="shared" si="12"/>
        <v>767770.1</v>
      </c>
      <c r="M281" s="22"/>
      <c r="N281" s="72" t="s">
        <v>88</v>
      </c>
      <c r="O281" s="15"/>
    </row>
    <row r="282" spans="1:15" ht="21.75" customHeight="1" x14ac:dyDescent="0.35">
      <c r="A282" s="631">
        <v>22</v>
      </c>
      <c r="B282" s="100" t="s">
        <v>3974</v>
      </c>
      <c r="C282" s="73">
        <v>11</v>
      </c>
      <c r="D282" s="1769"/>
      <c r="E282" s="52" t="s">
        <v>3975</v>
      </c>
      <c r="F282" s="812">
        <v>1</v>
      </c>
      <c r="G282" s="6"/>
      <c r="H282" s="6"/>
      <c r="I282" s="20">
        <f t="shared" si="11"/>
        <v>0</v>
      </c>
      <c r="J282" s="616">
        <v>444.44</v>
      </c>
      <c r="K282" s="703"/>
      <c r="L282" s="22">
        <f t="shared" si="12"/>
        <v>0</v>
      </c>
      <c r="M282" s="22"/>
      <c r="N282" s="72" t="s">
        <v>102</v>
      </c>
      <c r="O282" s="15"/>
    </row>
    <row r="283" spans="1:15" ht="21.75" customHeight="1" x14ac:dyDescent="0.35">
      <c r="A283" s="631">
        <v>23</v>
      </c>
      <c r="B283" s="100" t="s">
        <v>3976</v>
      </c>
      <c r="C283" s="73">
        <v>11</v>
      </c>
      <c r="D283" s="1769"/>
      <c r="E283" s="52" t="s">
        <v>3977</v>
      </c>
      <c r="F283" s="812">
        <v>1</v>
      </c>
      <c r="G283" s="6">
        <v>75650805</v>
      </c>
      <c r="H283" s="6">
        <v>75650805</v>
      </c>
      <c r="I283" s="20">
        <f t="shared" si="11"/>
        <v>0</v>
      </c>
      <c r="J283" s="616">
        <v>1</v>
      </c>
      <c r="K283" s="703"/>
      <c r="L283" s="22">
        <f t="shared" si="12"/>
        <v>0</v>
      </c>
      <c r="M283" s="22"/>
      <c r="N283" s="72" t="s">
        <v>111</v>
      </c>
      <c r="O283" s="15"/>
    </row>
    <row r="284" spans="1:15" ht="21.75" customHeight="1" x14ac:dyDescent="0.35">
      <c r="A284" s="631">
        <v>24</v>
      </c>
      <c r="B284" s="100" t="s">
        <v>3978</v>
      </c>
      <c r="C284" s="73">
        <v>11</v>
      </c>
      <c r="D284" s="1769"/>
      <c r="E284" s="52" t="s">
        <v>3979</v>
      </c>
      <c r="F284" s="812">
        <v>1</v>
      </c>
      <c r="G284" s="6">
        <v>4197078</v>
      </c>
      <c r="H284" s="6">
        <v>4465763</v>
      </c>
      <c r="I284" s="20">
        <f t="shared" si="11"/>
        <v>268685</v>
      </c>
      <c r="J284" s="616">
        <v>1</v>
      </c>
      <c r="K284" s="703"/>
      <c r="L284" s="22">
        <f t="shared" si="12"/>
        <v>268685</v>
      </c>
      <c r="M284" s="22"/>
      <c r="N284" s="72" t="s">
        <v>97</v>
      </c>
      <c r="O284" s="15"/>
    </row>
    <row r="285" spans="1:15" ht="21.75" customHeight="1" x14ac:dyDescent="0.35">
      <c r="A285" s="631">
        <v>25</v>
      </c>
      <c r="B285" s="100" t="s">
        <v>3980</v>
      </c>
      <c r="C285" s="73">
        <v>11</v>
      </c>
      <c r="D285" s="1769"/>
      <c r="E285" s="52" t="s">
        <v>3981</v>
      </c>
      <c r="F285" s="812">
        <v>1</v>
      </c>
      <c r="G285" s="6">
        <v>68213671</v>
      </c>
      <c r="H285" s="6">
        <v>68625581</v>
      </c>
      <c r="I285" s="20">
        <f t="shared" si="11"/>
        <v>411910</v>
      </c>
      <c r="J285" s="616">
        <v>1</v>
      </c>
      <c r="K285" s="703"/>
      <c r="L285" s="22">
        <f t="shared" si="12"/>
        <v>411910</v>
      </c>
      <c r="M285" s="22"/>
      <c r="N285" s="72" t="s">
        <v>111</v>
      </c>
      <c r="O285" s="15"/>
    </row>
    <row r="286" spans="1:15" ht="21.75" customHeight="1" x14ac:dyDescent="0.35">
      <c r="A286" s="631">
        <v>26</v>
      </c>
      <c r="B286" s="100" t="s">
        <v>3982</v>
      </c>
      <c r="C286" s="73">
        <v>11</v>
      </c>
      <c r="D286" s="1769"/>
      <c r="E286" s="52" t="s">
        <v>3983</v>
      </c>
      <c r="F286" s="812">
        <v>1</v>
      </c>
      <c r="G286" s="6">
        <v>4106884</v>
      </c>
      <c r="H286" s="6">
        <v>4355468</v>
      </c>
      <c r="I286" s="20">
        <f t="shared" si="11"/>
        <v>248584</v>
      </c>
      <c r="J286" s="616">
        <v>1</v>
      </c>
      <c r="K286" s="703"/>
      <c r="L286" s="22">
        <f t="shared" si="12"/>
        <v>248584</v>
      </c>
      <c r="M286" s="22"/>
      <c r="N286" s="72" t="s">
        <v>102</v>
      </c>
      <c r="O286" s="15"/>
    </row>
    <row r="287" spans="1:15" ht="21.75" customHeight="1" x14ac:dyDescent="0.35">
      <c r="A287" s="631">
        <v>28</v>
      </c>
      <c r="B287" s="100" t="s">
        <v>3984</v>
      </c>
      <c r="C287" s="74">
        <v>0.4</v>
      </c>
      <c r="D287" s="1769"/>
      <c r="E287" s="52">
        <v>2436</v>
      </c>
      <c r="F287" s="812">
        <v>1</v>
      </c>
      <c r="G287" s="6">
        <v>66777</v>
      </c>
      <c r="H287" s="6">
        <v>66863</v>
      </c>
      <c r="I287" s="20">
        <f t="shared" si="11"/>
        <v>86</v>
      </c>
      <c r="J287" s="616">
        <v>10</v>
      </c>
      <c r="K287" s="703"/>
      <c r="L287" s="22">
        <v>860</v>
      </c>
      <c r="M287" s="22"/>
      <c r="N287" s="72" t="s">
        <v>111</v>
      </c>
      <c r="O287" s="15"/>
    </row>
    <row r="288" spans="1:15" ht="21.75" customHeight="1" x14ac:dyDescent="0.35">
      <c r="A288" s="631">
        <v>29</v>
      </c>
      <c r="B288" s="100" t="s">
        <v>3985</v>
      </c>
      <c r="C288" s="74">
        <v>0.4</v>
      </c>
      <c r="D288" s="1769"/>
      <c r="E288" s="52">
        <v>2437</v>
      </c>
      <c r="F288" s="812">
        <v>1</v>
      </c>
      <c r="G288" s="6">
        <v>86989</v>
      </c>
      <c r="H288" s="6">
        <v>87159</v>
      </c>
      <c r="I288" s="20">
        <f t="shared" si="11"/>
        <v>170</v>
      </c>
      <c r="J288" s="616">
        <v>10</v>
      </c>
      <c r="K288" s="703"/>
      <c r="L288" s="22">
        <v>1700</v>
      </c>
      <c r="M288" s="22"/>
      <c r="N288" s="72" t="s">
        <v>111</v>
      </c>
      <c r="O288" s="15"/>
    </row>
    <row r="289" spans="1:15" ht="20" x14ac:dyDescent="0.35">
      <c r="A289" s="636"/>
      <c r="B289" s="96"/>
      <c r="C289" s="90"/>
      <c r="D289" s="96"/>
      <c r="E289" s="90"/>
      <c r="F289" s="813"/>
      <c r="G289" s="38"/>
      <c r="H289" s="38"/>
      <c r="I289" s="38"/>
      <c r="J289" s="53" t="s">
        <v>44</v>
      </c>
      <c r="K289" s="43">
        <f>K264</f>
        <v>4661964.0000000233</v>
      </c>
      <c r="L289" s="43">
        <f>SUM(L266:L288)</f>
        <v>4241394.7919999957</v>
      </c>
      <c r="M289" s="43">
        <f>SUM(M266:M288)</f>
        <v>0</v>
      </c>
      <c r="N289" s="84">
        <f>(M289-L289)/L289*100</f>
        <v>-100</v>
      </c>
      <c r="O289" s="29"/>
    </row>
    <row r="291" spans="1:15" ht="15" x14ac:dyDescent="0.35">
      <c r="A291" s="620"/>
      <c r="B291" s="635"/>
      <c r="C291" s="632"/>
      <c r="D291" s="1900"/>
      <c r="F291" s="2092" t="s">
        <v>1099</v>
      </c>
      <c r="G291" s="2092"/>
      <c r="H291" s="2092"/>
      <c r="I291" s="677" t="s">
        <v>14</v>
      </c>
      <c r="J291" s="620"/>
      <c r="K291" s="702"/>
      <c r="L291" s="620"/>
      <c r="M291" s="620"/>
      <c r="N291" s="632"/>
      <c r="O291" s="620"/>
    </row>
    <row r="292" spans="1:15" ht="15.5" x14ac:dyDescent="0.35">
      <c r="A292" s="620"/>
      <c r="B292" s="635"/>
      <c r="C292" s="632"/>
      <c r="D292" s="1900"/>
      <c r="F292" s="2153" t="s">
        <v>232</v>
      </c>
      <c r="G292" s="2154"/>
      <c r="H292" s="2155"/>
      <c r="I292" s="643">
        <f>SUM(M266:M267,M270)</f>
        <v>0</v>
      </c>
      <c r="J292" s="620"/>
      <c r="K292" s="702"/>
      <c r="L292" s="620"/>
      <c r="M292" s="620"/>
      <c r="N292" s="632"/>
      <c r="O292" s="620" t="s">
        <v>237</v>
      </c>
    </row>
    <row r="293" spans="1:15" ht="15.5" x14ac:dyDescent="0.35">
      <c r="A293" s="620"/>
      <c r="B293" s="635"/>
      <c r="C293" s="632"/>
      <c r="D293" s="1900"/>
      <c r="F293" s="2153" t="s">
        <v>268</v>
      </c>
      <c r="G293" s="2154"/>
      <c r="H293" s="2155"/>
      <c r="I293" s="643">
        <f>SUM(M268:M269,M271,M273,M274,M276)</f>
        <v>0</v>
      </c>
      <c r="J293" s="620"/>
      <c r="K293" s="702"/>
      <c r="L293" s="620"/>
      <c r="M293" s="620"/>
      <c r="N293" s="632"/>
      <c r="O293" s="620"/>
    </row>
    <row r="294" spans="1:15" ht="16" thickBot="1" x14ac:dyDescent="0.4">
      <c r="A294" s="620"/>
      <c r="B294" s="635"/>
      <c r="C294" s="632"/>
      <c r="D294" s="1900"/>
      <c r="F294" s="2153" t="s">
        <v>269</v>
      </c>
      <c r="G294" s="2154"/>
      <c r="H294" s="2155"/>
      <c r="I294" s="643">
        <f>SUM(M272,M275)</f>
        <v>0</v>
      </c>
      <c r="J294" s="620"/>
      <c r="K294" s="702"/>
      <c r="L294" s="620"/>
      <c r="M294" s="620"/>
      <c r="N294" s="632"/>
      <c r="O294" s="620"/>
    </row>
    <row r="295" spans="1:15" ht="20.5" thickBot="1" x14ac:dyDescent="0.4">
      <c r="A295" s="620"/>
      <c r="B295" s="635"/>
      <c r="C295" s="632"/>
      <c r="D295" s="1900"/>
      <c r="E295" s="632"/>
      <c r="F295" s="2156" t="s">
        <v>210</v>
      </c>
      <c r="G295" s="2156"/>
      <c r="H295" s="2156"/>
      <c r="I295" s="656">
        <f>SUM(I292:I294)</f>
        <v>0</v>
      </c>
      <c r="J295" s="682">
        <f>I295-M289</f>
        <v>0</v>
      </c>
      <c r="K295" s="702"/>
      <c r="L295" s="620"/>
      <c r="M295" s="620"/>
      <c r="N295" s="632"/>
      <c r="O295" s="620"/>
    </row>
    <row r="296" spans="1:15" x14ac:dyDescent="0.35">
      <c r="A296" s="620"/>
      <c r="B296" s="635"/>
      <c r="C296" s="632"/>
      <c r="D296" s="1900"/>
      <c r="E296" s="632"/>
      <c r="F296" s="810"/>
      <c r="G296" s="620"/>
      <c r="H296" s="620"/>
      <c r="I296" s="620"/>
      <c r="J296" s="620"/>
      <c r="K296" s="702"/>
      <c r="L296" s="620"/>
      <c r="M296" s="620"/>
      <c r="N296" s="632"/>
      <c r="O296" s="620"/>
    </row>
    <row r="297" spans="1:15" x14ac:dyDescent="0.35">
      <c r="A297" s="620"/>
      <c r="B297" s="635"/>
      <c r="C297" s="632"/>
      <c r="D297" s="1900"/>
      <c r="E297" s="632"/>
      <c r="F297" s="810"/>
      <c r="G297" s="620"/>
      <c r="H297" s="620"/>
      <c r="I297" s="620"/>
      <c r="J297" s="620"/>
      <c r="K297" s="702"/>
      <c r="L297" s="620"/>
      <c r="M297" s="620"/>
      <c r="N297" s="632"/>
      <c r="O297" s="620"/>
    </row>
    <row r="298" spans="1:15" x14ac:dyDescent="0.35">
      <c r="A298" s="620"/>
      <c r="B298" s="635"/>
      <c r="C298" s="632"/>
      <c r="D298" s="1900"/>
      <c r="E298" s="632"/>
      <c r="F298" s="810"/>
      <c r="G298" s="620"/>
      <c r="H298" s="620"/>
      <c r="I298" s="620"/>
      <c r="J298" s="620"/>
      <c r="K298" s="702"/>
      <c r="L298" s="620"/>
      <c r="M298" s="620"/>
      <c r="N298" s="632"/>
      <c r="O298" s="620"/>
    </row>
    <row r="299" spans="1:15" x14ac:dyDescent="0.35">
      <c r="A299" s="620"/>
      <c r="B299" s="635"/>
      <c r="C299" s="632"/>
      <c r="D299" s="1900"/>
      <c r="E299" s="632"/>
      <c r="F299" s="810"/>
      <c r="G299" s="620"/>
      <c r="H299" s="620"/>
      <c r="I299" s="620"/>
      <c r="J299" s="620"/>
      <c r="K299" s="702"/>
      <c r="L299" s="620"/>
      <c r="M299" s="620"/>
      <c r="N299" s="632"/>
      <c r="O299" s="620"/>
    </row>
    <row r="300" spans="1:15" x14ac:dyDescent="0.35">
      <c r="A300" s="620"/>
      <c r="B300" s="635"/>
      <c r="C300" s="632"/>
      <c r="D300" s="1900"/>
      <c r="E300" s="632"/>
      <c r="F300" s="810"/>
      <c r="G300" s="620"/>
      <c r="H300" s="620"/>
      <c r="I300" s="620"/>
      <c r="J300" s="620"/>
      <c r="K300" s="702"/>
      <c r="L300" s="620"/>
      <c r="M300" s="620"/>
      <c r="N300" s="632"/>
      <c r="O300" s="620"/>
    </row>
    <row r="301" spans="1:15" x14ac:dyDescent="0.35">
      <c r="A301" s="620"/>
      <c r="B301" s="632"/>
      <c r="C301" s="632"/>
      <c r="D301" s="1900"/>
      <c r="E301" s="632"/>
      <c r="F301" s="810"/>
      <c r="G301" s="620"/>
      <c r="H301" s="620"/>
      <c r="I301" s="620"/>
      <c r="J301" s="620"/>
      <c r="K301" s="702"/>
      <c r="L301" s="620"/>
      <c r="M301" s="620"/>
      <c r="N301" s="632"/>
      <c r="O301" s="620"/>
    </row>
    <row r="302" spans="1:15" x14ac:dyDescent="0.35">
      <c r="A302" s="620"/>
      <c r="B302" s="632"/>
      <c r="C302" s="632"/>
      <c r="D302" s="1900"/>
      <c r="E302" s="632"/>
      <c r="F302" s="810"/>
      <c r="G302" s="620"/>
      <c r="H302" s="620"/>
      <c r="I302" s="620"/>
      <c r="J302" s="620"/>
      <c r="K302" s="702"/>
      <c r="L302" s="620"/>
      <c r="M302" s="620"/>
      <c r="N302" s="632"/>
      <c r="O302" s="620"/>
    </row>
    <row r="303" spans="1:15" x14ac:dyDescent="0.35">
      <c r="A303" s="620"/>
      <c r="B303" s="635"/>
      <c r="C303" s="632"/>
      <c r="D303" s="1900"/>
      <c r="E303" s="632"/>
      <c r="F303" s="810"/>
      <c r="G303" s="620"/>
      <c r="H303" s="620"/>
      <c r="I303" s="620"/>
      <c r="J303" s="620"/>
      <c r="K303" s="702"/>
      <c r="L303" s="620"/>
      <c r="M303" s="620"/>
      <c r="N303" s="632"/>
      <c r="O303" s="620"/>
    </row>
    <row r="304" spans="1:15" x14ac:dyDescent="0.35">
      <c r="A304" s="620"/>
      <c r="B304" s="635"/>
      <c r="C304" s="632"/>
      <c r="D304" s="1900"/>
      <c r="E304" s="632"/>
      <c r="F304" s="810"/>
      <c r="G304" s="620"/>
      <c r="H304" s="620"/>
      <c r="I304" s="620" t="s">
        <v>237</v>
      </c>
      <c r="J304" s="620"/>
      <c r="K304" s="702"/>
      <c r="L304" s="620"/>
      <c r="M304" s="620"/>
      <c r="N304" s="632"/>
      <c r="O304" s="620"/>
    </row>
    <row r="305" spans="1:15" x14ac:dyDescent="0.35">
      <c r="A305" s="620"/>
      <c r="B305" s="635"/>
      <c r="C305" s="632"/>
      <c r="D305" s="1900"/>
      <c r="E305" s="632"/>
      <c r="F305" s="810"/>
      <c r="G305" s="620"/>
      <c r="H305" s="620"/>
      <c r="I305" s="620"/>
      <c r="J305" s="620"/>
      <c r="K305" s="702"/>
      <c r="L305" s="620"/>
      <c r="M305" s="620"/>
      <c r="N305" s="632"/>
      <c r="O305" s="620"/>
    </row>
    <row r="306" spans="1:15" ht="25" x14ac:dyDescent="0.35">
      <c r="A306" s="28"/>
      <c r="B306" s="2152"/>
      <c r="C306" s="2152"/>
      <c r="D306" s="2152"/>
      <c r="E306" s="2152"/>
      <c r="F306" s="2152"/>
      <c r="G306" s="2152"/>
      <c r="H306" s="2152"/>
      <c r="I306" s="2152"/>
      <c r="J306" s="2152"/>
      <c r="K306" s="2152"/>
      <c r="L306" s="2152"/>
      <c r="M306" s="2152"/>
      <c r="N306" s="632"/>
      <c r="O306" s="620"/>
    </row>
    <row r="307" spans="1:15" x14ac:dyDescent="0.35">
      <c r="A307" s="620"/>
      <c r="B307" s="635"/>
      <c r="C307" s="632"/>
      <c r="D307" s="1900"/>
      <c r="E307" s="632"/>
      <c r="F307" s="810"/>
      <c r="G307" s="620"/>
      <c r="H307" s="620"/>
      <c r="I307" s="620"/>
      <c r="J307" s="620"/>
      <c r="K307" s="702"/>
      <c r="L307" s="620"/>
      <c r="M307" s="620"/>
      <c r="N307" s="632"/>
      <c r="O307" s="620"/>
    </row>
    <row r="308" spans="1:15" x14ac:dyDescent="0.35">
      <c r="A308" s="620"/>
      <c r="B308" s="635"/>
      <c r="C308" s="632"/>
      <c r="D308" s="1900"/>
      <c r="E308" s="632"/>
      <c r="F308" s="810"/>
      <c r="G308" s="620"/>
      <c r="H308" s="620"/>
      <c r="I308" s="620"/>
      <c r="J308" s="620"/>
      <c r="K308" s="702"/>
      <c r="L308" s="620"/>
      <c r="M308" s="620"/>
      <c r="N308" s="632"/>
      <c r="O308" s="620"/>
    </row>
    <row r="309" spans="1:15" ht="30" x14ac:dyDescent="0.35">
      <c r="A309" s="2219" t="s">
        <v>3986</v>
      </c>
      <c r="B309" s="2219"/>
      <c r="C309" s="2219"/>
      <c r="D309" s="2219"/>
      <c r="E309" s="2219"/>
      <c r="F309" s="2219"/>
      <c r="G309" s="2219"/>
      <c r="H309" s="2219"/>
      <c r="I309" s="2219"/>
      <c r="J309" s="2219"/>
      <c r="K309" s="2219"/>
      <c r="L309" s="2219"/>
      <c r="M309" s="2219"/>
      <c r="N309" s="2219"/>
      <c r="O309" s="756" t="e">
        <f>$O$6</f>
        <v>#REF!</v>
      </c>
    </row>
    <row r="310" spans="1:15" ht="15.5" x14ac:dyDescent="0.35">
      <c r="A310" s="2096" t="s">
        <v>0</v>
      </c>
      <c r="B310" s="2098" t="s">
        <v>1</v>
      </c>
      <c r="C310" s="2100" t="s">
        <v>2</v>
      </c>
      <c r="D310" s="2101"/>
      <c r="E310" s="2102"/>
      <c r="F310" s="2216" t="s">
        <v>3</v>
      </c>
      <c r="G310" s="2100" t="s">
        <v>4</v>
      </c>
      <c r="H310" s="2102"/>
      <c r="I310" s="2085"/>
      <c r="J310" s="2103" t="s">
        <v>5</v>
      </c>
      <c r="K310" s="2100" t="s">
        <v>6</v>
      </c>
      <c r="L310" s="2085"/>
      <c r="M310" s="97" t="s">
        <v>32</v>
      </c>
      <c r="N310" s="98"/>
      <c r="O310" s="2084" t="s">
        <v>7</v>
      </c>
    </row>
    <row r="311" spans="1:15" ht="15.5" x14ac:dyDescent="0.35">
      <c r="A311" s="2097"/>
      <c r="B311" s="2099"/>
      <c r="C311" s="2086" t="s">
        <v>1108</v>
      </c>
      <c r="D311" s="2087"/>
      <c r="E311" s="87" t="s">
        <v>9</v>
      </c>
      <c r="F311" s="2217"/>
      <c r="G311" s="2">
        <f>'NORTH-1'!$G$8</f>
        <v>44774</v>
      </c>
      <c r="H311" s="2">
        <f>'NORTH-1'!$H$8</f>
        <v>44805</v>
      </c>
      <c r="I311" s="1" t="s">
        <v>10</v>
      </c>
      <c r="J311" s="2097"/>
      <c r="K311" s="1" t="s">
        <v>11</v>
      </c>
      <c r="L311" s="1" t="s">
        <v>12</v>
      </c>
      <c r="M311" s="617" t="s">
        <v>33</v>
      </c>
      <c r="N311" s="76" t="s">
        <v>47</v>
      </c>
      <c r="O311" s="2085"/>
    </row>
    <row r="312" spans="1:15" ht="15.5" x14ac:dyDescent="0.35">
      <c r="A312" s="3">
        <v>1</v>
      </c>
      <c r="B312" s="88">
        <v>2</v>
      </c>
      <c r="C312" s="2088">
        <v>4</v>
      </c>
      <c r="D312" s="2089"/>
      <c r="E312" s="88">
        <v>5</v>
      </c>
      <c r="F312" s="803">
        <v>7</v>
      </c>
      <c r="G312" s="3">
        <v>8</v>
      </c>
      <c r="H312" s="3">
        <v>9</v>
      </c>
      <c r="I312" s="3" t="s">
        <v>13</v>
      </c>
      <c r="J312" s="3">
        <v>11</v>
      </c>
      <c r="K312" s="3" t="s">
        <v>19</v>
      </c>
      <c r="L312" s="3" t="s">
        <v>20</v>
      </c>
      <c r="M312" s="3">
        <v>14</v>
      </c>
      <c r="N312" s="77">
        <v>15</v>
      </c>
      <c r="O312" s="3">
        <v>16</v>
      </c>
    </row>
    <row r="313" spans="1:15" ht="15.5" x14ac:dyDescent="0.35">
      <c r="A313" s="631"/>
      <c r="B313" s="624" t="s">
        <v>1412</v>
      </c>
      <c r="C313" s="625"/>
      <c r="D313" s="695"/>
      <c r="E313" s="625"/>
      <c r="F313" s="804"/>
      <c r="G313" s="625"/>
      <c r="H313" s="625"/>
      <c r="I313" s="625"/>
      <c r="J313" s="625"/>
      <c r="K313" s="695"/>
      <c r="L313" s="625"/>
      <c r="M313" s="626"/>
      <c r="N313" s="627"/>
      <c r="O313" s="616"/>
    </row>
    <row r="314" spans="1:15" ht="15.5" x14ac:dyDescent="0.35">
      <c r="A314" s="11"/>
      <c r="B314" s="100" t="s">
        <v>1376</v>
      </c>
      <c r="C314" s="52">
        <v>33</v>
      </c>
      <c r="D314" s="2105" t="s">
        <v>698</v>
      </c>
      <c r="E314" s="52"/>
      <c r="F314" s="812">
        <v>1</v>
      </c>
      <c r="G314" s="21">
        <v>690.51</v>
      </c>
      <c r="H314" s="21">
        <v>703.69</v>
      </c>
      <c r="I314" s="20">
        <f>H314-G314</f>
        <v>13.180000000000064</v>
      </c>
      <c r="J314" s="616">
        <v>240000</v>
      </c>
      <c r="K314" s="696">
        <f>F314*I314*J314</f>
        <v>3163200.0000000154</v>
      </c>
      <c r="L314" s="22"/>
      <c r="M314" s="22"/>
      <c r="N314" s="82"/>
      <c r="O314" s="9"/>
    </row>
    <row r="315" spans="1:15" ht="15.5" x14ac:dyDescent="0.35">
      <c r="A315" s="631"/>
      <c r="B315" s="100" t="s">
        <v>1411</v>
      </c>
      <c r="C315" s="52">
        <v>33</v>
      </c>
      <c r="D315" s="2151"/>
      <c r="E315" s="52"/>
      <c r="F315" s="812">
        <v>1</v>
      </c>
      <c r="G315" s="21">
        <v>1470.4</v>
      </c>
      <c r="H315" s="21">
        <v>1481.8</v>
      </c>
      <c r="I315" s="20">
        <f>H315-G315</f>
        <v>11.399999999999864</v>
      </c>
      <c r="J315" s="616">
        <v>240000</v>
      </c>
      <c r="K315" s="696">
        <f>F315*I315*J315</f>
        <v>2735999.9999999674</v>
      </c>
      <c r="L315" s="22"/>
      <c r="M315" s="22"/>
      <c r="N315" s="82"/>
      <c r="O315" s="616"/>
    </row>
    <row r="316" spans="1:15" ht="15.5" x14ac:dyDescent="0.35">
      <c r="A316" s="631"/>
      <c r="B316" s="102"/>
      <c r="C316" s="91"/>
      <c r="D316" s="726"/>
      <c r="E316" s="91"/>
      <c r="F316" s="814"/>
      <c r="G316" s="48"/>
      <c r="H316" s="48"/>
      <c r="I316" s="48"/>
      <c r="J316" s="96" t="s">
        <v>30</v>
      </c>
      <c r="K316" s="658">
        <f>SUM(K314:K315)</f>
        <v>5899199.9999999832</v>
      </c>
      <c r="L316" s="43">
        <f>SUM(L314:L315)</f>
        <v>0</v>
      </c>
      <c r="M316" s="43">
        <f>SUM(M314:M315)</f>
        <v>0</v>
      </c>
      <c r="N316" s="646" t="e">
        <f>(M316-L316)/L316*100</f>
        <v>#DIV/0!</v>
      </c>
      <c r="O316" s="616"/>
    </row>
    <row r="317" spans="1:15" ht="15.5" x14ac:dyDescent="0.35">
      <c r="A317" s="616"/>
      <c r="B317" s="624" t="s">
        <v>1109</v>
      </c>
      <c r="C317" s="625"/>
      <c r="D317" s="695"/>
      <c r="E317" s="625"/>
      <c r="F317" s="804"/>
      <c r="G317" s="625"/>
      <c r="H317" s="625"/>
      <c r="I317" s="625"/>
      <c r="J317" s="732"/>
      <c r="K317" s="733"/>
      <c r="L317" s="734"/>
      <c r="M317" s="734"/>
      <c r="N317" s="627"/>
      <c r="O317" s="616"/>
    </row>
    <row r="318" spans="1:15" ht="15.5" x14ac:dyDescent="0.35">
      <c r="A318" s="616"/>
      <c r="B318" s="100" t="s">
        <v>291</v>
      </c>
      <c r="C318" s="52">
        <v>33</v>
      </c>
      <c r="D318" s="735" t="s">
        <v>698</v>
      </c>
      <c r="E318" s="52"/>
      <c r="F318" s="812">
        <v>1</v>
      </c>
      <c r="G318" s="21">
        <v>1163.8652</v>
      </c>
      <c r="H318" s="21">
        <v>1163.8652</v>
      </c>
      <c r="I318" s="20">
        <f>H318-G318</f>
        <v>0</v>
      </c>
      <c r="J318" s="616">
        <v>240000</v>
      </c>
      <c r="K318" s="696"/>
      <c r="L318" s="22">
        <f>J318*I318*F318</f>
        <v>0</v>
      </c>
      <c r="M318" s="22"/>
      <c r="N318" s="82"/>
      <c r="O318" s="12"/>
    </row>
    <row r="319" spans="1:15" ht="15.5" x14ac:dyDescent="0.35">
      <c r="A319" s="631"/>
      <c r="B319" s="102"/>
      <c r="C319" s="91"/>
      <c r="D319" s="726"/>
      <c r="E319" s="91"/>
      <c r="F319" s="814"/>
      <c r="G319" s="48"/>
      <c r="H319" s="48"/>
      <c r="I319" s="48"/>
      <c r="J319" s="96" t="s">
        <v>30</v>
      </c>
      <c r="K319" s="43">
        <f>SUM(K317:K318)</f>
        <v>0</v>
      </c>
      <c r="L319" s="43">
        <f>SUM(L317:L318)</f>
        <v>0</v>
      </c>
      <c r="M319" s="43">
        <f>SUM(M318)</f>
        <v>0</v>
      </c>
      <c r="N319" s="646" t="e">
        <f>(M319-L319)/L319*100</f>
        <v>#DIV/0!</v>
      </c>
      <c r="O319" s="616"/>
    </row>
    <row r="320" spans="1:15" ht="15.5" x14ac:dyDescent="0.35">
      <c r="A320" s="631"/>
      <c r="B320" s="624" t="s">
        <v>1413</v>
      </c>
      <c r="C320" s="625"/>
      <c r="D320" s="695"/>
      <c r="E320" s="625"/>
      <c r="F320" s="804"/>
      <c r="G320" s="625"/>
      <c r="H320" s="625"/>
      <c r="I320" s="625"/>
      <c r="J320" s="625"/>
      <c r="K320" s="695"/>
      <c r="L320" s="625"/>
      <c r="M320" s="626"/>
      <c r="N320" s="627"/>
      <c r="O320" s="616"/>
    </row>
    <row r="321" spans="1:15" ht="15.5" x14ac:dyDescent="0.35">
      <c r="A321" s="11"/>
      <c r="B321" s="100" t="s">
        <v>1414</v>
      </c>
      <c r="C321" s="52">
        <v>33</v>
      </c>
      <c r="D321" s="818" t="s">
        <v>698</v>
      </c>
      <c r="E321" s="52"/>
      <c r="F321" s="812">
        <v>1</v>
      </c>
      <c r="G321" s="21">
        <v>226957</v>
      </c>
      <c r="H321" s="21">
        <v>226957</v>
      </c>
      <c r="I321" s="20">
        <f>H321-G321</f>
        <v>0</v>
      </c>
      <c r="J321" s="616">
        <v>1000</v>
      </c>
      <c r="K321" s="696"/>
      <c r="L321" s="22">
        <f>J321*I321*F321</f>
        <v>0</v>
      </c>
      <c r="M321" s="22"/>
      <c r="N321" s="82"/>
      <c r="O321" s="9"/>
    </row>
    <row r="322" spans="1:15" ht="15.5" x14ac:dyDescent="0.35">
      <c r="A322" s="631"/>
      <c r="B322" s="102"/>
      <c r="C322" s="91"/>
      <c r="D322" s="726"/>
      <c r="E322" s="91"/>
      <c r="F322" s="814"/>
      <c r="G322" s="48"/>
      <c r="H322" s="48"/>
      <c r="I322" s="48"/>
      <c r="J322" s="96" t="s">
        <v>30</v>
      </c>
      <c r="K322" s="43">
        <f>SUM(K321:K321)</f>
        <v>0</v>
      </c>
      <c r="L322" s="43">
        <f>SUM(L321:L321)</f>
        <v>0</v>
      </c>
      <c r="M322" s="43">
        <f>SUM(M321:M321)</f>
        <v>0</v>
      </c>
      <c r="N322" s="646" t="e">
        <f>(M322-L322)/L322*100</f>
        <v>#DIV/0!</v>
      </c>
      <c r="O322" s="616"/>
    </row>
    <row r="323" spans="1:15" ht="15.5" x14ac:dyDescent="0.35">
      <c r="A323" s="616"/>
      <c r="B323" s="624" t="s">
        <v>1417</v>
      </c>
      <c r="C323" s="625"/>
      <c r="D323" s="695"/>
      <c r="E323" s="625"/>
      <c r="F323" s="804"/>
      <c r="G323" s="625"/>
      <c r="H323" s="625"/>
      <c r="I323" s="625"/>
      <c r="J323" s="732"/>
      <c r="K323" s="733"/>
      <c r="L323" s="734"/>
      <c r="M323" s="734"/>
      <c r="N323" s="627"/>
      <c r="O323" s="12"/>
    </row>
    <row r="324" spans="1:15" ht="15.5" x14ac:dyDescent="0.35">
      <c r="A324" s="616">
        <v>5</v>
      </c>
      <c r="B324" s="100" t="s">
        <v>3991</v>
      </c>
      <c r="C324" s="52" t="s">
        <v>3833</v>
      </c>
      <c r="D324" s="2220"/>
      <c r="E324" s="52" t="s">
        <v>3992</v>
      </c>
      <c r="F324" s="812">
        <v>1</v>
      </c>
      <c r="G324" s="21">
        <v>1857.9</v>
      </c>
      <c r="H324" s="21">
        <v>1875.37</v>
      </c>
      <c r="I324" s="20">
        <f>H324-G324</f>
        <v>17.4699999999998</v>
      </c>
      <c r="J324" s="616">
        <v>180000</v>
      </c>
      <c r="K324" s="696">
        <f>F324*I324*J324</f>
        <v>3144599.9999999641</v>
      </c>
      <c r="L324" s="22"/>
      <c r="M324" s="22"/>
      <c r="N324" s="82"/>
      <c r="O324" s="12"/>
    </row>
    <row r="325" spans="1:15" ht="15.5" x14ac:dyDescent="0.35">
      <c r="A325" s="616">
        <v>2</v>
      </c>
      <c r="B325" s="100" t="s">
        <v>3993</v>
      </c>
      <c r="C325" s="52" t="s">
        <v>3833</v>
      </c>
      <c r="D325" s="2221"/>
      <c r="E325" s="52" t="s">
        <v>3994</v>
      </c>
      <c r="F325" s="812">
        <v>1</v>
      </c>
      <c r="G325" s="21">
        <v>5095.57</v>
      </c>
      <c r="H325" s="21">
        <v>5110.72</v>
      </c>
      <c r="I325" s="20">
        <f>H325-G325</f>
        <v>15.150000000000546</v>
      </c>
      <c r="J325" s="616">
        <v>180000</v>
      </c>
      <c r="K325" s="696">
        <f>F325*I325*J325</f>
        <v>2727000.0000000983</v>
      </c>
      <c r="L325" s="22"/>
      <c r="M325" s="22"/>
      <c r="N325" s="82"/>
      <c r="O325" s="12"/>
    </row>
    <row r="326" spans="1:15" ht="15.5" x14ac:dyDescent="0.35">
      <c r="A326" s="616"/>
      <c r="B326" s="100" t="s">
        <v>1415</v>
      </c>
      <c r="C326" s="52">
        <v>33</v>
      </c>
      <c r="D326" s="2221"/>
      <c r="E326" s="52"/>
      <c r="F326" s="812">
        <v>1</v>
      </c>
      <c r="G326" s="21">
        <v>2063.69</v>
      </c>
      <c r="H326" s="21">
        <v>2063.69</v>
      </c>
      <c r="I326" s="20">
        <f>H326-G326</f>
        <v>0</v>
      </c>
      <c r="J326" s="616">
        <v>180000</v>
      </c>
      <c r="K326" s="696">
        <f>F326*I326*J326</f>
        <v>0</v>
      </c>
      <c r="L326" s="22"/>
      <c r="M326" s="22"/>
      <c r="N326" s="82"/>
      <c r="O326" s="12"/>
    </row>
    <row r="327" spans="1:15" ht="15.5" x14ac:dyDescent="0.35">
      <c r="A327" s="616"/>
      <c r="B327" s="102" t="s">
        <v>1416</v>
      </c>
      <c r="C327" s="52">
        <v>33</v>
      </c>
      <c r="D327" s="2222"/>
      <c r="E327" s="52"/>
      <c r="F327" s="812">
        <v>1</v>
      </c>
      <c r="G327" s="21">
        <v>361.91</v>
      </c>
      <c r="H327" s="21">
        <v>361.91</v>
      </c>
      <c r="I327" s="20">
        <f>H327-G327</f>
        <v>0</v>
      </c>
      <c r="J327" s="616">
        <v>180000</v>
      </c>
      <c r="K327" s="696">
        <f>F327*I327*J327</f>
        <v>0</v>
      </c>
      <c r="L327" s="22"/>
      <c r="M327" s="22"/>
      <c r="N327" s="85"/>
      <c r="O327" s="12"/>
    </row>
    <row r="328" spans="1:15" ht="15.5" x14ac:dyDescent="0.35">
      <c r="A328" s="616"/>
      <c r="B328" s="102"/>
      <c r="C328" s="91"/>
      <c r="D328" s="726"/>
      <c r="E328" s="91"/>
      <c r="F328" s="814"/>
      <c r="G328" s="48"/>
      <c r="H328" s="48"/>
      <c r="I328" s="36"/>
      <c r="J328" s="96" t="s">
        <v>30</v>
      </c>
      <c r="K328" s="658">
        <f>SUM(K324:K326)</f>
        <v>5871600.0000000624</v>
      </c>
      <c r="L328" s="43">
        <f>SUM(L324:L326)</f>
        <v>0</v>
      </c>
      <c r="M328" s="43">
        <f>SUM(M324:M326)</f>
        <v>0</v>
      </c>
      <c r="N328" s="85"/>
      <c r="O328" s="12"/>
    </row>
    <row r="329" spans="1:15" ht="15.5" x14ac:dyDescent="0.35">
      <c r="A329" s="616"/>
      <c r="B329" s="647" t="s">
        <v>1418</v>
      </c>
      <c r="C329" s="648"/>
      <c r="D329" s="700"/>
      <c r="E329" s="648"/>
      <c r="F329" s="807"/>
      <c r="G329" s="648"/>
      <c r="H329" s="648"/>
      <c r="I329" s="648"/>
      <c r="J329" s="648"/>
      <c r="K329" s="700"/>
      <c r="L329" s="648"/>
      <c r="M329" s="651"/>
      <c r="N329" s="649"/>
      <c r="O329" s="8"/>
    </row>
    <row r="330" spans="1:15" ht="15.5" x14ac:dyDescent="0.35">
      <c r="A330" s="616"/>
      <c r="B330" s="100" t="s">
        <v>1079</v>
      </c>
      <c r="C330" s="52">
        <v>132</v>
      </c>
      <c r="D330" s="2138" t="s">
        <v>1083</v>
      </c>
      <c r="E330" s="615"/>
      <c r="F330" s="812"/>
      <c r="G330" s="5"/>
      <c r="H330" s="5"/>
      <c r="I330" s="5"/>
      <c r="J330" s="616"/>
      <c r="K330" s="696"/>
      <c r="L330" s="16">
        <f>J330*I330*F330</f>
        <v>0</v>
      </c>
      <c r="M330" s="7"/>
      <c r="N330" s="78"/>
      <c r="O330" s="616"/>
    </row>
    <row r="331" spans="1:15" ht="15.5" x14ac:dyDescent="0.35">
      <c r="A331" s="616"/>
      <c r="B331" s="100" t="s">
        <v>1078</v>
      </c>
      <c r="C331" s="52">
        <v>132</v>
      </c>
      <c r="D331" s="2139"/>
      <c r="E331" s="615"/>
      <c r="F331" s="812"/>
      <c r="G331" s="5"/>
      <c r="H331" s="5"/>
      <c r="I331" s="5"/>
      <c r="J331" s="616"/>
      <c r="K331" s="696"/>
      <c r="L331" s="16">
        <f>J331*I331*F331</f>
        <v>0</v>
      </c>
      <c r="M331" s="16"/>
      <c r="N331" s="79"/>
      <c r="O331" s="616"/>
    </row>
    <row r="332" spans="1:15" ht="15.5" x14ac:dyDescent="0.35">
      <c r="A332" s="616"/>
      <c r="B332" s="95"/>
      <c r="C332" s="89"/>
      <c r="D332" s="1846"/>
      <c r="E332" s="89"/>
      <c r="F332" s="806"/>
      <c r="G332" s="37"/>
      <c r="H332" s="37"/>
      <c r="I332" s="37"/>
      <c r="J332" s="95" t="s">
        <v>279</v>
      </c>
      <c r="K332" s="699"/>
      <c r="L332" s="55">
        <f>SUM(L330:L331)</f>
        <v>0</v>
      </c>
      <c r="M332" s="633"/>
      <c r="N332" s="634"/>
      <c r="O332" s="616"/>
    </row>
    <row r="333" spans="1:15" ht="15.5" x14ac:dyDescent="0.35">
      <c r="A333" s="616"/>
      <c r="B333" s="102"/>
      <c r="C333" s="91"/>
      <c r="D333" s="726"/>
      <c r="E333" s="91"/>
      <c r="F333" s="814"/>
      <c r="G333" s="48"/>
      <c r="H333" s="48"/>
      <c r="I333" s="36"/>
      <c r="J333" s="96"/>
      <c r="K333" s="706"/>
      <c r="L333" s="43"/>
      <c r="M333" s="43"/>
      <c r="N333" s="85"/>
      <c r="O333" s="12"/>
    </row>
    <row r="334" spans="1:15" ht="15.5" x14ac:dyDescent="0.35">
      <c r="A334" s="636"/>
      <c r="B334" s="647" t="s">
        <v>1419</v>
      </c>
      <c r="C334" s="648"/>
      <c r="D334" s="700"/>
      <c r="E334" s="648"/>
      <c r="F334" s="807"/>
      <c r="G334" s="648"/>
      <c r="H334" s="648"/>
      <c r="I334" s="648"/>
      <c r="J334" s="50"/>
      <c r="K334" s="710"/>
      <c r="L334" s="51"/>
      <c r="M334" s="51"/>
      <c r="N334" s="649"/>
      <c r="O334" s="12"/>
    </row>
    <row r="335" spans="1:15" ht="15.75" customHeight="1" x14ac:dyDescent="0.35">
      <c r="A335" s="616"/>
      <c r="B335" s="100" t="s">
        <v>34</v>
      </c>
      <c r="C335" s="52">
        <v>33</v>
      </c>
      <c r="D335" s="1924" t="s">
        <v>1085</v>
      </c>
      <c r="E335" s="52"/>
      <c r="F335" s="812">
        <v>1</v>
      </c>
      <c r="G335" s="21"/>
      <c r="H335" s="21"/>
      <c r="I335" s="21">
        <f>H335-G335</f>
        <v>0</v>
      </c>
      <c r="J335" s="31"/>
      <c r="K335" s="707"/>
      <c r="L335" s="22">
        <f>J335*I335*F335</f>
        <v>0</v>
      </c>
      <c r="M335" s="22"/>
      <c r="N335" s="83"/>
      <c r="O335" s="12"/>
    </row>
    <row r="336" spans="1:15" ht="15.5" x14ac:dyDescent="0.35">
      <c r="A336" s="616"/>
      <c r="B336" s="100" t="s">
        <v>35</v>
      </c>
      <c r="C336" s="52">
        <v>33</v>
      </c>
      <c r="D336" s="1925"/>
      <c r="E336" s="52"/>
      <c r="F336" s="812">
        <v>1</v>
      </c>
      <c r="G336" s="21"/>
      <c r="H336" s="21"/>
      <c r="I336" s="21">
        <f>H336-G336</f>
        <v>0</v>
      </c>
      <c r="J336" s="31"/>
      <c r="K336" s="707"/>
      <c r="L336" s="22">
        <f>J336*I336*F336</f>
        <v>0</v>
      </c>
      <c r="M336" s="22"/>
      <c r="N336" s="83"/>
      <c r="O336" s="12"/>
    </row>
    <row r="337" spans="1:15" ht="15" x14ac:dyDescent="0.35">
      <c r="A337" s="636"/>
      <c r="B337" s="96"/>
      <c r="C337" s="90"/>
      <c r="D337" s="96"/>
      <c r="E337" s="90"/>
      <c r="F337" s="813"/>
      <c r="G337" s="38"/>
      <c r="H337" s="38"/>
      <c r="I337" s="38"/>
      <c r="J337" s="96" t="s">
        <v>30</v>
      </c>
      <c r="K337" s="708"/>
      <c r="L337" s="43">
        <f>SUM(L335:L336)</f>
        <v>0</v>
      </c>
      <c r="M337" s="43">
        <f>SUM(M335:M336)</f>
        <v>0</v>
      </c>
      <c r="N337" s="650" t="e">
        <f>(M337-L337)/L337*100</f>
        <v>#DIV/0!</v>
      </c>
      <c r="O337" s="12"/>
    </row>
    <row r="338" spans="1:15" ht="15.5" thickBot="1" x14ac:dyDescent="0.4">
      <c r="A338" s="702"/>
      <c r="B338" s="736"/>
      <c r="C338" s="92"/>
      <c r="D338" s="736"/>
      <c r="E338" s="92"/>
      <c r="F338" s="815"/>
      <c r="G338" s="737"/>
      <c r="H338" s="737"/>
      <c r="I338" s="737"/>
      <c r="J338" s="736"/>
      <c r="K338" s="738"/>
      <c r="L338" s="739"/>
      <c r="M338" s="739"/>
      <c r="N338" s="646"/>
      <c r="O338" s="740"/>
    </row>
    <row r="339" spans="1:15" ht="15" x14ac:dyDescent="0.35">
      <c r="A339" s="702"/>
      <c r="B339" s="2142" t="s">
        <v>1090</v>
      </c>
      <c r="C339" s="2143"/>
      <c r="D339" s="683" t="s">
        <v>14</v>
      </c>
      <c r="F339" s="2144" t="s">
        <v>1091</v>
      </c>
      <c r="G339" s="2145"/>
      <c r="H339" s="2146"/>
      <c r="I339" s="683" t="s">
        <v>14</v>
      </c>
      <c r="J339" s="620"/>
      <c r="K339" s="2147" t="s">
        <v>1092</v>
      </c>
      <c r="L339" s="2148"/>
      <c r="M339" s="684" t="s">
        <v>14</v>
      </c>
      <c r="N339" s="646"/>
      <c r="O339" s="740"/>
    </row>
    <row r="340" spans="1:15" ht="15" x14ac:dyDescent="0.35">
      <c r="A340" s="702"/>
      <c r="B340" s="2122" t="str">
        <f>B313</f>
        <v>Dhanmondi 33 KV SIDE</v>
      </c>
      <c r="C340" s="2123"/>
      <c r="D340" s="689">
        <f>M316</f>
        <v>0</v>
      </c>
      <c r="F340" s="2124" t="s">
        <v>1093</v>
      </c>
      <c r="G340" s="2125"/>
      <c r="H340" s="2126"/>
      <c r="I340" s="685">
        <f>L332</f>
        <v>0</v>
      </c>
      <c r="J340" s="620"/>
      <c r="K340" s="2160" t="str">
        <f>F341</f>
        <v>KAKRAIL 33 KV NET IMPORT</v>
      </c>
      <c r="L340" s="2161"/>
      <c r="M340" s="687">
        <f>I341</f>
        <v>0</v>
      </c>
      <c r="N340" s="646"/>
      <c r="O340" s="740"/>
    </row>
    <row r="341" spans="1:15" ht="15" x14ac:dyDescent="0.35">
      <c r="A341" s="702"/>
      <c r="B341" s="2122" t="str">
        <f>B317</f>
        <v>ULLON 33 KV SIDE</v>
      </c>
      <c r="C341" s="2123"/>
      <c r="D341" s="741">
        <f>M319</f>
        <v>0</v>
      </c>
      <c r="F341" s="2124" t="s">
        <v>1420</v>
      </c>
      <c r="G341" s="2125"/>
      <c r="H341" s="2126"/>
      <c r="I341" s="685">
        <f>D344-I340</f>
        <v>0</v>
      </c>
      <c r="J341" s="620"/>
      <c r="K341" s="2162" t="s">
        <v>1421</v>
      </c>
      <c r="L341" s="2163"/>
      <c r="M341" s="685">
        <f>M373</f>
        <v>0</v>
      </c>
      <c r="N341" s="646"/>
      <c r="O341" s="740"/>
    </row>
    <row r="342" spans="1:15" ht="15" x14ac:dyDescent="0.35">
      <c r="A342" s="702"/>
      <c r="B342" s="2122" t="str">
        <f>B320</f>
        <v>Taltola 33 KV SIDE</v>
      </c>
      <c r="C342" s="2123"/>
      <c r="D342" s="741">
        <f>M322</f>
        <v>0</v>
      </c>
      <c r="F342" s="2124" t="s">
        <v>1089</v>
      </c>
      <c r="G342" s="2125"/>
      <c r="H342" s="2126"/>
      <c r="I342" s="685">
        <f>I340+I341</f>
        <v>0</v>
      </c>
      <c r="J342" s="620"/>
      <c r="K342" s="2127" t="s">
        <v>284</v>
      </c>
      <c r="L342" s="2128"/>
      <c r="M342" s="685">
        <f>M340-M341</f>
        <v>0</v>
      </c>
      <c r="N342" s="646"/>
      <c r="O342" s="740"/>
    </row>
    <row r="343" spans="1:15" ht="16" thickBot="1" x14ac:dyDescent="0.4">
      <c r="A343" s="702"/>
      <c r="B343" s="2122" t="s">
        <v>1118</v>
      </c>
      <c r="C343" s="2123"/>
      <c r="D343" s="722"/>
      <c r="F343" s="2113" t="s">
        <v>1102</v>
      </c>
      <c r="G343" s="2114"/>
      <c r="H343" s="2115"/>
      <c r="I343" s="690" t="e">
        <f>(D344-I342)/I342</f>
        <v>#DIV/0!</v>
      </c>
      <c r="J343" s="620"/>
      <c r="K343" s="2134" t="s">
        <v>285</v>
      </c>
      <c r="L343" s="2135"/>
      <c r="M343" s="688" t="e">
        <f>M342/M340</f>
        <v>#DIV/0!</v>
      </c>
      <c r="N343" s="646"/>
      <c r="O343" s="740"/>
    </row>
    <row r="344" spans="1:15" ht="15.5" thickBot="1" x14ac:dyDescent="0.4">
      <c r="A344" s="702"/>
      <c r="B344" s="2158" t="s">
        <v>1082</v>
      </c>
      <c r="C344" s="2159"/>
      <c r="D344" s="686">
        <f>SUM(D340:D342)</f>
        <v>0</v>
      </c>
      <c r="F344" s="810"/>
      <c r="G344" s="620"/>
      <c r="H344" s="620"/>
      <c r="I344" s="620"/>
      <c r="J344" s="620"/>
      <c r="K344" s="702"/>
      <c r="L344" s="620"/>
      <c r="M344" s="620"/>
      <c r="N344" s="646"/>
      <c r="O344" s="740"/>
    </row>
    <row r="345" spans="1:15" ht="15" x14ac:dyDescent="0.35">
      <c r="A345" s="702"/>
      <c r="B345" s="736"/>
      <c r="C345" s="92"/>
      <c r="D345" s="736"/>
      <c r="E345" s="92"/>
      <c r="F345" s="815"/>
      <c r="G345" s="737"/>
      <c r="H345" s="737"/>
      <c r="I345" s="737"/>
      <c r="J345" s="736"/>
      <c r="K345" s="738"/>
      <c r="L345" s="739"/>
      <c r="M345" s="739"/>
      <c r="N345" s="646"/>
      <c r="O345" s="740"/>
    </row>
    <row r="346" spans="1:15" x14ac:dyDescent="0.35">
      <c r="A346" s="620"/>
      <c r="B346" s="632"/>
      <c r="C346" s="620"/>
      <c r="D346" s="2014"/>
      <c r="E346" s="620"/>
      <c r="F346" s="810"/>
      <c r="G346" s="620"/>
      <c r="H346" s="620"/>
      <c r="I346" s="620"/>
      <c r="J346" s="620"/>
      <c r="K346" s="702"/>
      <c r="L346" s="620"/>
      <c r="M346" s="620"/>
      <c r="N346" s="620"/>
      <c r="O346" s="620"/>
    </row>
    <row r="347" spans="1:15" x14ac:dyDescent="0.35">
      <c r="A347" s="620"/>
      <c r="B347" s="632"/>
      <c r="C347" s="620"/>
      <c r="D347" s="2014"/>
      <c r="E347" s="620"/>
      <c r="F347" s="810"/>
      <c r="G347" s="620"/>
      <c r="H347" s="620"/>
      <c r="I347" s="620"/>
      <c r="J347" s="620"/>
      <c r="K347" s="702"/>
      <c r="L347" s="620"/>
      <c r="M347" s="620"/>
      <c r="N347" s="620"/>
      <c r="O347" s="620"/>
    </row>
    <row r="348" spans="1:15" ht="30" x14ac:dyDescent="0.35">
      <c r="A348" s="2219" t="s">
        <v>1166</v>
      </c>
      <c r="B348" s="2219"/>
      <c r="C348" s="2219"/>
      <c r="D348" s="2219"/>
      <c r="E348" s="2219"/>
      <c r="F348" s="2219"/>
      <c r="G348" s="2219"/>
      <c r="H348" s="2219"/>
      <c r="I348" s="2219"/>
      <c r="J348" s="2219"/>
      <c r="K348" s="2219"/>
      <c r="L348" s="2219"/>
      <c r="M348" s="2219"/>
      <c r="N348" s="2219"/>
      <c r="O348" s="756" t="e">
        <f>$O$6</f>
        <v>#REF!</v>
      </c>
    </row>
    <row r="349" spans="1:15" ht="15.5" x14ac:dyDescent="0.35">
      <c r="A349" s="2096" t="s">
        <v>0</v>
      </c>
      <c r="B349" s="2098" t="s">
        <v>1</v>
      </c>
      <c r="C349" s="2100" t="s">
        <v>2</v>
      </c>
      <c r="D349" s="2101"/>
      <c r="E349" s="2102"/>
      <c r="F349" s="2216" t="s">
        <v>3</v>
      </c>
      <c r="G349" s="2100" t="s">
        <v>4</v>
      </c>
      <c r="H349" s="2102"/>
      <c r="I349" s="2085"/>
      <c r="J349" s="2103" t="s">
        <v>5</v>
      </c>
      <c r="K349" s="2100" t="s">
        <v>6</v>
      </c>
      <c r="L349" s="2085"/>
      <c r="M349" s="97" t="s">
        <v>32</v>
      </c>
      <c r="N349" s="98"/>
      <c r="O349" s="2084" t="s">
        <v>7</v>
      </c>
    </row>
    <row r="350" spans="1:15" ht="15.5" x14ac:dyDescent="0.35">
      <c r="A350" s="2097"/>
      <c r="B350" s="2099"/>
      <c r="C350" s="2086" t="s">
        <v>1108</v>
      </c>
      <c r="D350" s="2087"/>
      <c r="E350" s="87" t="s">
        <v>9</v>
      </c>
      <c r="F350" s="2217"/>
      <c r="G350" s="2">
        <f>'NORTH-1'!$G$8</f>
        <v>44774</v>
      </c>
      <c r="H350" s="2">
        <f>'NORTH-1'!$H$8</f>
        <v>44805</v>
      </c>
      <c r="I350" s="1" t="s">
        <v>10</v>
      </c>
      <c r="J350" s="2097"/>
      <c r="K350" s="1" t="s">
        <v>11</v>
      </c>
      <c r="L350" s="1" t="s">
        <v>12</v>
      </c>
      <c r="M350" s="617" t="s">
        <v>33</v>
      </c>
      <c r="N350" s="76" t="s">
        <v>47</v>
      </c>
      <c r="O350" s="2085"/>
    </row>
    <row r="351" spans="1:15" ht="15.5" x14ac:dyDescent="0.35">
      <c r="A351" s="3">
        <v>1</v>
      </c>
      <c r="B351" s="88">
        <v>2</v>
      </c>
      <c r="C351" s="2088">
        <v>4</v>
      </c>
      <c r="D351" s="2089"/>
      <c r="E351" s="88">
        <v>5</v>
      </c>
      <c r="F351" s="803">
        <v>7</v>
      </c>
      <c r="G351" s="3">
        <v>8</v>
      </c>
      <c r="H351" s="3">
        <v>9</v>
      </c>
      <c r="I351" s="3" t="s">
        <v>13</v>
      </c>
      <c r="J351" s="3">
        <v>11</v>
      </c>
      <c r="K351" s="3" t="s">
        <v>19</v>
      </c>
      <c r="L351" s="3" t="s">
        <v>20</v>
      </c>
      <c r="M351" s="3">
        <v>14</v>
      </c>
      <c r="N351" s="77">
        <v>15</v>
      </c>
      <c r="O351" s="3">
        <v>16</v>
      </c>
    </row>
    <row r="352" spans="1:15" ht="15.5" x14ac:dyDescent="0.35">
      <c r="A352" s="631"/>
      <c r="B352" s="624" t="s">
        <v>1472</v>
      </c>
      <c r="C352" s="625"/>
      <c r="D352" s="695"/>
      <c r="E352" s="625"/>
      <c r="F352" s="804"/>
      <c r="G352" s="625"/>
      <c r="H352" s="625"/>
      <c r="I352" s="625"/>
      <c r="J352" s="625"/>
      <c r="K352" s="695"/>
      <c r="L352" s="625"/>
      <c r="M352" s="626"/>
      <c r="N352" s="627"/>
      <c r="O352" s="616"/>
    </row>
    <row r="353" spans="1:15" ht="15.5" x14ac:dyDescent="0.35">
      <c r="A353" s="631">
        <v>14</v>
      </c>
      <c r="B353" s="100" t="s">
        <v>3987</v>
      </c>
      <c r="C353" s="52" t="s">
        <v>3872</v>
      </c>
      <c r="D353" s="818"/>
      <c r="E353" s="52" t="s">
        <v>3988</v>
      </c>
      <c r="F353" s="812">
        <v>1</v>
      </c>
      <c r="G353" s="21">
        <v>15351.8</v>
      </c>
      <c r="H353" s="21">
        <v>15705.5</v>
      </c>
      <c r="I353" s="21">
        <f>H353-G353</f>
        <v>353.70000000000073</v>
      </c>
      <c r="J353" s="616">
        <v>8888.89</v>
      </c>
      <c r="K353" s="696">
        <f>F353*I353*J353</f>
        <v>3144000.3930000062</v>
      </c>
      <c r="L353" s="22"/>
      <c r="M353" s="22"/>
      <c r="N353" s="82"/>
      <c r="O353" s="616"/>
    </row>
    <row r="354" spans="1:15" ht="15.5" x14ac:dyDescent="0.35">
      <c r="A354" s="631">
        <v>15</v>
      </c>
      <c r="B354" s="100" t="s">
        <v>3989</v>
      </c>
      <c r="C354" s="52" t="s">
        <v>3872</v>
      </c>
      <c r="D354" s="1444"/>
      <c r="E354" s="52" t="s">
        <v>3990</v>
      </c>
      <c r="F354" s="812">
        <v>1</v>
      </c>
      <c r="G354" s="21">
        <v>1917.7</v>
      </c>
      <c r="H354" s="21">
        <v>2219.9</v>
      </c>
      <c r="I354" s="21">
        <f>H354-G354</f>
        <v>302.20000000000005</v>
      </c>
      <c r="J354" s="616">
        <v>8888.89</v>
      </c>
      <c r="K354" s="696">
        <f>F354*I354*J354</f>
        <v>2686222.5580000002</v>
      </c>
      <c r="L354" s="22"/>
      <c r="M354" s="22"/>
      <c r="N354" s="82"/>
      <c r="O354" s="616"/>
    </row>
    <row r="355" spans="1:15" ht="15.5" x14ac:dyDescent="0.35">
      <c r="A355" s="631"/>
      <c r="B355" s="102"/>
      <c r="C355" s="91"/>
      <c r="D355" s="726"/>
      <c r="E355" s="91"/>
      <c r="F355" s="814"/>
      <c r="G355" s="48"/>
      <c r="H355" s="48"/>
      <c r="I355" s="48"/>
      <c r="J355" s="39" t="s">
        <v>30</v>
      </c>
      <c r="K355" s="658">
        <f>SUM(K353:K354)</f>
        <v>5830222.9510000069</v>
      </c>
      <c r="L355" s="49"/>
      <c r="M355" s="43">
        <f>SUM(M353:M354)</f>
        <v>0</v>
      </c>
      <c r="N355" s="85"/>
      <c r="O355" s="616"/>
    </row>
    <row r="356" spans="1:15" ht="15.5" x14ac:dyDescent="0.35">
      <c r="A356" s="631"/>
      <c r="B356" s="647" t="s">
        <v>1472</v>
      </c>
      <c r="C356" s="648"/>
      <c r="D356" s="700"/>
      <c r="E356" s="648"/>
      <c r="F356" s="807"/>
      <c r="G356" s="648"/>
      <c r="H356" s="648"/>
      <c r="I356" s="648"/>
      <c r="J356" s="50"/>
      <c r="K356" s="710"/>
      <c r="L356" s="51"/>
      <c r="M356" s="51"/>
      <c r="N356" s="649"/>
      <c r="O356" s="616"/>
    </row>
    <row r="357" spans="1:15" ht="21.75" customHeight="1" x14ac:dyDescent="0.35">
      <c r="A357" s="631">
        <v>7</v>
      </c>
      <c r="B357" s="100" t="s">
        <v>3995</v>
      </c>
      <c r="C357" s="73" t="s">
        <v>3872</v>
      </c>
      <c r="D357" s="1768"/>
      <c r="E357" s="52" t="s">
        <v>3996</v>
      </c>
      <c r="F357" s="812">
        <v>1</v>
      </c>
      <c r="G357" s="6">
        <v>23240.92</v>
      </c>
      <c r="H357" s="6">
        <v>23289.99</v>
      </c>
      <c r="I357" s="20">
        <f t="shared" ref="I357:I372" si="13">H357-G357</f>
        <v>49.070000000003347</v>
      </c>
      <c r="J357" s="616">
        <v>8000</v>
      </c>
      <c r="K357" s="703"/>
      <c r="L357" s="22">
        <f t="shared" ref="L357:L370" si="14">F357*I357*J357</f>
        <v>392560.00000002678</v>
      </c>
      <c r="M357" s="22"/>
      <c r="N357" s="72" t="s">
        <v>111</v>
      </c>
      <c r="O357" s="15"/>
    </row>
    <row r="358" spans="1:15" ht="21.75" customHeight="1" x14ac:dyDescent="0.35">
      <c r="A358" s="631">
        <v>8</v>
      </c>
      <c r="B358" s="100" t="s">
        <v>3997</v>
      </c>
      <c r="C358" s="73" t="s">
        <v>3872</v>
      </c>
      <c r="D358" s="1769"/>
      <c r="E358" s="52" t="s">
        <v>3998</v>
      </c>
      <c r="F358" s="812">
        <v>1</v>
      </c>
      <c r="G358" s="6">
        <v>61973.3</v>
      </c>
      <c r="H358" s="6">
        <v>63811.8</v>
      </c>
      <c r="I358" s="20">
        <f t="shared" si="13"/>
        <v>1838.5</v>
      </c>
      <c r="J358" s="616">
        <v>444.44</v>
      </c>
      <c r="K358" s="703"/>
      <c r="L358" s="22">
        <f t="shared" si="14"/>
        <v>817102.94</v>
      </c>
      <c r="M358" s="22"/>
      <c r="N358" s="72" t="s">
        <v>114</v>
      </c>
      <c r="O358" s="15"/>
    </row>
    <row r="359" spans="1:15" ht="21.75" customHeight="1" x14ac:dyDescent="0.35">
      <c r="A359" s="631">
        <v>9</v>
      </c>
      <c r="B359" s="100" t="s">
        <v>3999</v>
      </c>
      <c r="C359" s="73" t="s">
        <v>3872</v>
      </c>
      <c r="D359" s="1769"/>
      <c r="E359" s="52" t="s">
        <v>4000</v>
      </c>
      <c r="F359" s="812">
        <v>1</v>
      </c>
      <c r="G359" s="6">
        <v>12145.9</v>
      </c>
      <c r="H359" s="6">
        <v>12194.6</v>
      </c>
      <c r="I359" s="20">
        <f t="shared" si="13"/>
        <v>48.700000000000728</v>
      </c>
      <c r="J359" s="616">
        <v>2222.2199999999998</v>
      </c>
      <c r="K359" s="703"/>
      <c r="L359" s="22">
        <f t="shared" si="14"/>
        <v>108222.1140000016</v>
      </c>
      <c r="M359" s="22"/>
      <c r="N359" s="72" t="s">
        <v>109</v>
      </c>
      <c r="O359" s="15"/>
    </row>
    <row r="360" spans="1:15" ht="21.75" customHeight="1" x14ac:dyDescent="0.35">
      <c r="A360" s="631">
        <v>10</v>
      </c>
      <c r="B360" s="100" t="s">
        <v>4001</v>
      </c>
      <c r="C360" s="73" t="s">
        <v>3872</v>
      </c>
      <c r="D360" s="1769"/>
      <c r="E360" s="52">
        <v>9119865</v>
      </c>
      <c r="F360" s="812">
        <v>1</v>
      </c>
      <c r="G360" s="6">
        <v>50852.4</v>
      </c>
      <c r="H360" s="6">
        <v>52141</v>
      </c>
      <c r="I360" s="20">
        <f t="shared" si="13"/>
        <v>1288.5999999999985</v>
      </c>
      <c r="J360" s="616">
        <v>1000</v>
      </c>
      <c r="K360" s="703"/>
      <c r="L360" s="22">
        <f t="shared" si="14"/>
        <v>1288599.9999999986</v>
      </c>
      <c r="M360" s="22"/>
      <c r="N360" s="72" t="s">
        <v>109</v>
      </c>
      <c r="O360" s="15"/>
    </row>
    <row r="361" spans="1:15" ht="32.25" customHeight="1" x14ac:dyDescent="0.35">
      <c r="A361" s="631">
        <v>11</v>
      </c>
      <c r="B361" s="1932" t="s">
        <v>4653</v>
      </c>
      <c r="C361" s="73" t="s">
        <v>3872</v>
      </c>
      <c r="D361" s="1769"/>
      <c r="E361" s="52" t="s">
        <v>4002</v>
      </c>
      <c r="F361" s="812">
        <v>1</v>
      </c>
      <c r="G361" s="6">
        <v>54118.1</v>
      </c>
      <c r="H361" s="6">
        <v>54118.1</v>
      </c>
      <c r="I361" s="20">
        <f t="shared" si="13"/>
        <v>0</v>
      </c>
      <c r="J361" s="616">
        <v>1000</v>
      </c>
      <c r="K361" s="703"/>
      <c r="L361" s="22">
        <f t="shared" si="14"/>
        <v>0</v>
      </c>
      <c r="M361" s="22"/>
      <c r="N361" s="72" t="s">
        <v>114</v>
      </c>
      <c r="O361" s="15" t="s">
        <v>237</v>
      </c>
    </row>
    <row r="362" spans="1:15" ht="21.75" customHeight="1" x14ac:dyDescent="0.35">
      <c r="A362" s="631">
        <v>12</v>
      </c>
      <c r="B362" s="100" t="s">
        <v>4003</v>
      </c>
      <c r="C362" s="73" t="s">
        <v>3872</v>
      </c>
      <c r="D362" s="1769"/>
      <c r="E362" s="52">
        <v>1025651</v>
      </c>
      <c r="F362" s="812">
        <v>1</v>
      </c>
      <c r="G362" s="6">
        <v>27698.799999999999</v>
      </c>
      <c r="H362" s="6">
        <v>27805.3</v>
      </c>
      <c r="I362" s="20">
        <f t="shared" si="13"/>
        <v>106.5</v>
      </c>
      <c r="J362" s="616">
        <v>1000</v>
      </c>
      <c r="K362" s="703"/>
      <c r="L362" s="22">
        <f t="shared" si="14"/>
        <v>106500</v>
      </c>
      <c r="M362" s="22"/>
      <c r="N362" s="72" t="s">
        <v>111</v>
      </c>
      <c r="O362" s="15"/>
    </row>
    <row r="363" spans="1:15" ht="21.75" customHeight="1" x14ac:dyDescent="0.35">
      <c r="A363" s="631">
        <v>13</v>
      </c>
      <c r="B363" s="100" t="s">
        <v>4004</v>
      </c>
      <c r="C363" s="73" t="s">
        <v>3872</v>
      </c>
      <c r="D363" s="1769"/>
      <c r="E363" s="52" t="s">
        <v>4005</v>
      </c>
      <c r="F363" s="812">
        <v>1</v>
      </c>
      <c r="G363" s="6">
        <v>16809.5</v>
      </c>
      <c r="H363" s="6">
        <v>16809.5</v>
      </c>
      <c r="I363" s="20">
        <f t="shared" si="13"/>
        <v>0</v>
      </c>
      <c r="J363" s="616">
        <v>2222.2199999999998</v>
      </c>
      <c r="K363" s="703"/>
      <c r="L363" s="22">
        <f t="shared" si="14"/>
        <v>0</v>
      </c>
      <c r="M363" s="22"/>
      <c r="N363" s="72" t="s">
        <v>111</v>
      </c>
      <c r="O363" s="15"/>
    </row>
    <row r="364" spans="1:15" ht="21.75" customHeight="1" x14ac:dyDescent="0.35">
      <c r="A364" s="631">
        <v>16</v>
      </c>
      <c r="B364" s="100" t="s">
        <v>4006</v>
      </c>
      <c r="C364" s="73" t="s">
        <v>3872</v>
      </c>
      <c r="D364" s="1769"/>
      <c r="E364" s="52" t="s">
        <v>4007</v>
      </c>
      <c r="F364" s="812">
        <v>1</v>
      </c>
      <c r="G364" s="6">
        <v>5434.29</v>
      </c>
      <c r="H364" s="6">
        <v>5454.68</v>
      </c>
      <c r="I364" s="20">
        <f t="shared" si="13"/>
        <v>20.390000000000327</v>
      </c>
      <c r="J364" s="616">
        <v>40000</v>
      </c>
      <c r="K364" s="703"/>
      <c r="L364" s="22">
        <f t="shared" si="14"/>
        <v>815600.00000001304</v>
      </c>
      <c r="M364" s="22"/>
      <c r="N364" s="72" t="s">
        <v>114</v>
      </c>
      <c r="O364" s="15"/>
    </row>
    <row r="365" spans="1:15" ht="21.75" customHeight="1" x14ac:dyDescent="0.35">
      <c r="A365" s="631">
        <v>17</v>
      </c>
      <c r="B365" s="100" t="s">
        <v>4008</v>
      </c>
      <c r="C365" s="73" t="s">
        <v>3872</v>
      </c>
      <c r="D365" s="1769"/>
      <c r="E365" s="52">
        <v>9119867</v>
      </c>
      <c r="F365" s="812">
        <v>1</v>
      </c>
      <c r="G365" s="6">
        <v>31865.1</v>
      </c>
      <c r="H365" s="6">
        <v>31865.1</v>
      </c>
      <c r="I365" s="20">
        <f t="shared" si="13"/>
        <v>0</v>
      </c>
      <c r="J365" s="616">
        <v>1000</v>
      </c>
      <c r="K365" s="703"/>
      <c r="L365" s="22">
        <f t="shared" si="14"/>
        <v>0</v>
      </c>
      <c r="M365" s="22"/>
      <c r="N365" s="72" t="s">
        <v>109</v>
      </c>
      <c r="O365" s="15"/>
    </row>
    <row r="366" spans="1:15" ht="21.75" customHeight="1" x14ac:dyDescent="0.35">
      <c r="A366" s="631">
        <v>18</v>
      </c>
      <c r="B366" s="100" t="s">
        <v>4009</v>
      </c>
      <c r="C366" s="73" t="s">
        <v>3872</v>
      </c>
      <c r="D366" s="1769"/>
      <c r="E366" s="52" t="s">
        <v>4010</v>
      </c>
      <c r="F366" s="812">
        <v>1</v>
      </c>
      <c r="G366" s="6">
        <v>77043.399999999994</v>
      </c>
      <c r="H366" s="6">
        <v>77043.399999999994</v>
      </c>
      <c r="I366" s="20">
        <f t="shared" si="13"/>
        <v>0</v>
      </c>
      <c r="J366" s="616">
        <v>2222.2199999999998</v>
      </c>
      <c r="K366" s="703"/>
      <c r="L366" s="22">
        <f t="shared" si="14"/>
        <v>0</v>
      </c>
      <c r="M366" s="22"/>
      <c r="N366" s="72" t="s">
        <v>109</v>
      </c>
      <c r="O366" s="15"/>
    </row>
    <row r="367" spans="1:15" ht="21.75" customHeight="1" x14ac:dyDescent="0.35">
      <c r="A367" s="631">
        <v>19</v>
      </c>
      <c r="B367" s="100" t="s">
        <v>4011</v>
      </c>
      <c r="C367" s="73" t="s">
        <v>3872</v>
      </c>
      <c r="D367" s="1769"/>
      <c r="E367" s="52" t="s">
        <v>4012</v>
      </c>
      <c r="F367" s="812">
        <v>1</v>
      </c>
      <c r="G367" s="6">
        <v>52097.5</v>
      </c>
      <c r="H367" s="6">
        <v>52539.199999999997</v>
      </c>
      <c r="I367" s="20">
        <f t="shared" si="13"/>
        <v>441.69999999999709</v>
      </c>
      <c r="J367" s="616">
        <v>2222.2199999999998</v>
      </c>
      <c r="K367" s="703"/>
      <c r="L367" s="22">
        <f t="shared" si="14"/>
        <v>981554.57399999339</v>
      </c>
      <c r="M367" s="22"/>
      <c r="N367" s="72" t="s">
        <v>109</v>
      </c>
      <c r="O367" s="15"/>
    </row>
    <row r="368" spans="1:15" ht="21.75" customHeight="1" x14ac:dyDescent="0.35">
      <c r="A368" s="631">
        <v>20</v>
      </c>
      <c r="B368" s="100" t="s">
        <v>4013</v>
      </c>
      <c r="C368" s="73" t="s">
        <v>3872</v>
      </c>
      <c r="D368" s="1769"/>
      <c r="E368" s="52" t="s">
        <v>4014</v>
      </c>
      <c r="F368" s="812">
        <v>1</v>
      </c>
      <c r="G368" s="6">
        <v>60470</v>
      </c>
      <c r="H368" s="6">
        <v>61062.400000000001</v>
      </c>
      <c r="I368" s="20">
        <f t="shared" si="13"/>
        <v>592.40000000000146</v>
      </c>
      <c r="J368" s="616">
        <v>1000</v>
      </c>
      <c r="K368" s="703"/>
      <c r="L368" s="22">
        <f t="shared" si="14"/>
        <v>592400.0000000014</v>
      </c>
      <c r="M368" s="22"/>
      <c r="N368" s="72" t="s">
        <v>111</v>
      </c>
      <c r="O368" s="15"/>
    </row>
    <row r="369" spans="1:15" ht="21.75" customHeight="1" x14ac:dyDescent="0.35">
      <c r="A369" s="631">
        <v>21</v>
      </c>
      <c r="B369" s="100" t="s">
        <v>4015</v>
      </c>
      <c r="C369" s="73" t="s">
        <v>3872</v>
      </c>
      <c r="D369" s="1769"/>
      <c r="E369" s="52" t="s">
        <v>4016</v>
      </c>
      <c r="F369" s="812">
        <v>1</v>
      </c>
      <c r="G369" s="6">
        <v>22377.4</v>
      </c>
      <c r="H369" s="6">
        <v>22519.200000000001</v>
      </c>
      <c r="I369" s="20">
        <f t="shared" si="13"/>
        <v>141.79999999999927</v>
      </c>
      <c r="J369" s="616">
        <v>1000</v>
      </c>
      <c r="K369" s="703"/>
      <c r="L369" s="22">
        <f t="shared" si="14"/>
        <v>141799.99999999927</v>
      </c>
      <c r="M369" s="22"/>
      <c r="N369" s="72" t="s">
        <v>111</v>
      </c>
      <c r="O369" s="15" t="s">
        <v>237</v>
      </c>
    </row>
    <row r="370" spans="1:15" ht="21.75" customHeight="1" x14ac:dyDescent="0.35">
      <c r="A370" s="631">
        <v>22</v>
      </c>
      <c r="B370" s="100" t="s">
        <v>4017</v>
      </c>
      <c r="C370" s="73" t="s">
        <v>3872</v>
      </c>
      <c r="D370" s="1769"/>
      <c r="E370" s="52" t="s">
        <v>4018</v>
      </c>
      <c r="F370" s="812">
        <v>1</v>
      </c>
      <c r="G370" s="6">
        <v>652.86</v>
      </c>
      <c r="H370" s="6">
        <v>654.72</v>
      </c>
      <c r="I370" s="20">
        <f t="shared" si="13"/>
        <v>1.8600000000000136</v>
      </c>
      <c r="J370" s="616">
        <v>40000</v>
      </c>
      <c r="K370" s="703"/>
      <c r="L370" s="22">
        <f t="shared" si="14"/>
        <v>74400.000000000553</v>
      </c>
      <c r="M370" s="22"/>
      <c r="N370" s="72" t="s">
        <v>109</v>
      </c>
      <c r="O370" s="15"/>
    </row>
    <row r="371" spans="1:15" ht="21.75" customHeight="1" x14ac:dyDescent="0.35">
      <c r="A371" s="631">
        <v>23</v>
      </c>
      <c r="B371" s="100" t="s">
        <v>4019</v>
      </c>
      <c r="C371" s="73" t="s">
        <v>3867</v>
      </c>
      <c r="D371" s="1769"/>
      <c r="E371" s="52">
        <v>39333</v>
      </c>
      <c r="F371" s="812">
        <v>1</v>
      </c>
      <c r="G371" s="6">
        <v>475696</v>
      </c>
      <c r="H371" s="6">
        <v>477481</v>
      </c>
      <c r="I371" s="20">
        <f t="shared" si="13"/>
        <v>1785</v>
      </c>
      <c r="J371" s="616">
        <v>1</v>
      </c>
      <c r="K371" s="703"/>
      <c r="L371" s="22">
        <v>1785</v>
      </c>
      <c r="M371" s="22"/>
      <c r="N371" s="72" t="s">
        <v>109</v>
      </c>
      <c r="O371" s="15"/>
    </row>
    <row r="372" spans="1:15" ht="21.75" customHeight="1" x14ac:dyDescent="0.35">
      <c r="A372" s="631">
        <v>24</v>
      </c>
      <c r="B372" s="100" t="s">
        <v>4020</v>
      </c>
      <c r="C372" s="73" t="s">
        <v>3867</v>
      </c>
      <c r="D372" s="766"/>
      <c r="E372" s="52">
        <v>39254</v>
      </c>
      <c r="F372" s="812">
        <v>1</v>
      </c>
      <c r="G372" s="6">
        <v>1191051</v>
      </c>
      <c r="H372" s="6">
        <v>1192470</v>
      </c>
      <c r="I372" s="20">
        <f t="shared" si="13"/>
        <v>1419</v>
      </c>
      <c r="J372" s="616">
        <v>1</v>
      </c>
      <c r="K372" s="703"/>
      <c r="L372" s="22">
        <v>1419</v>
      </c>
      <c r="M372" s="22"/>
      <c r="N372" s="72" t="s">
        <v>109</v>
      </c>
      <c r="O372" s="15"/>
    </row>
    <row r="373" spans="1:15" ht="20" x14ac:dyDescent="0.35">
      <c r="A373" s="636"/>
      <c r="B373" s="96"/>
      <c r="C373" s="90"/>
      <c r="D373" s="96"/>
      <c r="E373" s="90"/>
      <c r="F373" s="813"/>
      <c r="G373" s="38"/>
      <c r="H373" s="38"/>
      <c r="I373" s="38"/>
      <c r="J373" s="53" t="s">
        <v>44</v>
      </c>
      <c r="K373" s="658">
        <f>K355</f>
        <v>5830222.9510000069</v>
      </c>
      <c r="L373" s="658">
        <f>SUM(L357:L372)</f>
        <v>5321943.628000034</v>
      </c>
      <c r="M373" s="43">
        <f>SUM(M357:M372)</f>
        <v>0</v>
      </c>
      <c r="N373" s="84">
        <f>(M373-L373)/L373*100</f>
        <v>-100</v>
      </c>
      <c r="O373" s="29"/>
    </row>
    <row r="375" spans="1:15" ht="15" x14ac:dyDescent="0.35">
      <c r="A375" s="620"/>
      <c r="B375" s="635"/>
      <c r="C375" s="632"/>
      <c r="D375" s="1900"/>
      <c r="F375" s="2092" t="s">
        <v>1099</v>
      </c>
      <c r="G375" s="2092"/>
      <c r="H375" s="2092"/>
      <c r="I375" s="677" t="s">
        <v>14</v>
      </c>
      <c r="J375" s="620"/>
      <c r="K375" s="702"/>
      <c r="L375" s="620"/>
      <c r="M375" s="620"/>
      <c r="N375" s="632"/>
      <c r="O375" s="620"/>
    </row>
    <row r="376" spans="1:15" ht="15.5" x14ac:dyDescent="0.35">
      <c r="A376" s="620"/>
      <c r="B376" s="635"/>
      <c r="C376" s="632"/>
      <c r="D376" s="1900"/>
      <c r="F376" s="2153" t="s">
        <v>232</v>
      </c>
      <c r="G376" s="2154"/>
      <c r="H376" s="2155"/>
      <c r="I376" s="643">
        <f>SUM(M357:M358,M361)</f>
        <v>0</v>
      </c>
      <c r="J376" s="620"/>
      <c r="K376" s="702"/>
      <c r="L376" s="620"/>
      <c r="M376" s="620"/>
      <c r="N376" s="632"/>
      <c r="O376" s="620" t="s">
        <v>237</v>
      </c>
    </row>
    <row r="377" spans="1:15" ht="15.5" x14ac:dyDescent="0.35">
      <c r="A377" s="620"/>
      <c r="B377" s="635"/>
      <c r="C377" s="632"/>
      <c r="D377" s="1900"/>
      <c r="F377" s="2153" t="s">
        <v>268</v>
      </c>
      <c r="G377" s="2154"/>
      <c r="H377" s="2155"/>
      <c r="I377" s="643">
        <f>SUM(M359:M360,M362,M364,M365,M367)</f>
        <v>0</v>
      </c>
      <c r="J377" s="620"/>
      <c r="K377" s="702"/>
      <c r="L377" s="620"/>
      <c r="M377" s="620"/>
      <c r="N377" s="632"/>
      <c r="O377" s="620"/>
    </row>
    <row r="378" spans="1:15" ht="16" thickBot="1" x14ac:dyDescent="0.4">
      <c r="A378" s="620"/>
      <c r="B378" s="635"/>
      <c r="C378" s="632"/>
      <c r="D378" s="1900"/>
      <c r="F378" s="2153" t="s">
        <v>269</v>
      </c>
      <c r="G378" s="2154"/>
      <c r="H378" s="2155"/>
      <c r="I378" s="643">
        <f>SUM(M363,M366)</f>
        <v>0</v>
      </c>
      <c r="J378" s="620"/>
      <c r="K378" s="702"/>
      <c r="L378" s="620"/>
      <c r="M378" s="620"/>
      <c r="N378" s="632"/>
      <c r="O378" s="620"/>
    </row>
    <row r="379" spans="1:15" ht="20.5" thickBot="1" x14ac:dyDescent="0.4">
      <c r="A379" s="620"/>
      <c r="B379" s="635"/>
      <c r="C379" s="632"/>
      <c r="D379" s="1900"/>
      <c r="E379" s="632"/>
      <c r="F379" s="2156" t="s">
        <v>210</v>
      </c>
      <c r="G379" s="2156"/>
      <c r="H379" s="2156"/>
      <c r="I379" s="656">
        <f>SUM(I376:I378)</f>
        <v>0</v>
      </c>
      <c r="J379" s="682">
        <f>I379-M373</f>
        <v>0</v>
      </c>
      <c r="K379" s="702"/>
      <c r="L379" s="620"/>
      <c r="M379" s="620"/>
      <c r="N379" s="632"/>
      <c r="O379" s="620"/>
    </row>
    <row r="380" spans="1:15" x14ac:dyDescent="0.35">
      <c r="A380" s="620"/>
      <c r="B380" s="635"/>
      <c r="C380" s="632"/>
      <c r="D380" s="1900"/>
      <c r="E380" s="632"/>
      <c r="F380" s="810"/>
      <c r="G380" s="620"/>
      <c r="H380" s="620"/>
      <c r="I380" s="620"/>
      <c r="J380" s="620"/>
      <c r="K380" s="702"/>
      <c r="L380" s="620"/>
      <c r="M380" s="620"/>
      <c r="N380" s="632"/>
      <c r="O380" s="620"/>
    </row>
    <row r="381" spans="1:15" x14ac:dyDescent="0.35">
      <c r="A381" s="620"/>
      <c r="B381" s="635"/>
      <c r="C381" s="632"/>
      <c r="D381" s="1900"/>
      <c r="E381" s="632"/>
      <c r="F381" s="810"/>
      <c r="G381" s="620"/>
      <c r="H381" s="620"/>
      <c r="I381" s="620"/>
      <c r="J381" s="620"/>
      <c r="K381" s="702"/>
      <c r="L381" s="620"/>
      <c r="M381" s="620"/>
      <c r="N381" s="632"/>
      <c r="O381" s="620"/>
    </row>
    <row r="382" spans="1:15" x14ac:dyDescent="0.35">
      <c r="A382" s="620"/>
      <c r="B382" s="635"/>
      <c r="C382" s="632"/>
      <c r="D382" s="1900"/>
      <c r="E382" s="632"/>
      <c r="F382" s="810"/>
      <c r="G382" s="620"/>
      <c r="H382" s="620"/>
      <c r="I382" s="620"/>
      <c r="J382" s="620"/>
      <c r="K382" s="702"/>
      <c r="L382" s="620"/>
      <c r="M382" s="620"/>
      <c r="N382" s="632"/>
      <c r="O382" s="620"/>
    </row>
    <row r="383" spans="1:15" x14ac:dyDescent="0.35">
      <c r="A383" s="620"/>
      <c r="B383" s="635"/>
      <c r="C383" s="632"/>
      <c r="D383" s="1900"/>
      <c r="E383" s="632"/>
      <c r="F383" s="810"/>
      <c r="G383" s="620"/>
      <c r="H383" s="620"/>
      <c r="I383" s="620"/>
      <c r="J383" s="620"/>
      <c r="K383" s="702"/>
      <c r="L383" s="620"/>
      <c r="M383" s="620"/>
      <c r="N383" s="632"/>
      <c r="O383" s="620"/>
    </row>
    <row r="384" spans="1:15" x14ac:dyDescent="0.35">
      <c r="A384" s="620"/>
      <c r="B384" s="635"/>
      <c r="C384" s="632"/>
      <c r="D384" s="1900"/>
      <c r="E384" s="632"/>
      <c r="F384" s="810"/>
      <c r="G384" s="620"/>
      <c r="H384" s="620"/>
      <c r="I384" s="620"/>
      <c r="J384" s="620"/>
      <c r="K384" s="702"/>
      <c r="L384" s="620"/>
      <c r="M384" s="620"/>
      <c r="N384" s="632"/>
      <c r="O384" s="620"/>
    </row>
    <row r="385" spans="1:15" x14ac:dyDescent="0.35">
      <c r="A385" s="620"/>
      <c r="B385" s="632"/>
      <c r="C385" s="632"/>
      <c r="D385" s="1900"/>
      <c r="E385" s="632"/>
      <c r="F385" s="810"/>
      <c r="G385" s="620"/>
      <c r="H385" s="620"/>
      <c r="I385" s="620"/>
      <c r="J385" s="620"/>
      <c r="K385" s="702"/>
      <c r="L385" s="620"/>
      <c r="M385" s="620"/>
      <c r="N385" s="632"/>
      <c r="O385" s="620"/>
    </row>
    <row r="386" spans="1:15" x14ac:dyDescent="0.35">
      <c r="A386" s="620"/>
      <c r="B386" s="632"/>
      <c r="C386" s="632"/>
      <c r="D386" s="1900"/>
      <c r="E386" s="632"/>
      <c r="F386" s="810"/>
      <c r="G386" s="620"/>
      <c r="H386" s="620"/>
      <c r="I386" s="620"/>
      <c r="J386" s="620"/>
      <c r="K386" s="702"/>
      <c r="L386" s="620"/>
      <c r="M386" s="620"/>
      <c r="N386" s="632"/>
      <c r="O386" s="620"/>
    </row>
    <row r="387" spans="1:15" x14ac:dyDescent="0.35">
      <c r="A387" s="620"/>
      <c r="B387" s="635"/>
      <c r="C387" s="632"/>
      <c r="D387" s="1900"/>
      <c r="E387" s="632"/>
      <c r="F387" s="810"/>
      <c r="G387" s="620"/>
      <c r="H387" s="620"/>
      <c r="I387" s="620"/>
      <c r="J387" s="620"/>
      <c r="K387" s="702" t="s">
        <v>237</v>
      </c>
      <c r="L387" s="620"/>
      <c r="M387" s="620"/>
      <c r="N387" s="632"/>
      <c r="O387" s="620"/>
    </row>
    <row r="388" spans="1:15" x14ac:dyDescent="0.35">
      <c r="A388" s="620"/>
      <c r="B388" s="635"/>
      <c r="C388" s="632"/>
      <c r="D388" s="1900"/>
      <c r="E388" s="632"/>
      <c r="F388" s="810"/>
      <c r="G388" s="620"/>
      <c r="H388" s="620"/>
      <c r="I388" s="620"/>
      <c r="J388" s="620"/>
      <c r="K388" s="702"/>
      <c r="L388" s="620"/>
      <c r="M388" s="620"/>
      <c r="N388" s="632"/>
      <c r="O388" s="620"/>
    </row>
    <row r="389" spans="1:15" x14ac:dyDescent="0.35">
      <c r="A389" s="620"/>
      <c r="B389" s="635"/>
      <c r="C389" s="632"/>
      <c r="D389" s="1900"/>
      <c r="E389" s="632"/>
      <c r="F389" s="810"/>
      <c r="G389" s="620"/>
      <c r="H389" s="620"/>
      <c r="I389" s="620"/>
      <c r="J389" s="620"/>
      <c r="K389" s="702"/>
      <c r="L389" s="620"/>
      <c r="M389" s="620"/>
      <c r="N389" s="632"/>
      <c r="O389" s="620"/>
    </row>
    <row r="390" spans="1:15" ht="25" x14ac:dyDescent="0.35">
      <c r="A390" s="28"/>
      <c r="B390" s="2152"/>
      <c r="C390" s="2152"/>
      <c r="D390" s="2152"/>
      <c r="E390" s="2152"/>
      <c r="F390" s="2152"/>
      <c r="G390" s="2152"/>
      <c r="H390" s="2152"/>
      <c r="I390" s="2152"/>
      <c r="J390" s="2152"/>
      <c r="K390" s="2152"/>
      <c r="L390" s="2152"/>
      <c r="M390" s="2152"/>
      <c r="N390" s="632"/>
      <c r="O390" s="620"/>
    </row>
    <row r="391" spans="1:15" x14ac:dyDescent="0.35">
      <c r="A391" s="620"/>
      <c r="B391" s="635"/>
      <c r="C391" s="632"/>
      <c r="D391" s="1900"/>
      <c r="E391" s="632"/>
      <c r="F391" s="810"/>
      <c r="G391" s="620"/>
      <c r="H391" s="620"/>
      <c r="I391" s="620"/>
      <c r="J391" s="620"/>
      <c r="K391" s="702"/>
      <c r="L391" s="620"/>
      <c r="M391" s="620"/>
      <c r="N391" s="632"/>
      <c r="O391" s="620"/>
    </row>
    <row r="392" spans="1:15" x14ac:dyDescent="0.35">
      <c r="A392" s="620"/>
      <c r="B392" s="635"/>
      <c r="C392" s="632"/>
      <c r="D392" s="1900"/>
      <c r="E392" s="632"/>
      <c r="F392" s="810"/>
      <c r="G392" s="620"/>
      <c r="H392" s="620"/>
      <c r="I392" s="620"/>
      <c r="J392" s="620"/>
      <c r="K392" s="702"/>
      <c r="L392" s="620"/>
      <c r="M392" s="620"/>
      <c r="N392" s="632"/>
      <c r="O392" s="620"/>
    </row>
    <row r="393" spans="1:15" ht="25" x14ac:dyDescent="0.35">
      <c r="A393" s="2095" t="s">
        <v>1167</v>
      </c>
      <c r="B393" s="2095"/>
      <c r="C393" s="2095"/>
      <c r="D393" s="2095"/>
      <c r="E393" s="2095"/>
      <c r="F393" s="2095"/>
      <c r="G393" s="2095"/>
      <c r="H393" s="2095"/>
      <c r="I393" s="2095"/>
      <c r="J393" s="2095"/>
      <c r="K393" s="2095"/>
      <c r="L393" s="2095"/>
      <c r="M393" s="2095"/>
      <c r="N393" s="2095"/>
      <c r="O393" s="756" t="e">
        <f>$O$6</f>
        <v>#REF!</v>
      </c>
    </row>
    <row r="394" spans="1:15" ht="15.5" x14ac:dyDescent="0.35">
      <c r="A394" s="2096" t="s">
        <v>0</v>
      </c>
      <c r="B394" s="2098" t="s">
        <v>1</v>
      </c>
      <c r="C394" s="2100" t="s">
        <v>2</v>
      </c>
      <c r="D394" s="2101"/>
      <c r="E394" s="2102"/>
      <c r="F394" s="2216" t="s">
        <v>3</v>
      </c>
      <c r="G394" s="2100" t="s">
        <v>4</v>
      </c>
      <c r="H394" s="2102"/>
      <c r="I394" s="2085"/>
      <c r="J394" s="2103" t="s">
        <v>5</v>
      </c>
      <c r="K394" s="2100" t="s">
        <v>6</v>
      </c>
      <c r="L394" s="2085"/>
      <c r="M394" s="97" t="s">
        <v>32</v>
      </c>
      <c r="N394" s="98"/>
      <c r="O394" s="2084" t="s">
        <v>7</v>
      </c>
    </row>
    <row r="395" spans="1:15" ht="15.5" x14ac:dyDescent="0.35">
      <c r="A395" s="2097"/>
      <c r="B395" s="2099"/>
      <c r="C395" s="2086" t="s">
        <v>1108</v>
      </c>
      <c r="D395" s="2087"/>
      <c r="E395" s="87" t="s">
        <v>9</v>
      </c>
      <c r="F395" s="2217"/>
      <c r="G395" s="2">
        <f>'NORTH-1'!$G$8</f>
        <v>44774</v>
      </c>
      <c r="H395" s="2">
        <f>'NORTH-1'!$H$8</f>
        <v>44805</v>
      </c>
      <c r="I395" s="1" t="s">
        <v>10</v>
      </c>
      <c r="J395" s="2097"/>
      <c r="K395" s="1" t="s">
        <v>11</v>
      </c>
      <c r="L395" s="1" t="s">
        <v>12</v>
      </c>
      <c r="M395" s="617" t="s">
        <v>33</v>
      </c>
      <c r="N395" s="76" t="s">
        <v>47</v>
      </c>
      <c r="O395" s="2085"/>
    </row>
    <row r="396" spans="1:15" ht="15.5" x14ac:dyDescent="0.35">
      <c r="A396" s="3">
        <v>1</v>
      </c>
      <c r="B396" s="88">
        <v>2</v>
      </c>
      <c r="C396" s="2088">
        <v>4</v>
      </c>
      <c r="D396" s="2089"/>
      <c r="E396" s="88">
        <v>5</v>
      </c>
      <c r="F396" s="803">
        <v>7</v>
      </c>
      <c r="G396" s="3">
        <v>8</v>
      </c>
      <c r="H396" s="3">
        <v>9</v>
      </c>
      <c r="I396" s="3" t="s">
        <v>13</v>
      </c>
      <c r="J396" s="3">
        <v>11</v>
      </c>
      <c r="K396" s="3" t="s">
        <v>19</v>
      </c>
      <c r="L396" s="3" t="s">
        <v>20</v>
      </c>
      <c r="M396" s="3">
        <v>14</v>
      </c>
      <c r="N396" s="77">
        <v>15</v>
      </c>
      <c r="O396" s="3">
        <v>16</v>
      </c>
    </row>
    <row r="397" spans="1:15" ht="15.5" x14ac:dyDescent="0.35">
      <c r="A397" s="631"/>
      <c r="B397" s="624" t="s">
        <v>3437</v>
      </c>
      <c r="C397" s="625"/>
      <c r="D397" s="695"/>
      <c r="E397" s="625"/>
      <c r="F397" s="804"/>
      <c r="G397" s="625"/>
      <c r="H397" s="625"/>
      <c r="I397" s="625"/>
      <c r="J397" s="625"/>
      <c r="K397" s="695"/>
      <c r="L397" s="625"/>
      <c r="M397" s="626"/>
      <c r="N397" s="627"/>
      <c r="O397" s="616"/>
    </row>
    <row r="398" spans="1:15" ht="15.5" x14ac:dyDescent="0.35">
      <c r="A398" s="11"/>
      <c r="B398" s="100">
        <f>B305</f>
        <v>0</v>
      </c>
      <c r="C398" s="52">
        <f>C305</f>
        <v>0</v>
      </c>
      <c r="D398" s="2105" t="s">
        <v>698</v>
      </c>
      <c r="E398" s="52">
        <f t="shared" ref="E398:M398" si="15">E305</f>
        <v>0</v>
      </c>
      <c r="F398" s="812">
        <f t="shared" si="15"/>
        <v>0</v>
      </c>
      <c r="G398" s="21">
        <f t="shared" si="15"/>
        <v>0</v>
      </c>
      <c r="H398" s="21">
        <f t="shared" si="15"/>
        <v>0</v>
      </c>
      <c r="I398" s="21">
        <f t="shared" si="15"/>
        <v>0</v>
      </c>
      <c r="J398" s="616">
        <f t="shared" si="15"/>
        <v>0</v>
      </c>
      <c r="K398" s="696">
        <f t="shared" si="15"/>
        <v>0</v>
      </c>
      <c r="L398" s="22">
        <f t="shared" si="15"/>
        <v>0</v>
      </c>
      <c r="M398" s="22">
        <f t="shared" si="15"/>
        <v>0</v>
      </c>
      <c r="N398" s="82"/>
      <c r="O398" s="9"/>
    </row>
    <row r="399" spans="1:15" ht="15.5" x14ac:dyDescent="0.35">
      <c r="A399" s="631"/>
      <c r="B399" s="100">
        <f>B306</f>
        <v>0</v>
      </c>
      <c r="C399" s="52">
        <f>C306</f>
        <v>0</v>
      </c>
      <c r="D399" s="2151"/>
      <c r="E399" s="52">
        <f t="shared" ref="E399:M399" si="16">E306</f>
        <v>0</v>
      </c>
      <c r="F399" s="812">
        <f t="shared" si="16"/>
        <v>0</v>
      </c>
      <c r="G399" s="21">
        <f t="shared" si="16"/>
        <v>0</v>
      </c>
      <c r="H399" s="21">
        <f t="shared" si="16"/>
        <v>0</v>
      </c>
      <c r="I399" s="21">
        <f t="shared" si="16"/>
        <v>0</v>
      </c>
      <c r="J399" s="616">
        <f t="shared" si="16"/>
        <v>0</v>
      </c>
      <c r="K399" s="696">
        <f t="shared" si="16"/>
        <v>0</v>
      </c>
      <c r="L399" s="22">
        <f t="shared" si="16"/>
        <v>0</v>
      </c>
      <c r="M399" s="22">
        <f t="shared" si="16"/>
        <v>0</v>
      </c>
      <c r="N399" s="82"/>
      <c r="O399" s="616"/>
    </row>
    <row r="400" spans="1:15" ht="15.5" x14ac:dyDescent="0.35">
      <c r="A400" s="631"/>
      <c r="B400" s="102"/>
      <c r="C400" s="91"/>
      <c r="D400" s="726"/>
      <c r="E400" s="91"/>
      <c r="F400" s="814"/>
      <c r="G400" s="48"/>
      <c r="H400" s="48"/>
      <c r="I400" s="48"/>
      <c r="J400" s="96" t="s">
        <v>30</v>
      </c>
      <c r="K400" s="706"/>
      <c r="L400" s="43">
        <f>SUM(L398:L399)</f>
        <v>0</v>
      </c>
      <c r="M400" s="43">
        <f>SUM(M398:M399)</f>
        <v>0</v>
      </c>
      <c r="N400" s="646" t="e">
        <f>(M400-L400)/L400*100</f>
        <v>#DIV/0!</v>
      </c>
      <c r="O400" s="616"/>
    </row>
    <row r="401" spans="1:15" ht="15.5" x14ac:dyDescent="0.35">
      <c r="A401" s="616"/>
      <c r="B401" s="624" t="s">
        <v>1473</v>
      </c>
      <c r="C401" s="625"/>
      <c r="D401" s="695"/>
      <c r="E401" s="625"/>
      <c r="F401" s="804"/>
      <c r="G401" s="625"/>
      <c r="H401" s="625"/>
      <c r="I401" s="625"/>
      <c r="J401" s="732"/>
      <c r="K401" s="733"/>
      <c r="L401" s="734"/>
      <c r="M401" s="734"/>
      <c r="N401" s="627"/>
      <c r="O401" s="12"/>
    </row>
    <row r="402" spans="1:15" ht="15.5" x14ac:dyDescent="0.35">
      <c r="A402" s="616">
        <v>3</v>
      </c>
      <c r="B402" s="100" t="s">
        <v>4021</v>
      </c>
      <c r="C402" s="52" t="s">
        <v>3833</v>
      </c>
      <c r="D402" s="818"/>
      <c r="E402" s="52" t="s">
        <v>4022</v>
      </c>
      <c r="F402" s="812">
        <v>1</v>
      </c>
      <c r="G402" s="21">
        <v>44800.3</v>
      </c>
      <c r="H402" s="21">
        <v>46826.91</v>
      </c>
      <c r="I402" s="20">
        <f>H402-G402</f>
        <v>2026.6100000000006</v>
      </c>
      <c r="J402" s="616">
        <v>1000</v>
      </c>
      <c r="K402" s="696">
        <f>F402*I402*J402</f>
        <v>2026610.0000000005</v>
      </c>
      <c r="L402" s="22"/>
      <c r="M402" s="22"/>
      <c r="N402" s="82"/>
      <c r="O402" s="12"/>
    </row>
    <row r="403" spans="1:15" ht="15.5" x14ac:dyDescent="0.35">
      <c r="A403" s="616">
        <v>4</v>
      </c>
      <c r="B403" s="100" t="s">
        <v>4023</v>
      </c>
      <c r="C403" s="52" t="s">
        <v>3833</v>
      </c>
      <c r="D403" s="1918"/>
      <c r="E403" s="52" t="s">
        <v>4024</v>
      </c>
      <c r="F403" s="812">
        <v>1</v>
      </c>
      <c r="G403" s="21">
        <v>28138.04</v>
      </c>
      <c r="H403" s="21">
        <v>28825.51</v>
      </c>
      <c r="I403" s="20">
        <f>H403-G403</f>
        <v>687.46999999999753</v>
      </c>
      <c r="J403" s="616">
        <v>1000</v>
      </c>
      <c r="K403" s="696">
        <f>F403*I403*J403</f>
        <v>687469.99999999756</v>
      </c>
      <c r="L403" s="22"/>
      <c r="M403" s="22"/>
      <c r="N403" s="82"/>
      <c r="O403" s="12"/>
    </row>
    <row r="404" spans="1:15" ht="15.5" x14ac:dyDescent="0.35">
      <c r="A404" s="616"/>
      <c r="B404" s="100" t="s">
        <v>241</v>
      </c>
      <c r="C404" s="52">
        <v>33</v>
      </c>
      <c r="D404" s="1444"/>
      <c r="E404" s="52" t="s">
        <v>259</v>
      </c>
      <c r="F404" s="812">
        <v>1</v>
      </c>
      <c r="G404" s="21">
        <v>349.1</v>
      </c>
      <c r="H404" s="21">
        <v>349.1</v>
      </c>
      <c r="I404" s="20">
        <f>H404-G404</f>
        <v>0</v>
      </c>
      <c r="J404" s="616">
        <v>180000</v>
      </c>
      <c r="K404" s="696">
        <f>F404*I404*J404</f>
        <v>0</v>
      </c>
      <c r="L404" s="22"/>
      <c r="M404" s="22"/>
      <c r="N404" s="82"/>
      <c r="O404" s="12"/>
    </row>
    <row r="405" spans="1:15" ht="15.5" x14ac:dyDescent="0.35">
      <c r="A405" s="616"/>
      <c r="B405" s="102"/>
      <c r="C405" s="91"/>
      <c r="D405" s="726"/>
      <c r="E405" s="91"/>
      <c r="F405" s="814"/>
      <c r="G405" s="48"/>
      <c r="H405" s="48"/>
      <c r="I405" s="36"/>
      <c r="J405" s="96" t="s">
        <v>30</v>
      </c>
      <c r="K405" s="658">
        <f>SUM(K402:K404)</f>
        <v>2714079.9999999981</v>
      </c>
      <c r="L405" s="43">
        <f>SUM(L402:L404)</f>
        <v>0</v>
      </c>
      <c r="M405" s="43">
        <f>SUM(M402:M404)</f>
        <v>0</v>
      </c>
      <c r="N405" s="85"/>
      <c r="O405" s="12"/>
    </row>
    <row r="406" spans="1:15" ht="15.5" x14ac:dyDescent="0.35">
      <c r="A406" s="616"/>
      <c r="B406" s="647" t="s">
        <v>1474</v>
      </c>
      <c r="C406" s="648"/>
      <c r="D406" s="700"/>
      <c r="E406" s="648"/>
      <c r="F406" s="807"/>
      <c r="G406" s="648"/>
      <c r="H406" s="648"/>
      <c r="I406" s="648"/>
      <c r="J406" s="648"/>
      <c r="K406" s="700"/>
      <c r="L406" s="648"/>
      <c r="M406" s="651"/>
      <c r="N406" s="649"/>
      <c r="O406" s="8"/>
    </row>
    <row r="407" spans="1:15" ht="15.5" x14ac:dyDescent="0.35">
      <c r="A407" s="616"/>
      <c r="B407" s="100" t="s">
        <v>1079</v>
      </c>
      <c r="C407" s="52">
        <v>132</v>
      </c>
      <c r="D407" s="2138" t="s">
        <v>1083</v>
      </c>
      <c r="E407" s="615"/>
      <c r="F407" s="812"/>
      <c r="G407" s="5"/>
      <c r="H407" s="5"/>
      <c r="I407" s="5"/>
      <c r="J407" s="616"/>
      <c r="K407" s="696"/>
      <c r="L407" s="16">
        <f>J407*I407*F407</f>
        <v>0</v>
      </c>
      <c r="M407" s="7"/>
      <c r="N407" s="78"/>
      <c r="O407" s="616"/>
    </row>
    <row r="408" spans="1:15" ht="15.5" x14ac:dyDescent="0.35">
      <c r="A408" s="616"/>
      <c r="B408" s="100" t="s">
        <v>1078</v>
      </c>
      <c r="C408" s="52">
        <v>132</v>
      </c>
      <c r="D408" s="2139"/>
      <c r="E408" s="615"/>
      <c r="F408" s="812"/>
      <c r="G408" s="5"/>
      <c r="H408" s="5"/>
      <c r="I408" s="5"/>
      <c r="J408" s="616"/>
      <c r="K408" s="696"/>
      <c r="L408" s="16">
        <f>J408*I408*F408</f>
        <v>0</v>
      </c>
      <c r="M408" s="16"/>
      <c r="N408" s="79"/>
      <c r="O408" s="616"/>
    </row>
    <row r="409" spans="1:15" ht="15.5" x14ac:dyDescent="0.35">
      <c r="A409" s="616"/>
      <c r="B409" s="95"/>
      <c r="C409" s="89"/>
      <c r="D409" s="1846"/>
      <c r="E409" s="89"/>
      <c r="F409" s="806"/>
      <c r="G409" s="37"/>
      <c r="H409" s="37"/>
      <c r="I409" s="37"/>
      <c r="J409" s="95" t="s">
        <v>279</v>
      </c>
      <c r="K409" s="699"/>
      <c r="L409" s="55">
        <f>SUM(L407:L408)</f>
        <v>0</v>
      </c>
      <c r="M409" s="633"/>
      <c r="N409" s="634"/>
      <c r="O409" s="616"/>
    </row>
    <row r="410" spans="1:15" ht="15.5" x14ac:dyDescent="0.35">
      <c r="A410" s="616"/>
      <c r="B410" s="102"/>
      <c r="C410" s="91"/>
      <c r="D410" s="726"/>
      <c r="E410" s="91"/>
      <c r="F410" s="814"/>
      <c r="G410" s="48"/>
      <c r="H410" s="48"/>
      <c r="I410" s="36"/>
      <c r="J410" s="96"/>
      <c r="K410" s="706"/>
      <c r="L410" s="43"/>
      <c r="M410" s="43"/>
      <c r="N410" s="85"/>
      <c r="O410" s="12"/>
    </row>
    <row r="411" spans="1:15" ht="15.5" x14ac:dyDescent="0.35">
      <c r="A411" s="636"/>
      <c r="B411" s="647" t="s">
        <v>1475</v>
      </c>
      <c r="C411" s="648"/>
      <c r="D411" s="700"/>
      <c r="E411" s="648"/>
      <c r="F411" s="807"/>
      <c r="G411" s="648"/>
      <c r="H411" s="648"/>
      <c r="I411" s="648"/>
      <c r="J411" s="50"/>
      <c r="K411" s="710"/>
      <c r="L411" s="51"/>
      <c r="M411" s="51"/>
      <c r="N411" s="649"/>
      <c r="O411" s="12"/>
    </row>
    <row r="412" spans="1:15" ht="15.5" x14ac:dyDescent="0.35">
      <c r="A412" s="616">
        <v>2</v>
      </c>
      <c r="B412" s="100" t="s">
        <v>4025</v>
      </c>
      <c r="C412" s="52" t="s">
        <v>3833</v>
      </c>
      <c r="D412" s="2140"/>
      <c r="E412" s="52" t="s">
        <v>4026</v>
      </c>
      <c r="F412" s="812">
        <v>1</v>
      </c>
      <c r="G412" s="21">
        <v>70663.67</v>
      </c>
      <c r="H412" s="21">
        <v>72751.05</v>
      </c>
      <c r="I412" s="21">
        <f>H412-G412</f>
        <v>2087.3800000000047</v>
      </c>
      <c r="J412" s="31">
        <v>888.89</v>
      </c>
      <c r="K412" s="707"/>
      <c r="L412" s="22">
        <f>F412*I412*J412</f>
        <v>1855451.2082000042</v>
      </c>
      <c r="M412" s="22"/>
      <c r="N412" s="83"/>
      <c r="O412" s="12"/>
    </row>
    <row r="413" spans="1:15" ht="15.5" x14ac:dyDescent="0.35">
      <c r="A413" s="616">
        <v>6</v>
      </c>
      <c r="B413" s="100" t="s">
        <v>4027</v>
      </c>
      <c r="C413" s="52" t="s">
        <v>3833</v>
      </c>
      <c r="D413" s="2157"/>
      <c r="E413" s="52" t="s">
        <v>4028</v>
      </c>
      <c r="F413" s="812">
        <v>1</v>
      </c>
      <c r="G413" s="21">
        <v>24476.560000000001</v>
      </c>
      <c r="H413" s="21">
        <v>25252.1</v>
      </c>
      <c r="I413" s="21">
        <f>H413-G413</f>
        <v>775.53999999999724</v>
      </c>
      <c r="J413" s="31">
        <v>888.89</v>
      </c>
      <c r="K413" s="707"/>
      <c r="L413" s="22">
        <f>F413*I413*J413</f>
        <v>689369.75059999758</v>
      </c>
      <c r="M413" s="22"/>
      <c r="N413" s="83"/>
      <c r="O413" s="12"/>
    </row>
    <row r="414" spans="1:15" ht="15" x14ac:dyDescent="0.35">
      <c r="A414" s="636"/>
      <c r="B414" s="96"/>
      <c r="C414" s="90"/>
      <c r="D414" s="96"/>
      <c r="E414" s="90"/>
      <c r="F414" s="813"/>
      <c r="G414" s="38"/>
      <c r="H414" s="38"/>
      <c r="I414" s="38"/>
      <c r="J414" s="96" t="s">
        <v>30</v>
      </c>
      <c r="K414" s="708"/>
      <c r="L414" s="658">
        <f>SUM(L412:L413)</f>
        <v>2544820.958800002</v>
      </c>
      <c r="M414" s="43">
        <f>SUM(M412:M413)</f>
        <v>0</v>
      </c>
      <c r="N414" s="650">
        <f>(M414-L414)/L414*100</f>
        <v>-100</v>
      </c>
      <c r="O414" s="12"/>
    </row>
    <row r="415" spans="1:15" ht="15.5" thickBot="1" x14ac:dyDescent="0.4">
      <c r="A415" s="702"/>
      <c r="B415" s="736"/>
      <c r="C415" s="92"/>
      <c r="D415" s="736"/>
      <c r="E415" s="92"/>
      <c r="F415" s="815"/>
      <c r="G415" s="737"/>
      <c r="H415" s="737"/>
      <c r="I415" s="737"/>
      <c r="J415" s="736"/>
      <c r="K415" s="738"/>
      <c r="L415" s="739"/>
      <c r="M415" s="739"/>
      <c r="N415" s="646"/>
      <c r="O415" s="740"/>
    </row>
    <row r="416" spans="1:15" ht="15" x14ac:dyDescent="0.35">
      <c r="A416" s="702"/>
      <c r="B416" s="2142" t="s">
        <v>1339</v>
      </c>
      <c r="C416" s="2143"/>
      <c r="D416" s="683" t="s">
        <v>14</v>
      </c>
      <c r="F416" s="2144" t="s">
        <v>1350</v>
      </c>
      <c r="G416" s="2145"/>
      <c r="H416" s="2146"/>
      <c r="I416" s="683" t="s">
        <v>14</v>
      </c>
      <c r="J416" s="620"/>
      <c r="K416" s="2147" t="s">
        <v>1092</v>
      </c>
      <c r="L416" s="2148"/>
      <c r="M416" s="684" t="s">
        <v>14</v>
      </c>
      <c r="N416" s="646"/>
      <c r="O416" s="740"/>
    </row>
    <row r="417" spans="1:15" ht="15" x14ac:dyDescent="0.35">
      <c r="A417" s="702"/>
      <c r="B417" s="2122" t="str">
        <f>B397</f>
        <v xml:space="preserve"> 33 KV SIDE</v>
      </c>
      <c r="C417" s="2123"/>
      <c r="D417" s="689">
        <f>M400</f>
        <v>0</v>
      </c>
      <c r="F417" s="2124" t="s">
        <v>1093</v>
      </c>
      <c r="G417" s="2125"/>
      <c r="H417" s="2126"/>
      <c r="I417" s="685">
        <f>L409</f>
        <v>0</v>
      </c>
      <c r="J417" s="620"/>
      <c r="K417" s="2160" t="str">
        <f>F418</f>
        <v>BSMMU HOSPITAL 33 KV NET IMPORT</v>
      </c>
      <c r="L417" s="2161"/>
      <c r="M417" s="687" t="e">
        <f>I418</f>
        <v>#REF!</v>
      </c>
      <c r="N417" s="646"/>
      <c r="O417" s="740"/>
    </row>
    <row r="418" spans="1:15" ht="15" x14ac:dyDescent="0.35">
      <c r="A418" s="702"/>
      <c r="B418" s="2122" t="e">
        <f>#REF!</f>
        <v>#REF!</v>
      </c>
      <c r="C418" s="2123"/>
      <c r="D418" s="741" t="e">
        <f>#REF!</f>
        <v>#REF!</v>
      </c>
      <c r="F418" s="2124" t="s">
        <v>1476</v>
      </c>
      <c r="G418" s="2125"/>
      <c r="H418" s="2126"/>
      <c r="I418" s="685" t="e">
        <f>D421-I417</f>
        <v>#REF!</v>
      </c>
      <c r="J418" s="620"/>
      <c r="K418" s="2162" t="s">
        <v>1477</v>
      </c>
      <c r="L418" s="2163"/>
      <c r="M418" s="685">
        <f>M452</f>
        <v>0</v>
      </c>
      <c r="N418" s="646"/>
      <c r="O418" s="740"/>
    </row>
    <row r="419" spans="1:15" ht="15" x14ac:dyDescent="0.35">
      <c r="A419" s="702"/>
      <c r="B419" s="2122" t="s">
        <v>1117</v>
      </c>
      <c r="C419" s="2123"/>
      <c r="D419" s="721"/>
      <c r="F419" s="2124" t="s">
        <v>1089</v>
      </c>
      <c r="G419" s="2125"/>
      <c r="H419" s="2126"/>
      <c r="I419" s="685" t="e">
        <f>I417+I418</f>
        <v>#REF!</v>
      </c>
      <c r="J419" s="620"/>
      <c r="K419" s="2127" t="s">
        <v>284</v>
      </c>
      <c r="L419" s="2128"/>
      <c r="M419" s="685" t="e">
        <f>M417-M418</f>
        <v>#REF!</v>
      </c>
      <c r="N419" s="646"/>
      <c r="O419" s="740"/>
    </row>
    <row r="420" spans="1:15" ht="16" thickBot="1" x14ac:dyDescent="0.4">
      <c r="A420" s="702"/>
      <c r="B420" s="2122" t="s">
        <v>1118</v>
      </c>
      <c r="C420" s="2123"/>
      <c r="D420" s="722"/>
      <c r="F420" s="2113" t="s">
        <v>1102</v>
      </c>
      <c r="G420" s="2114"/>
      <c r="H420" s="2115"/>
      <c r="I420" s="690" t="e">
        <f>(D421-I419)/I419</f>
        <v>#REF!</v>
      </c>
      <c r="J420" s="620"/>
      <c r="K420" s="2134" t="s">
        <v>285</v>
      </c>
      <c r="L420" s="2135"/>
      <c r="M420" s="688" t="e">
        <f>M419/M417</f>
        <v>#REF!</v>
      </c>
      <c r="N420" s="646"/>
      <c r="O420" s="740"/>
    </row>
    <row r="421" spans="1:15" ht="15.5" thickBot="1" x14ac:dyDescent="0.4">
      <c r="A421" s="702"/>
      <c r="B421" s="2158" t="s">
        <v>1082</v>
      </c>
      <c r="C421" s="2159"/>
      <c r="D421" s="686" t="e">
        <f>SUM(D417:D419)</f>
        <v>#REF!</v>
      </c>
      <c r="F421" s="810"/>
      <c r="G421" s="620"/>
      <c r="H421" s="620"/>
      <c r="I421" s="620"/>
      <c r="J421" s="620"/>
      <c r="K421" s="702"/>
      <c r="L421" s="620"/>
      <c r="M421" s="620"/>
      <c r="N421" s="646"/>
      <c r="O421" s="740"/>
    </row>
    <row r="422" spans="1:15" ht="15" x14ac:dyDescent="0.35">
      <c r="A422" s="702"/>
      <c r="B422" s="736"/>
      <c r="C422" s="92"/>
      <c r="D422" s="736"/>
      <c r="E422" s="92"/>
      <c r="F422" s="815"/>
      <c r="G422" s="737"/>
      <c r="H422" s="737"/>
      <c r="I422" s="737"/>
      <c r="J422" s="736"/>
      <c r="K422" s="738"/>
      <c r="L422" s="739"/>
      <c r="M422" s="739"/>
      <c r="N422" s="646"/>
      <c r="O422" s="740"/>
    </row>
    <row r="423" spans="1:15" x14ac:dyDescent="0.35">
      <c r="A423" s="620"/>
      <c r="B423" s="632"/>
      <c r="C423" s="620"/>
      <c r="D423" s="2014"/>
      <c r="E423" s="620"/>
      <c r="F423" s="810"/>
      <c r="G423" s="620"/>
      <c r="H423" s="620"/>
      <c r="I423" s="620"/>
      <c r="J423" s="620"/>
      <c r="K423" s="702"/>
      <c r="L423" s="620"/>
      <c r="M423" s="620"/>
      <c r="N423" s="620"/>
      <c r="O423" s="620"/>
    </row>
    <row r="424" spans="1:15" x14ac:dyDescent="0.35">
      <c r="A424" s="620"/>
      <c r="B424" s="632"/>
      <c r="C424" s="620"/>
      <c r="D424" s="2014"/>
      <c r="E424" s="620"/>
      <c r="F424" s="810"/>
      <c r="G424" s="620"/>
      <c r="H424" s="620"/>
      <c r="I424" s="620"/>
      <c r="J424" s="620"/>
      <c r="K424" s="702"/>
      <c r="L424" s="620"/>
      <c r="M424" s="620"/>
      <c r="N424" s="620"/>
      <c r="O424" s="620"/>
    </row>
    <row r="425" spans="1:15" ht="25" x14ac:dyDescent="0.35">
      <c r="A425" s="2095" t="s">
        <v>1168</v>
      </c>
      <c r="B425" s="2095"/>
      <c r="C425" s="2095"/>
      <c r="D425" s="2095"/>
      <c r="E425" s="2095"/>
      <c r="F425" s="2095"/>
      <c r="G425" s="2095"/>
      <c r="H425" s="2095"/>
      <c r="I425" s="2095"/>
      <c r="J425" s="2095"/>
      <c r="K425" s="2095"/>
      <c r="L425" s="2095"/>
      <c r="M425" s="2095"/>
      <c r="N425" s="2095"/>
      <c r="O425" s="756" t="e">
        <f>$O$6</f>
        <v>#REF!</v>
      </c>
    </row>
    <row r="426" spans="1:15" ht="15.5" x14ac:dyDescent="0.35">
      <c r="A426" s="2096" t="s">
        <v>0</v>
      </c>
      <c r="B426" s="2098" t="s">
        <v>1</v>
      </c>
      <c r="C426" s="2100" t="s">
        <v>2</v>
      </c>
      <c r="D426" s="2101"/>
      <c r="E426" s="2102"/>
      <c r="F426" s="2216" t="s">
        <v>3</v>
      </c>
      <c r="G426" s="2100" t="s">
        <v>4</v>
      </c>
      <c r="H426" s="2102"/>
      <c r="I426" s="2085"/>
      <c r="J426" s="2103" t="s">
        <v>5</v>
      </c>
      <c r="K426" s="2100" t="s">
        <v>6</v>
      </c>
      <c r="L426" s="2085"/>
      <c r="M426" s="97" t="s">
        <v>32</v>
      </c>
      <c r="N426" s="98"/>
      <c r="O426" s="2084" t="s">
        <v>7</v>
      </c>
    </row>
    <row r="427" spans="1:15" ht="15.5" x14ac:dyDescent="0.35">
      <c r="A427" s="2097"/>
      <c r="B427" s="2099"/>
      <c r="C427" s="2086" t="s">
        <v>1108</v>
      </c>
      <c r="D427" s="2087"/>
      <c r="E427" s="87" t="s">
        <v>9</v>
      </c>
      <c r="F427" s="2217"/>
      <c r="G427" s="2">
        <f>'NORTH-1'!$G$8</f>
        <v>44774</v>
      </c>
      <c r="H427" s="2">
        <f>'NORTH-1'!$H$8</f>
        <v>44805</v>
      </c>
      <c r="I427" s="1" t="s">
        <v>10</v>
      </c>
      <c r="J427" s="2097"/>
      <c r="K427" s="1" t="s">
        <v>11</v>
      </c>
      <c r="L427" s="1" t="s">
        <v>12</v>
      </c>
      <c r="M427" s="617" t="s">
        <v>33</v>
      </c>
      <c r="N427" s="76" t="s">
        <v>47</v>
      </c>
      <c r="O427" s="2085"/>
    </row>
    <row r="428" spans="1:15" ht="15.5" x14ac:dyDescent="0.35">
      <c r="A428" s="3">
        <v>1</v>
      </c>
      <c r="B428" s="88">
        <v>2</v>
      </c>
      <c r="C428" s="2088">
        <v>4</v>
      </c>
      <c r="D428" s="2089"/>
      <c r="E428" s="88">
        <v>5</v>
      </c>
      <c r="F428" s="803">
        <v>7</v>
      </c>
      <c r="G428" s="3">
        <v>8</v>
      </c>
      <c r="H428" s="3">
        <v>9</v>
      </c>
      <c r="I428" s="3" t="s">
        <v>13</v>
      </c>
      <c r="J428" s="3">
        <v>11</v>
      </c>
      <c r="K428" s="3" t="s">
        <v>19</v>
      </c>
      <c r="L428" s="3" t="s">
        <v>20</v>
      </c>
      <c r="M428" s="3">
        <v>14</v>
      </c>
      <c r="N428" s="77">
        <v>15</v>
      </c>
      <c r="O428" s="3">
        <v>16</v>
      </c>
    </row>
    <row r="429" spans="1:15" ht="15.5" x14ac:dyDescent="0.35">
      <c r="A429" s="631"/>
      <c r="B429" s="624" t="s">
        <v>1478</v>
      </c>
      <c r="C429" s="625"/>
      <c r="D429" s="695"/>
      <c r="E429" s="625"/>
      <c r="F429" s="804"/>
      <c r="G429" s="625"/>
      <c r="H429" s="625"/>
      <c r="I429" s="625"/>
      <c r="J429" s="625"/>
      <c r="K429" s="695"/>
      <c r="L429" s="625"/>
      <c r="M429" s="626"/>
      <c r="N429" s="627"/>
      <c r="O429" s="616"/>
    </row>
    <row r="430" spans="1:15" ht="15.5" x14ac:dyDescent="0.35">
      <c r="A430" s="631">
        <v>16</v>
      </c>
      <c r="B430" s="100" t="s">
        <v>4029</v>
      </c>
      <c r="C430" s="52" t="s">
        <v>3872</v>
      </c>
      <c r="D430" s="818"/>
      <c r="E430" s="52" t="s">
        <v>2669</v>
      </c>
      <c r="F430" s="812">
        <v>1</v>
      </c>
      <c r="G430" s="21">
        <v>50716.9</v>
      </c>
      <c r="H430" s="21">
        <v>52737.1</v>
      </c>
      <c r="I430" s="21">
        <f>H430-G430</f>
        <v>2020.1999999999971</v>
      </c>
      <c r="J430" s="616">
        <v>1000</v>
      </c>
      <c r="K430" s="696">
        <f>F430*I430*J430</f>
        <v>2020199.9999999972</v>
      </c>
      <c r="L430" s="22"/>
      <c r="M430" s="22"/>
      <c r="N430" s="82"/>
      <c r="O430" s="616"/>
    </row>
    <row r="431" spans="1:15" ht="15.5" x14ac:dyDescent="0.35">
      <c r="A431" s="631">
        <v>17</v>
      </c>
      <c r="B431" s="100" t="s">
        <v>4030</v>
      </c>
      <c r="C431" s="52" t="s">
        <v>3872</v>
      </c>
      <c r="D431" s="1444"/>
      <c r="E431" s="52" t="s">
        <v>2671</v>
      </c>
      <c r="F431" s="812">
        <v>1</v>
      </c>
      <c r="G431" s="21">
        <v>21055.35</v>
      </c>
      <c r="H431" s="21">
        <v>21724.98</v>
      </c>
      <c r="I431" s="21">
        <f>H431-G431</f>
        <v>669.63000000000102</v>
      </c>
      <c r="J431" s="616">
        <v>1000</v>
      </c>
      <c r="K431" s="696">
        <f>F431*I431*J431</f>
        <v>669630.00000000105</v>
      </c>
      <c r="L431" s="22"/>
      <c r="M431" s="22"/>
      <c r="N431" s="82"/>
      <c r="O431" s="616"/>
    </row>
    <row r="432" spans="1:15" ht="15.5" x14ac:dyDescent="0.35">
      <c r="A432" s="631"/>
      <c r="B432" s="102"/>
      <c r="C432" s="91"/>
      <c r="D432" s="726"/>
      <c r="E432" s="91"/>
      <c r="F432" s="814"/>
      <c r="G432" s="48"/>
      <c r="H432" s="48"/>
      <c r="I432" s="48"/>
      <c r="J432" s="39" t="s">
        <v>30</v>
      </c>
      <c r="K432" s="658">
        <f>SUM(K430:K431)</f>
        <v>2689829.9999999981</v>
      </c>
      <c r="L432" s="49"/>
      <c r="M432" s="43">
        <f>SUM(M430:M431)</f>
        <v>0</v>
      </c>
      <c r="N432" s="85"/>
      <c r="O432" s="616"/>
    </row>
    <row r="433" spans="1:15" ht="15.5" x14ac:dyDescent="0.35">
      <c r="A433" s="631"/>
      <c r="B433" s="647" t="s">
        <v>1478</v>
      </c>
      <c r="C433" s="648"/>
      <c r="D433" s="700"/>
      <c r="E433" s="648"/>
      <c r="F433" s="807"/>
      <c r="G433" s="648"/>
      <c r="H433" s="648"/>
      <c r="I433" s="648"/>
      <c r="J433" s="50"/>
      <c r="K433" s="710"/>
      <c r="L433" s="51"/>
      <c r="M433" s="51"/>
      <c r="N433" s="649"/>
      <c r="O433" s="616"/>
    </row>
    <row r="434" spans="1:15" ht="20.25" customHeight="1" x14ac:dyDescent="0.35">
      <c r="A434" s="631">
        <v>8</v>
      </c>
      <c r="B434" s="100" t="s">
        <v>4031</v>
      </c>
      <c r="C434" s="73" t="s">
        <v>3872</v>
      </c>
      <c r="D434" s="1768"/>
      <c r="E434" s="52" t="s">
        <v>4022</v>
      </c>
      <c r="F434" s="812">
        <v>1</v>
      </c>
      <c r="G434" s="6">
        <v>0.28239999999999998</v>
      </c>
      <c r="H434" s="6">
        <v>0.29430000000000001</v>
      </c>
      <c r="I434" s="20">
        <f t="shared" ref="I434:I451" si="17">H434-G434</f>
        <v>1.1900000000000022E-2</v>
      </c>
      <c r="J434" s="616">
        <v>2000</v>
      </c>
      <c r="K434" s="703"/>
      <c r="L434" s="22">
        <f t="shared" ref="L434:L449" si="18">F434*I434*J434</f>
        <v>23.800000000000043</v>
      </c>
      <c r="M434" s="22"/>
      <c r="N434" s="72" t="s">
        <v>109</v>
      </c>
      <c r="O434" s="15"/>
    </row>
    <row r="435" spans="1:15" ht="20.25" customHeight="1" x14ac:dyDescent="0.35">
      <c r="A435" s="631">
        <v>9</v>
      </c>
      <c r="B435" s="100" t="s">
        <v>4032</v>
      </c>
      <c r="C435" s="73" t="s">
        <v>3872</v>
      </c>
      <c r="D435" s="1769"/>
      <c r="E435" s="52" t="s">
        <v>4024</v>
      </c>
      <c r="F435" s="812">
        <v>1</v>
      </c>
      <c r="G435" s="6">
        <v>2758.29</v>
      </c>
      <c r="H435" s="6">
        <v>2776.49</v>
      </c>
      <c r="I435" s="20">
        <f t="shared" si="17"/>
        <v>18.199999999999818</v>
      </c>
      <c r="J435" s="616">
        <v>2000</v>
      </c>
      <c r="K435" s="703"/>
      <c r="L435" s="22">
        <f t="shared" si="18"/>
        <v>36399.999999999636</v>
      </c>
      <c r="M435" s="22"/>
      <c r="N435" s="72" t="s">
        <v>109</v>
      </c>
      <c r="O435" s="15"/>
    </row>
    <row r="436" spans="1:15" ht="20.25" customHeight="1" x14ac:dyDescent="0.35">
      <c r="A436" s="631">
        <v>10</v>
      </c>
      <c r="B436" s="100" t="s">
        <v>4033</v>
      </c>
      <c r="C436" s="73" t="s">
        <v>3872</v>
      </c>
      <c r="D436" s="1769"/>
      <c r="E436" s="52" t="s">
        <v>4034</v>
      </c>
      <c r="F436" s="812">
        <v>1</v>
      </c>
      <c r="G436" s="6">
        <v>1535.7</v>
      </c>
      <c r="H436" s="6">
        <v>1559.25</v>
      </c>
      <c r="I436" s="20">
        <f t="shared" si="17"/>
        <v>23.549999999999955</v>
      </c>
      <c r="J436" s="616">
        <v>2000</v>
      </c>
      <c r="K436" s="703"/>
      <c r="L436" s="22">
        <f t="shared" si="18"/>
        <v>47099.999999999913</v>
      </c>
      <c r="M436" s="22"/>
      <c r="N436" s="72" t="s">
        <v>109</v>
      </c>
      <c r="O436" s="15"/>
    </row>
    <row r="437" spans="1:15" ht="20.25" customHeight="1" x14ac:dyDescent="0.35">
      <c r="A437" s="631">
        <v>11</v>
      </c>
      <c r="B437" s="100" t="s">
        <v>4035</v>
      </c>
      <c r="C437" s="73" t="s">
        <v>3872</v>
      </c>
      <c r="D437" s="1769"/>
      <c r="E437" s="52" t="s">
        <v>4028</v>
      </c>
      <c r="F437" s="812">
        <v>1</v>
      </c>
      <c r="G437" s="6">
        <v>2478.44</v>
      </c>
      <c r="H437" s="6">
        <v>2526.0500000000002</v>
      </c>
      <c r="I437" s="20">
        <f t="shared" si="17"/>
        <v>47.610000000000127</v>
      </c>
      <c r="J437" s="616">
        <v>2000</v>
      </c>
      <c r="K437" s="703"/>
      <c r="L437" s="22">
        <f t="shared" si="18"/>
        <v>95220.000000000262</v>
      </c>
      <c r="M437" s="22"/>
      <c r="N437" s="72" t="s">
        <v>109</v>
      </c>
      <c r="O437" s="15"/>
    </row>
    <row r="438" spans="1:15" ht="20.25" customHeight="1" x14ac:dyDescent="0.35">
      <c r="A438" s="631">
        <v>12</v>
      </c>
      <c r="B438" s="100" t="s">
        <v>4036</v>
      </c>
      <c r="C438" s="73" t="s">
        <v>3872</v>
      </c>
      <c r="D438" s="1769"/>
      <c r="E438" s="52" t="s">
        <v>4037</v>
      </c>
      <c r="F438" s="812">
        <v>1</v>
      </c>
      <c r="G438" s="6">
        <v>12177.8</v>
      </c>
      <c r="H438" s="6">
        <v>12376.61</v>
      </c>
      <c r="I438" s="20">
        <f t="shared" si="17"/>
        <v>198.81000000000131</v>
      </c>
      <c r="J438" s="616">
        <v>2000</v>
      </c>
      <c r="K438" s="703"/>
      <c r="L438" s="22">
        <f t="shared" si="18"/>
        <v>397620.00000000262</v>
      </c>
      <c r="M438" s="22"/>
      <c r="N438" s="72" t="s">
        <v>109</v>
      </c>
      <c r="O438" s="15"/>
    </row>
    <row r="439" spans="1:15" ht="20.25" customHeight="1" x14ac:dyDescent="0.35">
      <c r="A439" s="631">
        <v>13</v>
      </c>
      <c r="B439" s="100" t="s">
        <v>4038</v>
      </c>
      <c r="C439" s="73" t="s">
        <v>3872</v>
      </c>
      <c r="D439" s="1769"/>
      <c r="E439" s="52" t="s">
        <v>4039</v>
      </c>
      <c r="F439" s="812">
        <v>1</v>
      </c>
      <c r="G439" s="6">
        <v>24598.02</v>
      </c>
      <c r="H439" s="6">
        <v>24770.54</v>
      </c>
      <c r="I439" s="20">
        <f t="shared" si="17"/>
        <v>172.52000000000044</v>
      </c>
      <c r="J439" s="616">
        <v>2000</v>
      </c>
      <c r="K439" s="703"/>
      <c r="L439" s="22">
        <f t="shared" si="18"/>
        <v>345040.00000000087</v>
      </c>
      <c r="M439" s="22"/>
      <c r="N439" s="72" t="s">
        <v>109</v>
      </c>
      <c r="O439" s="15"/>
    </row>
    <row r="440" spans="1:15" ht="20.25" customHeight="1" x14ac:dyDescent="0.35">
      <c r="A440" s="631">
        <v>14</v>
      </c>
      <c r="B440" s="100" t="s">
        <v>4040</v>
      </c>
      <c r="C440" s="73" t="s">
        <v>3872</v>
      </c>
      <c r="D440" s="1769"/>
      <c r="E440" s="52" t="s">
        <v>2667</v>
      </c>
      <c r="F440" s="812">
        <v>1</v>
      </c>
      <c r="G440" s="6">
        <v>26950.15</v>
      </c>
      <c r="H440" s="6">
        <v>27394.52</v>
      </c>
      <c r="I440" s="20">
        <f t="shared" si="17"/>
        <v>444.36999999999898</v>
      </c>
      <c r="J440" s="616">
        <v>2000</v>
      </c>
      <c r="K440" s="703"/>
      <c r="L440" s="22">
        <f t="shared" si="18"/>
        <v>888739.9999999979</v>
      </c>
      <c r="M440" s="22"/>
      <c r="N440" s="72" t="s">
        <v>108</v>
      </c>
      <c r="O440" s="15"/>
    </row>
    <row r="441" spans="1:15" ht="20.25" customHeight="1" x14ac:dyDescent="0.35">
      <c r="A441" s="631">
        <v>15</v>
      </c>
      <c r="B441" s="100" t="s">
        <v>4041</v>
      </c>
      <c r="C441" s="73" t="s">
        <v>3872</v>
      </c>
      <c r="D441" s="1769"/>
      <c r="E441" s="52" t="s">
        <v>2675</v>
      </c>
      <c r="F441" s="812">
        <v>1</v>
      </c>
      <c r="G441" s="6">
        <v>5142.45</v>
      </c>
      <c r="H441" s="6">
        <v>5246.08</v>
      </c>
      <c r="I441" s="20">
        <f t="shared" si="17"/>
        <v>103.63000000000011</v>
      </c>
      <c r="J441" s="616">
        <v>2000</v>
      </c>
      <c r="K441" s="703"/>
      <c r="L441" s="22">
        <f t="shared" si="18"/>
        <v>207260.00000000023</v>
      </c>
      <c r="M441" s="22"/>
      <c r="N441" s="72" t="s">
        <v>108</v>
      </c>
      <c r="O441" s="15"/>
    </row>
    <row r="442" spans="1:15" ht="20.25" customHeight="1" x14ac:dyDescent="0.35">
      <c r="A442" s="631">
        <v>18</v>
      </c>
      <c r="B442" s="100" t="s">
        <v>4042</v>
      </c>
      <c r="C442" s="73" t="s">
        <v>3872</v>
      </c>
      <c r="D442" s="1769"/>
      <c r="E442" s="52" t="s">
        <v>4043</v>
      </c>
      <c r="F442" s="812">
        <v>1</v>
      </c>
      <c r="G442" s="6">
        <v>1861.51</v>
      </c>
      <c r="H442" s="6">
        <v>1903.95</v>
      </c>
      <c r="I442" s="20">
        <f t="shared" si="17"/>
        <v>42.440000000000055</v>
      </c>
      <c r="J442" s="616">
        <v>2000</v>
      </c>
      <c r="K442" s="703"/>
      <c r="L442" s="22">
        <f t="shared" si="18"/>
        <v>84880.000000000116</v>
      </c>
      <c r="M442" s="22"/>
      <c r="N442" s="72" t="s">
        <v>108</v>
      </c>
      <c r="O442" s="15"/>
    </row>
    <row r="443" spans="1:15" ht="20.25" customHeight="1" x14ac:dyDescent="0.35">
      <c r="A443" s="631">
        <v>19</v>
      </c>
      <c r="B443" s="100" t="s">
        <v>4044</v>
      </c>
      <c r="C443" s="73" t="s">
        <v>3872</v>
      </c>
      <c r="D443" s="1769"/>
      <c r="E443" s="52" t="s">
        <v>2678</v>
      </c>
      <c r="F443" s="812">
        <v>1</v>
      </c>
      <c r="G443" s="6">
        <v>357.9</v>
      </c>
      <c r="H443" s="6">
        <v>431.96</v>
      </c>
      <c r="I443" s="20">
        <f t="shared" si="17"/>
        <v>74.06</v>
      </c>
      <c r="J443" s="616">
        <v>2000</v>
      </c>
      <c r="K443" s="703"/>
      <c r="L443" s="22">
        <f t="shared" si="18"/>
        <v>148120</v>
      </c>
      <c r="M443" s="22"/>
      <c r="N443" s="72" t="s">
        <v>109</v>
      </c>
      <c r="O443" s="15"/>
    </row>
    <row r="444" spans="1:15" ht="20.25" customHeight="1" x14ac:dyDescent="0.35">
      <c r="A444" s="631">
        <v>20</v>
      </c>
      <c r="B444" s="100" t="s">
        <v>4045</v>
      </c>
      <c r="C444" s="73" t="s">
        <v>3872</v>
      </c>
      <c r="D444" s="1769"/>
      <c r="E444" s="52" t="s">
        <v>2673</v>
      </c>
      <c r="F444" s="812">
        <v>1</v>
      </c>
      <c r="G444" s="6">
        <v>1729.55</v>
      </c>
      <c r="H444" s="6">
        <v>1767.69</v>
      </c>
      <c r="I444" s="20">
        <f t="shared" si="17"/>
        <v>38.1400000000001</v>
      </c>
      <c r="J444" s="616">
        <v>2000</v>
      </c>
      <c r="K444" s="703"/>
      <c r="L444" s="22">
        <f t="shared" si="18"/>
        <v>76280.000000000204</v>
      </c>
      <c r="M444" s="22"/>
      <c r="N444" s="72" t="s">
        <v>109</v>
      </c>
      <c r="O444" s="15"/>
    </row>
    <row r="445" spans="1:15" ht="20.25" customHeight="1" x14ac:dyDescent="0.35">
      <c r="A445" s="631">
        <v>21</v>
      </c>
      <c r="B445" s="100" t="s">
        <v>4046</v>
      </c>
      <c r="C445" s="73" t="s">
        <v>3872</v>
      </c>
      <c r="D445" s="1769"/>
      <c r="E445" s="52" t="s">
        <v>4047</v>
      </c>
      <c r="F445" s="812">
        <v>1</v>
      </c>
      <c r="G445" s="6">
        <v>1570.28</v>
      </c>
      <c r="H445" s="6">
        <v>1605.56</v>
      </c>
      <c r="I445" s="20">
        <f t="shared" si="17"/>
        <v>35.279999999999973</v>
      </c>
      <c r="J445" s="616">
        <v>2000</v>
      </c>
      <c r="K445" s="703"/>
      <c r="L445" s="22">
        <f t="shared" si="18"/>
        <v>70559.999999999942</v>
      </c>
      <c r="M445" s="22"/>
      <c r="N445" s="72" t="s">
        <v>108</v>
      </c>
      <c r="O445" s="15"/>
    </row>
    <row r="446" spans="1:15" ht="20.25" customHeight="1" x14ac:dyDescent="0.35">
      <c r="A446" s="631">
        <v>22</v>
      </c>
      <c r="B446" s="100" t="s">
        <v>4048</v>
      </c>
      <c r="C446" s="73" t="s">
        <v>3872</v>
      </c>
      <c r="D446" s="1769"/>
      <c r="E446" s="52" t="s">
        <v>4049</v>
      </c>
      <c r="F446" s="812">
        <v>1</v>
      </c>
      <c r="G446" s="6">
        <v>3439.4</v>
      </c>
      <c r="H446" s="6">
        <v>3500.25</v>
      </c>
      <c r="I446" s="20">
        <f t="shared" si="17"/>
        <v>60.849999999999909</v>
      </c>
      <c r="J446" s="616">
        <v>2000</v>
      </c>
      <c r="K446" s="703"/>
      <c r="L446" s="22">
        <f t="shared" si="18"/>
        <v>121699.99999999983</v>
      </c>
      <c r="M446" s="22"/>
      <c r="N446" s="72" t="s">
        <v>108</v>
      </c>
      <c r="O446" s="15"/>
    </row>
    <row r="447" spans="1:15" ht="20.25" customHeight="1" x14ac:dyDescent="0.35">
      <c r="A447" s="631">
        <v>23</v>
      </c>
      <c r="B447" s="100" t="s">
        <v>4050</v>
      </c>
      <c r="C447" s="73" t="s">
        <v>3872</v>
      </c>
      <c r="D447" s="1769"/>
      <c r="E447" s="52" t="s">
        <v>4051</v>
      </c>
      <c r="F447" s="812">
        <v>1</v>
      </c>
      <c r="G447" s="6">
        <v>822.24</v>
      </c>
      <c r="H447" s="6">
        <v>841.25</v>
      </c>
      <c r="I447" s="20">
        <f t="shared" si="17"/>
        <v>19.009999999999991</v>
      </c>
      <c r="J447" s="616">
        <v>2000</v>
      </c>
      <c r="K447" s="703"/>
      <c r="L447" s="22">
        <f t="shared" si="18"/>
        <v>38019.999999999985</v>
      </c>
      <c r="M447" s="22"/>
      <c r="N447" s="72" t="s">
        <v>108</v>
      </c>
      <c r="O447" s="15"/>
    </row>
    <row r="448" spans="1:15" ht="20.25" customHeight="1" x14ac:dyDescent="0.35">
      <c r="A448" s="631">
        <v>24</v>
      </c>
      <c r="B448" s="100" t="s">
        <v>1446</v>
      </c>
      <c r="C448" s="73" t="s">
        <v>3872</v>
      </c>
      <c r="D448" s="1769"/>
      <c r="E448" s="52" t="s">
        <v>4052</v>
      </c>
      <c r="F448" s="812">
        <v>1</v>
      </c>
      <c r="G448" s="6">
        <v>0.05</v>
      </c>
      <c r="H448" s="6">
        <v>0.05</v>
      </c>
      <c r="I448" s="20">
        <f t="shared" si="17"/>
        <v>0</v>
      </c>
      <c r="J448" s="616">
        <v>2000</v>
      </c>
      <c r="K448" s="703"/>
      <c r="L448" s="22">
        <f t="shared" si="18"/>
        <v>0</v>
      </c>
      <c r="M448" s="22"/>
      <c r="N448" s="72" t="s">
        <v>108</v>
      </c>
      <c r="O448" s="15"/>
    </row>
    <row r="449" spans="1:15" ht="20.25" customHeight="1" x14ac:dyDescent="0.35">
      <c r="A449" s="631">
        <v>25</v>
      </c>
      <c r="B449" s="100" t="s">
        <v>4053</v>
      </c>
      <c r="C449" s="73" t="s">
        <v>3872</v>
      </c>
      <c r="D449" s="1769"/>
      <c r="E449" s="52" t="s">
        <v>4054</v>
      </c>
      <c r="F449" s="812">
        <v>1</v>
      </c>
      <c r="G449" s="6">
        <v>428.54</v>
      </c>
      <c r="H449" s="6">
        <v>493.23</v>
      </c>
      <c r="I449" s="20">
        <f t="shared" si="17"/>
        <v>64.69</v>
      </c>
      <c r="J449" s="616">
        <v>2000</v>
      </c>
      <c r="K449" s="703"/>
      <c r="L449" s="22">
        <f t="shared" si="18"/>
        <v>129380</v>
      </c>
      <c r="M449" s="22"/>
      <c r="N449" s="72" t="s">
        <v>108</v>
      </c>
      <c r="O449" s="15"/>
    </row>
    <row r="450" spans="1:15" ht="20.25" customHeight="1" x14ac:dyDescent="0.35">
      <c r="A450" s="631">
        <v>26</v>
      </c>
      <c r="B450" s="100" t="s">
        <v>3984</v>
      </c>
      <c r="C450" s="73" t="s">
        <v>3867</v>
      </c>
      <c r="D450" s="1769"/>
      <c r="E450" s="52" t="s">
        <v>4055</v>
      </c>
      <c r="F450" s="812">
        <v>1</v>
      </c>
      <c r="G450" s="6">
        <v>2217.91</v>
      </c>
      <c r="H450" s="6">
        <v>2217.91</v>
      </c>
      <c r="I450" s="20">
        <f t="shared" si="17"/>
        <v>0</v>
      </c>
      <c r="J450" s="616">
        <v>100</v>
      </c>
      <c r="K450" s="703">
        <f>F450*I450*J450</f>
        <v>0</v>
      </c>
      <c r="L450" s="22"/>
      <c r="M450" s="22"/>
      <c r="N450" s="72" t="s">
        <v>108</v>
      </c>
      <c r="O450" s="15"/>
    </row>
    <row r="451" spans="1:15" ht="20.25" customHeight="1" x14ac:dyDescent="0.35">
      <c r="A451" s="631">
        <v>27</v>
      </c>
      <c r="B451" s="100" t="s">
        <v>3985</v>
      </c>
      <c r="C451" s="73" t="s">
        <v>3867</v>
      </c>
      <c r="D451" s="766"/>
      <c r="E451" s="52" t="s">
        <v>4056</v>
      </c>
      <c r="F451" s="812">
        <v>1</v>
      </c>
      <c r="G451" s="6">
        <v>1295.97</v>
      </c>
      <c r="H451" s="6">
        <v>1368.4</v>
      </c>
      <c r="I451" s="20">
        <f t="shared" si="17"/>
        <v>72.430000000000064</v>
      </c>
      <c r="J451" s="616">
        <v>100</v>
      </c>
      <c r="K451" s="703"/>
      <c r="L451" s="22">
        <v>7243.0000000000064</v>
      </c>
      <c r="M451" s="22"/>
      <c r="N451" s="72" t="s">
        <v>108</v>
      </c>
      <c r="O451" s="15"/>
    </row>
    <row r="452" spans="1:15" ht="20" x14ac:dyDescent="0.35">
      <c r="A452" s="636"/>
      <c r="B452" s="96"/>
      <c r="C452" s="90"/>
      <c r="D452" s="96"/>
      <c r="E452" s="90"/>
      <c r="F452" s="813"/>
      <c r="G452" s="38"/>
      <c r="H452" s="38"/>
      <c r="I452" s="38"/>
      <c r="J452" s="53" t="s">
        <v>44</v>
      </c>
      <c r="K452" s="658">
        <f>K432</f>
        <v>2689829.9999999981</v>
      </c>
      <c r="L452" s="658">
        <f>SUM(L434:L451)</f>
        <v>2693586.8000000017</v>
      </c>
      <c r="M452" s="43">
        <f>SUM(M434:M451)</f>
        <v>0</v>
      </c>
      <c r="N452" s="84">
        <f>(M452-L452)/L452*100</f>
        <v>-100</v>
      </c>
      <c r="O452" s="29"/>
    </row>
    <row r="454" spans="1:15" ht="15" x14ac:dyDescent="0.35">
      <c r="A454" s="620"/>
      <c r="B454" s="635"/>
      <c r="C454" s="632"/>
      <c r="D454" s="1900"/>
      <c r="F454" s="2092" t="s">
        <v>1099</v>
      </c>
      <c r="G454" s="2092"/>
      <c r="H454" s="2092"/>
      <c r="I454" s="677" t="s">
        <v>14</v>
      </c>
      <c r="J454" s="620"/>
      <c r="K454" s="702"/>
      <c r="L454" s="620"/>
      <c r="M454" s="620"/>
      <c r="N454" s="632"/>
      <c r="O454" s="620"/>
    </row>
    <row r="455" spans="1:15" ht="15.5" x14ac:dyDescent="0.35">
      <c r="A455" s="620"/>
      <c r="B455" s="635"/>
      <c r="C455" s="632"/>
      <c r="D455" s="1900"/>
      <c r="F455" s="2153" t="s">
        <v>232</v>
      </c>
      <c r="G455" s="2154"/>
      <c r="H455" s="2155"/>
      <c r="I455" s="643">
        <f>SUM(M434:M435,M445)</f>
        <v>0</v>
      </c>
      <c r="J455" s="620"/>
      <c r="K455" s="702"/>
      <c r="L455" s="620"/>
      <c r="M455" s="620"/>
      <c r="N455" s="632"/>
      <c r="O455" s="620" t="s">
        <v>237</v>
      </c>
    </row>
    <row r="456" spans="1:15" ht="15.5" x14ac:dyDescent="0.35">
      <c r="A456" s="620"/>
      <c r="B456" s="635"/>
      <c r="C456" s="632"/>
      <c r="D456" s="1900"/>
      <c r="F456" s="2153" t="s">
        <v>268</v>
      </c>
      <c r="G456" s="2154"/>
      <c r="H456" s="2155"/>
      <c r="I456" s="643">
        <f>SUM(M436:M437,M446,M448,M449,M451)</f>
        <v>0</v>
      </c>
      <c r="J456" s="620"/>
      <c r="K456" s="702"/>
      <c r="L456" s="620"/>
      <c r="M456" s="620"/>
      <c r="N456" s="632"/>
      <c r="O456" s="620"/>
    </row>
    <row r="457" spans="1:15" ht="16" thickBot="1" x14ac:dyDescent="0.4">
      <c r="A457" s="620"/>
      <c r="B457" s="635"/>
      <c r="C457" s="632"/>
      <c r="D457" s="1900"/>
      <c r="F457" s="2153" t="s">
        <v>269</v>
      </c>
      <c r="G457" s="2154"/>
      <c r="H457" s="2155"/>
      <c r="I457" s="643">
        <f>SUM(M447,M450)</f>
        <v>0</v>
      </c>
      <c r="J457" s="620"/>
      <c r="K457" s="702"/>
      <c r="L457" s="620"/>
      <c r="M457" s="620"/>
      <c r="N457" s="632"/>
      <c r="O457" s="620"/>
    </row>
    <row r="458" spans="1:15" ht="20.5" thickBot="1" x14ac:dyDescent="0.4">
      <c r="A458" s="620"/>
      <c r="B458" s="635"/>
      <c r="C458" s="632"/>
      <c r="D458" s="1900"/>
      <c r="E458" s="632"/>
      <c r="F458" s="2156" t="s">
        <v>210</v>
      </c>
      <c r="G458" s="2156"/>
      <c r="H458" s="2156"/>
      <c r="I458" s="656">
        <f>SUM(I455:I457)</f>
        <v>0</v>
      </c>
      <c r="J458" s="682">
        <f>I458-M452</f>
        <v>0</v>
      </c>
      <c r="K458" s="702"/>
      <c r="L458" s="620"/>
      <c r="M458" s="620"/>
      <c r="N458" s="632"/>
      <c r="O458" s="620"/>
    </row>
    <row r="470" spans="1:15" x14ac:dyDescent="0.35">
      <c r="A470" s="620"/>
      <c r="B470" s="635"/>
      <c r="C470" s="632"/>
      <c r="D470" s="1900"/>
      <c r="E470" s="632"/>
      <c r="F470" s="810"/>
      <c r="G470" s="620"/>
      <c r="H470" s="620"/>
      <c r="I470" s="620"/>
      <c r="J470" s="620"/>
      <c r="K470" s="702"/>
      <c r="L470" s="620"/>
      <c r="M470" s="620"/>
      <c r="N470" s="632"/>
      <c r="O470" s="620"/>
    </row>
    <row r="471" spans="1:15" x14ac:dyDescent="0.35">
      <c r="A471" s="620"/>
      <c r="B471" s="635"/>
      <c r="C471" s="632"/>
      <c r="D471" s="1900"/>
      <c r="E471" s="632"/>
      <c r="F471" s="810"/>
      <c r="G471" s="620"/>
      <c r="H471" s="620"/>
      <c r="I471" s="620"/>
      <c r="J471" s="620"/>
      <c r="K471" s="702"/>
      <c r="L471" s="620"/>
      <c r="M471" s="620"/>
      <c r="N471" s="632"/>
      <c r="O471" s="620"/>
    </row>
    <row r="472" spans="1:15" ht="25" x14ac:dyDescent="0.35">
      <c r="A472" s="46"/>
      <c r="B472" s="2152"/>
      <c r="C472" s="2152"/>
      <c r="D472" s="2152"/>
      <c r="E472" s="2152"/>
      <c r="F472" s="2152"/>
      <c r="G472" s="2152"/>
      <c r="H472" s="2152"/>
      <c r="I472" s="2152"/>
      <c r="J472" s="2152"/>
      <c r="K472" s="2152"/>
      <c r="L472" s="2152"/>
      <c r="M472" s="2152"/>
      <c r="N472" s="75"/>
      <c r="O472" s="28"/>
    </row>
    <row r="473" spans="1:15" x14ac:dyDescent="0.35">
      <c r="A473" s="620"/>
      <c r="B473" s="635"/>
      <c r="C473" s="632"/>
      <c r="D473" s="1900"/>
      <c r="E473" s="632"/>
      <c r="F473" s="810"/>
      <c r="G473" s="620"/>
      <c r="H473" s="620"/>
      <c r="I473" s="620"/>
      <c r="J473" s="620"/>
      <c r="K473" s="702"/>
      <c r="L473" s="620"/>
      <c r="M473" s="620"/>
      <c r="N473" s="632"/>
      <c r="O473" s="620"/>
    </row>
    <row r="474" spans="1:15" x14ac:dyDescent="0.35">
      <c r="A474" s="620"/>
      <c r="B474" s="635"/>
      <c r="C474" s="632"/>
      <c r="D474" s="1900"/>
      <c r="E474" s="632"/>
      <c r="F474" s="810"/>
      <c r="G474" s="620"/>
      <c r="H474" s="620"/>
      <c r="I474" s="620"/>
      <c r="J474" s="620"/>
      <c r="K474" s="702"/>
      <c r="L474" s="620"/>
      <c r="M474" s="620"/>
      <c r="N474" s="632"/>
      <c r="O474" s="620"/>
    </row>
    <row r="475" spans="1:15" ht="25" x14ac:dyDescent="0.35">
      <c r="A475" s="2095" t="s">
        <v>4062</v>
      </c>
      <c r="B475" s="2095"/>
      <c r="C475" s="2095"/>
      <c r="D475" s="2095"/>
      <c r="E475" s="2095"/>
      <c r="F475" s="2095"/>
      <c r="G475" s="2095"/>
      <c r="H475" s="2095"/>
      <c r="I475" s="2095"/>
      <c r="J475" s="2095"/>
      <c r="K475" s="2095"/>
      <c r="L475" s="2095"/>
      <c r="M475" s="2095"/>
      <c r="N475" s="2095"/>
      <c r="O475" s="756" t="e">
        <f>#REF!</f>
        <v>#REF!</v>
      </c>
    </row>
    <row r="476" spans="1:15" ht="15.5" x14ac:dyDescent="0.35">
      <c r="A476" s="2096" t="s">
        <v>0</v>
      </c>
      <c r="B476" s="2098" t="s">
        <v>1</v>
      </c>
      <c r="C476" s="2100" t="s">
        <v>2</v>
      </c>
      <c r="D476" s="2101"/>
      <c r="E476" s="2102"/>
      <c r="F476" s="2216" t="s">
        <v>3</v>
      </c>
      <c r="G476" s="2100" t="s">
        <v>4</v>
      </c>
      <c r="H476" s="2102"/>
      <c r="I476" s="2085"/>
      <c r="J476" s="2103" t="s">
        <v>5</v>
      </c>
      <c r="K476" s="2100" t="s">
        <v>6</v>
      </c>
      <c r="L476" s="2102"/>
      <c r="M476" s="97" t="s">
        <v>1088</v>
      </c>
      <c r="N476" s="98"/>
      <c r="O476" s="2084" t="s">
        <v>7</v>
      </c>
    </row>
    <row r="477" spans="1:15" ht="15.5" x14ac:dyDescent="0.35">
      <c r="A477" s="2097"/>
      <c r="B477" s="2099"/>
      <c r="C477" s="2086" t="s">
        <v>1108</v>
      </c>
      <c r="D477" s="2087"/>
      <c r="E477" s="87" t="s">
        <v>9</v>
      </c>
      <c r="F477" s="2217"/>
      <c r="G477" s="2">
        <f>'NORTH-1'!$G$8</f>
        <v>44774</v>
      </c>
      <c r="H477" s="2">
        <f>'NORTH-1'!$H$8</f>
        <v>44805</v>
      </c>
      <c r="I477" s="1" t="s">
        <v>10</v>
      </c>
      <c r="J477" s="2097"/>
      <c r="K477" s="1" t="s">
        <v>11</v>
      </c>
      <c r="L477" s="1" t="s">
        <v>12</v>
      </c>
      <c r="M477" s="617" t="s">
        <v>33</v>
      </c>
      <c r="N477" s="76" t="s">
        <v>47</v>
      </c>
      <c r="O477" s="2085"/>
    </row>
    <row r="478" spans="1:15" ht="15.5" x14ac:dyDescent="0.35">
      <c r="A478" s="3">
        <v>1</v>
      </c>
      <c r="B478" s="88">
        <v>2</v>
      </c>
      <c r="C478" s="2088">
        <v>4</v>
      </c>
      <c r="D478" s="2089"/>
      <c r="E478" s="88">
        <v>5</v>
      </c>
      <c r="F478" s="803">
        <v>7</v>
      </c>
      <c r="G478" s="3">
        <v>8</v>
      </c>
      <c r="H478" s="3">
        <v>9</v>
      </c>
      <c r="I478" s="3" t="s">
        <v>13</v>
      </c>
      <c r="J478" s="3">
        <v>11</v>
      </c>
      <c r="K478" s="3" t="s">
        <v>19</v>
      </c>
      <c r="L478" s="3" t="s">
        <v>20</v>
      </c>
      <c r="M478" s="3">
        <v>14</v>
      </c>
      <c r="N478" s="77">
        <v>15</v>
      </c>
      <c r="O478" s="3">
        <v>16</v>
      </c>
    </row>
    <row r="479" spans="1:15" ht="15.5" x14ac:dyDescent="0.35">
      <c r="A479" s="11"/>
      <c r="B479" s="624" t="s">
        <v>4064</v>
      </c>
      <c r="C479" s="625"/>
      <c r="D479" s="695"/>
      <c r="E479" s="667"/>
      <c r="F479" s="804"/>
      <c r="G479" s="625"/>
      <c r="H479" s="625"/>
      <c r="I479" s="625"/>
      <c r="J479" s="625"/>
      <c r="K479" s="695"/>
      <c r="L479" s="625"/>
      <c r="M479" s="626"/>
      <c r="N479" s="627"/>
      <c r="O479" s="8"/>
    </row>
    <row r="480" spans="1:15" ht="15.5" x14ac:dyDescent="0.35">
      <c r="A480" s="631">
        <v>2</v>
      </c>
      <c r="B480" s="100" t="s">
        <v>4065</v>
      </c>
      <c r="C480" s="52" t="s">
        <v>3811</v>
      </c>
      <c r="D480" s="818"/>
      <c r="E480" s="2149" t="s">
        <v>4066</v>
      </c>
      <c r="F480" s="812">
        <v>1</v>
      </c>
      <c r="G480" s="5">
        <v>154370</v>
      </c>
      <c r="H480" s="5">
        <v>167444</v>
      </c>
      <c r="I480" s="5">
        <f t="shared" ref="I480:I485" si="19">H480-G480</f>
        <v>13074</v>
      </c>
      <c r="J480" s="616">
        <v>1000</v>
      </c>
      <c r="K480" s="696">
        <f>F480*I480*J480</f>
        <v>13074000</v>
      </c>
      <c r="L480" s="7"/>
      <c r="M480" s="7"/>
      <c r="N480" s="78"/>
      <c r="O480" s="616"/>
    </row>
    <row r="481" spans="1:15" ht="15.5" x14ac:dyDescent="0.35">
      <c r="A481" s="631"/>
      <c r="B481" s="100"/>
      <c r="C481" s="52" t="s">
        <v>3811</v>
      </c>
      <c r="D481" s="1918"/>
      <c r="E481" s="2150" t="s">
        <v>4066</v>
      </c>
      <c r="F481" s="812">
        <v>1</v>
      </c>
      <c r="G481" s="5">
        <v>6693</v>
      </c>
      <c r="H481" s="5">
        <v>6693</v>
      </c>
      <c r="I481" s="5">
        <f t="shared" si="19"/>
        <v>0</v>
      </c>
      <c r="J481" s="616">
        <v>1000</v>
      </c>
      <c r="K481" s="696"/>
      <c r="L481" s="16">
        <f>F481*I481*J481</f>
        <v>0</v>
      </c>
      <c r="M481" s="16"/>
      <c r="N481" s="79"/>
      <c r="O481" s="616"/>
    </row>
    <row r="482" spans="1:15" ht="15.5" x14ac:dyDescent="0.35">
      <c r="A482" s="631">
        <v>3</v>
      </c>
      <c r="B482" s="100" t="s">
        <v>4067</v>
      </c>
      <c r="C482" s="52" t="s">
        <v>3811</v>
      </c>
      <c r="D482" s="1918"/>
      <c r="E482" s="1865" t="s">
        <v>4068</v>
      </c>
      <c r="F482" s="812">
        <v>1</v>
      </c>
      <c r="G482" s="5">
        <v>4089268</v>
      </c>
      <c r="H482" s="5">
        <v>4114914</v>
      </c>
      <c r="I482" s="5">
        <f t="shared" si="19"/>
        <v>25646</v>
      </c>
      <c r="J482" s="616">
        <v>1000</v>
      </c>
      <c r="K482" s="696">
        <f>F482*I482*J482</f>
        <v>25646000</v>
      </c>
      <c r="L482" s="16"/>
      <c r="M482" s="16"/>
      <c r="N482" s="79"/>
      <c r="O482" s="616"/>
    </row>
    <row r="483" spans="1:15" ht="15.5" x14ac:dyDescent="0.35">
      <c r="A483" s="631"/>
      <c r="B483" s="100"/>
      <c r="C483" s="52" t="s">
        <v>3811</v>
      </c>
      <c r="D483" s="1918"/>
      <c r="E483" s="1865" t="s">
        <v>4068</v>
      </c>
      <c r="F483" s="812">
        <v>1</v>
      </c>
      <c r="G483" s="5">
        <v>789</v>
      </c>
      <c r="H483" s="5">
        <v>789</v>
      </c>
      <c r="I483" s="5">
        <f t="shared" si="19"/>
        <v>0</v>
      </c>
      <c r="J483" s="616">
        <v>1000</v>
      </c>
      <c r="K483" s="696"/>
      <c r="L483" s="16">
        <f>F483*I483*J483</f>
        <v>0</v>
      </c>
      <c r="M483" s="16"/>
      <c r="N483" s="79"/>
      <c r="O483" s="616"/>
    </row>
    <row r="484" spans="1:15" ht="15.5" x14ac:dyDescent="0.35">
      <c r="A484" s="631">
        <v>7</v>
      </c>
      <c r="B484" s="100" t="s">
        <v>4069</v>
      </c>
      <c r="C484" s="52" t="s">
        <v>3811</v>
      </c>
      <c r="D484" s="1918"/>
      <c r="E484" s="2149" t="s">
        <v>4070</v>
      </c>
      <c r="F484" s="812">
        <v>1</v>
      </c>
      <c r="G484" s="5">
        <v>253881</v>
      </c>
      <c r="H484" s="5">
        <v>265988</v>
      </c>
      <c r="I484" s="5">
        <f t="shared" si="19"/>
        <v>12107</v>
      </c>
      <c r="J484" s="616">
        <v>1000</v>
      </c>
      <c r="K484" s="696">
        <f>F484*I484*J484</f>
        <v>12107000</v>
      </c>
      <c r="L484" s="7"/>
      <c r="M484" s="7"/>
      <c r="N484" s="78"/>
      <c r="O484" s="616"/>
    </row>
    <row r="485" spans="1:15" ht="15.5" x14ac:dyDescent="0.35">
      <c r="A485" s="631"/>
      <c r="B485" s="100"/>
      <c r="C485" s="52" t="s">
        <v>3811</v>
      </c>
      <c r="D485" s="1444"/>
      <c r="E485" s="2150" t="s">
        <v>4070</v>
      </c>
      <c r="F485" s="812">
        <v>1</v>
      </c>
      <c r="G485" s="5">
        <v>7046</v>
      </c>
      <c r="H485" s="5">
        <v>7046</v>
      </c>
      <c r="I485" s="5">
        <f t="shared" si="19"/>
        <v>0</v>
      </c>
      <c r="J485" s="616">
        <v>1000</v>
      </c>
      <c r="K485" s="697"/>
      <c r="L485" s="17">
        <f>F485*I485*J485</f>
        <v>0</v>
      </c>
      <c r="M485" s="17"/>
      <c r="N485" s="80"/>
      <c r="O485" s="616"/>
    </row>
    <row r="486" spans="1:15" ht="15.5" x14ac:dyDescent="0.35">
      <c r="A486" s="631"/>
      <c r="B486" s="95"/>
      <c r="C486" s="89"/>
      <c r="D486" s="1846"/>
      <c r="E486" s="89"/>
      <c r="F486" s="806"/>
      <c r="G486" s="37"/>
      <c r="H486" s="37"/>
      <c r="I486" s="2136" t="s">
        <v>236</v>
      </c>
      <c r="J486" s="2137"/>
      <c r="K486" s="698">
        <f>SUM(K480:K485)</f>
        <v>50827000</v>
      </c>
      <c r="L486" s="94">
        <f>SUM(L480:L485)</f>
        <v>0</v>
      </c>
      <c r="M486" s="18"/>
      <c r="N486" s="81"/>
      <c r="O486" s="616"/>
    </row>
    <row r="487" spans="1:15" ht="15.5" x14ac:dyDescent="0.35">
      <c r="A487" s="631"/>
      <c r="B487" s="95"/>
      <c r="C487" s="89"/>
      <c r="D487" s="1846"/>
      <c r="E487" s="89"/>
      <c r="F487" s="806"/>
      <c r="G487" s="37"/>
      <c r="H487" s="37"/>
      <c r="I487" s="665"/>
      <c r="J487" s="665" t="s">
        <v>31</v>
      </c>
      <c r="K487" s="699">
        <f>K486-L486</f>
        <v>50827000</v>
      </c>
      <c r="L487" s="40"/>
      <c r="M487" s="41"/>
      <c r="N487" s="632"/>
      <c r="O487" s="616"/>
    </row>
    <row r="488" spans="1:15" ht="15.5" x14ac:dyDescent="0.35">
      <c r="A488" s="631"/>
      <c r="B488" s="624" t="s">
        <v>4063</v>
      </c>
      <c r="C488" s="625"/>
      <c r="D488" s="695"/>
      <c r="E488" s="625"/>
      <c r="F488" s="804"/>
      <c r="G488" s="625"/>
      <c r="H488" s="625"/>
      <c r="I488" s="625"/>
      <c r="J488" s="625"/>
      <c r="K488" s="695"/>
      <c r="L488" s="625"/>
      <c r="M488" s="626"/>
      <c r="N488" s="627"/>
      <c r="O488" s="616"/>
    </row>
    <row r="489" spans="1:15" ht="15.5" x14ac:dyDescent="0.35">
      <c r="A489" s="631"/>
      <c r="B489" s="100"/>
      <c r="C489" s="52">
        <v>132</v>
      </c>
      <c r="D489" s="818" t="s">
        <v>1084</v>
      </c>
      <c r="E489" s="2149">
        <v>6604452</v>
      </c>
      <c r="F489" s="812">
        <v>1</v>
      </c>
      <c r="G489" s="5"/>
      <c r="H489" s="5"/>
      <c r="I489" s="5">
        <f>H489-G489</f>
        <v>0</v>
      </c>
      <c r="J489" s="616">
        <v>720000</v>
      </c>
      <c r="K489" s="696">
        <f>J489*I489*F489</f>
        <v>0</v>
      </c>
      <c r="L489" s="16"/>
      <c r="M489" s="16"/>
      <c r="N489" s="79"/>
      <c r="O489" s="616"/>
    </row>
    <row r="490" spans="1:15" ht="15.5" x14ac:dyDescent="0.35">
      <c r="A490" s="631"/>
      <c r="B490" s="100"/>
      <c r="C490" s="52">
        <v>132</v>
      </c>
      <c r="D490" s="1918"/>
      <c r="E490" s="2150"/>
      <c r="F490" s="812">
        <v>1</v>
      </c>
      <c r="G490" s="5"/>
      <c r="H490" s="5"/>
      <c r="I490" s="5">
        <f>H490-G490</f>
        <v>0</v>
      </c>
      <c r="J490" s="616">
        <v>720000</v>
      </c>
      <c r="K490" s="696"/>
      <c r="L490" s="16">
        <f>J490*I490*F490</f>
        <v>0</v>
      </c>
      <c r="M490" s="16"/>
      <c r="N490" s="79"/>
      <c r="O490" s="616"/>
    </row>
    <row r="491" spans="1:15" ht="15.5" x14ac:dyDescent="0.35">
      <c r="A491" s="631"/>
      <c r="B491" s="100"/>
      <c r="C491" s="52">
        <v>132</v>
      </c>
      <c r="D491" s="1918"/>
      <c r="E491" s="2149">
        <v>6604428</v>
      </c>
      <c r="F491" s="812">
        <v>1</v>
      </c>
      <c r="G491" s="5"/>
      <c r="H491" s="5"/>
      <c r="I491" s="5">
        <f>H491-G491</f>
        <v>0</v>
      </c>
      <c r="J491" s="616">
        <v>720000</v>
      </c>
      <c r="K491" s="696">
        <f>J491*I491*F491</f>
        <v>0</v>
      </c>
      <c r="L491" s="16"/>
      <c r="M491" s="16"/>
      <c r="N491" s="79"/>
      <c r="O491" s="616"/>
    </row>
    <row r="492" spans="1:15" ht="15.5" x14ac:dyDescent="0.35">
      <c r="A492" s="631"/>
      <c r="B492" s="100"/>
      <c r="C492" s="52">
        <v>132</v>
      </c>
      <c r="D492" s="1444"/>
      <c r="E492" s="2150"/>
      <c r="F492" s="812">
        <v>1</v>
      </c>
      <c r="G492" s="5"/>
      <c r="H492" s="5"/>
      <c r="I492" s="5">
        <f>H492-G492</f>
        <v>0</v>
      </c>
      <c r="J492" s="616">
        <v>720000</v>
      </c>
      <c r="K492" s="697"/>
      <c r="L492" s="17">
        <f>J492*I492*F492</f>
        <v>0</v>
      </c>
      <c r="M492" s="17"/>
      <c r="N492" s="80"/>
      <c r="O492" s="616"/>
    </row>
    <row r="493" spans="1:15" ht="15.5" x14ac:dyDescent="0.35">
      <c r="A493" s="631"/>
      <c r="B493" s="95"/>
      <c r="C493" s="89"/>
      <c r="D493" s="1846"/>
      <c r="E493" s="89"/>
      <c r="F493" s="806"/>
      <c r="G493" s="37"/>
      <c r="H493" s="37"/>
      <c r="I493" s="2136" t="s">
        <v>303</v>
      </c>
      <c r="J493" s="2137"/>
      <c r="K493" s="698">
        <f>SUM(K489:K492)</f>
        <v>0</v>
      </c>
      <c r="L493" s="94">
        <f>SUM(L489:L492)</f>
        <v>0</v>
      </c>
      <c r="M493" s="18"/>
      <c r="N493" s="81"/>
      <c r="O493" s="633"/>
    </row>
    <row r="494" spans="1:15" ht="15.5" x14ac:dyDescent="0.35">
      <c r="A494" s="631"/>
      <c r="B494" s="95"/>
      <c r="C494" s="89"/>
      <c r="D494" s="1846"/>
      <c r="E494" s="89"/>
      <c r="F494" s="806"/>
      <c r="G494" s="37"/>
      <c r="H494" s="37"/>
      <c r="I494" s="2136" t="s">
        <v>31</v>
      </c>
      <c r="J494" s="2137"/>
      <c r="K494" s="699">
        <f>K487</f>
        <v>50827000</v>
      </c>
      <c r="L494" s="40"/>
      <c r="M494" s="42"/>
      <c r="N494" s="634"/>
      <c r="O494" s="633"/>
    </row>
    <row r="495" spans="1:15" ht="15.5" x14ac:dyDescent="0.35">
      <c r="A495" s="11"/>
      <c r="B495" s="647" t="s">
        <v>1479</v>
      </c>
      <c r="C495" s="648"/>
      <c r="D495" s="700"/>
      <c r="E495" s="648"/>
      <c r="F495" s="807"/>
      <c r="G495" s="648"/>
      <c r="H495" s="648"/>
      <c r="I495" s="648"/>
      <c r="J495" s="648"/>
      <c r="K495" s="700"/>
      <c r="L495" s="648"/>
      <c r="M495" s="651"/>
      <c r="N495" s="649"/>
      <c r="O495" s="8"/>
    </row>
    <row r="496" spans="1:15" ht="15.5" x14ac:dyDescent="0.35">
      <c r="A496" s="631">
        <v>6</v>
      </c>
      <c r="B496" s="100" t="s">
        <v>49</v>
      </c>
      <c r="C496" s="52" t="s">
        <v>3811</v>
      </c>
      <c r="D496" s="2138"/>
      <c r="E496" s="615" t="s">
        <v>4061</v>
      </c>
      <c r="F496" s="812">
        <v>1</v>
      </c>
      <c r="G496" s="5">
        <v>7403</v>
      </c>
      <c r="H496" s="5">
        <v>7403</v>
      </c>
      <c r="I496" s="5">
        <f>H496-G496</f>
        <v>0</v>
      </c>
      <c r="J496" s="616">
        <v>1000</v>
      </c>
      <c r="K496" s="696">
        <f>F496*I496*J496</f>
        <v>0</v>
      </c>
      <c r="L496" s="16"/>
      <c r="M496" s="7"/>
      <c r="N496" s="78"/>
      <c r="O496" s="616"/>
    </row>
    <row r="497" spans="1:15" ht="15.5" x14ac:dyDescent="0.35">
      <c r="A497" s="631"/>
      <c r="B497" s="100"/>
      <c r="C497" s="52" t="s">
        <v>3811</v>
      </c>
      <c r="D497" s="2139"/>
      <c r="E497" s="615" t="s">
        <v>4061</v>
      </c>
      <c r="F497" s="812">
        <v>1</v>
      </c>
      <c r="G497" s="5">
        <v>336146</v>
      </c>
      <c r="H497" s="5">
        <v>347124</v>
      </c>
      <c r="I497" s="5">
        <f>H497-G497</f>
        <v>10978</v>
      </c>
      <c r="J497" s="616">
        <v>1000</v>
      </c>
      <c r="K497" s="696"/>
      <c r="L497" s="16">
        <f>F497*I497*J497</f>
        <v>10978000</v>
      </c>
      <c r="M497" s="16"/>
      <c r="N497" s="79"/>
      <c r="O497" s="616"/>
    </row>
    <row r="498" spans="1:15" ht="15.5" x14ac:dyDescent="0.35">
      <c r="A498" s="631"/>
      <c r="B498" s="95"/>
      <c r="C498" s="89"/>
      <c r="D498" s="1846"/>
      <c r="E498" s="89"/>
      <c r="F498" s="806"/>
      <c r="G498" s="37"/>
      <c r="H498" s="37"/>
      <c r="I498" s="37"/>
      <c r="J498" s="95" t="s">
        <v>279</v>
      </c>
      <c r="K498" s="699"/>
      <c r="L498" s="43">
        <f>SUM(L496:L497)</f>
        <v>10978000</v>
      </c>
      <c r="M498" s="633"/>
      <c r="N498" s="634"/>
      <c r="O498" s="616"/>
    </row>
    <row r="499" spans="1:15" ht="15.5" x14ac:dyDescent="0.35">
      <c r="A499" s="11"/>
      <c r="B499" s="647" t="s">
        <v>1480</v>
      </c>
      <c r="C499" s="648"/>
      <c r="D499" s="700"/>
      <c r="E499" s="648"/>
      <c r="F499" s="807"/>
      <c r="G499" s="648"/>
      <c r="H499" s="648"/>
      <c r="I499" s="648"/>
      <c r="J499" s="648"/>
      <c r="K499" s="700"/>
      <c r="L499" s="648"/>
      <c r="M499" s="651"/>
      <c r="N499" s="649"/>
      <c r="O499" s="8"/>
    </row>
    <row r="500" spans="1:15" ht="15.5" x14ac:dyDescent="0.35">
      <c r="A500" s="631">
        <v>4</v>
      </c>
      <c r="B500" s="100" t="s">
        <v>4057</v>
      </c>
      <c r="C500" s="52" t="s">
        <v>3811</v>
      </c>
      <c r="D500" s="818"/>
      <c r="E500" s="2149" t="s">
        <v>4058</v>
      </c>
      <c r="F500" s="812">
        <v>1</v>
      </c>
      <c r="G500" s="5">
        <v>2045618</v>
      </c>
      <c r="H500" s="5">
        <v>2060286</v>
      </c>
      <c r="I500" s="5">
        <f>H500-G500</f>
        <v>14668</v>
      </c>
      <c r="J500" s="616">
        <v>1000</v>
      </c>
      <c r="K500" s="696"/>
      <c r="L500" s="16">
        <f>F500*I500*J500</f>
        <v>14668000</v>
      </c>
      <c r="M500" s="16"/>
      <c r="N500" s="79"/>
      <c r="O500" s="616"/>
    </row>
    <row r="501" spans="1:15" ht="15.5" x14ac:dyDescent="0.35">
      <c r="A501" s="631">
        <v>5</v>
      </c>
      <c r="B501" s="100" t="s">
        <v>4059</v>
      </c>
      <c r="C501" s="52" t="s">
        <v>3811</v>
      </c>
      <c r="D501" s="1918"/>
      <c r="E501" s="2150" t="s">
        <v>4060</v>
      </c>
      <c r="F501" s="812">
        <v>1</v>
      </c>
      <c r="G501" s="5">
        <v>2109005</v>
      </c>
      <c r="H501" s="5">
        <v>2134210</v>
      </c>
      <c r="I501" s="5">
        <f>H501-G501</f>
        <v>25205</v>
      </c>
      <c r="J501" s="616">
        <v>1000</v>
      </c>
      <c r="K501" s="696"/>
      <c r="L501" s="16">
        <f>F501*I501*J501</f>
        <v>25205000</v>
      </c>
      <c r="M501" s="16"/>
      <c r="N501" s="79"/>
      <c r="O501" s="616"/>
    </row>
    <row r="502" spans="1:15" ht="15.5" x14ac:dyDescent="0.35">
      <c r="A502" s="631"/>
      <c r="B502" s="95"/>
      <c r="C502" s="89"/>
      <c r="D502" s="1846"/>
      <c r="E502" s="65"/>
      <c r="F502" s="808"/>
      <c r="G502" s="65"/>
      <c r="H502" s="65"/>
      <c r="I502" s="65"/>
      <c r="J502" s="95" t="s">
        <v>30</v>
      </c>
      <c r="K502" s="701"/>
      <c r="L502" s="43">
        <f>L500+L501</f>
        <v>39873000</v>
      </c>
      <c r="M502" s="55"/>
      <c r="N502" s="78"/>
      <c r="O502" s="616"/>
    </row>
    <row r="503" spans="1:15" ht="15" thickBot="1" x14ac:dyDescent="0.4">
      <c r="A503" s="620"/>
      <c r="B503" s="635"/>
      <c r="C503" s="632"/>
      <c r="D503" s="1900"/>
      <c r="K503" s="702"/>
      <c r="L503" s="620"/>
      <c r="M503" s="620"/>
      <c r="N503" s="632"/>
      <c r="O503" s="620"/>
    </row>
    <row r="504" spans="1:15" s="620" customFormat="1" x14ac:dyDescent="0.35">
      <c r="B504" s="2142" t="s">
        <v>1090</v>
      </c>
      <c r="C504" s="2143"/>
      <c r="D504" s="683" t="s">
        <v>14</v>
      </c>
      <c r="E504"/>
      <c r="F504" s="2144" t="s">
        <v>1091</v>
      </c>
      <c r="G504" s="2145"/>
      <c r="H504" s="2146"/>
      <c r="I504" s="683" t="s">
        <v>14</v>
      </c>
      <c r="K504" s="2147" t="s">
        <v>1092</v>
      </c>
      <c r="L504" s="2148"/>
      <c r="M504" s="684" t="s">
        <v>14</v>
      </c>
      <c r="N504" s="632"/>
    </row>
    <row r="505" spans="1:15" s="620" customFormat="1" x14ac:dyDescent="0.35">
      <c r="B505" s="2122" t="str">
        <f>B479</f>
        <v>132 KV SIDE (TARIFF POINT)</v>
      </c>
      <c r="C505" s="2123"/>
      <c r="D505" s="689">
        <f>K487</f>
        <v>50827000</v>
      </c>
      <c r="E505"/>
      <c r="F505" s="2124" t="s">
        <v>1093</v>
      </c>
      <c r="G505" s="2125"/>
      <c r="H505" s="2126"/>
      <c r="I505" s="689">
        <f>L498</f>
        <v>10978000</v>
      </c>
      <c r="K505" s="2129" t="s">
        <v>4625</v>
      </c>
      <c r="L505" s="2130"/>
      <c r="M505" s="687">
        <f>I506</f>
        <v>39873000</v>
      </c>
      <c r="N505" s="632"/>
    </row>
    <row r="506" spans="1:15" s="620" customFormat="1" x14ac:dyDescent="0.35">
      <c r="B506" s="2122" t="s">
        <v>1116</v>
      </c>
      <c r="C506" s="2123"/>
      <c r="D506" s="689"/>
      <c r="E506"/>
      <c r="F506" s="2124" t="s">
        <v>4625</v>
      </c>
      <c r="G506" s="2125"/>
      <c r="H506" s="2126"/>
      <c r="I506" s="687">
        <f>L502</f>
        <v>39873000</v>
      </c>
      <c r="K506" s="2127" t="s">
        <v>2455</v>
      </c>
      <c r="L506" s="2128"/>
      <c r="M506" s="1908">
        <f>D510</f>
        <v>39874000</v>
      </c>
      <c r="N506" s="632"/>
    </row>
    <row r="507" spans="1:15" s="620" customFormat="1" x14ac:dyDescent="0.35">
      <c r="B507" s="2122" t="s">
        <v>1117</v>
      </c>
      <c r="C507" s="2123"/>
      <c r="D507" s="689"/>
      <c r="E507"/>
      <c r="F507" s="2124" t="s">
        <v>1089</v>
      </c>
      <c r="G507" s="2125"/>
      <c r="H507" s="2126"/>
      <c r="I507" s="689">
        <f>I505+I506</f>
        <v>50851000</v>
      </c>
      <c r="K507" s="2129" t="s">
        <v>4622</v>
      </c>
      <c r="L507" s="2130"/>
      <c r="M507" s="689">
        <f>M505-M506</f>
        <v>-1000</v>
      </c>
      <c r="N507" s="632"/>
    </row>
    <row r="508" spans="1:15" s="620" customFormat="1" ht="15" thickBot="1" x14ac:dyDescent="0.4">
      <c r="B508" s="2122" t="s">
        <v>1118</v>
      </c>
      <c r="C508" s="2123"/>
      <c r="D508" s="722"/>
      <c r="E508"/>
      <c r="F508" s="2131" t="s">
        <v>4626</v>
      </c>
      <c r="G508" s="2132"/>
      <c r="H508" s="2133"/>
      <c r="I508" s="689">
        <f>D509-I507</f>
        <v>-24000</v>
      </c>
      <c r="K508" s="2134" t="s">
        <v>285</v>
      </c>
      <c r="L508" s="2135"/>
      <c r="M508" s="1903">
        <f>M507/M505</f>
        <v>-2.5079627818323176E-5</v>
      </c>
      <c r="N508" s="632"/>
    </row>
    <row r="509" spans="1:15" s="620" customFormat="1" ht="15" thickBot="1" x14ac:dyDescent="0.4">
      <c r="B509" s="2109" t="s">
        <v>4620</v>
      </c>
      <c r="C509" s="2110"/>
      <c r="D509" s="1435">
        <f>SUM(D505:D508)</f>
        <v>50827000</v>
      </c>
      <c r="E509"/>
      <c r="F509" s="2113" t="s">
        <v>2454</v>
      </c>
      <c r="G509" s="2114"/>
      <c r="H509" s="2115"/>
      <c r="I509" s="1904">
        <f>(D509-I507)/I507</f>
        <v>-4.7196711962399951E-4</v>
      </c>
      <c r="K509" s="702"/>
      <c r="N509" s="632"/>
    </row>
    <row r="510" spans="1:15" s="620" customFormat="1" x14ac:dyDescent="0.35">
      <c r="B510" s="2116" t="s">
        <v>4624</v>
      </c>
      <c r="C510" s="2117"/>
      <c r="D510" s="2011">
        <f>K523</f>
        <v>39874000</v>
      </c>
      <c r="E510"/>
      <c r="F510" s="791"/>
      <c r="G510"/>
      <c r="H510"/>
      <c r="I510"/>
      <c r="J510"/>
      <c r="K510" s="702"/>
      <c r="N510" s="632"/>
    </row>
    <row r="511" spans="1:15" s="620" customFormat="1" x14ac:dyDescent="0.35">
      <c r="B511" s="2118" t="s">
        <v>4627</v>
      </c>
      <c r="C511" s="2119"/>
      <c r="D511" s="741">
        <f>D509-D510</f>
        <v>10953000</v>
      </c>
      <c r="E511"/>
      <c r="F511" s="791"/>
      <c r="G511"/>
      <c r="H511"/>
      <c r="I511"/>
      <c r="J511"/>
      <c r="K511" s="702"/>
      <c r="N511" s="632"/>
    </row>
    <row r="512" spans="1:15" s="620" customFormat="1" ht="15" thickBot="1" x14ac:dyDescent="0.4">
      <c r="B512" s="2120" t="str">
        <f>K508</f>
        <v>LOSS % IN =&gt;</v>
      </c>
      <c r="C512" s="2121"/>
      <c r="D512" s="2012">
        <f>D511/D505</f>
        <v>0.21549570110374408</v>
      </c>
      <c r="E512"/>
      <c r="F512" s="791"/>
      <c r="G512" s="678"/>
      <c r="H512" s="678"/>
      <c r="I512" s="678"/>
      <c r="J512" s="679"/>
      <c r="K512" s="702"/>
      <c r="N512" s="632"/>
    </row>
    <row r="513" spans="1:15" x14ac:dyDescent="0.35">
      <c r="A513" s="620"/>
      <c r="B513" s="635"/>
      <c r="C513" s="632"/>
      <c r="D513" s="1900"/>
      <c r="G513" s="678"/>
      <c r="H513" s="678"/>
      <c r="I513" s="678"/>
      <c r="J513" s="679"/>
      <c r="K513" s="702"/>
      <c r="L513" s="620"/>
      <c r="M513" s="620"/>
      <c r="N513" s="632"/>
      <c r="O513" s="620"/>
    </row>
    <row r="514" spans="1:15" x14ac:dyDescent="0.35">
      <c r="A514" s="620"/>
      <c r="B514" s="635"/>
      <c r="C514" s="632"/>
      <c r="D514" s="1900"/>
      <c r="G514" s="678"/>
      <c r="H514" s="678"/>
      <c r="I514" s="678"/>
      <c r="J514" s="679"/>
      <c r="K514" s="702"/>
      <c r="L514" s="620"/>
      <c r="M514" s="620"/>
      <c r="N514" s="632"/>
      <c r="O514" s="620"/>
    </row>
    <row r="515" spans="1:15" x14ac:dyDescent="0.35">
      <c r="A515" s="620"/>
      <c r="B515" s="635"/>
      <c r="C515" s="632"/>
      <c r="D515" s="1900"/>
      <c r="E515" s="632"/>
      <c r="F515" s="810"/>
      <c r="G515" s="620"/>
      <c r="H515" s="620"/>
      <c r="I515" s="620"/>
      <c r="J515" s="620"/>
      <c r="K515" s="702"/>
      <c r="L515" s="620"/>
      <c r="M515" s="620"/>
      <c r="N515" s="632"/>
      <c r="O515" s="620"/>
    </row>
    <row r="516" spans="1:15" ht="25" x14ac:dyDescent="0.35">
      <c r="A516" s="2095" t="s">
        <v>1169</v>
      </c>
      <c r="B516" s="2095"/>
      <c r="C516" s="2095"/>
      <c r="D516" s="2095"/>
      <c r="E516" s="2095"/>
      <c r="F516" s="2095"/>
      <c r="G516" s="2095"/>
      <c r="H516" s="2095"/>
      <c r="I516" s="2095"/>
      <c r="J516" s="2095"/>
      <c r="K516" s="2095"/>
      <c r="L516" s="2095"/>
      <c r="M516" s="2095"/>
      <c r="N516" s="2095"/>
      <c r="O516" s="756" t="e">
        <f>$O$6</f>
        <v>#REF!</v>
      </c>
    </row>
    <row r="517" spans="1:15" ht="15.5" x14ac:dyDescent="0.35">
      <c r="A517" s="2096" t="s">
        <v>0</v>
      </c>
      <c r="B517" s="2098" t="s">
        <v>1</v>
      </c>
      <c r="C517" s="2100" t="s">
        <v>2</v>
      </c>
      <c r="D517" s="2101"/>
      <c r="E517" s="2102"/>
      <c r="F517" s="2216" t="s">
        <v>3</v>
      </c>
      <c r="G517" s="2100" t="s">
        <v>4</v>
      </c>
      <c r="H517" s="2102"/>
      <c r="I517" s="2085"/>
      <c r="J517" s="2103" t="s">
        <v>5</v>
      </c>
      <c r="K517" s="2100" t="s">
        <v>6</v>
      </c>
      <c r="L517" s="2085"/>
      <c r="M517" s="97" t="s">
        <v>32</v>
      </c>
      <c r="N517" s="98"/>
      <c r="O517" s="2084" t="s">
        <v>7</v>
      </c>
    </row>
    <row r="518" spans="1:15" ht="15.5" x14ac:dyDescent="0.35">
      <c r="A518" s="2111"/>
      <c r="B518" s="2112"/>
      <c r="C518" s="2086" t="s">
        <v>1108</v>
      </c>
      <c r="D518" s="2087"/>
      <c r="E518" s="675" t="s">
        <v>9</v>
      </c>
      <c r="F518" s="2218"/>
      <c r="G518" s="2">
        <f>'NORTH-1'!$G$8</f>
        <v>44774</v>
      </c>
      <c r="H518" s="2">
        <f>'NORTH-1'!$H$8</f>
        <v>44805</v>
      </c>
      <c r="I518" s="676" t="s">
        <v>10</v>
      </c>
      <c r="J518" s="2111"/>
      <c r="K518" s="676" t="s">
        <v>11</v>
      </c>
      <c r="L518" s="676" t="s">
        <v>12</v>
      </c>
      <c r="M518" s="715" t="s">
        <v>33</v>
      </c>
      <c r="N518" s="716" t="s">
        <v>47</v>
      </c>
      <c r="O518" s="2104"/>
    </row>
    <row r="519" spans="1:15" ht="15.5" x14ac:dyDescent="0.35">
      <c r="A519" s="717">
        <v>1</v>
      </c>
      <c r="B519" s="673">
        <v>2</v>
      </c>
      <c r="C519" s="2088">
        <v>4</v>
      </c>
      <c r="D519" s="2089"/>
      <c r="E519" s="673">
        <v>5</v>
      </c>
      <c r="F519" s="811">
        <v>7</v>
      </c>
      <c r="G519" s="717">
        <v>8</v>
      </c>
      <c r="H519" s="717">
        <v>9</v>
      </c>
      <c r="I519" s="717" t="s">
        <v>13</v>
      </c>
      <c r="J519" s="717">
        <v>11</v>
      </c>
      <c r="K519" s="717" t="s">
        <v>19</v>
      </c>
      <c r="L519" s="717" t="s">
        <v>20</v>
      </c>
      <c r="M519" s="717">
        <v>14</v>
      </c>
      <c r="N519" s="673">
        <v>15</v>
      </c>
      <c r="O519" s="717">
        <v>16</v>
      </c>
    </row>
    <row r="520" spans="1:15" ht="15.5" x14ac:dyDescent="0.35">
      <c r="A520" s="11"/>
      <c r="B520" s="624" t="s">
        <v>1481</v>
      </c>
      <c r="C520" s="625"/>
      <c r="D520" s="695"/>
      <c r="E520" s="625"/>
      <c r="F520" s="804"/>
      <c r="G520" s="625"/>
      <c r="H520" s="625"/>
      <c r="I520" s="625"/>
      <c r="J520" s="625"/>
      <c r="K520" s="695"/>
      <c r="L520" s="625"/>
      <c r="M520" s="626"/>
      <c r="N520" s="627"/>
      <c r="O520" s="8"/>
    </row>
    <row r="521" spans="1:15" ht="15.5" x14ac:dyDescent="0.35">
      <c r="A521" s="631">
        <v>11</v>
      </c>
      <c r="B521" s="100" t="s">
        <v>4071</v>
      </c>
      <c r="C521" s="52" t="s">
        <v>3833</v>
      </c>
      <c r="D521" s="818"/>
      <c r="E521" s="52" t="s">
        <v>4072</v>
      </c>
      <c r="F521" s="812">
        <v>1</v>
      </c>
      <c r="G521" s="5">
        <v>2045288</v>
      </c>
      <c r="H521" s="5">
        <v>2059949</v>
      </c>
      <c r="I521" s="5">
        <f>H521-G521</f>
        <v>14661</v>
      </c>
      <c r="J521" s="616">
        <v>1000</v>
      </c>
      <c r="K521" s="696">
        <f>F521*I521*J521</f>
        <v>14661000</v>
      </c>
      <c r="L521" s="7"/>
      <c r="M521" s="7"/>
      <c r="N521" s="78"/>
      <c r="O521" s="616"/>
    </row>
    <row r="522" spans="1:15" ht="15.5" x14ac:dyDescent="0.35">
      <c r="A522" s="631">
        <v>16</v>
      </c>
      <c r="B522" s="100" t="s">
        <v>4073</v>
      </c>
      <c r="C522" s="52" t="s">
        <v>3833</v>
      </c>
      <c r="D522" s="1918"/>
      <c r="E522" s="52" t="s">
        <v>4074</v>
      </c>
      <c r="F522" s="812">
        <v>1</v>
      </c>
      <c r="G522" s="5">
        <v>2083007</v>
      </c>
      <c r="H522" s="5">
        <v>2108220</v>
      </c>
      <c r="I522" s="5">
        <f>H522-G522</f>
        <v>25213</v>
      </c>
      <c r="J522" s="616">
        <v>1000</v>
      </c>
      <c r="K522" s="696">
        <f>I522*J522</f>
        <v>25213000</v>
      </c>
      <c r="L522" s="7"/>
      <c r="M522" s="7"/>
      <c r="N522" s="78"/>
      <c r="O522" s="616"/>
    </row>
    <row r="523" spans="1:15" ht="15.5" x14ac:dyDescent="0.35">
      <c r="A523" s="631"/>
      <c r="B523" s="95"/>
      <c r="C523" s="89"/>
      <c r="D523" s="1846"/>
      <c r="E523" s="89"/>
      <c r="F523" s="806"/>
      <c r="G523" s="37"/>
      <c r="H523" s="37"/>
      <c r="I523" s="37"/>
      <c r="J523" s="95" t="s">
        <v>30</v>
      </c>
      <c r="K523" s="1908">
        <f>SUM(K521:K522)</f>
        <v>39874000</v>
      </c>
      <c r="L523" s="40"/>
      <c r="M523" s="40">
        <f>SUM(M521:M522)</f>
        <v>0</v>
      </c>
      <c r="N523" s="78"/>
      <c r="O523" s="616"/>
    </row>
    <row r="524" spans="1:15" ht="15.5" x14ac:dyDescent="0.35">
      <c r="A524" s="631"/>
      <c r="B524" s="647" t="s">
        <v>1482</v>
      </c>
      <c r="C524" s="648"/>
      <c r="D524" s="700"/>
      <c r="E524" s="648"/>
      <c r="F524" s="807"/>
      <c r="G524" s="648"/>
      <c r="H524" s="648"/>
      <c r="I524" s="648"/>
      <c r="J524" s="648"/>
      <c r="K524" s="700"/>
      <c r="L524" s="648"/>
      <c r="M524" s="651"/>
      <c r="N524" s="649"/>
      <c r="O524" s="616"/>
    </row>
    <row r="525" spans="1:15" ht="15.5" x14ac:dyDescent="0.35">
      <c r="A525" s="631"/>
      <c r="B525" s="662" t="s">
        <v>1106</v>
      </c>
      <c r="C525" s="52"/>
      <c r="D525" s="1919" t="s">
        <v>1083</v>
      </c>
      <c r="E525" s="52"/>
      <c r="F525" s="812"/>
      <c r="G525" s="5"/>
      <c r="H525" s="5"/>
      <c r="I525" s="6"/>
      <c r="J525" s="616"/>
      <c r="K525" s="696"/>
      <c r="L525" s="7"/>
      <c r="M525" s="7"/>
      <c r="N525" s="78"/>
      <c r="O525" s="616"/>
    </row>
    <row r="526" spans="1:15" ht="15.5" x14ac:dyDescent="0.35">
      <c r="A526" s="11">
        <v>13</v>
      </c>
      <c r="B526" s="100" t="s">
        <v>1732</v>
      </c>
      <c r="C526" s="661" t="s">
        <v>3833</v>
      </c>
      <c r="D526" s="1920"/>
      <c r="E526" s="674" t="s">
        <v>4075</v>
      </c>
      <c r="F526" s="812">
        <v>1</v>
      </c>
      <c r="G526" s="21">
        <v>791413</v>
      </c>
      <c r="H526" s="21">
        <v>797285</v>
      </c>
      <c r="I526" s="21">
        <f>H526-G526</f>
        <v>5872</v>
      </c>
      <c r="J526" s="616">
        <v>2000</v>
      </c>
      <c r="K526" s="696"/>
      <c r="L526" s="22">
        <f>F526*I526*J526</f>
        <v>11744000</v>
      </c>
      <c r="M526" s="22"/>
      <c r="N526" s="82"/>
      <c r="O526" s="9"/>
    </row>
    <row r="527" spans="1:15" ht="15.5" x14ac:dyDescent="0.35">
      <c r="A527" s="631">
        <v>14</v>
      </c>
      <c r="B527" s="100" t="s">
        <v>1996</v>
      </c>
      <c r="C527" s="661" t="s">
        <v>3833</v>
      </c>
      <c r="D527" s="1920"/>
      <c r="E527" s="674" t="s">
        <v>4076</v>
      </c>
      <c r="F527" s="812">
        <v>1</v>
      </c>
      <c r="G527" s="21">
        <v>783236</v>
      </c>
      <c r="H527" s="21">
        <v>789020</v>
      </c>
      <c r="I527" s="21">
        <f>H527-G527</f>
        <v>5784</v>
      </c>
      <c r="J527" s="616">
        <v>2000</v>
      </c>
      <c r="K527" s="696"/>
      <c r="L527" s="22">
        <f>F527*I527*J527</f>
        <v>11568000</v>
      </c>
      <c r="M527" s="22"/>
      <c r="N527" s="82"/>
      <c r="O527" s="616"/>
    </row>
    <row r="528" spans="1:15" ht="15.5" x14ac:dyDescent="0.35">
      <c r="A528" s="616"/>
      <c r="B528" s="662" t="s">
        <v>1107</v>
      </c>
      <c r="C528" s="89"/>
      <c r="D528" s="1920"/>
      <c r="E528" s="89"/>
      <c r="F528" s="806"/>
      <c r="G528" s="37"/>
      <c r="H528" s="37"/>
      <c r="I528" s="37"/>
      <c r="J528" s="95" t="s">
        <v>30</v>
      </c>
      <c r="K528" s="696"/>
      <c r="L528" s="43">
        <f>SUM(L526:L527)</f>
        <v>23312000</v>
      </c>
      <c r="M528" s="43">
        <f>SUM(M526:M527)</f>
        <v>0</v>
      </c>
      <c r="N528" s="83"/>
      <c r="O528" s="12"/>
    </row>
    <row r="529" spans="1:15" ht="15.5" x14ac:dyDescent="0.35">
      <c r="A529" s="636">
        <v>9</v>
      </c>
      <c r="B529" s="100" t="s">
        <v>1446</v>
      </c>
      <c r="C529" s="661" t="s">
        <v>3833</v>
      </c>
      <c r="D529" s="1920"/>
      <c r="E529" s="674" t="s">
        <v>4077</v>
      </c>
      <c r="F529" s="812">
        <v>1</v>
      </c>
      <c r="G529" s="6"/>
      <c r="H529" s="6"/>
      <c r="I529" s="20"/>
      <c r="J529" s="616">
        <v>2000</v>
      </c>
      <c r="K529" s="703"/>
      <c r="L529" s="22">
        <f t="shared" ref="L529:L534" si="20">F529*I529*J529</f>
        <v>0</v>
      </c>
      <c r="M529" s="22"/>
      <c r="N529" s="82"/>
      <c r="O529" s="15"/>
    </row>
    <row r="530" spans="1:15" ht="15.5" x14ac:dyDescent="0.35">
      <c r="A530" s="636">
        <v>10</v>
      </c>
      <c r="B530" s="100" t="s">
        <v>4078</v>
      </c>
      <c r="C530" s="661" t="s">
        <v>3833</v>
      </c>
      <c r="D530" s="1920"/>
      <c r="E530" s="691" t="s">
        <v>4079</v>
      </c>
      <c r="F530" s="812">
        <v>1</v>
      </c>
      <c r="G530" s="6">
        <v>304445</v>
      </c>
      <c r="H530" s="6">
        <v>305803</v>
      </c>
      <c r="I530" s="20">
        <f t="shared" ref="I530:I536" si="21">H530-G530</f>
        <v>1358</v>
      </c>
      <c r="J530" s="616">
        <v>2000</v>
      </c>
      <c r="K530" s="704"/>
      <c r="L530" s="22">
        <f t="shared" si="20"/>
        <v>2716000</v>
      </c>
      <c r="M530" s="22"/>
      <c r="N530" s="82"/>
      <c r="O530" s="14"/>
    </row>
    <row r="531" spans="1:15" ht="15.5" x14ac:dyDescent="0.35">
      <c r="A531" s="636">
        <v>12</v>
      </c>
      <c r="B531" s="100" t="s">
        <v>3859</v>
      </c>
      <c r="C531" s="661" t="s">
        <v>3833</v>
      </c>
      <c r="D531" s="1920"/>
      <c r="E531" s="691" t="s">
        <v>4080</v>
      </c>
      <c r="F531" s="812">
        <v>1</v>
      </c>
      <c r="G531" s="6">
        <v>69322</v>
      </c>
      <c r="H531" s="6">
        <v>69322</v>
      </c>
      <c r="I531" s="20">
        <f t="shared" si="21"/>
        <v>0</v>
      </c>
      <c r="J531" s="616">
        <v>2000</v>
      </c>
      <c r="K531" s="704"/>
      <c r="L531" s="22">
        <f t="shared" si="20"/>
        <v>0</v>
      </c>
      <c r="M531" s="22"/>
      <c r="N531" s="82"/>
      <c r="O531" s="14"/>
    </row>
    <row r="532" spans="1:15" ht="15.5" x14ac:dyDescent="0.35">
      <c r="A532" s="636">
        <v>15</v>
      </c>
      <c r="B532" s="100" t="s">
        <v>3861</v>
      </c>
      <c r="C532" s="661" t="s">
        <v>3833</v>
      </c>
      <c r="D532" s="1920"/>
      <c r="E532" s="674" t="s">
        <v>4081</v>
      </c>
      <c r="F532" s="812">
        <v>1</v>
      </c>
      <c r="G532" s="6">
        <v>76251</v>
      </c>
      <c r="H532" s="6">
        <v>76251</v>
      </c>
      <c r="I532" s="20">
        <f t="shared" si="21"/>
        <v>0</v>
      </c>
      <c r="J532" s="616">
        <v>2000</v>
      </c>
      <c r="K532" s="704"/>
      <c r="L532" s="22">
        <f t="shared" si="20"/>
        <v>0</v>
      </c>
      <c r="M532" s="22"/>
      <c r="N532" s="82"/>
      <c r="O532" s="14"/>
    </row>
    <row r="533" spans="1:15" ht="15.5" x14ac:dyDescent="0.35">
      <c r="A533" s="636">
        <v>17</v>
      </c>
      <c r="B533" s="100" t="s">
        <v>4082</v>
      </c>
      <c r="C533" s="661" t="s">
        <v>3833</v>
      </c>
      <c r="D533" s="1920"/>
      <c r="E533" s="674" t="s">
        <v>4083</v>
      </c>
      <c r="F533" s="812">
        <v>1</v>
      </c>
      <c r="G533" s="6">
        <v>181246</v>
      </c>
      <c r="H533" s="6">
        <v>186760</v>
      </c>
      <c r="I533" s="20">
        <f t="shared" si="21"/>
        <v>5514</v>
      </c>
      <c r="J533" s="616">
        <v>2000</v>
      </c>
      <c r="K533" s="703"/>
      <c r="L533" s="22">
        <f t="shared" si="20"/>
        <v>11028000</v>
      </c>
      <c r="M533" s="22"/>
      <c r="N533" s="82"/>
      <c r="O533" s="15"/>
    </row>
    <row r="534" spans="1:15" ht="15.5" x14ac:dyDescent="0.35">
      <c r="A534" s="636">
        <v>18</v>
      </c>
      <c r="B534" s="100" t="s">
        <v>4084</v>
      </c>
      <c r="C534" s="661" t="s">
        <v>3833</v>
      </c>
      <c r="D534" s="1920"/>
      <c r="E534" s="674" t="s">
        <v>4085</v>
      </c>
      <c r="F534" s="812">
        <v>1</v>
      </c>
      <c r="G534" s="6">
        <v>344830</v>
      </c>
      <c r="H534" s="6">
        <v>346117</v>
      </c>
      <c r="I534" s="20">
        <f t="shared" si="21"/>
        <v>1287</v>
      </c>
      <c r="J534" s="616">
        <v>2000</v>
      </c>
      <c r="K534" s="704"/>
      <c r="L534" s="22">
        <f t="shared" si="20"/>
        <v>2574000</v>
      </c>
      <c r="M534" s="22"/>
      <c r="N534" s="82"/>
      <c r="O534" s="10"/>
    </row>
    <row r="535" spans="1:15" ht="15.5" x14ac:dyDescent="0.35">
      <c r="A535" s="636">
        <v>19</v>
      </c>
      <c r="B535" s="100" t="s">
        <v>4086</v>
      </c>
      <c r="C535" s="661" t="s">
        <v>3867</v>
      </c>
      <c r="D535" s="1920"/>
      <c r="E535" s="674" t="s">
        <v>4087</v>
      </c>
      <c r="F535" s="812">
        <v>1</v>
      </c>
      <c r="G535" s="6">
        <v>6635.79</v>
      </c>
      <c r="H535" s="6">
        <v>6690.04</v>
      </c>
      <c r="I535" s="20">
        <f t="shared" si="21"/>
        <v>54.25</v>
      </c>
      <c r="J535" s="616">
        <v>120</v>
      </c>
      <c r="K535" s="703"/>
      <c r="L535" s="22">
        <v>6510</v>
      </c>
      <c r="M535" s="22"/>
      <c r="N535" s="82"/>
      <c r="O535" s="13"/>
    </row>
    <row r="536" spans="1:15" ht="15.5" x14ac:dyDescent="0.35">
      <c r="A536" s="636">
        <v>20</v>
      </c>
      <c r="B536" s="101" t="s">
        <v>4088</v>
      </c>
      <c r="C536" s="661" t="s">
        <v>3867</v>
      </c>
      <c r="D536" s="1920"/>
      <c r="E536" s="674" t="s">
        <v>4089</v>
      </c>
      <c r="F536" s="812">
        <v>1</v>
      </c>
      <c r="G536" s="6">
        <v>27087.1</v>
      </c>
      <c r="H536" s="6">
        <v>27087.1</v>
      </c>
      <c r="I536" s="20">
        <f t="shared" si="21"/>
        <v>0</v>
      </c>
      <c r="J536" s="616">
        <v>120</v>
      </c>
      <c r="K536" s="705">
        <f>F536*I536*J536</f>
        <v>0</v>
      </c>
      <c r="L536" s="22"/>
      <c r="M536" s="22"/>
      <c r="N536" s="82"/>
      <c r="O536" s="30"/>
    </row>
    <row r="537" spans="1:15" ht="15.5" x14ac:dyDescent="0.35">
      <c r="A537" s="636"/>
      <c r="B537" s="96"/>
      <c r="C537" s="90"/>
      <c r="D537" s="96"/>
      <c r="E537" s="90"/>
      <c r="F537" s="813"/>
      <c r="G537" s="38"/>
      <c r="H537" s="38"/>
      <c r="I537" s="38"/>
      <c r="J537" s="95" t="s">
        <v>30</v>
      </c>
      <c r="K537" s="696"/>
      <c r="L537" s="43">
        <f>SUM(L529:L536)</f>
        <v>16324510</v>
      </c>
      <c r="M537" s="43">
        <f>SUM(M529:M536)</f>
        <v>0</v>
      </c>
      <c r="N537" s="83"/>
      <c r="O537" s="13"/>
    </row>
    <row r="538" spans="1:15" ht="20" x14ac:dyDescent="0.35">
      <c r="A538" s="636"/>
      <c r="B538" s="96"/>
      <c r="C538" s="90"/>
      <c r="D538" s="96"/>
      <c r="E538" s="90"/>
      <c r="F538" s="813"/>
      <c r="G538" s="38"/>
      <c r="H538" s="38"/>
      <c r="I538" s="2107" t="s">
        <v>44</v>
      </c>
      <c r="J538" s="2108"/>
      <c r="K538" s="698">
        <f>K523</f>
        <v>39874000</v>
      </c>
      <c r="L538" s="44">
        <f>L528+L537</f>
        <v>39636510</v>
      </c>
      <c r="M538" s="44">
        <f>M537+M528</f>
        <v>0</v>
      </c>
      <c r="N538" s="1908">
        <f>(M538-L538)/L538*100</f>
        <v>-100</v>
      </c>
      <c r="O538" s="29"/>
    </row>
    <row r="539" spans="1:15" x14ac:dyDescent="0.35">
      <c r="A539" s="620"/>
      <c r="B539" s="635" t="s">
        <v>237</v>
      </c>
      <c r="C539" s="632"/>
      <c r="D539" s="1900"/>
      <c r="K539" s="702"/>
      <c r="L539" s="620"/>
      <c r="M539" s="620"/>
      <c r="N539" s="632"/>
      <c r="O539" s="620"/>
    </row>
    <row r="540" spans="1:15" ht="15" x14ac:dyDescent="0.35">
      <c r="A540" s="620"/>
      <c r="D540" s="2013"/>
      <c r="G540" s="2092" t="s">
        <v>1096</v>
      </c>
      <c r="H540" s="2092"/>
      <c r="I540" s="2092"/>
      <c r="J540" s="677" t="s">
        <v>14</v>
      </c>
      <c r="K540" s="69" t="s">
        <v>1098</v>
      </c>
      <c r="L540" s="620"/>
      <c r="M540" s="620"/>
      <c r="N540" s="632"/>
      <c r="O540" s="620"/>
    </row>
    <row r="541" spans="1:15" ht="17.5" x14ac:dyDescent="0.35">
      <c r="A541" s="620"/>
      <c r="D541" s="2013"/>
      <c r="G541" s="2093" t="s">
        <v>1071</v>
      </c>
      <c r="H541" s="2093"/>
      <c r="I541" s="2093"/>
      <c r="J541" s="692">
        <f>M528</f>
        <v>0</v>
      </c>
      <c r="K541" s="70">
        <v>6.933634163553025</v>
      </c>
      <c r="L541" s="620"/>
      <c r="M541" s="620"/>
      <c r="N541" s="632"/>
      <c r="O541" s="620"/>
    </row>
    <row r="542" spans="1:15" ht="17.5" x14ac:dyDescent="0.35">
      <c r="A542" s="620"/>
      <c r="D542" s="2013"/>
      <c r="G542" s="2093" t="s">
        <v>206</v>
      </c>
      <c r="H542" s="2093"/>
      <c r="I542" s="2093"/>
      <c r="J542" s="692">
        <f>M529+M530+M531</f>
        <v>0</v>
      </c>
      <c r="K542" s="70">
        <v>-0.33769527905653496</v>
      </c>
      <c r="L542" s="620"/>
      <c r="M542" s="620"/>
      <c r="N542" s="632"/>
      <c r="O542" s="620"/>
    </row>
    <row r="543" spans="1:15" ht="17.5" x14ac:dyDescent="0.35">
      <c r="A543" s="620"/>
      <c r="D543" s="2013"/>
      <c r="G543" s="2093" t="s">
        <v>207</v>
      </c>
      <c r="H543" s="2093"/>
      <c r="I543" s="2093"/>
      <c r="J543" s="692">
        <f>M532+M533</f>
        <v>0</v>
      </c>
      <c r="K543" s="70"/>
      <c r="L543" s="620"/>
      <c r="M543" s="620"/>
      <c r="N543" s="632"/>
      <c r="O543" s="620"/>
    </row>
    <row r="544" spans="1:15" ht="17.5" x14ac:dyDescent="0.35">
      <c r="A544" s="620"/>
      <c r="D544" s="2013"/>
      <c r="G544" s="2093" t="s">
        <v>208</v>
      </c>
      <c r="H544" s="2093"/>
      <c r="I544" s="2093"/>
      <c r="J544" s="692">
        <f>M534</f>
        <v>0</v>
      </c>
      <c r="K544" s="70">
        <v>0.58957194954853154</v>
      </c>
      <c r="L544" s="620"/>
      <c r="M544" s="620"/>
      <c r="N544" s="632"/>
      <c r="O544" s="620"/>
    </row>
    <row r="545" spans="1:15" ht="17.5" x14ac:dyDescent="0.35">
      <c r="A545" s="620"/>
      <c r="B545" s="635"/>
      <c r="C545" s="632"/>
      <c r="D545" s="1900"/>
      <c r="G545" s="2093" t="s">
        <v>209</v>
      </c>
      <c r="H545" s="2093"/>
      <c r="I545" s="2093"/>
      <c r="J545" s="692">
        <f>M535</f>
        <v>0</v>
      </c>
      <c r="K545" s="70"/>
      <c r="L545" s="620"/>
      <c r="M545" s="620"/>
      <c r="N545" s="632"/>
      <c r="O545" s="620"/>
    </row>
    <row r="546" spans="1:15" ht="17.5" x14ac:dyDescent="0.35">
      <c r="A546" s="620"/>
      <c r="B546" s="635"/>
      <c r="C546" s="632"/>
      <c r="D546" s="1900"/>
      <c r="G546" s="2093" t="s">
        <v>40</v>
      </c>
      <c r="H546" s="2093"/>
      <c r="I546" s="2093"/>
      <c r="J546" s="692" t="e">
        <f>M536+#REF!</f>
        <v>#REF!</v>
      </c>
      <c r="K546" s="70">
        <v>2.4391608198671739</v>
      </c>
      <c r="L546" s="620"/>
      <c r="M546" s="620"/>
      <c r="N546" s="632"/>
      <c r="O546" s="620"/>
    </row>
    <row r="547" spans="1:15" x14ac:dyDescent="0.35">
      <c r="A547" s="620"/>
      <c r="B547" s="635"/>
      <c r="C547" s="632"/>
      <c r="D547" s="1900"/>
      <c r="G547" s="2094" t="s">
        <v>42</v>
      </c>
      <c r="H547" s="2094"/>
      <c r="I547" s="2094"/>
      <c r="J547" s="693" t="e">
        <f>#REF!</f>
        <v>#REF!</v>
      </c>
      <c r="K547" s="694" t="s">
        <v>1097</v>
      </c>
      <c r="L547" s="620"/>
      <c r="M547" s="620"/>
      <c r="N547" s="632"/>
      <c r="O547" s="620"/>
    </row>
    <row r="548" spans="1:15" ht="18" thickBot="1" x14ac:dyDescent="0.4">
      <c r="A548" s="620"/>
      <c r="B548" s="635"/>
      <c r="C548" s="632"/>
      <c r="D548" s="1900"/>
      <c r="E548" s="632"/>
      <c r="F548" s="810"/>
      <c r="G548" s="2093" t="s">
        <v>41</v>
      </c>
      <c r="H548" s="2093"/>
      <c r="I548" s="2093"/>
      <c r="J548" s="692" t="e">
        <f>#REF!</f>
        <v>#REF!</v>
      </c>
      <c r="K548" s="681">
        <v>1.4463055987403735</v>
      </c>
      <c r="L548" s="620"/>
      <c r="M548" s="620"/>
      <c r="N548" s="632"/>
      <c r="O548" s="620"/>
    </row>
    <row r="549" spans="1:15" ht="20.5" thickBot="1" x14ac:dyDescent="0.4">
      <c r="A549" s="620"/>
      <c r="B549" s="635"/>
      <c r="C549" s="632"/>
      <c r="D549" s="1900"/>
      <c r="E549" s="632"/>
      <c r="F549" s="810"/>
      <c r="G549" s="620"/>
      <c r="H549" s="620"/>
      <c r="I549" s="642" t="s">
        <v>210</v>
      </c>
      <c r="J549" s="680" t="e">
        <f>SUM(J541:J548)</f>
        <v>#REF!</v>
      </c>
      <c r="K549" s="682" t="e">
        <f>J549-M538</f>
        <v>#REF!</v>
      </c>
      <c r="L549" s="620"/>
      <c r="M549" s="620"/>
      <c r="N549" s="632"/>
      <c r="O549" s="620"/>
    </row>
    <row r="550" spans="1:15" x14ac:dyDescent="0.35">
      <c r="A550" s="620"/>
      <c r="B550" s="635"/>
      <c r="C550" s="632"/>
      <c r="D550" s="1900"/>
      <c r="E550" s="632"/>
      <c r="F550" s="810"/>
      <c r="G550" s="620"/>
      <c r="H550" s="620"/>
      <c r="I550" s="620"/>
      <c r="J550" s="620"/>
      <c r="K550" s="702"/>
      <c r="L550" s="620"/>
      <c r="M550" s="620"/>
      <c r="N550" s="632"/>
      <c r="O550" s="620"/>
    </row>
    <row r="551" spans="1:15" ht="25" x14ac:dyDescent="0.35">
      <c r="A551" s="2095" t="s">
        <v>4094</v>
      </c>
      <c r="B551" s="2095"/>
      <c r="C551" s="2095"/>
      <c r="D551" s="2095"/>
      <c r="E551" s="2095"/>
      <c r="F551" s="2095"/>
      <c r="G551" s="2095"/>
      <c r="H551" s="2095"/>
      <c r="I551" s="2095"/>
      <c r="J551" s="2095"/>
      <c r="K551" s="2095"/>
      <c r="L551" s="2095"/>
      <c r="M551" s="2095"/>
      <c r="N551" s="2095"/>
      <c r="O551" s="756" t="e">
        <f>$O$6</f>
        <v>#REF!</v>
      </c>
    </row>
    <row r="552" spans="1:15" ht="15.5" x14ac:dyDescent="0.35">
      <c r="A552" s="2096" t="s">
        <v>0</v>
      </c>
      <c r="B552" s="2098" t="s">
        <v>1</v>
      </c>
      <c r="C552" s="2100" t="s">
        <v>2</v>
      </c>
      <c r="D552" s="2101"/>
      <c r="E552" s="2102"/>
      <c r="F552" s="2216" t="s">
        <v>3</v>
      </c>
      <c r="G552" s="2100" t="s">
        <v>4</v>
      </c>
      <c r="H552" s="2102"/>
      <c r="I552" s="2085"/>
      <c r="J552" s="2103" t="s">
        <v>5</v>
      </c>
      <c r="K552" s="2100" t="s">
        <v>6</v>
      </c>
      <c r="L552" s="2085"/>
      <c r="M552" s="97" t="s">
        <v>32</v>
      </c>
      <c r="N552" s="98"/>
      <c r="O552" s="2084" t="s">
        <v>7</v>
      </c>
    </row>
    <row r="553" spans="1:15" ht="15.5" x14ac:dyDescent="0.35">
      <c r="A553" s="2097"/>
      <c r="B553" s="2099"/>
      <c r="C553" s="2086" t="s">
        <v>1108</v>
      </c>
      <c r="D553" s="2087"/>
      <c r="E553" s="87" t="s">
        <v>9</v>
      </c>
      <c r="F553" s="2217"/>
      <c r="G553" s="2">
        <f>'NORTH-1'!$G$8</f>
        <v>44774</v>
      </c>
      <c r="H553" s="2">
        <f>'NORTH-1'!$H$8</f>
        <v>44805</v>
      </c>
      <c r="I553" s="1" t="s">
        <v>10</v>
      </c>
      <c r="J553" s="2097"/>
      <c r="K553" s="1" t="s">
        <v>11</v>
      </c>
      <c r="L553" s="1" t="s">
        <v>12</v>
      </c>
      <c r="M553" s="617" t="s">
        <v>33</v>
      </c>
      <c r="N553" s="76" t="s">
        <v>47</v>
      </c>
      <c r="O553" s="2085"/>
    </row>
    <row r="554" spans="1:15" ht="15.5" x14ac:dyDescent="0.35">
      <c r="A554" s="3">
        <v>1</v>
      </c>
      <c r="B554" s="88">
        <v>2</v>
      </c>
      <c r="C554" s="2088">
        <v>4</v>
      </c>
      <c r="D554" s="2089"/>
      <c r="E554" s="88">
        <v>5</v>
      </c>
      <c r="F554" s="803">
        <v>7</v>
      </c>
      <c r="G554" s="3">
        <v>8</v>
      </c>
      <c r="H554" s="3">
        <v>9</v>
      </c>
      <c r="I554" s="3" t="s">
        <v>13</v>
      </c>
      <c r="J554" s="3">
        <v>11</v>
      </c>
      <c r="K554" s="3" t="s">
        <v>19</v>
      </c>
      <c r="L554" s="3" t="s">
        <v>20</v>
      </c>
      <c r="M554" s="3">
        <v>14</v>
      </c>
      <c r="N554" s="77">
        <v>15</v>
      </c>
      <c r="O554" s="3">
        <v>16</v>
      </c>
    </row>
    <row r="555" spans="1:15" ht="15" x14ac:dyDescent="0.35">
      <c r="A555" s="636"/>
      <c r="B555" s="624" t="s">
        <v>1483</v>
      </c>
      <c r="C555" s="625"/>
      <c r="D555" s="695"/>
      <c r="E555" s="625"/>
      <c r="F555" s="804"/>
      <c r="G555" s="625"/>
      <c r="H555" s="625"/>
      <c r="I555" s="625"/>
      <c r="J555" s="625"/>
      <c r="K555" s="695"/>
      <c r="L555" s="625"/>
      <c r="M555" s="626"/>
      <c r="N555" s="627"/>
      <c r="O555" s="12"/>
    </row>
    <row r="556" spans="1:15" ht="15.5" x14ac:dyDescent="0.35">
      <c r="A556" s="616">
        <v>10</v>
      </c>
      <c r="B556" s="100" t="s">
        <v>3937</v>
      </c>
      <c r="C556" s="73" t="s">
        <v>4090</v>
      </c>
      <c r="D556" s="1922"/>
      <c r="E556" s="52" t="s">
        <v>4091</v>
      </c>
      <c r="F556" s="812">
        <v>1</v>
      </c>
      <c r="G556" s="5">
        <v>543193.5</v>
      </c>
      <c r="H556" s="5">
        <v>549053.049</v>
      </c>
      <c r="I556" s="21">
        <f>H556-G556</f>
        <v>5859.5489999999991</v>
      </c>
      <c r="J556" s="616">
        <v>2000</v>
      </c>
      <c r="K556" s="707">
        <f>F556*I556*J556</f>
        <v>11719097.999999998</v>
      </c>
      <c r="L556" s="22"/>
      <c r="M556" s="22"/>
      <c r="N556" s="83"/>
      <c r="O556" s="12"/>
    </row>
    <row r="557" spans="1:15" ht="15.5" x14ac:dyDescent="0.35">
      <c r="A557" s="616">
        <v>11</v>
      </c>
      <c r="B557" s="100" t="s">
        <v>4092</v>
      </c>
      <c r="C557" s="73" t="s">
        <v>4090</v>
      </c>
      <c r="D557" s="1923"/>
      <c r="E557" s="52" t="s">
        <v>4093</v>
      </c>
      <c r="F557" s="812">
        <v>1</v>
      </c>
      <c r="G557" s="5">
        <v>538103.1</v>
      </c>
      <c r="H557" s="5">
        <v>543868.30339999998</v>
      </c>
      <c r="I557" s="21">
        <f>H557-G557</f>
        <v>5765.2033999999985</v>
      </c>
      <c r="J557" s="616">
        <v>2000</v>
      </c>
      <c r="K557" s="707">
        <f>F557*I557*J557</f>
        <v>11530406.799999997</v>
      </c>
      <c r="L557" s="22"/>
      <c r="M557" s="22"/>
      <c r="N557" s="83"/>
      <c r="O557" s="12"/>
    </row>
    <row r="558" spans="1:15" ht="15" x14ac:dyDescent="0.35">
      <c r="A558" s="636"/>
      <c r="B558" s="96"/>
      <c r="C558" s="90"/>
      <c r="D558" s="96"/>
      <c r="E558" s="90"/>
      <c r="F558" s="813"/>
      <c r="G558" s="38"/>
      <c r="H558" s="38"/>
      <c r="I558" s="38"/>
      <c r="J558" s="96" t="s">
        <v>30</v>
      </c>
      <c r="K558" s="708">
        <f>SUM(K556:K557)</f>
        <v>23249504.799999997</v>
      </c>
      <c r="L558" s="43"/>
      <c r="M558" s="43">
        <f>SUM(M556:M557)</f>
        <v>0</v>
      </c>
      <c r="N558" s="83"/>
      <c r="O558" s="12"/>
    </row>
    <row r="559" spans="1:15" ht="15.5" x14ac:dyDescent="0.35">
      <c r="A559" s="631"/>
      <c r="B559" s="647" t="s">
        <v>1484</v>
      </c>
      <c r="C559" s="648"/>
      <c r="D559" s="700"/>
      <c r="E559" s="648"/>
      <c r="F559" s="807"/>
      <c r="G559" s="648"/>
      <c r="H559" s="648"/>
      <c r="I559" s="648"/>
      <c r="J559" s="648"/>
      <c r="K559" s="700"/>
      <c r="L559" s="648"/>
      <c r="M559" s="651"/>
      <c r="N559" s="649"/>
      <c r="O559" s="616"/>
    </row>
    <row r="560" spans="1:15" s="1952" customFormat="1" ht="15.5" x14ac:dyDescent="0.35">
      <c r="A560" s="1941">
        <v>3</v>
      </c>
      <c r="B560" s="1917" t="s">
        <v>4095</v>
      </c>
      <c r="C560" s="1942" t="s">
        <v>4090</v>
      </c>
      <c r="D560" s="2017"/>
      <c r="E560" s="1953"/>
      <c r="F560" s="1954">
        <v>1</v>
      </c>
      <c r="G560" s="1946">
        <v>153106.20000000001</v>
      </c>
      <c r="H560" s="1946">
        <v>155969.5</v>
      </c>
      <c r="I560" s="1947">
        <f t="shared" ref="I560:I573" si="22">H560-G560</f>
        <v>2863.2999999999884</v>
      </c>
      <c r="J560" s="1948">
        <v>1000</v>
      </c>
      <c r="K560" s="1949"/>
      <c r="L560" s="1950">
        <f t="shared" ref="L560:L573" si="23">F560*I560*J560</f>
        <v>2863299.9999999884</v>
      </c>
      <c r="M560" s="1950"/>
      <c r="N560" s="1934" t="s">
        <v>49</v>
      </c>
      <c r="O560" s="1951"/>
    </row>
    <row r="561" spans="1:15" ht="15.5" x14ac:dyDescent="0.35">
      <c r="A561" s="631">
        <v>4</v>
      </c>
      <c r="B561" s="100" t="s">
        <v>4096</v>
      </c>
      <c r="C561" s="73" t="s">
        <v>4090</v>
      </c>
      <c r="D561" s="1769"/>
      <c r="E561" s="52"/>
      <c r="F561" s="812">
        <v>1</v>
      </c>
      <c r="G561" s="6">
        <v>14364.526</v>
      </c>
      <c r="H561" s="6">
        <v>15632.323</v>
      </c>
      <c r="I561" s="20">
        <f t="shared" si="22"/>
        <v>1267.7970000000005</v>
      </c>
      <c r="J561" s="616">
        <v>1000</v>
      </c>
      <c r="K561" s="703"/>
      <c r="L561" s="22">
        <f t="shared" si="23"/>
        <v>1267797.0000000005</v>
      </c>
      <c r="M561" s="22"/>
      <c r="N561" s="72" t="s">
        <v>90</v>
      </c>
      <c r="O561" s="15"/>
    </row>
    <row r="562" spans="1:15" ht="15.5" x14ac:dyDescent="0.35">
      <c r="A562" s="631">
        <v>5</v>
      </c>
      <c r="B562" s="100" t="s">
        <v>4097</v>
      </c>
      <c r="C562" s="73" t="s">
        <v>4090</v>
      </c>
      <c r="D562" s="1769"/>
      <c r="E562" s="52"/>
      <c r="F562" s="812">
        <v>1</v>
      </c>
      <c r="G562" s="6">
        <v>4086.9052000000001</v>
      </c>
      <c r="H562" s="6">
        <v>6083.9952000000003</v>
      </c>
      <c r="I562" s="20">
        <f t="shared" si="22"/>
        <v>1997.0900000000001</v>
      </c>
      <c r="J562" s="616">
        <v>1000</v>
      </c>
      <c r="K562" s="703"/>
      <c r="L562" s="22">
        <f t="shared" si="23"/>
        <v>1997090.0000000002</v>
      </c>
      <c r="M562" s="22"/>
      <c r="N562" s="72" t="s">
        <v>90</v>
      </c>
      <c r="O562" s="15"/>
    </row>
    <row r="563" spans="1:15" ht="15.5" x14ac:dyDescent="0.35">
      <c r="A563" s="631">
        <v>6</v>
      </c>
      <c r="B563" s="100" t="s">
        <v>4098</v>
      </c>
      <c r="C563" s="73" t="s">
        <v>4090</v>
      </c>
      <c r="D563" s="1769"/>
      <c r="E563" s="52"/>
      <c r="F563" s="812">
        <v>1</v>
      </c>
      <c r="G563" s="6">
        <v>2778.6891999999998</v>
      </c>
      <c r="H563" s="6">
        <v>2778.69</v>
      </c>
      <c r="I563" s="20">
        <f t="shared" si="22"/>
        <v>8.0000000025393092E-4</v>
      </c>
      <c r="J563" s="616">
        <v>1000</v>
      </c>
      <c r="K563" s="703"/>
      <c r="L563" s="22">
        <f t="shared" si="23"/>
        <v>0.80000000025393092</v>
      </c>
      <c r="M563" s="22"/>
      <c r="N563" s="72" t="s">
        <v>90</v>
      </c>
      <c r="O563" s="15"/>
    </row>
    <row r="564" spans="1:15" ht="15.5" x14ac:dyDescent="0.35">
      <c r="A564" s="631">
        <v>7</v>
      </c>
      <c r="B564" s="100" t="s">
        <v>4099</v>
      </c>
      <c r="C564" s="73" t="s">
        <v>4090</v>
      </c>
      <c r="D564" s="1769"/>
      <c r="E564" s="52"/>
      <c r="F564" s="812">
        <v>1</v>
      </c>
      <c r="G564" s="6">
        <v>3198.0111999999999</v>
      </c>
      <c r="H564" s="6">
        <v>4690.1247999999996</v>
      </c>
      <c r="I564" s="20">
        <f t="shared" si="22"/>
        <v>1492.1135999999997</v>
      </c>
      <c r="J564" s="616">
        <v>1000</v>
      </c>
      <c r="K564" s="703"/>
      <c r="L564" s="22">
        <f t="shared" si="23"/>
        <v>1492113.5999999996</v>
      </c>
      <c r="M564" s="22"/>
      <c r="N564" s="72" t="s">
        <v>90</v>
      </c>
      <c r="O564" s="15"/>
    </row>
    <row r="565" spans="1:15" ht="15.5" x14ac:dyDescent="0.35">
      <c r="A565" s="631">
        <v>8</v>
      </c>
      <c r="B565" s="100" t="s">
        <v>4100</v>
      </c>
      <c r="C565" s="73" t="s">
        <v>4090</v>
      </c>
      <c r="D565" s="1769"/>
      <c r="E565" s="52"/>
      <c r="F565" s="812">
        <v>1</v>
      </c>
      <c r="G565" s="6">
        <v>28884.624</v>
      </c>
      <c r="H565" s="6">
        <v>31462.608</v>
      </c>
      <c r="I565" s="20">
        <f t="shared" si="22"/>
        <v>2577.9840000000004</v>
      </c>
      <c r="J565" s="616">
        <v>1000</v>
      </c>
      <c r="K565" s="703"/>
      <c r="L565" s="22">
        <f t="shared" si="23"/>
        <v>2577984.0000000005</v>
      </c>
      <c r="M565" s="22"/>
      <c r="N565" s="72" t="s">
        <v>90</v>
      </c>
      <c r="O565" s="15"/>
    </row>
    <row r="566" spans="1:15" ht="15.5" x14ac:dyDescent="0.35">
      <c r="A566" s="631">
        <v>9</v>
      </c>
      <c r="B566" s="100" t="s">
        <v>4101</v>
      </c>
      <c r="C566" s="73" t="s">
        <v>4090</v>
      </c>
      <c r="D566" s="1769"/>
      <c r="E566" s="52"/>
      <c r="F566" s="812">
        <v>1</v>
      </c>
      <c r="G566" s="6">
        <v>9174.9032000000007</v>
      </c>
      <c r="H566" s="6">
        <v>10696.022000000001</v>
      </c>
      <c r="I566" s="20">
        <f t="shared" si="22"/>
        <v>1521.1188000000002</v>
      </c>
      <c r="J566" s="616">
        <v>1000</v>
      </c>
      <c r="K566" s="703"/>
      <c r="L566" s="22">
        <f t="shared" si="23"/>
        <v>1521118.8000000003</v>
      </c>
      <c r="M566" s="22"/>
      <c r="N566" s="72" t="s">
        <v>90</v>
      </c>
      <c r="O566" s="15"/>
    </row>
    <row r="567" spans="1:15" ht="15.5" x14ac:dyDescent="0.35">
      <c r="A567" s="631">
        <v>12</v>
      </c>
      <c r="B567" s="100" t="s">
        <v>4102</v>
      </c>
      <c r="C567" s="73" t="s">
        <v>4090</v>
      </c>
      <c r="D567" s="1769"/>
      <c r="E567" s="52"/>
      <c r="F567" s="812">
        <v>1</v>
      </c>
      <c r="G567" s="6">
        <v>8381.6671999999999</v>
      </c>
      <c r="H567" s="6">
        <v>10387.808999999999</v>
      </c>
      <c r="I567" s="20">
        <f t="shared" si="22"/>
        <v>2006.1417999999994</v>
      </c>
      <c r="J567" s="616">
        <v>1000</v>
      </c>
      <c r="K567" s="703"/>
      <c r="L567" s="22">
        <f t="shared" si="23"/>
        <v>2006141.7999999993</v>
      </c>
      <c r="M567" s="22"/>
      <c r="N567" s="72" t="s">
        <v>90</v>
      </c>
      <c r="O567" s="15"/>
    </row>
    <row r="568" spans="1:15" ht="15.5" x14ac:dyDescent="0.35">
      <c r="A568" s="631">
        <v>13</v>
      </c>
      <c r="B568" s="100" t="s">
        <v>4103</v>
      </c>
      <c r="C568" s="73" t="s">
        <v>4090</v>
      </c>
      <c r="D568" s="1769"/>
      <c r="E568" s="52"/>
      <c r="F568" s="812">
        <v>1</v>
      </c>
      <c r="G568" s="6">
        <v>14939.794</v>
      </c>
      <c r="H568" s="6">
        <v>17183.725999999999</v>
      </c>
      <c r="I568" s="20">
        <f t="shared" si="22"/>
        <v>2243.9319999999989</v>
      </c>
      <c r="J568" s="616">
        <v>1000</v>
      </c>
      <c r="K568" s="703"/>
      <c r="L568" s="22">
        <f t="shared" si="23"/>
        <v>2243931.9999999991</v>
      </c>
      <c r="M568" s="22"/>
      <c r="N568" s="72" t="s">
        <v>90</v>
      </c>
      <c r="O568" s="15"/>
    </row>
    <row r="569" spans="1:15" ht="15.5" x14ac:dyDescent="0.35">
      <c r="A569" s="631">
        <v>14</v>
      </c>
      <c r="B569" s="100" t="s">
        <v>4104</v>
      </c>
      <c r="C569" s="73" t="s">
        <v>4090</v>
      </c>
      <c r="D569" s="1769"/>
      <c r="E569" s="52"/>
      <c r="F569" s="812">
        <v>1</v>
      </c>
      <c r="G569" s="6">
        <v>3059.261</v>
      </c>
      <c r="H569" s="6">
        <v>3164.8278</v>
      </c>
      <c r="I569" s="20">
        <f t="shared" si="22"/>
        <v>105.56680000000006</v>
      </c>
      <c r="J569" s="616">
        <v>1000</v>
      </c>
      <c r="K569" s="703"/>
      <c r="L569" s="22">
        <f t="shared" si="23"/>
        <v>105566.80000000006</v>
      </c>
      <c r="M569" s="22"/>
      <c r="N569" s="72" t="s">
        <v>90</v>
      </c>
      <c r="O569" s="15"/>
    </row>
    <row r="570" spans="1:15" ht="15.5" x14ac:dyDescent="0.35">
      <c r="A570" s="631">
        <v>15</v>
      </c>
      <c r="B570" s="100" t="s">
        <v>4105</v>
      </c>
      <c r="C570" s="73" t="s">
        <v>4090</v>
      </c>
      <c r="D570" s="1769"/>
      <c r="E570" s="52"/>
      <c r="F570" s="812">
        <v>1</v>
      </c>
      <c r="G570" s="6">
        <v>106094.6</v>
      </c>
      <c r="H570" s="6">
        <v>108011.7</v>
      </c>
      <c r="I570" s="20">
        <f t="shared" si="22"/>
        <v>1917.0999999999913</v>
      </c>
      <c r="J570" s="616">
        <v>1000</v>
      </c>
      <c r="K570" s="703"/>
      <c r="L570" s="22">
        <f t="shared" si="23"/>
        <v>1917099.9999999912</v>
      </c>
      <c r="M570" s="22"/>
      <c r="N570" s="72" t="s">
        <v>90</v>
      </c>
      <c r="O570" s="15"/>
    </row>
    <row r="571" spans="1:15" ht="15.5" x14ac:dyDescent="0.35">
      <c r="A571" s="631">
        <v>16</v>
      </c>
      <c r="B571" s="100" t="s">
        <v>4106</v>
      </c>
      <c r="C571" s="73" t="s">
        <v>4090</v>
      </c>
      <c r="D571" s="1769"/>
      <c r="E571" s="52"/>
      <c r="F571" s="812">
        <v>1</v>
      </c>
      <c r="G571" s="6">
        <v>31235.56</v>
      </c>
      <c r="H571" s="6">
        <v>33830.815999999999</v>
      </c>
      <c r="I571" s="20">
        <f t="shared" si="22"/>
        <v>2595.2559999999976</v>
      </c>
      <c r="J571" s="616">
        <v>1000</v>
      </c>
      <c r="K571" s="703"/>
      <c r="L571" s="22">
        <f t="shared" si="23"/>
        <v>2595255.9999999977</v>
      </c>
      <c r="M571" s="22"/>
      <c r="N571" s="72" t="s">
        <v>90</v>
      </c>
      <c r="O571" s="15"/>
    </row>
    <row r="572" spans="1:15" ht="15.5" x14ac:dyDescent="0.35">
      <c r="A572" s="631">
        <v>17</v>
      </c>
      <c r="B572" s="100" t="s">
        <v>4107</v>
      </c>
      <c r="C572" s="73" t="s">
        <v>4090</v>
      </c>
      <c r="D572" s="1769"/>
      <c r="E572" s="52"/>
      <c r="F572" s="812">
        <v>1</v>
      </c>
      <c r="G572" s="6">
        <v>9829.1784000000007</v>
      </c>
      <c r="H572" s="6">
        <v>12497.509</v>
      </c>
      <c r="I572" s="20">
        <f t="shared" si="22"/>
        <v>2668.3305999999993</v>
      </c>
      <c r="J572" s="616">
        <v>1000</v>
      </c>
      <c r="K572" s="703"/>
      <c r="L572" s="22">
        <f t="shared" si="23"/>
        <v>2668330.5999999992</v>
      </c>
      <c r="M572" s="22"/>
      <c r="N572" s="72" t="s">
        <v>90</v>
      </c>
      <c r="O572" s="15"/>
    </row>
    <row r="573" spans="1:15" ht="15.5" x14ac:dyDescent="0.35">
      <c r="A573" s="631">
        <v>18</v>
      </c>
      <c r="B573" s="100" t="s">
        <v>1446</v>
      </c>
      <c r="C573" s="73" t="s">
        <v>4090</v>
      </c>
      <c r="D573" s="1769"/>
      <c r="E573" s="52"/>
      <c r="F573" s="812">
        <v>1</v>
      </c>
      <c r="G573" s="6"/>
      <c r="H573" s="6"/>
      <c r="I573" s="20">
        <f t="shared" si="22"/>
        <v>0</v>
      </c>
      <c r="J573" s="616">
        <v>1000</v>
      </c>
      <c r="K573" s="703"/>
      <c r="L573" s="22">
        <f t="shared" si="23"/>
        <v>0</v>
      </c>
      <c r="M573" s="22"/>
      <c r="N573" s="72" t="s">
        <v>90</v>
      </c>
      <c r="O573" s="15"/>
    </row>
    <row r="574" spans="1:15" ht="20" x14ac:dyDescent="0.35">
      <c r="A574" s="636"/>
      <c r="B574" s="96"/>
      <c r="C574" s="90"/>
      <c r="D574" s="96"/>
      <c r="E574" s="90"/>
      <c r="F574" s="813"/>
      <c r="G574" s="38"/>
      <c r="H574" s="38"/>
      <c r="I574" s="38"/>
      <c r="J574" s="96" t="s">
        <v>30</v>
      </c>
      <c r="K574" s="708">
        <f>K558</f>
        <v>23249504.799999997</v>
      </c>
      <c r="L574" s="43">
        <f>SUM(L560:L573)</f>
        <v>23255731.399999976</v>
      </c>
      <c r="M574" s="43">
        <f>SUM(M560:M573)</f>
        <v>0</v>
      </c>
      <c r="N574" s="84">
        <f>(M574-L574)/L574*100</f>
        <v>-100</v>
      </c>
      <c r="O574" s="13"/>
    </row>
    <row r="575" spans="1:15" x14ac:dyDescent="0.35">
      <c r="D575" s="2013"/>
      <c r="K575" s="34"/>
    </row>
    <row r="576" spans="1:15" ht="15" x14ac:dyDescent="0.35">
      <c r="A576" s="620"/>
      <c r="B576" s="635"/>
      <c r="C576" s="632"/>
      <c r="D576" s="1900"/>
      <c r="G576" s="2092" t="s">
        <v>1099</v>
      </c>
      <c r="H576" s="2092"/>
      <c r="I576" s="2092"/>
      <c r="J576" s="677" t="s">
        <v>14</v>
      </c>
      <c r="K576" s="702"/>
      <c r="L576" s="620"/>
      <c r="M576" s="620"/>
      <c r="N576" s="632"/>
      <c r="O576" s="620"/>
    </row>
    <row r="577" spans="1:15" ht="15.5" x14ac:dyDescent="0.35">
      <c r="A577" s="620"/>
      <c r="B577" s="635"/>
      <c r="C577" s="632"/>
      <c r="D577" s="1900"/>
      <c r="G577" s="2082" t="s">
        <v>232</v>
      </c>
      <c r="H577" s="2082"/>
      <c r="I577" s="2082"/>
      <c r="J577" s="643" t="e">
        <f>M566+M570+M572+M573+#REF!+#REF!+#REF!+#REF!+#REF!</f>
        <v>#REF!</v>
      </c>
      <c r="K577" s="702"/>
      <c r="L577" s="620"/>
      <c r="M577" s="620"/>
      <c r="N577" s="632"/>
      <c r="O577" s="620" t="s">
        <v>237</v>
      </c>
    </row>
    <row r="578" spans="1:15" ht="15.5" x14ac:dyDescent="0.35">
      <c r="A578" s="620"/>
      <c r="B578" s="635"/>
      <c r="C578" s="632"/>
      <c r="D578" s="1900"/>
      <c r="G578" s="2082" t="s">
        <v>233</v>
      </c>
      <c r="H578" s="2082"/>
      <c r="I578" s="2082"/>
      <c r="J578" s="643" t="e">
        <f>M561+M562+M563+M567+M568+M569+#REF!+#REF!+#REF!</f>
        <v>#REF!</v>
      </c>
      <c r="K578" s="702"/>
      <c r="L578" s="620"/>
      <c r="M578" s="620"/>
      <c r="N578" s="632"/>
      <c r="O578" s="620"/>
    </row>
    <row r="579" spans="1:15" ht="15.5" x14ac:dyDescent="0.35">
      <c r="A579" s="620"/>
      <c r="B579" s="635"/>
      <c r="C579" s="632"/>
      <c r="D579" s="1900"/>
      <c r="G579" s="2082" t="s">
        <v>234</v>
      </c>
      <c r="H579" s="2082"/>
      <c r="I579" s="2082"/>
      <c r="J579" s="643" t="e">
        <f>#REF!</f>
        <v>#REF!</v>
      </c>
      <c r="K579" s="702"/>
      <c r="L579" s="620"/>
      <c r="M579" s="620"/>
      <c r="N579" s="632"/>
      <c r="O579" s="620"/>
    </row>
    <row r="580" spans="1:15" ht="16" thickBot="1" x14ac:dyDescent="0.4">
      <c r="A580" s="620"/>
      <c r="B580" s="635"/>
      <c r="C580" s="632"/>
      <c r="D580" s="1900"/>
      <c r="G580" s="2082" t="s">
        <v>235</v>
      </c>
      <c r="H580" s="2082"/>
      <c r="I580" s="2082"/>
      <c r="J580" s="643" t="e">
        <f>M560+M564+M565+M571+#REF!+#REF!+#REF!+#REF!+#REF!</f>
        <v>#REF!</v>
      </c>
      <c r="K580" s="702"/>
      <c r="L580" s="620"/>
      <c r="M580" s="620"/>
      <c r="N580" s="632"/>
      <c r="O580" s="620"/>
    </row>
    <row r="581" spans="1:15" ht="20.5" thickBot="1" x14ac:dyDescent="0.4">
      <c r="A581" s="620"/>
      <c r="B581" s="635"/>
      <c r="C581" s="632"/>
      <c r="D581" s="1900"/>
      <c r="G581" s="2083" t="s">
        <v>210</v>
      </c>
      <c r="H581" s="2083"/>
      <c r="I581" s="2083"/>
      <c r="J581" s="714" t="e">
        <f>SUM(J577:J580)</f>
        <v>#REF!</v>
      </c>
      <c r="K581" s="682" t="e">
        <f>J581-M574</f>
        <v>#REF!</v>
      </c>
      <c r="L581" s="620"/>
      <c r="M581" s="620"/>
      <c r="N581" s="632"/>
      <c r="O581" s="620"/>
    </row>
    <row r="582" spans="1:15" x14ac:dyDescent="0.35">
      <c r="A582" s="620"/>
      <c r="B582" s="635"/>
      <c r="C582" s="632"/>
      <c r="D582" s="1900"/>
      <c r="E582" s="632"/>
      <c r="F582" s="810"/>
      <c r="G582" s="620"/>
      <c r="H582" s="620"/>
      <c r="I582" s="620"/>
      <c r="J582" s="620"/>
      <c r="K582" s="702"/>
      <c r="L582" s="620"/>
      <c r="M582" s="620"/>
      <c r="N582" s="632"/>
      <c r="O582" s="620"/>
    </row>
    <row r="583" spans="1:15" x14ac:dyDescent="0.35">
      <c r="A583" s="620"/>
      <c r="B583" s="635"/>
      <c r="C583" s="632"/>
      <c r="D583" s="1900"/>
      <c r="E583" s="632"/>
      <c r="F583" s="810"/>
      <c r="G583" s="620"/>
      <c r="H583" s="620"/>
      <c r="I583" s="620"/>
      <c r="J583" s="620"/>
      <c r="K583" s="702"/>
      <c r="L583" s="620"/>
      <c r="M583" s="620"/>
      <c r="N583" s="632"/>
      <c r="O583" s="620"/>
    </row>
    <row r="584" spans="1:15" x14ac:dyDescent="0.35">
      <c r="A584" s="620"/>
      <c r="B584" s="635"/>
      <c r="C584" s="632"/>
      <c r="D584" s="1900"/>
      <c r="E584" s="632"/>
      <c r="F584" s="810"/>
      <c r="G584" s="620"/>
      <c r="H584" s="620"/>
      <c r="I584" s="620"/>
      <c r="J584" s="620"/>
      <c r="K584" s="702"/>
      <c r="L584" s="620"/>
      <c r="M584" s="620"/>
      <c r="N584" s="632"/>
      <c r="O584" s="620"/>
    </row>
    <row r="585" spans="1:15" x14ac:dyDescent="0.35">
      <c r="A585" s="620"/>
      <c r="B585" s="635"/>
      <c r="C585" s="632"/>
      <c r="D585" s="1900"/>
      <c r="E585" s="632"/>
      <c r="F585" s="810"/>
      <c r="G585" s="620"/>
      <c r="H585" s="620"/>
      <c r="I585" s="620"/>
      <c r="J585" s="620"/>
      <c r="K585" s="702"/>
      <c r="L585" s="620"/>
      <c r="M585" s="620"/>
      <c r="N585" s="632"/>
      <c r="O585" s="620"/>
    </row>
    <row r="586" spans="1:15" x14ac:dyDescent="0.35">
      <c r="A586" s="620"/>
      <c r="B586" s="635"/>
      <c r="C586" s="632"/>
      <c r="D586" s="1900"/>
      <c r="E586" s="632"/>
      <c r="F586" s="810"/>
      <c r="G586" s="620"/>
      <c r="H586" s="620"/>
      <c r="I586" s="620"/>
      <c r="J586" s="620"/>
      <c r="K586" s="702"/>
      <c r="L586" s="620"/>
      <c r="M586" s="620"/>
      <c r="N586" s="632"/>
      <c r="O586" s="620"/>
    </row>
    <row r="587" spans="1:15" x14ac:dyDescent="0.35">
      <c r="A587" s="620"/>
      <c r="B587" s="635"/>
      <c r="C587" s="632"/>
      <c r="D587" s="1900"/>
      <c r="E587" s="632"/>
      <c r="F587" s="810"/>
      <c r="G587" s="620"/>
      <c r="H587" s="620"/>
      <c r="I587" s="620"/>
      <c r="J587" s="620"/>
      <c r="K587" s="702"/>
      <c r="L587" s="620"/>
      <c r="M587" s="620"/>
      <c r="N587" s="632"/>
      <c r="O587" s="620"/>
    </row>
    <row r="588" spans="1:15" x14ac:dyDescent="0.35">
      <c r="A588" s="620"/>
      <c r="B588" s="632"/>
      <c r="C588" s="632"/>
      <c r="D588" s="1900"/>
      <c r="E588" s="632"/>
      <c r="F588" s="810"/>
      <c r="G588" s="620"/>
      <c r="H588" s="620"/>
      <c r="I588" s="620"/>
      <c r="J588" s="620"/>
      <c r="K588" s="702"/>
      <c r="L588" s="620"/>
      <c r="M588" s="620"/>
      <c r="N588" s="632"/>
      <c r="O588" s="620"/>
    </row>
    <row r="589" spans="1:15" x14ac:dyDescent="0.35">
      <c r="A589" s="620"/>
      <c r="B589" s="632"/>
      <c r="C589" s="632"/>
      <c r="D589" s="1900"/>
      <c r="E589" s="632"/>
      <c r="F589" s="810"/>
      <c r="G589" s="620"/>
      <c r="H589" s="620"/>
      <c r="I589" s="620"/>
      <c r="J589" s="620"/>
      <c r="K589" s="702"/>
      <c r="L589" s="620"/>
      <c r="M589" s="620"/>
      <c r="N589" s="632"/>
      <c r="O589" s="620"/>
    </row>
    <row r="590" spans="1:15" x14ac:dyDescent="0.35">
      <c r="A590" s="620"/>
      <c r="B590" s="632"/>
      <c r="C590" s="632"/>
      <c r="D590" s="1900"/>
      <c r="E590" s="632"/>
      <c r="F590" s="810"/>
      <c r="G590" s="620"/>
      <c r="H590" s="620"/>
      <c r="I590" s="620"/>
      <c r="J590" s="620"/>
      <c r="K590" s="702"/>
      <c r="L590" s="620"/>
      <c r="M590" s="620"/>
      <c r="N590" s="632"/>
      <c r="O590" s="620"/>
    </row>
    <row r="591" spans="1:15" x14ac:dyDescent="0.35">
      <c r="A591" s="620"/>
      <c r="B591" s="635"/>
      <c r="C591" s="632"/>
      <c r="D591" s="1900"/>
      <c r="E591" s="632"/>
      <c r="F591" s="810"/>
      <c r="G591" s="620"/>
      <c r="H591" s="620"/>
      <c r="I591" s="620"/>
      <c r="J591" s="620"/>
      <c r="K591" s="702"/>
      <c r="L591" s="620"/>
      <c r="M591" s="620"/>
      <c r="N591" s="632"/>
      <c r="O591" s="620"/>
    </row>
    <row r="592" spans="1:15" x14ac:dyDescent="0.35">
      <c r="A592" s="620"/>
      <c r="B592" s="635"/>
      <c r="C592" s="632"/>
      <c r="D592" s="1900"/>
      <c r="E592" s="632"/>
      <c r="F592" s="810"/>
      <c r="G592" s="620"/>
      <c r="H592" s="620"/>
      <c r="I592" s="620"/>
      <c r="J592" s="620"/>
      <c r="K592" s="702"/>
      <c r="L592" s="620"/>
      <c r="M592" s="620"/>
      <c r="N592" s="632"/>
      <c r="O592" s="620"/>
    </row>
    <row r="593" spans="1:15" x14ac:dyDescent="0.35">
      <c r="A593" s="620"/>
      <c r="B593" s="635"/>
      <c r="C593" s="632"/>
      <c r="D593" s="1900"/>
      <c r="E593" s="632"/>
      <c r="F593" s="810"/>
      <c r="G593" s="620"/>
      <c r="H593" s="620"/>
      <c r="I593" s="620"/>
      <c r="J593" s="620"/>
      <c r="K593" s="702"/>
      <c r="L593" s="620"/>
      <c r="M593" s="620"/>
      <c r="N593" s="632"/>
      <c r="O593" s="620"/>
    </row>
    <row r="594" spans="1:15" ht="25" x14ac:dyDescent="0.35">
      <c r="A594" s="28"/>
      <c r="B594" s="2152"/>
      <c r="C594" s="2152"/>
      <c r="D594" s="2152"/>
      <c r="E594" s="2152"/>
      <c r="F594" s="2152"/>
      <c r="G594" s="2152"/>
      <c r="H594" s="2152"/>
      <c r="I594" s="2152"/>
      <c r="J594" s="2152"/>
      <c r="K594" s="2152"/>
      <c r="L594" s="2152"/>
      <c r="M594" s="2152"/>
      <c r="N594" s="632"/>
      <c r="O594" s="620"/>
    </row>
    <row r="595" spans="1:15" x14ac:dyDescent="0.35">
      <c r="A595" s="620"/>
      <c r="B595" s="635"/>
      <c r="C595" s="632"/>
      <c r="D595" s="1900"/>
      <c r="E595" s="632"/>
      <c r="F595" s="810"/>
      <c r="G595" s="620"/>
      <c r="H595" s="620"/>
      <c r="I595" s="620"/>
      <c r="J595" s="620"/>
      <c r="K595" s="702"/>
      <c r="L595" s="620"/>
      <c r="M595" s="620"/>
      <c r="N595" s="632"/>
      <c r="O595" s="620"/>
    </row>
    <row r="596" spans="1:15" x14ac:dyDescent="0.35">
      <c r="A596" s="620"/>
      <c r="B596" s="635"/>
      <c r="C596" s="632"/>
      <c r="D596" s="1900"/>
      <c r="E596" s="632"/>
      <c r="F596" s="810"/>
      <c r="G596" s="620"/>
      <c r="H596" s="620"/>
      <c r="I596" s="620"/>
      <c r="J596" s="620"/>
      <c r="K596" s="702"/>
      <c r="L596" s="620"/>
      <c r="M596" s="620"/>
      <c r="N596" s="632"/>
      <c r="O596" s="620"/>
    </row>
    <row r="597" spans="1:15" ht="25" x14ac:dyDescent="0.35">
      <c r="A597" s="2095" t="s">
        <v>4108</v>
      </c>
      <c r="B597" s="2095"/>
      <c r="C597" s="2095"/>
      <c r="D597" s="2095"/>
      <c r="E597" s="2095"/>
      <c r="F597" s="2095"/>
      <c r="G597" s="2095"/>
      <c r="H597" s="2095"/>
      <c r="I597" s="2095"/>
      <c r="J597" s="2095"/>
      <c r="K597" s="2095"/>
      <c r="L597" s="2095"/>
      <c r="M597" s="2095"/>
      <c r="N597" s="2095"/>
      <c r="O597" s="756" t="e">
        <f>$O$6</f>
        <v>#REF!</v>
      </c>
    </row>
    <row r="598" spans="1:15" ht="15.5" x14ac:dyDescent="0.35">
      <c r="A598" s="2096" t="s">
        <v>0</v>
      </c>
      <c r="B598" s="2098" t="s">
        <v>1</v>
      </c>
      <c r="C598" s="2100" t="s">
        <v>2</v>
      </c>
      <c r="D598" s="2101"/>
      <c r="E598" s="2102"/>
      <c r="F598" s="2216" t="s">
        <v>3</v>
      </c>
      <c r="G598" s="2100" t="s">
        <v>4</v>
      </c>
      <c r="H598" s="2102"/>
      <c r="I598" s="2085"/>
      <c r="J598" s="2103" t="s">
        <v>5</v>
      </c>
      <c r="K598" s="2100" t="s">
        <v>6</v>
      </c>
      <c r="L598" s="2085"/>
      <c r="M598" s="97" t="s">
        <v>32</v>
      </c>
      <c r="N598" s="98"/>
      <c r="O598" s="2084" t="s">
        <v>7</v>
      </c>
    </row>
    <row r="599" spans="1:15" ht="15.5" x14ac:dyDescent="0.35">
      <c r="A599" s="2097"/>
      <c r="B599" s="2099"/>
      <c r="C599" s="2086" t="s">
        <v>1108</v>
      </c>
      <c r="D599" s="2087"/>
      <c r="E599" s="87" t="s">
        <v>9</v>
      </c>
      <c r="F599" s="2217"/>
      <c r="G599" s="2">
        <f>'NORTH-1'!$G$8</f>
        <v>44774</v>
      </c>
      <c r="H599" s="2">
        <f>'NORTH-1'!$H$8</f>
        <v>44805</v>
      </c>
      <c r="I599" s="1" t="s">
        <v>10</v>
      </c>
      <c r="J599" s="2097"/>
      <c r="K599" s="1" t="s">
        <v>11</v>
      </c>
      <c r="L599" s="1" t="s">
        <v>12</v>
      </c>
      <c r="M599" s="617" t="s">
        <v>33</v>
      </c>
      <c r="N599" s="76" t="s">
        <v>47</v>
      </c>
      <c r="O599" s="2085"/>
    </row>
    <row r="600" spans="1:15" ht="15.5" x14ac:dyDescent="0.35">
      <c r="A600" s="3">
        <v>1</v>
      </c>
      <c r="B600" s="88">
        <v>2</v>
      </c>
      <c r="C600" s="2088">
        <v>4</v>
      </c>
      <c r="D600" s="2089"/>
      <c r="E600" s="88">
        <v>5</v>
      </c>
      <c r="F600" s="803">
        <v>7</v>
      </c>
      <c r="G600" s="3">
        <v>8</v>
      </c>
      <c r="H600" s="3">
        <v>9</v>
      </c>
      <c r="I600" s="3" t="s">
        <v>13</v>
      </c>
      <c r="J600" s="3">
        <v>11</v>
      </c>
      <c r="K600" s="3" t="s">
        <v>19</v>
      </c>
      <c r="L600" s="3" t="s">
        <v>20</v>
      </c>
      <c r="M600" s="3">
        <v>14</v>
      </c>
      <c r="N600" s="77">
        <v>15</v>
      </c>
      <c r="O600" s="3">
        <v>16</v>
      </c>
    </row>
    <row r="601" spans="1:15" ht="15.5" x14ac:dyDescent="0.35">
      <c r="A601" s="631"/>
      <c r="B601" s="624" t="s">
        <v>1639</v>
      </c>
      <c r="C601" s="625"/>
      <c r="D601" s="695"/>
      <c r="E601" s="625"/>
      <c r="F601" s="804"/>
      <c r="G601" s="625"/>
      <c r="H601" s="625"/>
      <c r="I601" s="625"/>
      <c r="J601" s="625"/>
      <c r="K601" s="695"/>
      <c r="L601" s="625"/>
      <c r="M601" s="626"/>
      <c r="N601" s="627"/>
      <c r="O601" s="616"/>
    </row>
    <row r="602" spans="1:15" ht="15.5" x14ac:dyDescent="0.35">
      <c r="A602" s="11"/>
      <c r="B602" s="100" t="s">
        <v>1640</v>
      </c>
      <c r="C602" s="52" t="str">
        <f>C536</f>
        <v>0.4 kV</v>
      </c>
      <c r="D602" s="818" t="s">
        <v>698</v>
      </c>
      <c r="E602" s="52"/>
      <c r="F602" s="812">
        <f>F536</f>
        <v>1</v>
      </c>
      <c r="G602" s="21"/>
      <c r="H602" s="21"/>
      <c r="I602" s="20">
        <f>H602-G602</f>
        <v>0</v>
      </c>
      <c r="J602" s="616">
        <v>2000</v>
      </c>
      <c r="K602" s="696">
        <f>K536</f>
        <v>0</v>
      </c>
      <c r="L602" s="22">
        <v>11028000</v>
      </c>
      <c r="M602" s="22">
        <v>11082982.369739415</v>
      </c>
      <c r="N602" s="82"/>
      <c r="O602" s="9"/>
    </row>
    <row r="603" spans="1:15" ht="15.5" x14ac:dyDescent="0.35">
      <c r="A603" s="631"/>
      <c r="B603" s="102"/>
      <c r="C603" s="91"/>
      <c r="D603" s="726"/>
      <c r="E603" s="91"/>
      <c r="F603" s="814"/>
      <c r="G603" s="48"/>
      <c r="H603" s="48"/>
      <c r="I603" s="48"/>
      <c r="J603" s="96" t="s">
        <v>30</v>
      </c>
      <c r="K603" s="706"/>
      <c r="L603" s="43">
        <f>SUM(L602:L602)</f>
        <v>11028000</v>
      </c>
      <c r="M603" s="43">
        <f>SUM(M602:M602)</f>
        <v>11082982.369739415</v>
      </c>
      <c r="N603" s="646">
        <f>(M603-L603)/L603*100</f>
        <v>0.49857063601210672</v>
      </c>
      <c r="O603" s="616"/>
    </row>
    <row r="604" spans="1:15" ht="15.5" x14ac:dyDescent="0.35">
      <c r="A604" s="616"/>
      <c r="B604" s="624" t="s">
        <v>1506</v>
      </c>
      <c r="C604" s="625"/>
      <c r="D604" s="695"/>
      <c r="E604" s="625"/>
      <c r="F604" s="804"/>
      <c r="G604" s="625"/>
      <c r="H604" s="625"/>
      <c r="I604" s="625"/>
      <c r="J604" s="732"/>
      <c r="K604" s="733"/>
      <c r="L604" s="734"/>
      <c r="M604" s="734"/>
      <c r="N604" s="627"/>
      <c r="O604" s="616"/>
    </row>
    <row r="605" spans="1:15" ht="15.5" x14ac:dyDescent="0.35">
      <c r="A605" s="616"/>
      <c r="B605" s="100" t="s">
        <v>1641</v>
      </c>
      <c r="C605" s="52">
        <v>33</v>
      </c>
      <c r="D605" s="2105" t="s">
        <v>698</v>
      </c>
      <c r="E605" s="52"/>
      <c r="F605" s="812">
        <v>1</v>
      </c>
      <c r="G605" s="21"/>
      <c r="H605" s="21"/>
      <c r="I605" s="20">
        <f>H605-G605</f>
        <v>0</v>
      </c>
      <c r="J605" s="616">
        <v>240000</v>
      </c>
      <c r="K605" s="696"/>
      <c r="L605" s="22">
        <f>J605*I605*F605</f>
        <v>0</v>
      </c>
      <c r="M605" s="22" t="e">
        <f>#REF!</f>
        <v>#REF!</v>
      </c>
      <c r="N605" s="82"/>
      <c r="O605" s="12"/>
    </row>
    <row r="606" spans="1:15" ht="15.5" x14ac:dyDescent="0.35">
      <c r="A606" s="616"/>
      <c r="B606" s="100" t="s">
        <v>1642</v>
      </c>
      <c r="C606" s="52">
        <v>33</v>
      </c>
      <c r="D606" s="2151"/>
      <c r="E606" s="52"/>
      <c r="F606" s="812">
        <v>1</v>
      </c>
      <c r="G606" s="21"/>
      <c r="H606" s="21"/>
      <c r="I606" s="20">
        <f>H606-G606</f>
        <v>0</v>
      </c>
      <c r="J606" s="616">
        <v>240000</v>
      </c>
      <c r="K606" s="696"/>
      <c r="L606" s="22">
        <v>364799.99999999563</v>
      </c>
      <c r="M606" s="22">
        <v>366708.00461512711</v>
      </c>
      <c r="N606" s="82"/>
      <c r="O606" s="12"/>
    </row>
    <row r="607" spans="1:15" ht="15.5" x14ac:dyDescent="0.35">
      <c r="A607" s="616"/>
      <c r="B607" s="102"/>
      <c r="C607" s="91"/>
      <c r="D607" s="726"/>
      <c r="E607" s="91"/>
      <c r="F607" s="814"/>
      <c r="G607" s="48"/>
      <c r="H607" s="48"/>
      <c r="I607" s="36"/>
      <c r="J607" s="96" t="s">
        <v>30</v>
      </c>
      <c r="K607" s="706"/>
      <c r="L607" s="43">
        <f>SUM(L605:L606)</f>
        <v>364799.99999999563</v>
      </c>
      <c r="M607" s="43" t="e">
        <f>SUM(M605:M606)</f>
        <v>#REF!</v>
      </c>
      <c r="N607" s="85"/>
      <c r="O607" s="12"/>
    </row>
    <row r="608" spans="1:15" ht="15.5" x14ac:dyDescent="0.35">
      <c r="A608" s="616"/>
      <c r="B608" s="624" t="s">
        <v>1638</v>
      </c>
      <c r="C608" s="625"/>
      <c r="D608" s="695"/>
      <c r="E608" s="625"/>
      <c r="F608" s="804"/>
      <c r="G608" s="625"/>
      <c r="H608" s="625"/>
      <c r="I608" s="625"/>
      <c r="J608" s="732"/>
      <c r="K608" s="733"/>
      <c r="L608" s="734"/>
      <c r="M608" s="734"/>
      <c r="N608" s="627"/>
      <c r="O608" s="12"/>
    </row>
    <row r="609" spans="1:15" ht="15.5" x14ac:dyDescent="0.35">
      <c r="A609" s="616"/>
      <c r="B609" s="100" t="s">
        <v>1643</v>
      </c>
      <c r="C609" s="52">
        <v>33</v>
      </c>
      <c r="D609" s="2105" t="s">
        <v>1084</v>
      </c>
      <c r="E609" s="52"/>
      <c r="F609" s="812">
        <v>1</v>
      </c>
      <c r="G609" s="21">
        <v>868220</v>
      </c>
      <c r="H609" s="21">
        <v>882182</v>
      </c>
      <c r="I609" s="20">
        <f>H609-G609</f>
        <v>13962</v>
      </c>
      <c r="J609" s="616">
        <v>180</v>
      </c>
      <c r="K609" s="696"/>
      <c r="L609" s="22">
        <f>J609*I609*F609</f>
        <v>2513160</v>
      </c>
      <c r="M609" s="22"/>
      <c r="N609" s="82"/>
      <c r="O609" s="12"/>
    </row>
    <row r="610" spans="1:15" ht="15.5" x14ac:dyDescent="0.35">
      <c r="A610" s="616"/>
      <c r="B610" s="100" t="s">
        <v>1644</v>
      </c>
      <c r="C610" s="52">
        <v>33</v>
      </c>
      <c r="D610" s="2106"/>
      <c r="E610" s="52"/>
      <c r="F610" s="812">
        <v>1</v>
      </c>
      <c r="G610" s="21">
        <v>775.28</v>
      </c>
      <c r="H610" s="21">
        <v>788.74</v>
      </c>
      <c r="I610" s="20">
        <f>H610-G610</f>
        <v>13.460000000000036</v>
      </c>
      <c r="J610" s="616">
        <v>180000</v>
      </c>
      <c r="K610" s="696"/>
      <c r="L610" s="22">
        <f>J610*I610*F610</f>
        <v>2422800.0000000065</v>
      </c>
      <c r="M610" s="22"/>
      <c r="N610" s="82"/>
      <c r="O610" s="12"/>
    </row>
    <row r="611" spans="1:15" ht="15.5" x14ac:dyDescent="0.35">
      <c r="A611" s="616"/>
      <c r="B611" s="100" t="s">
        <v>1645</v>
      </c>
      <c r="C611" s="52">
        <v>33</v>
      </c>
      <c r="D611" s="2151"/>
      <c r="E611" s="52"/>
      <c r="F611" s="812">
        <v>1</v>
      </c>
      <c r="G611" s="21">
        <v>349.1</v>
      </c>
      <c r="H611" s="21">
        <v>349.1</v>
      </c>
      <c r="I611" s="20">
        <f>H611-G611</f>
        <v>0</v>
      </c>
      <c r="J611" s="616">
        <v>180000</v>
      </c>
      <c r="K611" s="696"/>
      <c r="L611" s="22">
        <f>J611*I611*F611</f>
        <v>0</v>
      </c>
      <c r="M611" s="22"/>
      <c r="N611" s="82"/>
      <c r="O611" s="12"/>
    </row>
    <row r="612" spans="1:15" ht="15.5" x14ac:dyDescent="0.35">
      <c r="A612" s="616"/>
      <c r="B612" s="102"/>
      <c r="C612" s="91"/>
      <c r="D612" s="726"/>
      <c r="E612" s="91"/>
      <c r="F612" s="814"/>
      <c r="G612" s="48"/>
      <c r="H612" s="48"/>
      <c r="I612" s="36"/>
      <c r="J612" s="96" t="s">
        <v>30</v>
      </c>
      <c r="K612" s="706"/>
      <c r="L612" s="43">
        <f>SUM(L609:L611)</f>
        <v>4935960.0000000065</v>
      </c>
      <c r="M612" s="43" t="e">
        <f>M603+M607</f>
        <v>#REF!</v>
      </c>
      <c r="N612" s="85"/>
      <c r="O612" s="12"/>
    </row>
    <row r="613" spans="1:15" ht="15.5" x14ac:dyDescent="0.35">
      <c r="A613" s="616"/>
      <c r="B613" s="647" t="s">
        <v>1485</v>
      </c>
      <c r="C613" s="648"/>
      <c r="D613" s="700"/>
      <c r="E613" s="648"/>
      <c r="F613" s="807"/>
      <c r="G613" s="648"/>
      <c r="H613" s="648"/>
      <c r="I613" s="648"/>
      <c r="J613" s="648"/>
      <c r="K613" s="700"/>
      <c r="L613" s="648"/>
      <c r="M613" s="651"/>
      <c r="N613" s="649"/>
      <c r="O613" s="8"/>
    </row>
    <row r="614" spans="1:15" ht="15.5" x14ac:dyDescent="0.35">
      <c r="A614" s="616"/>
      <c r="B614" s="100" t="s">
        <v>1079</v>
      </c>
      <c r="C614" s="52">
        <v>132</v>
      </c>
      <c r="D614" s="2138" t="s">
        <v>1083</v>
      </c>
      <c r="E614" s="615"/>
      <c r="F614" s="812"/>
      <c r="G614" s="5"/>
      <c r="H614" s="5"/>
      <c r="I614" s="5"/>
      <c r="J614" s="616"/>
      <c r="K614" s="696"/>
      <c r="L614" s="16">
        <f>J614*I614*F614</f>
        <v>0</v>
      </c>
      <c r="M614" s="7"/>
      <c r="N614" s="78"/>
      <c r="O614" s="616"/>
    </row>
    <row r="615" spans="1:15" ht="15.5" x14ac:dyDescent="0.35">
      <c r="A615" s="616"/>
      <c r="B615" s="100" t="s">
        <v>1078</v>
      </c>
      <c r="C615" s="52">
        <v>132</v>
      </c>
      <c r="D615" s="2139"/>
      <c r="E615" s="615"/>
      <c r="F615" s="812"/>
      <c r="G615" s="5"/>
      <c r="H615" s="5"/>
      <c r="I615" s="5"/>
      <c r="J615" s="616"/>
      <c r="K615" s="696"/>
      <c r="L615" s="16">
        <f>J615*I615*F615</f>
        <v>0</v>
      </c>
      <c r="M615" s="16"/>
      <c r="N615" s="79"/>
      <c r="O615" s="616"/>
    </row>
    <row r="616" spans="1:15" ht="15.5" x14ac:dyDescent="0.35">
      <c r="A616" s="616"/>
      <c r="B616" s="95"/>
      <c r="C616" s="89"/>
      <c r="D616" s="1846"/>
      <c r="E616" s="89"/>
      <c r="F616" s="806"/>
      <c r="G616" s="37"/>
      <c r="H616" s="37"/>
      <c r="I616" s="37"/>
      <c r="J616" s="95" t="s">
        <v>279</v>
      </c>
      <c r="K616" s="699"/>
      <c r="L616" s="55">
        <f>SUM(L614:L615)</f>
        <v>0</v>
      </c>
      <c r="M616" s="633"/>
      <c r="N616" s="634"/>
      <c r="O616" s="616"/>
    </row>
    <row r="617" spans="1:15" ht="15.5" x14ac:dyDescent="0.35">
      <c r="A617" s="616"/>
      <c r="B617" s="102"/>
      <c r="C617" s="91"/>
      <c r="D617" s="726"/>
      <c r="E617" s="91"/>
      <c r="F617" s="814"/>
      <c r="G617" s="48"/>
      <c r="H617" s="48"/>
      <c r="I617" s="36"/>
      <c r="J617" s="96"/>
      <c r="K617" s="706"/>
      <c r="L617" s="43"/>
      <c r="M617" s="43"/>
      <c r="N617" s="85"/>
      <c r="O617" s="12"/>
    </row>
    <row r="618" spans="1:15" ht="15.5" x14ac:dyDescent="0.35">
      <c r="A618" s="636"/>
      <c r="B618" s="647" t="s">
        <v>1486</v>
      </c>
      <c r="C618" s="648"/>
      <c r="D618" s="700"/>
      <c r="E618" s="648"/>
      <c r="F618" s="807"/>
      <c r="G618" s="648"/>
      <c r="H618" s="648"/>
      <c r="I618" s="648"/>
      <c r="J618" s="50"/>
      <c r="K618" s="710"/>
      <c r="L618" s="51"/>
      <c r="M618" s="51"/>
      <c r="N618" s="649"/>
      <c r="O618" s="12"/>
    </row>
    <row r="619" spans="1:15" ht="15.5" x14ac:dyDescent="0.35">
      <c r="A619" s="616">
        <v>6</v>
      </c>
      <c r="B619" s="100" t="s">
        <v>4111</v>
      </c>
      <c r="C619" s="52" t="s">
        <v>3833</v>
      </c>
      <c r="D619" s="2140"/>
      <c r="E619" s="52"/>
      <c r="F619" s="812">
        <v>1</v>
      </c>
      <c r="G619" s="21"/>
      <c r="H619" s="21"/>
      <c r="I619" s="21">
        <f>H619-G619</f>
        <v>0</v>
      </c>
      <c r="J619" s="31"/>
      <c r="K619" s="707"/>
      <c r="L619" s="22" t="e">
        <f>F619*#REF!*J619</f>
        <v>#REF!</v>
      </c>
      <c r="M619" s="22"/>
      <c r="N619" s="83"/>
      <c r="O619" s="12"/>
    </row>
    <row r="620" spans="1:15" ht="15.5" x14ac:dyDescent="0.35">
      <c r="A620" s="616">
        <v>7</v>
      </c>
      <c r="B620" s="100" t="s">
        <v>4112</v>
      </c>
      <c r="C620" s="52" t="s">
        <v>3833</v>
      </c>
      <c r="D620" s="2141"/>
      <c r="E620" s="52"/>
      <c r="F620" s="812">
        <v>1</v>
      </c>
      <c r="G620" s="21"/>
      <c r="H620" s="21"/>
      <c r="I620" s="21">
        <f>H620-G620</f>
        <v>0</v>
      </c>
      <c r="J620" s="31"/>
      <c r="K620" s="707"/>
      <c r="L620" s="22" t="e">
        <f>F620*#REF!*J620</f>
        <v>#REF!</v>
      </c>
      <c r="M620" s="22"/>
      <c r="N620" s="83"/>
      <c r="O620" s="12"/>
    </row>
    <row r="621" spans="1:15" ht="15.5" x14ac:dyDescent="0.35">
      <c r="A621" s="616">
        <v>8</v>
      </c>
      <c r="B621" s="100" t="s">
        <v>4113</v>
      </c>
      <c r="C621" s="52" t="s">
        <v>3833</v>
      </c>
      <c r="D621" s="2141"/>
      <c r="E621" s="52"/>
      <c r="F621" s="812">
        <v>1</v>
      </c>
      <c r="G621" s="21"/>
      <c r="H621" s="21"/>
      <c r="I621" s="21">
        <f>H621-G621</f>
        <v>0</v>
      </c>
      <c r="J621" s="31"/>
      <c r="K621" s="707"/>
      <c r="L621" s="22" t="e">
        <f>F621*#REF!*J621</f>
        <v>#REF!</v>
      </c>
      <c r="M621" s="22"/>
      <c r="N621" s="83"/>
      <c r="O621" s="12"/>
    </row>
    <row r="622" spans="1:15" ht="15.5" x14ac:dyDescent="0.35">
      <c r="A622" s="616">
        <v>14</v>
      </c>
      <c r="B622" s="100" t="s">
        <v>4114</v>
      </c>
      <c r="C622" s="52" t="s">
        <v>3833</v>
      </c>
      <c r="D622" s="2157"/>
      <c r="E622" s="52"/>
      <c r="F622" s="812">
        <v>1</v>
      </c>
      <c r="G622" s="21"/>
      <c r="H622" s="21"/>
      <c r="I622" s="21">
        <f>H622-G622</f>
        <v>0</v>
      </c>
      <c r="J622" s="31"/>
      <c r="K622" s="707"/>
      <c r="L622" s="22" t="e">
        <f>F622*#REF!*J622</f>
        <v>#REF!</v>
      </c>
      <c r="M622" s="22"/>
      <c r="N622" s="83"/>
      <c r="O622" s="12"/>
    </row>
    <row r="623" spans="1:15" ht="15" x14ac:dyDescent="0.35">
      <c r="A623" s="636"/>
      <c r="B623" s="96"/>
      <c r="C623" s="90"/>
      <c r="D623" s="96"/>
      <c r="E623" s="90"/>
      <c r="F623" s="813"/>
      <c r="G623" s="38"/>
      <c r="H623" s="38"/>
      <c r="I623" s="38"/>
      <c r="J623" s="96" t="s">
        <v>30</v>
      </c>
      <c r="K623" s="708"/>
      <c r="L623" s="43" t="e">
        <f>SUM(L619:L622)</f>
        <v>#REF!</v>
      </c>
      <c r="M623" s="43">
        <f>SUM(M619:M622)</f>
        <v>0</v>
      </c>
      <c r="N623" s="650" t="e">
        <f>(M623-L623)/L623*100</f>
        <v>#REF!</v>
      </c>
      <c r="O623" s="12"/>
    </row>
    <row r="624" spans="1:15" ht="15.5" thickBot="1" x14ac:dyDescent="0.4">
      <c r="A624" s="702"/>
      <c r="B624" s="736"/>
      <c r="C624" s="92"/>
      <c r="D624" s="736"/>
      <c r="E624" s="92"/>
      <c r="F624" s="815"/>
      <c r="G624" s="737"/>
      <c r="H624" s="737"/>
      <c r="I624" s="737"/>
      <c r="J624" s="736"/>
      <c r="K624" s="738"/>
      <c r="L624" s="739"/>
      <c r="M624" s="739"/>
      <c r="N624" s="646"/>
      <c r="O624" s="740"/>
    </row>
    <row r="625" spans="1:15" ht="15" x14ac:dyDescent="0.35">
      <c r="A625" s="702"/>
      <c r="B625" s="2142" t="s">
        <v>1339</v>
      </c>
      <c r="C625" s="2143"/>
      <c r="D625" s="683" t="s">
        <v>14</v>
      </c>
      <c r="F625" s="2144" t="s">
        <v>1350</v>
      </c>
      <c r="G625" s="2145"/>
      <c r="H625" s="2146"/>
      <c r="I625" s="683" t="s">
        <v>14</v>
      </c>
      <c r="J625" s="620"/>
      <c r="K625" s="2147" t="s">
        <v>1092</v>
      </c>
      <c r="L625" s="2148"/>
      <c r="M625" s="684" t="s">
        <v>14</v>
      </c>
      <c r="N625" s="646"/>
      <c r="O625" s="740"/>
    </row>
    <row r="626" spans="1:15" ht="15" x14ac:dyDescent="0.35">
      <c r="A626" s="702"/>
      <c r="B626" s="2122" t="str">
        <f>B601</f>
        <v>LALBAG Grid 33 KV SIDE</v>
      </c>
      <c r="C626" s="2123"/>
      <c r="D626" s="689">
        <f>M603</f>
        <v>11082982.369739415</v>
      </c>
      <c r="F626" s="2124" t="s">
        <v>1093</v>
      </c>
      <c r="G626" s="2125"/>
      <c r="H626" s="2126"/>
      <c r="I626" s="685">
        <f>L616</f>
        <v>0</v>
      </c>
      <c r="J626" s="620"/>
      <c r="K626" s="2160" t="str">
        <f>F627</f>
        <v>LALBAGH OLD  33 KV NET IMPORT</v>
      </c>
      <c r="L626" s="2161"/>
      <c r="M626" s="687" t="e">
        <f>I627</f>
        <v>#REF!</v>
      </c>
      <c r="N626" s="646"/>
      <c r="O626" s="740"/>
    </row>
    <row r="627" spans="1:15" ht="15" x14ac:dyDescent="0.35">
      <c r="A627" s="702"/>
      <c r="B627" s="2122" t="str">
        <f>B604</f>
        <v>KAMRANGIRCHAR 33 KV SIDE</v>
      </c>
      <c r="C627" s="2123"/>
      <c r="D627" s="741" t="e">
        <f>M607</f>
        <v>#REF!</v>
      </c>
      <c r="F627" s="2124" t="s">
        <v>1487</v>
      </c>
      <c r="G627" s="2125"/>
      <c r="H627" s="2126"/>
      <c r="I627" s="685" t="e">
        <f>D630-I626</f>
        <v>#REF!</v>
      </c>
      <c r="J627" s="620"/>
      <c r="K627" s="2162" t="s">
        <v>1488</v>
      </c>
      <c r="L627" s="2163"/>
      <c r="M627" s="685">
        <f>M662</f>
        <v>0</v>
      </c>
      <c r="N627" s="646"/>
      <c r="O627" s="740"/>
    </row>
    <row r="628" spans="1:15" ht="15" x14ac:dyDescent="0.35">
      <c r="A628" s="702"/>
      <c r="B628" s="2122" t="s">
        <v>1117</v>
      </c>
      <c r="C628" s="2123"/>
      <c r="D628" s="721"/>
      <c r="F628" s="2124" t="s">
        <v>1089</v>
      </c>
      <c r="G628" s="2125"/>
      <c r="H628" s="2126"/>
      <c r="I628" s="685" t="e">
        <f>I626+I627</f>
        <v>#REF!</v>
      </c>
      <c r="J628" s="620"/>
      <c r="K628" s="2127" t="s">
        <v>284</v>
      </c>
      <c r="L628" s="2128"/>
      <c r="M628" s="685" t="e">
        <f>M626-M627</f>
        <v>#REF!</v>
      </c>
      <c r="N628" s="646"/>
      <c r="O628" s="740"/>
    </row>
    <row r="629" spans="1:15" ht="16" thickBot="1" x14ac:dyDescent="0.4">
      <c r="A629" s="702"/>
      <c r="B629" s="2122" t="s">
        <v>1118</v>
      </c>
      <c r="C629" s="2123"/>
      <c r="D629" s="722"/>
      <c r="F629" s="2113" t="s">
        <v>1102</v>
      </c>
      <c r="G629" s="2114"/>
      <c r="H629" s="2115"/>
      <c r="I629" s="690" t="e">
        <f>(D630-I628)/I628</f>
        <v>#REF!</v>
      </c>
      <c r="J629" s="620"/>
      <c r="K629" s="2134" t="s">
        <v>285</v>
      </c>
      <c r="L629" s="2135"/>
      <c r="M629" s="688" t="e">
        <f>M628/M626</f>
        <v>#REF!</v>
      </c>
      <c r="N629" s="646"/>
      <c r="O629" s="740"/>
    </row>
    <row r="630" spans="1:15" ht="15.5" thickBot="1" x14ac:dyDescent="0.4">
      <c r="A630" s="702"/>
      <c r="B630" s="2158" t="s">
        <v>1082</v>
      </c>
      <c r="C630" s="2159"/>
      <c r="D630" s="686" t="e">
        <f>SUM(D626:D628)</f>
        <v>#REF!</v>
      </c>
      <c r="F630" s="810"/>
      <c r="G630" s="620"/>
      <c r="H630" s="620"/>
      <c r="I630" s="620"/>
      <c r="J630" s="620"/>
      <c r="K630" s="702"/>
      <c r="L630" s="620"/>
      <c r="M630" s="620"/>
      <c r="N630" s="646"/>
      <c r="O630" s="740"/>
    </row>
    <row r="631" spans="1:15" ht="15" x14ac:dyDescent="0.35">
      <c r="A631" s="702"/>
      <c r="B631" s="736"/>
      <c r="C631" s="92"/>
      <c r="D631" s="736"/>
      <c r="E631" s="92"/>
      <c r="F631" s="815"/>
      <c r="G631" s="737"/>
      <c r="H631" s="737"/>
      <c r="I631" s="737"/>
      <c r="J631" s="736"/>
      <c r="K631" s="738"/>
      <c r="L631" s="739"/>
      <c r="M631" s="739"/>
      <c r="N631" s="646"/>
      <c r="O631" s="740"/>
    </row>
    <row r="632" spans="1:15" x14ac:dyDescent="0.35">
      <c r="A632" s="620"/>
      <c r="B632" s="632"/>
      <c r="C632" s="620"/>
      <c r="D632" s="2014"/>
      <c r="E632" s="620"/>
      <c r="F632" s="810"/>
      <c r="G632" s="620"/>
      <c r="H632" s="620"/>
      <c r="I632" s="620"/>
      <c r="J632" s="620"/>
      <c r="K632" s="702"/>
      <c r="L632" s="620"/>
      <c r="M632" s="620"/>
      <c r="N632" s="620"/>
      <c r="O632" s="620"/>
    </row>
    <row r="633" spans="1:15" x14ac:dyDescent="0.35">
      <c r="A633" s="620"/>
      <c r="B633" s="632"/>
      <c r="C633" s="620"/>
      <c r="D633" s="2014"/>
      <c r="E633" s="620"/>
      <c r="F633" s="810"/>
      <c r="G633" s="620"/>
      <c r="H633" s="620"/>
      <c r="I633" s="620"/>
      <c r="J633" s="620"/>
      <c r="K633" s="702"/>
      <c r="L633" s="620"/>
      <c r="M633" s="620"/>
      <c r="N633" s="620"/>
      <c r="O633" s="620"/>
    </row>
    <row r="634" spans="1:15" ht="25" x14ac:dyDescent="0.35">
      <c r="A634" s="2095" t="s">
        <v>1171</v>
      </c>
      <c r="B634" s="2095"/>
      <c r="C634" s="2095"/>
      <c r="D634" s="2095"/>
      <c r="E634" s="2095"/>
      <c r="F634" s="2095"/>
      <c r="G634" s="2095"/>
      <c r="H634" s="2095"/>
      <c r="I634" s="2095"/>
      <c r="J634" s="2095"/>
      <c r="K634" s="2095"/>
      <c r="L634" s="2095"/>
      <c r="M634" s="2095"/>
      <c r="N634" s="2095"/>
      <c r="O634" s="756" t="e">
        <f>$O$6</f>
        <v>#REF!</v>
      </c>
    </row>
    <row r="635" spans="1:15" ht="15.5" x14ac:dyDescent="0.35">
      <c r="A635" s="2096" t="s">
        <v>0</v>
      </c>
      <c r="B635" s="2098" t="s">
        <v>1</v>
      </c>
      <c r="C635" s="2100" t="s">
        <v>2</v>
      </c>
      <c r="D635" s="2101"/>
      <c r="E635" s="2102"/>
      <c r="F635" s="2216" t="s">
        <v>3</v>
      </c>
      <c r="G635" s="2100" t="s">
        <v>4</v>
      </c>
      <c r="H635" s="2102"/>
      <c r="I635" s="2085"/>
      <c r="J635" s="2103" t="s">
        <v>5</v>
      </c>
      <c r="K635" s="2100" t="s">
        <v>6</v>
      </c>
      <c r="L635" s="2085"/>
      <c r="M635" s="97" t="s">
        <v>32</v>
      </c>
      <c r="N635" s="98"/>
      <c r="O635" s="2084" t="s">
        <v>7</v>
      </c>
    </row>
    <row r="636" spans="1:15" ht="15.5" x14ac:dyDescent="0.35">
      <c r="A636" s="2097"/>
      <c r="B636" s="2099"/>
      <c r="C636" s="2086" t="s">
        <v>1108</v>
      </c>
      <c r="D636" s="2087"/>
      <c r="E636" s="87" t="s">
        <v>9</v>
      </c>
      <c r="F636" s="2217"/>
      <c r="G636" s="2">
        <f>'NORTH-1'!$G$8</f>
        <v>44774</v>
      </c>
      <c r="H636" s="2">
        <f>'NORTH-1'!$H$8</f>
        <v>44805</v>
      </c>
      <c r="I636" s="1" t="s">
        <v>10</v>
      </c>
      <c r="J636" s="2097"/>
      <c r="K636" s="1" t="s">
        <v>11</v>
      </c>
      <c r="L636" s="1" t="s">
        <v>12</v>
      </c>
      <c r="M636" s="617" t="s">
        <v>33</v>
      </c>
      <c r="N636" s="76" t="s">
        <v>47</v>
      </c>
      <c r="O636" s="2085"/>
    </row>
    <row r="637" spans="1:15" ht="15.5" x14ac:dyDescent="0.35">
      <c r="A637" s="3">
        <v>1</v>
      </c>
      <c r="B637" s="88">
        <v>2</v>
      </c>
      <c r="C637" s="2088">
        <v>4</v>
      </c>
      <c r="D637" s="2089"/>
      <c r="E637" s="88">
        <v>5</v>
      </c>
      <c r="F637" s="803">
        <v>7</v>
      </c>
      <c r="G637" s="3">
        <v>8</v>
      </c>
      <c r="H637" s="3">
        <v>9</v>
      </c>
      <c r="I637" s="3" t="s">
        <v>13</v>
      </c>
      <c r="J637" s="3">
        <v>11</v>
      </c>
      <c r="K637" s="3" t="s">
        <v>19</v>
      </c>
      <c r="L637" s="3" t="s">
        <v>20</v>
      </c>
      <c r="M637" s="3">
        <v>14</v>
      </c>
      <c r="N637" s="77">
        <v>15</v>
      </c>
      <c r="O637" s="3">
        <v>16</v>
      </c>
    </row>
    <row r="638" spans="1:15" ht="15.5" x14ac:dyDescent="0.35">
      <c r="A638" s="631"/>
      <c r="B638" s="624" t="s">
        <v>1489</v>
      </c>
      <c r="C638" s="625"/>
      <c r="D638" s="695"/>
      <c r="E638" s="625"/>
      <c r="F638" s="804"/>
      <c r="G638" s="625"/>
      <c r="H638" s="625"/>
      <c r="I638" s="625"/>
      <c r="J638" s="625"/>
      <c r="K638" s="695"/>
      <c r="L638" s="625"/>
      <c r="M638" s="626"/>
      <c r="N638" s="627"/>
      <c r="O638" s="616"/>
    </row>
    <row r="639" spans="1:15" ht="15.5" x14ac:dyDescent="0.35">
      <c r="A639" s="631">
        <v>18</v>
      </c>
      <c r="B639" s="100" t="s">
        <v>4109</v>
      </c>
      <c r="C639" s="52" t="s">
        <v>3872</v>
      </c>
      <c r="D639" s="818"/>
      <c r="E639" s="52">
        <v>8838010</v>
      </c>
      <c r="F639" s="812">
        <v>1</v>
      </c>
      <c r="G639" s="21">
        <v>56109.8</v>
      </c>
      <c r="H639" s="21">
        <v>59674</v>
      </c>
      <c r="I639" s="21">
        <f>H639-G639</f>
        <v>3564.1999999999971</v>
      </c>
      <c r="J639" s="616">
        <v>1000</v>
      </c>
      <c r="K639" s="696">
        <f>F639*I639*J639</f>
        <v>3564199.9999999972</v>
      </c>
      <c r="L639" s="22"/>
      <c r="M639" s="22"/>
      <c r="N639" s="82"/>
      <c r="O639" s="616"/>
    </row>
    <row r="640" spans="1:15" ht="15.5" x14ac:dyDescent="0.35">
      <c r="A640" s="631">
        <v>27</v>
      </c>
      <c r="B640" s="100" t="s">
        <v>3989</v>
      </c>
      <c r="C640" s="52" t="s">
        <v>3872</v>
      </c>
      <c r="D640" s="1918"/>
      <c r="E640" s="52" t="s">
        <v>4110</v>
      </c>
      <c r="F640" s="812">
        <v>1</v>
      </c>
      <c r="G640" s="21">
        <v>34475.370000000003</v>
      </c>
      <c r="H640" s="21">
        <v>34627.67</v>
      </c>
      <c r="I640" s="21">
        <f>H640-G640</f>
        <v>152.29999999999563</v>
      </c>
      <c r="J640" s="616">
        <v>16000</v>
      </c>
      <c r="K640" s="696">
        <f>F640*I640*J640</f>
        <v>2436799.9999999302</v>
      </c>
      <c r="L640" s="22"/>
      <c r="M640" s="22"/>
      <c r="N640" s="82"/>
      <c r="O640" s="616"/>
    </row>
    <row r="641" spans="1:15" ht="15.5" x14ac:dyDescent="0.35">
      <c r="A641" s="631">
        <v>28</v>
      </c>
      <c r="B641" s="100" t="s">
        <v>3987</v>
      </c>
      <c r="C641" s="52" t="s">
        <v>3872</v>
      </c>
      <c r="D641" s="1918"/>
      <c r="E641" s="52"/>
      <c r="F641" s="812">
        <v>1</v>
      </c>
      <c r="G641" s="21">
        <v>590472</v>
      </c>
      <c r="H641" s="21">
        <v>592313</v>
      </c>
      <c r="I641" s="21">
        <f>H641-G641</f>
        <v>1841</v>
      </c>
      <c r="J641" s="616">
        <v>1000</v>
      </c>
      <c r="K641" s="696">
        <f>F641*I641*J641</f>
        <v>1841000</v>
      </c>
      <c r="L641" s="22"/>
      <c r="M641" s="22"/>
      <c r="N641" s="82"/>
      <c r="O641" s="616"/>
    </row>
    <row r="642" spans="1:15" ht="15.5" x14ac:dyDescent="0.35">
      <c r="A642" s="631"/>
      <c r="B642" s="102"/>
      <c r="C642" s="91"/>
      <c r="D642" s="726"/>
      <c r="E642" s="91"/>
      <c r="F642" s="814"/>
      <c r="G642" s="48"/>
      <c r="H642" s="48"/>
      <c r="I642" s="48"/>
      <c r="J642" s="39" t="s">
        <v>30</v>
      </c>
      <c r="K642" s="43">
        <f>SUM(K639:K641)</f>
        <v>7841999.9999999274</v>
      </c>
      <c r="L642" s="49"/>
      <c r="M642" s="43"/>
      <c r="N642" s="85"/>
      <c r="O642" s="616"/>
    </row>
    <row r="643" spans="1:15" ht="15.5" x14ac:dyDescent="0.35">
      <c r="A643" s="631"/>
      <c r="B643" s="647" t="s">
        <v>1489</v>
      </c>
      <c r="C643" s="648"/>
      <c r="D643" s="700"/>
      <c r="E643" s="648"/>
      <c r="F643" s="807"/>
      <c r="G643" s="648"/>
      <c r="H643" s="648"/>
      <c r="I643" s="648"/>
      <c r="J643" s="50"/>
      <c r="K643" s="710"/>
      <c r="L643" s="51"/>
      <c r="M643" s="51"/>
      <c r="N643" s="649"/>
      <c r="O643" s="616"/>
    </row>
    <row r="644" spans="1:15" ht="22.5" customHeight="1" x14ac:dyDescent="0.35">
      <c r="A644" s="631">
        <v>15</v>
      </c>
      <c r="B644" s="100" t="s">
        <v>1446</v>
      </c>
      <c r="C644" s="73" t="s">
        <v>3872</v>
      </c>
      <c r="D644" s="1768"/>
      <c r="E644" s="52"/>
      <c r="F644" s="812">
        <v>1</v>
      </c>
      <c r="G644" s="6"/>
      <c r="H644" s="6"/>
      <c r="I644" s="20">
        <f t="shared" ref="I644:I661" si="24">H644-G644</f>
        <v>0</v>
      </c>
      <c r="J644" s="616"/>
      <c r="K644" s="703"/>
      <c r="L644" s="22">
        <f t="shared" ref="L644:L660" si="25">F644*I644*J644</f>
        <v>0</v>
      </c>
      <c r="M644" s="22"/>
      <c r="N644" s="72" t="s">
        <v>90</v>
      </c>
      <c r="O644" s="15"/>
    </row>
    <row r="645" spans="1:15" ht="22.5" customHeight="1" x14ac:dyDescent="0.35">
      <c r="A645" s="631">
        <v>16</v>
      </c>
      <c r="B645" s="100" t="s">
        <v>4115</v>
      </c>
      <c r="C645" s="73" t="s">
        <v>3872</v>
      </c>
      <c r="D645" s="1769"/>
      <c r="E645" s="52">
        <v>8838019</v>
      </c>
      <c r="F645" s="812">
        <v>1</v>
      </c>
      <c r="G645" s="6">
        <v>56705.9</v>
      </c>
      <c r="H645" s="6">
        <v>59457</v>
      </c>
      <c r="I645" s="20">
        <f t="shared" si="24"/>
        <v>2751.0999999999985</v>
      </c>
      <c r="J645" s="616">
        <v>1000</v>
      </c>
      <c r="K645" s="703"/>
      <c r="L645" s="22">
        <f t="shared" si="25"/>
        <v>2751099.9999999986</v>
      </c>
      <c r="M645" s="22"/>
      <c r="N645" s="72" t="s">
        <v>90</v>
      </c>
      <c r="O645" s="15"/>
    </row>
    <row r="646" spans="1:15" ht="22.5" customHeight="1" x14ac:dyDescent="0.35">
      <c r="A646" s="631">
        <v>17</v>
      </c>
      <c r="B646" s="100" t="s">
        <v>4116</v>
      </c>
      <c r="C646" s="73" t="s">
        <v>3872</v>
      </c>
      <c r="D646" s="1769"/>
      <c r="E646" s="52">
        <v>8838014</v>
      </c>
      <c r="F646" s="812">
        <v>1</v>
      </c>
      <c r="G646" s="6">
        <v>79576.800000000003</v>
      </c>
      <c r="H646" s="6">
        <v>80187</v>
      </c>
      <c r="I646" s="20">
        <f t="shared" si="24"/>
        <v>610.19999999999709</v>
      </c>
      <c r="J646" s="616">
        <v>1000</v>
      </c>
      <c r="K646" s="703"/>
      <c r="L646" s="22">
        <f t="shared" si="25"/>
        <v>610199.99999999709</v>
      </c>
      <c r="M646" s="22"/>
      <c r="N646" s="72" t="s">
        <v>90</v>
      </c>
      <c r="O646" s="15"/>
    </row>
    <row r="647" spans="1:15" ht="22.5" customHeight="1" x14ac:dyDescent="0.35">
      <c r="A647" s="631">
        <v>19</v>
      </c>
      <c r="B647" s="100" t="s">
        <v>1446</v>
      </c>
      <c r="C647" s="73" t="s">
        <v>3872</v>
      </c>
      <c r="D647" s="1769"/>
      <c r="E647" s="52"/>
      <c r="F647" s="812">
        <v>1</v>
      </c>
      <c r="G647" s="6"/>
      <c r="H647" s="6"/>
      <c r="I647" s="20">
        <f t="shared" si="24"/>
        <v>0</v>
      </c>
      <c r="J647" s="616"/>
      <c r="K647" s="703"/>
      <c r="L647" s="22">
        <f t="shared" si="25"/>
        <v>0</v>
      </c>
      <c r="M647" s="22"/>
      <c r="N647" s="72" t="s">
        <v>90</v>
      </c>
      <c r="O647" s="15"/>
    </row>
    <row r="648" spans="1:15" ht="22.5" customHeight="1" x14ac:dyDescent="0.35">
      <c r="A648" s="631">
        <v>20</v>
      </c>
      <c r="B648" s="100" t="s">
        <v>1446</v>
      </c>
      <c r="C648" s="73" t="s">
        <v>3872</v>
      </c>
      <c r="D648" s="1769"/>
      <c r="E648" s="52"/>
      <c r="F648" s="812">
        <v>1</v>
      </c>
      <c r="G648" s="6"/>
      <c r="H648" s="6"/>
      <c r="I648" s="20">
        <f t="shared" si="24"/>
        <v>0</v>
      </c>
      <c r="J648" s="616"/>
      <c r="K648" s="703"/>
      <c r="L648" s="22">
        <f t="shared" si="25"/>
        <v>0</v>
      </c>
      <c r="M648" s="22"/>
      <c r="N648" s="72" t="s">
        <v>90</v>
      </c>
      <c r="O648" s="15"/>
    </row>
    <row r="649" spans="1:15" ht="22.5" customHeight="1" x14ac:dyDescent="0.35">
      <c r="A649" s="631">
        <v>22</v>
      </c>
      <c r="B649" s="100" t="s">
        <v>4117</v>
      </c>
      <c r="C649" s="73" t="s">
        <v>3872</v>
      </c>
      <c r="D649" s="1769"/>
      <c r="E649" s="52" t="s">
        <v>4118</v>
      </c>
      <c r="F649" s="812">
        <v>1</v>
      </c>
      <c r="G649" s="6">
        <v>18579.25</v>
      </c>
      <c r="H649" s="6">
        <v>18579.25</v>
      </c>
      <c r="I649" s="20">
        <f t="shared" si="24"/>
        <v>0</v>
      </c>
      <c r="J649" s="616">
        <v>8000</v>
      </c>
      <c r="K649" s="703"/>
      <c r="L649" s="22">
        <f t="shared" si="25"/>
        <v>0</v>
      </c>
      <c r="M649" s="22"/>
      <c r="N649" s="72" t="s">
        <v>90</v>
      </c>
      <c r="O649" s="15"/>
    </row>
    <row r="650" spans="1:15" ht="22.5" customHeight="1" x14ac:dyDescent="0.35">
      <c r="A650" s="631">
        <v>23</v>
      </c>
      <c r="B650" s="100" t="s">
        <v>1446</v>
      </c>
      <c r="C650" s="73" t="s">
        <v>3872</v>
      </c>
      <c r="D650" s="1769"/>
      <c r="E650" s="52"/>
      <c r="F650" s="812">
        <v>1</v>
      </c>
      <c r="G650" s="6"/>
      <c r="H650" s="6"/>
      <c r="I650" s="20">
        <f t="shared" si="24"/>
        <v>0</v>
      </c>
      <c r="J650" s="616"/>
      <c r="K650" s="703"/>
      <c r="L650" s="22">
        <f t="shared" si="25"/>
        <v>0</v>
      </c>
      <c r="M650" s="22"/>
      <c r="N650" s="72" t="s">
        <v>90</v>
      </c>
      <c r="O650" s="15"/>
    </row>
    <row r="651" spans="1:15" ht="22.5" customHeight="1" x14ac:dyDescent="0.35">
      <c r="A651" s="631">
        <v>24</v>
      </c>
      <c r="B651" s="100" t="s">
        <v>4119</v>
      </c>
      <c r="C651" s="73" t="s">
        <v>3872</v>
      </c>
      <c r="D651" s="1769"/>
      <c r="E651" s="52"/>
      <c r="F651" s="812">
        <v>1</v>
      </c>
      <c r="G651" s="6">
        <v>53905.5</v>
      </c>
      <c r="H651" s="6">
        <v>58520.800000000003</v>
      </c>
      <c r="I651" s="20">
        <f t="shared" si="24"/>
        <v>4615.3000000000029</v>
      </c>
      <c r="J651" s="616">
        <v>444.44</v>
      </c>
      <c r="K651" s="703"/>
      <c r="L651" s="22">
        <f t="shared" si="25"/>
        <v>2051223.9320000012</v>
      </c>
      <c r="M651" s="22"/>
      <c r="N651" s="72" t="s">
        <v>90</v>
      </c>
      <c r="O651" s="15"/>
    </row>
    <row r="652" spans="1:15" ht="22.5" customHeight="1" x14ac:dyDescent="0.35">
      <c r="A652" s="631">
        <v>25</v>
      </c>
      <c r="B652" s="100" t="s">
        <v>4120</v>
      </c>
      <c r="C652" s="73" t="s">
        <v>3872</v>
      </c>
      <c r="D652" s="1769"/>
      <c r="E652" s="52">
        <v>61389152</v>
      </c>
      <c r="F652" s="812">
        <v>1</v>
      </c>
      <c r="G652" s="6">
        <v>436819</v>
      </c>
      <c r="H652" s="6">
        <v>437191</v>
      </c>
      <c r="I652" s="20">
        <f t="shared" si="24"/>
        <v>372</v>
      </c>
      <c r="J652" s="616">
        <v>1000</v>
      </c>
      <c r="K652" s="703"/>
      <c r="L652" s="22">
        <f t="shared" si="25"/>
        <v>372000</v>
      </c>
      <c r="M652" s="22"/>
      <c r="N652" s="72" t="s">
        <v>90</v>
      </c>
      <c r="O652" s="15"/>
    </row>
    <row r="653" spans="1:15" ht="22.5" customHeight="1" x14ac:dyDescent="0.35">
      <c r="A653" s="631">
        <v>26</v>
      </c>
      <c r="B653" s="100" t="s">
        <v>1446</v>
      </c>
      <c r="C653" s="73" t="s">
        <v>3872</v>
      </c>
      <c r="D653" s="1769"/>
      <c r="E653" s="52"/>
      <c r="F653" s="812">
        <v>1</v>
      </c>
      <c r="G653" s="6"/>
      <c r="H653" s="6"/>
      <c r="I653" s="20">
        <f t="shared" si="24"/>
        <v>0</v>
      </c>
      <c r="J653" s="616"/>
      <c r="K653" s="703"/>
      <c r="L653" s="22">
        <f t="shared" si="25"/>
        <v>0</v>
      </c>
      <c r="M653" s="22"/>
      <c r="N653" s="72" t="s">
        <v>90</v>
      </c>
      <c r="O653" s="15"/>
    </row>
    <row r="654" spans="1:15" ht="22.5" customHeight="1" x14ac:dyDescent="0.35">
      <c r="A654" s="631">
        <v>29</v>
      </c>
      <c r="B654" s="100" t="s">
        <v>1446</v>
      </c>
      <c r="C654" s="73" t="s">
        <v>3872</v>
      </c>
      <c r="D654" s="1769"/>
      <c r="E654" s="52"/>
      <c r="F654" s="812">
        <v>1</v>
      </c>
      <c r="G654" s="6"/>
      <c r="H654" s="6"/>
      <c r="I654" s="20">
        <f t="shared" si="24"/>
        <v>0</v>
      </c>
      <c r="J654" s="616"/>
      <c r="K654" s="703"/>
      <c r="L654" s="22">
        <f t="shared" si="25"/>
        <v>0</v>
      </c>
      <c r="M654" s="22"/>
      <c r="N654" s="72" t="s">
        <v>90</v>
      </c>
      <c r="O654" s="15"/>
    </row>
    <row r="655" spans="1:15" ht="22.5" customHeight="1" x14ac:dyDescent="0.35">
      <c r="A655" s="631">
        <v>30</v>
      </c>
      <c r="B655" s="100" t="s">
        <v>4121</v>
      </c>
      <c r="C655" s="73" t="s">
        <v>3872</v>
      </c>
      <c r="D655" s="1769"/>
      <c r="E655" s="52">
        <v>61389109</v>
      </c>
      <c r="F655" s="812">
        <v>1</v>
      </c>
      <c r="G655" s="6">
        <v>394307</v>
      </c>
      <c r="H655" s="6">
        <v>395179</v>
      </c>
      <c r="I655" s="20">
        <f t="shared" si="24"/>
        <v>872</v>
      </c>
      <c r="J655" s="616">
        <v>1000</v>
      </c>
      <c r="K655" s="703"/>
      <c r="L655" s="22">
        <f t="shared" si="25"/>
        <v>872000</v>
      </c>
      <c r="M655" s="22"/>
      <c r="N655" s="72" t="s">
        <v>90</v>
      </c>
      <c r="O655" s="15"/>
    </row>
    <row r="656" spans="1:15" ht="22.5" customHeight="1" x14ac:dyDescent="0.35">
      <c r="A656" s="631">
        <v>31</v>
      </c>
      <c r="B656" s="100" t="s">
        <v>4122</v>
      </c>
      <c r="C656" s="73" t="s">
        <v>3872</v>
      </c>
      <c r="D656" s="1769"/>
      <c r="E656" s="52">
        <v>61389186</v>
      </c>
      <c r="F656" s="812">
        <v>1</v>
      </c>
      <c r="G656" s="6">
        <v>490246</v>
      </c>
      <c r="H656" s="6">
        <v>491899</v>
      </c>
      <c r="I656" s="20">
        <f t="shared" si="24"/>
        <v>1653</v>
      </c>
      <c r="J656" s="616">
        <v>1000</v>
      </c>
      <c r="K656" s="703"/>
      <c r="L656" s="22">
        <f t="shared" si="25"/>
        <v>1653000</v>
      </c>
      <c r="M656" s="22"/>
      <c r="N656" s="72" t="s">
        <v>90</v>
      </c>
      <c r="O656" s="15"/>
    </row>
    <row r="657" spans="1:15" ht="22.5" customHeight="1" x14ac:dyDescent="0.35">
      <c r="A657" s="631">
        <v>32</v>
      </c>
      <c r="B657" s="100" t="s">
        <v>1446</v>
      </c>
      <c r="C657" s="73" t="s">
        <v>3872</v>
      </c>
      <c r="D657" s="1769"/>
      <c r="E657" s="52"/>
      <c r="F657" s="812">
        <v>1</v>
      </c>
      <c r="G657" s="6"/>
      <c r="H657" s="6"/>
      <c r="I657" s="20">
        <f t="shared" si="24"/>
        <v>0</v>
      </c>
      <c r="J657" s="616"/>
      <c r="K657" s="703"/>
      <c r="L657" s="22">
        <f t="shared" si="25"/>
        <v>0</v>
      </c>
      <c r="M657" s="22"/>
      <c r="N657" s="72" t="s">
        <v>90</v>
      </c>
      <c r="O657" s="15"/>
    </row>
    <row r="658" spans="1:15" ht="22.5" customHeight="1" x14ac:dyDescent="0.35">
      <c r="A658" s="631">
        <v>33</v>
      </c>
      <c r="B658" s="100" t="s">
        <v>4123</v>
      </c>
      <c r="C658" s="73" t="s">
        <v>3872</v>
      </c>
      <c r="D658" s="1769"/>
      <c r="E658" s="52">
        <v>61389202</v>
      </c>
      <c r="F658" s="812">
        <v>1</v>
      </c>
      <c r="G658" s="6">
        <v>15171</v>
      </c>
      <c r="H658" s="6">
        <v>15220</v>
      </c>
      <c r="I658" s="20">
        <f t="shared" si="24"/>
        <v>49</v>
      </c>
      <c r="J658" s="616">
        <v>1000</v>
      </c>
      <c r="K658" s="703"/>
      <c r="L658" s="22">
        <f t="shared" si="25"/>
        <v>49000</v>
      </c>
      <c r="M658" s="22"/>
      <c r="N658" s="72" t="s">
        <v>90</v>
      </c>
      <c r="O658" s="15"/>
    </row>
    <row r="659" spans="1:15" ht="22.5" customHeight="1" x14ac:dyDescent="0.35">
      <c r="A659" s="631">
        <v>34</v>
      </c>
      <c r="B659" s="100" t="s">
        <v>4124</v>
      </c>
      <c r="C659" s="73" t="s">
        <v>3872</v>
      </c>
      <c r="D659" s="1769"/>
      <c r="E659" s="52" t="s">
        <v>4125</v>
      </c>
      <c r="F659" s="812">
        <v>1</v>
      </c>
      <c r="G659" s="6">
        <v>34604.019999999997</v>
      </c>
      <c r="H659" s="6">
        <v>34741.9</v>
      </c>
      <c r="I659" s="20">
        <f t="shared" si="24"/>
        <v>137.88000000000466</v>
      </c>
      <c r="J659" s="616">
        <v>8000</v>
      </c>
      <c r="K659" s="703"/>
      <c r="L659" s="22">
        <f t="shared" si="25"/>
        <v>1103040.0000000373</v>
      </c>
      <c r="M659" s="22"/>
      <c r="N659" s="72" t="s">
        <v>48</v>
      </c>
      <c r="O659" s="15"/>
    </row>
    <row r="660" spans="1:15" ht="22.5" customHeight="1" x14ac:dyDescent="0.35">
      <c r="A660" s="631">
        <v>35</v>
      </c>
      <c r="B660" s="100" t="s">
        <v>1446</v>
      </c>
      <c r="C660" s="73" t="s">
        <v>3872</v>
      </c>
      <c r="D660" s="1769"/>
      <c r="E660" s="52"/>
      <c r="F660" s="812">
        <v>1</v>
      </c>
      <c r="G660" s="6"/>
      <c r="H660" s="6"/>
      <c r="I660" s="20">
        <f t="shared" si="24"/>
        <v>0</v>
      </c>
      <c r="J660" s="616"/>
      <c r="K660" s="703"/>
      <c r="L660" s="22">
        <f t="shared" si="25"/>
        <v>0</v>
      </c>
      <c r="M660" s="22"/>
      <c r="N660" s="72" t="s">
        <v>90</v>
      </c>
      <c r="O660" s="15"/>
    </row>
    <row r="661" spans="1:15" ht="22.5" customHeight="1" x14ac:dyDescent="0.35">
      <c r="A661" s="631">
        <v>36</v>
      </c>
      <c r="B661" s="100" t="s">
        <v>4126</v>
      </c>
      <c r="C661" s="73" t="s">
        <v>3867</v>
      </c>
      <c r="D661" s="1769"/>
      <c r="E661" s="52">
        <v>5395822</v>
      </c>
      <c r="F661" s="812">
        <v>1</v>
      </c>
      <c r="G661" s="6">
        <v>4320805</v>
      </c>
      <c r="H661" s="6">
        <v>4333296</v>
      </c>
      <c r="I661" s="20">
        <f t="shared" si="24"/>
        <v>12491</v>
      </c>
      <c r="J661" s="616">
        <v>1</v>
      </c>
      <c r="K661" s="703"/>
      <c r="L661" s="22">
        <v>12491</v>
      </c>
      <c r="M661" s="22"/>
      <c r="N661" s="72" t="s">
        <v>90</v>
      </c>
      <c r="O661" s="15"/>
    </row>
    <row r="662" spans="1:15" ht="20" x14ac:dyDescent="0.35">
      <c r="A662" s="636"/>
      <c r="B662" s="96"/>
      <c r="C662" s="90"/>
      <c r="D662" s="96"/>
      <c r="E662" s="90"/>
      <c r="F662" s="813"/>
      <c r="G662" s="38"/>
      <c r="H662" s="38"/>
      <c r="I662" s="38"/>
      <c r="J662" s="53" t="s">
        <v>44</v>
      </c>
      <c r="K662" s="43">
        <f>K642</f>
        <v>7841999.9999999274</v>
      </c>
      <c r="L662" s="43">
        <f>SUM(L644:L661)</f>
        <v>9474054.9320000336</v>
      </c>
      <c r="M662" s="43">
        <f>SUM(M644:M661)</f>
        <v>0</v>
      </c>
      <c r="N662" s="84">
        <f>(M662-L662)/L662*100</f>
        <v>-100</v>
      </c>
      <c r="O662" s="29"/>
    </row>
    <row r="663" spans="1:15" x14ac:dyDescent="0.35">
      <c r="K663" s="1430"/>
    </row>
    <row r="664" spans="1:15" ht="15" x14ac:dyDescent="0.35">
      <c r="A664" s="620"/>
      <c r="B664" s="635"/>
      <c r="C664" s="632"/>
      <c r="D664" s="1900"/>
      <c r="F664" s="2092" t="s">
        <v>1099</v>
      </c>
      <c r="G664" s="2092"/>
      <c r="H664" s="2092"/>
      <c r="I664" s="677" t="s">
        <v>14</v>
      </c>
      <c r="J664" s="620"/>
      <c r="K664" s="702"/>
      <c r="L664" s="620"/>
      <c r="M664" s="620"/>
      <c r="N664" s="632"/>
      <c r="O664" s="620"/>
    </row>
    <row r="665" spans="1:15" ht="15.5" x14ac:dyDescent="0.35">
      <c r="A665" s="620"/>
      <c r="B665" s="635"/>
      <c r="C665" s="632"/>
      <c r="D665" s="1900"/>
      <c r="F665" s="2153" t="s">
        <v>232</v>
      </c>
      <c r="G665" s="2154"/>
      <c r="H665" s="2155"/>
      <c r="I665" s="643">
        <f>SUM(M644:M645,M656)</f>
        <v>0</v>
      </c>
      <c r="J665" s="620"/>
      <c r="K665" s="702"/>
      <c r="L665" s="620"/>
      <c r="M665" s="620"/>
      <c r="N665" s="632"/>
      <c r="O665" s="620" t="s">
        <v>237</v>
      </c>
    </row>
    <row r="666" spans="1:15" ht="15.5" x14ac:dyDescent="0.35">
      <c r="A666" s="620"/>
      <c r="B666" s="635"/>
      <c r="C666" s="632"/>
      <c r="D666" s="1900"/>
      <c r="F666" s="2153" t="s">
        <v>268</v>
      </c>
      <c r="G666" s="2154"/>
      <c r="H666" s="2155"/>
      <c r="I666" s="643" t="e">
        <f>SUM(M646:M647,M657,M659,M660,#REF!)</f>
        <v>#REF!</v>
      </c>
      <c r="J666" s="620"/>
      <c r="K666" s="702"/>
      <c r="L666" s="620"/>
      <c r="M666" s="620"/>
      <c r="N666" s="632"/>
      <c r="O666" s="620"/>
    </row>
    <row r="667" spans="1:15" ht="16" thickBot="1" x14ac:dyDescent="0.4">
      <c r="A667" s="620"/>
      <c r="B667" s="635"/>
      <c r="C667" s="632"/>
      <c r="D667" s="1900"/>
      <c r="F667" s="2153" t="s">
        <v>269</v>
      </c>
      <c r="G667" s="2154"/>
      <c r="H667" s="2155"/>
      <c r="I667" s="643" t="e">
        <f>SUM(M658,#REF!)</f>
        <v>#REF!</v>
      </c>
      <c r="J667" s="620"/>
      <c r="K667" s="702"/>
      <c r="L667" s="620"/>
      <c r="M667" s="620"/>
      <c r="N667" s="632"/>
      <c r="O667" s="620"/>
    </row>
    <row r="668" spans="1:15" ht="20.5" thickBot="1" x14ac:dyDescent="0.4">
      <c r="A668" s="620"/>
      <c r="B668" s="635"/>
      <c r="C668" s="632"/>
      <c r="D668" s="1900"/>
      <c r="E668" s="632"/>
      <c r="F668" s="2156" t="s">
        <v>210</v>
      </c>
      <c r="G668" s="2156"/>
      <c r="H668" s="2156"/>
      <c r="I668" s="656" t="e">
        <f>SUM(I665:I667)</f>
        <v>#REF!</v>
      </c>
      <c r="J668" s="682" t="e">
        <f>I668-M662</f>
        <v>#REF!</v>
      </c>
      <c r="K668" s="702"/>
      <c r="L668" s="620"/>
      <c r="M668" s="620"/>
      <c r="N668" s="632"/>
      <c r="O668" s="620"/>
    </row>
    <row r="669" spans="1:15" x14ac:dyDescent="0.35">
      <c r="A669" s="620"/>
      <c r="B669" s="635"/>
      <c r="C669" s="632"/>
      <c r="D669" s="1900"/>
      <c r="E669" s="632"/>
      <c r="F669" s="810"/>
      <c r="G669" s="620"/>
      <c r="H669" s="620"/>
      <c r="I669" s="620"/>
      <c r="J669" s="620"/>
      <c r="K669" s="702"/>
      <c r="L669" s="620"/>
      <c r="M669" s="620"/>
      <c r="N669" s="632"/>
      <c r="O669" s="620"/>
    </row>
    <row r="670" spans="1:15" x14ac:dyDescent="0.35">
      <c r="A670" s="620"/>
      <c r="B670" s="635"/>
      <c r="C670" s="632"/>
      <c r="D670" s="1900"/>
      <c r="E670" s="632"/>
      <c r="F670" s="810"/>
      <c r="G670" s="620"/>
      <c r="H670" s="620"/>
      <c r="I670" s="620"/>
      <c r="J670" s="620"/>
      <c r="K670" s="702"/>
      <c r="L670" s="620"/>
      <c r="M670" s="620"/>
      <c r="N670" s="632"/>
      <c r="O670" s="620"/>
    </row>
    <row r="671" spans="1:15" x14ac:dyDescent="0.35">
      <c r="A671" s="620"/>
      <c r="B671" s="635"/>
      <c r="C671" s="632"/>
      <c r="D671" s="1900"/>
      <c r="E671" s="632"/>
      <c r="F671" s="810"/>
      <c r="G671" s="620"/>
      <c r="H671" s="620"/>
      <c r="I671" s="620"/>
      <c r="J671" s="620"/>
      <c r="K671" s="702"/>
      <c r="L671" s="620"/>
      <c r="M671" s="620"/>
      <c r="N671" s="632"/>
      <c r="O671" s="620"/>
    </row>
    <row r="672" spans="1:15" x14ac:dyDescent="0.35">
      <c r="A672" s="620"/>
      <c r="B672" s="635"/>
      <c r="C672" s="632"/>
      <c r="D672" s="1900"/>
      <c r="E672" s="632"/>
      <c r="F672" s="810"/>
      <c r="G672" s="620"/>
      <c r="H672" s="620"/>
      <c r="I672" s="620"/>
      <c r="J672" s="620"/>
      <c r="K672" s="702"/>
      <c r="L672" s="620"/>
      <c r="M672" s="620"/>
      <c r="N672" s="632"/>
      <c r="O672" s="620"/>
    </row>
    <row r="673" spans="1:15" x14ac:dyDescent="0.35">
      <c r="A673" s="620"/>
      <c r="B673" s="635"/>
      <c r="C673" s="632"/>
      <c r="D673" s="1900"/>
      <c r="E673" s="632"/>
      <c r="F673" s="810"/>
      <c r="G673" s="620"/>
      <c r="H673" s="620"/>
      <c r="I673" s="620"/>
      <c r="J673" s="620"/>
      <c r="K673" s="702"/>
      <c r="L673" s="620"/>
      <c r="M673" s="620"/>
      <c r="N673" s="632"/>
      <c r="O673" s="620"/>
    </row>
    <row r="674" spans="1:15" x14ac:dyDescent="0.35">
      <c r="A674" s="620"/>
      <c r="B674" s="632"/>
      <c r="C674" s="632"/>
      <c r="D674" s="1900"/>
      <c r="E674" s="632"/>
      <c r="F674" s="810"/>
      <c r="G674" s="620"/>
      <c r="H674" s="620"/>
      <c r="I674" s="620"/>
      <c r="J674" s="620"/>
      <c r="K674" s="702"/>
      <c r="L674" s="620"/>
      <c r="M674" s="620"/>
      <c r="N674" s="632"/>
      <c r="O674" s="620"/>
    </row>
    <row r="675" spans="1:15" x14ac:dyDescent="0.35">
      <c r="A675" s="620"/>
      <c r="B675" s="632"/>
      <c r="C675" s="632"/>
      <c r="D675" s="1900"/>
      <c r="E675" s="632"/>
      <c r="F675" s="810"/>
      <c r="G675" s="620"/>
      <c r="H675" s="620"/>
      <c r="I675" s="620"/>
      <c r="J675" s="620"/>
      <c r="K675" s="702"/>
      <c r="L675" s="620"/>
      <c r="M675" s="620"/>
      <c r="N675" s="632"/>
      <c r="O675" s="620"/>
    </row>
    <row r="676" spans="1:15" x14ac:dyDescent="0.35">
      <c r="A676" s="620"/>
      <c r="B676" s="635"/>
      <c r="C676" s="632"/>
      <c r="D676" s="1900"/>
      <c r="E676" s="632"/>
      <c r="F676" s="810"/>
      <c r="G676" s="620"/>
      <c r="H676" s="620"/>
      <c r="I676" s="620"/>
      <c r="J676" s="620"/>
      <c r="K676" s="702"/>
      <c r="L676" s="620"/>
      <c r="M676" s="620"/>
      <c r="N676" s="632"/>
      <c r="O676" s="620"/>
    </row>
    <row r="677" spans="1:15" x14ac:dyDescent="0.35">
      <c r="A677" s="620"/>
      <c r="B677" s="635"/>
      <c r="C677" s="632"/>
      <c r="D677" s="1900"/>
      <c r="E677" s="632"/>
      <c r="F677" s="810"/>
      <c r="G677" s="620"/>
      <c r="H677" s="620"/>
      <c r="I677" s="620"/>
      <c r="J677" s="620"/>
      <c r="K677" s="702"/>
      <c r="L677" s="620"/>
      <c r="M677" s="620"/>
      <c r="N677" s="632"/>
      <c r="O677" s="620"/>
    </row>
    <row r="678" spans="1:15" x14ac:dyDescent="0.35">
      <c r="A678" s="620"/>
      <c r="B678" s="635"/>
      <c r="C678" s="632"/>
      <c r="D678" s="1900"/>
      <c r="E678" s="632"/>
      <c r="F678" s="810"/>
      <c r="G678" s="620"/>
      <c r="H678" s="620"/>
      <c r="I678" s="620"/>
      <c r="J678" s="620"/>
      <c r="K678" s="702"/>
      <c r="L678" s="620"/>
      <c r="M678" s="620"/>
      <c r="N678" s="632"/>
      <c r="O678" s="620"/>
    </row>
    <row r="679" spans="1:15" ht="25" x14ac:dyDescent="0.35">
      <c r="A679" s="28"/>
      <c r="B679" s="2152"/>
      <c r="C679" s="2152"/>
      <c r="D679" s="2152"/>
      <c r="E679" s="2152"/>
      <c r="F679" s="2152"/>
      <c r="G679" s="2152"/>
      <c r="H679" s="2152"/>
      <c r="I679" s="2152"/>
      <c r="J679" s="2152"/>
      <c r="K679" s="2152"/>
      <c r="L679" s="2152"/>
      <c r="M679" s="2152"/>
      <c r="N679" s="632"/>
      <c r="O679" s="620"/>
    </row>
    <row r="680" spans="1:15" x14ac:dyDescent="0.35">
      <c r="A680" s="620"/>
      <c r="B680" s="635"/>
      <c r="C680" s="632"/>
      <c r="D680" s="1900"/>
      <c r="E680" s="632"/>
      <c r="F680" s="810"/>
      <c r="G680" s="620"/>
      <c r="H680" s="620"/>
      <c r="I680" s="620"/>
      <c r="J680" s="620"/>
      <c r="K680" s="702"/>
      <c r="L680" s="620"/>
      <c r="M680" s="620"/>
      <c r="N680" s="632"/>
      <c r="O680" s="620"/>
    </row>
    <row r="681" spans="1:15" x14ac:dyDescent="0.35">
      <c r="A681" s="620"/>
      <c r="B681" s="635"/>
      <c r="C681" s="632"/>
      <c r="D681" s="1900"/>
      <c r="E681" s="632"/>
      <c r="F681" s="810"/>
      <c r="G681" s="620"/>
      <c r="H681" s="620"/>
      <c r="I681" s="620"/>
      <c r="J681" s="620"/>
      <c r="K681" s="702"/>
      <c r="L681" s="620"/>
      <c r="M681" s="620"/>
      <c r="N681" s="632"/>
      <c r="O681" s="620"/>
    </row>
    <row r="682" spans="1:15" ht="25" x14ac:dyDescent="0.35">
      <c r="A682" s="2095" t="s">
        <v>1490</v>
      </c>
      <c r="B682" s="2095"/>
      <c r="C682" s="2095"/>
      <c r="D682" s="2095"/>
      <c r="E682" s="2095"/>
      <c r="F682" s="2095"/>
      <c r="G682" s="2095"/>
      <c r="H682" s="2095"/>
      <c r="I682" s="2095"/>
      <c r="J682" s="2095"/>
      <c r="K682" s="2095"/>
      <c r="L682" s="2095"/>
      <c r="M682" s="2095"/>
      <c r="N682" s="2095"/>
      <c r="O682" s="756" t="e">
        <f>$O$6</f>
        <v>#REF!</v>
      </c>
    </row>
    <row r="683" spans="1:15" ht="15.5" x14ac:dyDescent="0.35">
      <c r="A683" s="2096" t="s">
        <v>0</v>
      </c>
      <c r="B683" s="2098" t="s">
        <v>1</v>
      </c>
      <c r="C683" s="2100" t="s">
        <v>2</v>
      </c>
      <c r="D683" s="2101"/>
      <c r="E683" s="2102"/>
      <c r="F683" s="2216" t="s">
        <v>3</v>
      </c>
      <c r="G683" s="2100" t="s">
        <v>4</v>
      </c>
      <c r="H683" s="2102"/>
      <c r="I683" s="2085"/>
      <c r="J683" s="2103" t="s">
        <v>5</v>
      </c>
      <c r="K683" s="2100" t="s">
        <v>6</v>
      </c>
      <c r="L683" s="2085"/>
      <c r="M683" s="97" t="s">
        <v>32</v>
      </c>
      <c r="N683" s="98"/>
      <c r="O683" s="2084" t="s">
        <v>7</v>
      </c>
    </row>
    <row r="684" spans="1:15" ht="15.5" x14ac:dyDescent="0.35">
      <c r="A684" s="2097"/>
      <c r="B684" s="2099"/>
      <c r="C684" s="2086" t="s">
        <v>1108</v>
      </c>
      <c r="D684" s="2087"/>
      <c r="E684" s="87" t="s">
        <v>9</v>
      </c>
      <c r="F684" s="2217"/>
      <c r="G684" s="2">
        <f>'NORTH-1'!$G$8</f>
        <v>44774</v>
      </c>
      <c r="H684" s="2">
        <f>'NORTH-1'!$H$8</f>
        <v>44805</v>
      </c>
      <c r="I684" s="1" t="s">
        <v>10</v>
      </c>
      <c r="J684" s="2097"/>
      <c r="K684" s="1" t="s">
        <v>11</v>
      </c>
      <c r="L684" s="1" t="s">
        <v>12</v>
      </c>
      <c r="M684" s="617" t="s">
        <v>33</v>
      </c>
      <c r="N684" s="76" t="s">
        <v>47</v>
      </c>
      <c r="O684" s="2085"/>
    </row>
    <row r="685" spans="1:15" ht="15.5" x14ac:dyDescent="0.35">
      <c r="A685" s="3">
        <v>1</v>
      </c>
      <c r="B685" s="88">
        <v>2</v>
      </c>
      <c r="C685" s="2088">
        <v>4</v>
      </c>
      <c r="D685" s="2089"/>
      <c r="E685" s="88">
        <v>5</v>
      </c>
      <c r="F685" s="803">
        <v>7</v>
      </c>
      <c r="G685" s="3">
        <v>8</v>
      </c>
      <c r="H685" s="3">
        <v>9</v>
      </c>
      <c r="I685" s="3" t="s">
        <v>13</v>
      </c>
      <c r="J685" s="3">
        <v>11</v>
      </c>
      <c r="K685" s="3" t="s">
        <v>19</v>
      </c>
      <c r="L685" s="3" t="s">
        <v>20</v>
      </c>
      <c r="M685" s="3">
        <v>14</v>
      </c>
      <c r="N685" s="77">
        <v>15</v>
      </c>
      <c r="O685" s="3">
        <v>16</v>
      </c>
    </row>
    <row r="686" spans="1:15" ht="15.5" x14ac:dyDescent="0.35">
      <c r="A686" s="631"/>
      <c r="B686" s="624" t="s">
        <v>3437</v>
      </c>
      <c r="C686" s="625"/>
      <c r="D686" s="695"/>
      <c r="E686" s="625"/>
      <c r="F686" s="804"/>
      <c r="G686" s="625"/>
      <c r="H686" s="625"/>
      <c r="I686" s="625"/>
      <c r="J686" s="625"/>
      <c r="K686" s="695"/>
      <c r="L686" s="625"/>
      <c r="M686" s="626"/>
      <c r="N686" s="627"/>
      <c r="O686" s="616"/>
    </row>
    <row r="687" spans="1:15" ht="15.5" x14ac:dyDescent="0.35">
      <c r="A687" s="11">
        <v>3</v>
      </c>
      <c r="B687" s="100" t="s">
        <v>4132</v>
      </c>
      <c r="C687" s="52" t="s">
        <v>3833</v>
      </c>
      <c r="D687" s="818"/>
      <c r="E687" s="52" t="s">
        <v>4133</v>
      </c>
      <c r="F687" s="812">
        <v>1</v>
      </c>
      <c r="G687" s="21">
        <v>1169.58</v>
      </c>
      <c r="H687" s="21">
        <v>1174.96</v>
      </c>
      <c r="I687" s="21">
        <f>H687-G687</f>
        <v>5.3800000000001091</v>
      </c>
      <c r="J687" s="616">
        <v>540000</v>
      </c>
      <c r="K687" s="696">
        <f>F687*I687*J687</f>
        <v>2905200.0000000591</v>
      </c>
      <c r="L687" s="22"/>
      <c r="M687" s="22"/>
      <c r="N687" s="82"/>
      <c r="O687" s="9"/>
    </row>
    <row r="688" spans="1:15" ht="15.5" x14ac:dyDescent="0.35">
      <c r="A688" s="631">
        <v>5</v>
      </c>
      <c r="B688" s="100" t="s">
        <v>4134</v>
      </c>
      <c r="C688" s="52" t="s">
        <v>3833</v>
      </c>
      <c r="D688" s="1444"/>
      <c r="E688" s="52" t="s">
        <v>4135</v>
      </c>
      <c r="F688" s="812">
        <v>1</v>
      </c>
      <c r="G688" s="21">
        <v>1257.69</v>
      </c>
      <c r="H688" s="21">
        <v>1259.31</v>
      </c>
      <c r="I688" s="21">
        <f>H688-G688</f>
        <v>1.6199999999998909</v>
      </c>
      <c r="J688" s="616">
        <v>540000</v>
      </c>
      <c r="K688" s="696">
        <f>F688*I688*J688</f>
        <v>874799.99999994109</v>
      </c>
      <c r="L688" s="22"/>
      <c r="M688" s="22"/>
      <c r="N688" s="82"/>
      <c r="O688" s="616"/>
    </row>
    <row r="689" spans="1:15" ht="15.5" x14ac:dyDescent="0.35">
      <c r="A689" s="631"/>
      <c r="B689" s="102"/>
      <c r="C689" s="91"/>
      <c r="D689" s="726"/>
      <c r="E689" s="91"/>
      <c r="F689" s="814"/>
      <c r="G689" s="48"/>
      <c r="H689" s="48"/>
      <c r="I689" s="48"/>
      <c r="J689" s="96" t="s">
        <v>30</v>
      </c>
      <c r="K689" s="43">
        <f>SUM(K687:K688)</f>
        <v>3780000</v>
      </c>
      <c r="L689" s="43">
        <f>SUM(L687:L688)</f>
        <v>0</v>
      </c>
      <c r="M689" s="43">
        <f>SUM(M687:M688)</f>
        <v>0</v>
      </c>
      <c r="N689" s="646"/>
      <c r="O689" s="616"/>
    </row>
    <row r="690" spans="1:15" ht="15.5" x14ac:dyDescent="0.35">
      <c r="A690" s="616"/>
      <c r="B690" s="624" t="s">
        <v>4131</v>
      </c>
      <c r="C690" s="625"/>
      <c r="D690" s="695"/>
      <c r="E690" s="625"/>
      <c r="F690" s="804"/>
      <c r="G690" s="625"/>
      <c r="H690" s="625"/>
      <c r="I690" s="625"/>
      <c r="J690" s="732"/>
      <c r="K690" s="733"/>
      <c r="L690" s="734"/>
      <c r="M690" s="734"/>
      <c r="N690" s="627"/>
      <c r="O690" s="12"/>
    </row>
    <row r="691" spans="1:15" ht="15.5" x14ac:dyDescent="0.35">
      <c r="A691" s="616"/>
      <c r="B691" s="100" t="s">
        <v>239</v>
      </c>
      <c r="C691" s="52">
        <v>33</v>
      </c>
      <c r="D691" s="2105" t="s">
        <v>1084</v>
      </c>
      <c r="E691" s="52" t="s">
        <v>257</v>
      </c>
      <c r="F691" s="812">
        <v>1</v>
      </c>
      <c r="G691" s="21">
        <v>868220</v>
      </c>
      <c r="H691" s="21">
        <v>882182</v>
      </c>
      <c r="I691" s="20">
        <f>H691-G691</f>
        <v>13962</v>
      </c>
      <c r="J691" s="616">
        <v>180</v>
      </c>
      <c r="K691" s="696"/>
      <c r="L691" s="22">
        <f>J691*I691*F691</f>
        <v>2513160</v>
      </c>
      <c r="M691" s="22"/>
      <c r="N691" s="82"/>
      <c r="O691" s="12"/>
    </row>
    <row r="692" spans="1:15" ht="15.5" x14ac:dyDescent="0.35">
      <c r="A692" s="616"/>
      <c r="B692" s="100" t="s">
        <v>240</v>
      </c>
      <c r="C692" s="52">
        <v>33</v>
      </c>
      <c r="D692" s="2106"/>
      <c r="E692" s="52" t="s">
        <v>258</v>
      </c>
      <c r="F692" s="812">
        <v>1</v>
      </c>
      <c r="G692" s="21">
        <v>775.28</v>
      </c>
      <c r="H692" s="21">
        <v>788.74</v>
      </c>
      <c r="I692" s="20">
        <f>H692-G692</f>
        <v>13.460000000000036</v>
      </c>
      <c r="J692" s="616">
        <v>180000</v>
      </c>
      <c r="K692" s="696"/>
      <c r="L692" s="22">
        <f>J692*I692*F692</f>
        <v>2422800.0000000065</v>
      </c>
      <c r="M692" s="22"/>
      <c r="N692" s="82"/>
      <c r="O692" s="12"/>
    </row>
    <row r="693" spans="1:15" ht="15.5" x14ac:dyDescent="0.35">
      <c r="A693" s="616"/>
      <c r="B693" s="100" t="s">
        <v>241</v>
      </c>
      <c r="C693" s="52">
        <v>33</v>
      </c>
      <c r="D693" s="2151"/>
      <c r="E693" s="52" t="s">
        <v>259</v>
      </c>
      <c r="F693" s="812">
        <v>1</v>
      </c>
      <c r="G693" s="21">
        <v>349.1</v>
      </c>
      <c r="H693" s="21">
        <v>349.1</v>
      </c>
      <c r="I693" s="20">
        <f>H693-G693</f>
        <v>0</v>
      </c>
      <c r="J693" s="616">
        <v>180000</v>
      </c>
      <c r="K693" s="696"/>
      <c r="L693" s="22">
        <f>J693*I693*F693</f>
        <v>0</v>
      </c>
      <c r="M693" s="22"/>
      <c r="N693" s="82"/>
      <c r="O693" s="12"/>
    </row>
    <row r="694" spans="1:15" ht="15.5" x14ac:dyDescent="0.35">
      <c r="A694" s="616"/>
      <c r="B694" s="102"/>
      <c r="C694" s="91"/>
      <c r="D694" s="726"/>
      <c r="E694" s="91"/>
      <c r="F694" s="814"/>
      <c r="G694" s="48"/>
      <c r="H694" s="48"/>
      <c r="I694" s="36"/>
      <c r="J694" s="96" t="s">
        <v>30</v>
      </c>
      <c r="K694" s="706"/>
      <c r="L694" s="43">
        <f>SUM(L691:L693)</f>
        <v>4935960.0000000065</v>
      </c>
      <c r="M694" s="43" t="e">
        <f>M689+#REF!</f>
        <v>#REF!</v>
      </c>
      <c r="N694" s="85"/>
      <c r="O694" s="12"/>
    </row>
    <row r="695" spans="1:15" ht="15.5" x14ac:dyDescent="0.35">
      <c r="A695" s="616"/>
      <c r="B695" s="647" t="s">
        <v>1491</v>
      </c>
      <c r="C695" s="648"/>
      <c r="D695" s="700"/>
      <c r="E695" s="648"/>
      <c r="F695" s="807"/>
      <c r="G695" s="648"/>
      <c r="H695" s="648"/>
      <c r="I695" s="648"/>
      <c r="J695" s="648"/>
      <c r="K695" s="700"/>
      <c r="L695" s="648"/>
      <c r="M695" s="651"/>
      <c r="N695" s="649"/>
      <c r="O695" s="8"/>
    </row>
    <row r="696" spans="1:15" ht="15.5" x14ac:dyDescent="0.35">
      <c r="A696" s="616">
        <v>1</v>
      </c>
      <c r="B696" s="100" t="s">
        <v>4136</v>
      </c>
      <c r="C696" s="52" t="s">
        <v>3833</v>
      </c>
      <c r="D696" s="1919"/>
      <c r="E696" s="615" t="s">
        <v>2843</v>
      </c>
      <c r="F696" s="812">
        <v>1</v>
      </c>
      <c r="G696" s="5">
        <v>1280621</v>
      </c>
      <c r="H696" s="5">
        <v>1280623</v>
      </c>
      <c r="I696" s="5">
        <f>H696-G696</f>
        <v>2</v>
      </c>
      <c r="J696" s="616">
        <v>180</v>
      </c>
      <c r="K696" s="696"/>
      <c r="L696" s="16">
        <f>F696*I696*J696</f>
        <v>360</v>
      </c>
      <c r="M696" s="7"/>
      <c r="N696" s="78"/>
      <c r="O696" s="616"/>
    </row>
    <row r="697" spans="1:15" ht="15.5" x14ac:dyDescent="0.35">
      <c r="A697" s="616">
        <v>6</v>
      </c>
      <c r="B697" s="100" t="s">
        <v>4137</v>
      </c>
      <c r="C697" s="52" t="s">
        <v>3833</v>
      </c>
      <c r="D697" s="1920"/>
      <c r="E697" s="615" t="s">
        <v>2845</v>
      </c>
      <c r="F697" s="812">
        <v>1</v>
      </c>
      <c r="G697" s="5">
        <v>756211.8</v>
      </c>
      <c r="H697" s="5">
        <v>757866.9</v>
      </c>
      <c r="I697" s="5">
        <f>H697-G697</f>
        <v>1655.0999999999767</v>
      </c>
      <c r="J697" s="616">
        <v>180</v>
      </c>
      <c r="K697" s="696"/>
      <c r="L697" s="16">
        <f>F697*I697*J697</f>
        <v>297917.99999999581</v>
      </c>
      <c r="M697" s="16"/>
      <c r="N697" s="79"/>
      <c r="O697" s="616"/>
    </row>
    <row r="698" spans="1:15" ht="15.5" x14ac:dyDescent="0.35">
      <c r="A698" s="616"/>
      <c r="B698" s="95"/>
      <c r="C698" s="89"/>
      <c r="D698" s="1846"/>
      <c r="E698" s="89"/>
      <c r="F698" s="806"/>
      <c r="G698" s="37"/>
      <c r="H698" s="37"/>
      <c r="I698" s="37"/>
      <c r="J698" s="95" t="s">
        <v>279</v>
      </c>
      <c r="K698" s="699"/>
      <c r="L698" s="43">
        <f>SUM(L696:L697)</f>
        <v>298277.99999999581</v>
      </c>
      <c r="M698" s="633"/>
      <c r="N698" s="634"/>
      <c r="O698" s="616"/>
    </row>
    <row r="699" spans="1:15" ht="15.5" x14ac:dyDescent="0.35">
      <c r="A699" s="616"/>
      <c r="B699" s="102"/>
      <c r="C699" s="91"/>
      <c r="D699" s="726"/>
      <c r="E699" s="91"/>
      <c r="F699" s="814"/>
      <c r="G699" s="48"/>
      <c r="H699" s="48"/>
      <c r="I699" s="36"/>
      <c r="J699" s="96"/>
      <c r="K699" s="706"/>
      <c r="L699" s="43"/>
      <c r="M699" s="43"/>
      <c r="N699" s="85"/>
      <c r="O699" s="12"/>
    </row>
    <row r="700" spans="1:15" ht="15.5" x14ac:dyDescent="0.35">
      <c r="A700" s="636"/>
      <c r="B700" s="647" t="s">
        <v>1492</v>
      </c>
      <c r="C700" s="648"/>
      <c r="D700" s="700"/>
      <c r="E700" s="648"/>
      <c r="F700" s="807"/>
      <c r="G700" s="648"/>
      <c r="H700" s="648"/>
      <c r="I700" s="648"/>
      <c r="J700" s="50"/>
      <c r="K700" s="710"/>
      <c r="L700" s="51"/>
      <c r="M700" s="51"/>
      <c r="N700" s="649"/>
      <c r="O700" s="12"/>
    </row>
    <row r="701" spans="1:15" ht="15.75" customHeight="1" x14ac:dyDescent="0.35">
      <c r="A701" s="616">
        <v>2</v>
      </c>
      <c r="B701" s="100" t="s">
        <v>4127</v>
      </c>
      <c r="C701" s="52">
        <v>33</v>
      </c>
      <c r="D701" s="1924"/>
      <c r="E701" s="52" t="s">
        <v>4128</v>
      </c>
      <c r="F701" s="812">
        <v>1</v>
      </c>
      <c r="G701" s="21">
        <v>2630569</v>
      </c>
      <c r="H701" s="21">
        <v>2646714</v>
      </c>
      <c r="I701" s="21">
        <f>H701-G701</f>
        <v>16145</v>
      </c>
      <c r="J701" s="31">
        <v>180</v>
      </c>
      <c r="K701" s="707"/>
      <c r="L701" s="22">
        <f>F701*I701*J701</f>
        <v>2906100</v>
      </c>
      <c r="M701" s="22"/>
      <c r="N701" s="83"/>
      <c r="O701" s="12"/>
    </row>
    <row r="702" spans="1:15" ht="15.5" x14ac:dyDescent="0.35">
      <c r="A702" s="616">
        <v>4</v>
      </c>
      <c r="B702" s="100" t="s">
        <v>4129</v>
      </c>
      <c r="C702" s="52">
        <v>33</v>
      </c>
      <c r="D702" s="1925"/>
      <c r="E702" s="52" t="s">
        <v>4130</v>
      </c>
      <c r="F702" s="812">
        <v>1</v>
      </c>
      <c r="G702" s="21">
        <v>423.23680000000002</v>
      </c>
      <c r="H702" s="21">
        <v>435.8691</v>
      </c>
      <c r="I702" s="21">
        <f>H702-G702</f>
        <v>12.632299999999987</v>
      </c>
      <c r="J702" s="31">
        <v>180000</v>
      </c>
      <c r="K702" s="707"/>
      <c r="L702" s="22">
        <f>F702*I702*J702</f>
        <v>2273813.9999999977</v>
      </c>
      <c r="M702" s="22"/>
      <c r="N702" s="83"/>
      <c r="O702" s="12"/>
    </row>
    <row r="703" spans="1:15" ht="15" x14ac:dyDescent="0.35">
      <c r="A703" s="636"/>
      <c r="B703" s="96"/>
      <c r="C703" s="90"/>
      <c r="D703" s="96"/>
      <c r="E703" s="90"/>
      <c r="F703" s="813"/>
      <c r="G703" s="38"/>
      <c r="H703" s="38"/>
      <c r="I703" s="38"/>
      <c r="J703" s="96" t="s">
        <v>30</v>
      </c>
      <c r="K703" s="708"/>
      <c r="L703" s="43">
        <f>SUM(L701:L702)</f>
        <v>5179913.9999999981</v>
      </c>
      <c r="M703" s="43">
        <f>SUM(M701:M702)</f>
        <v>0</v>
      </c>
      <c r="N703" s="650">
        <f>(M703-L703)/L703*100</f>
        <v>-100</v>
      </c>
      <c r="O703" s="12"/>
    </row>
    <row r="704" spans="1:15" ht="15.5" thickBot="1" x14ac:dyDescent="0.4">
      <c r="A704" s="702"/>
      <c r="B704" s="736"/>
      <c r="C704" s="92"/>
      <c r="D704" s="736"/>
      <c r="E704" s="92"/>
      <c r="F704" s="815"/>
      <c r="G704" s="737"/>
      <c r="H704" s="737"/>
      <c r="I704" s="737"/>
      <c r="J704" s="736"/>
      <c r="K704" s="738"/>
      <c r="L704" s="739"/>
      <c r="M704" s="739"/>
      <c r="N704" s="646"/>
      <c r="O704" s="740"/>
    </row>
    <row r="705" spans="1:15" ht="15" x14ac:dyDescent="0.35">
      <c r="A705" s="702"/>
      <c r="B705" s="2142" t="s">
        <v>1339</v>
      </c>
      <c r="C705" s="2143"/>
      <c r="D705" s="683" t="s">
        <v>14</v>
      </c>
      <c r="F705" s="2144" t="s">
        <v>1350</v>
      </c>
      <c r="G705" s="2145"/>
      <c r="H705" s="2146"/>
      <c r="I705" s="683" t="s">
        <v>14</v>
      </c>
      <c r="J705" s="620"/>
      <c r="K705" s="2147" t="s">
        <v>1092</v>
      </c>
      <c r="L705" s="2148"/>
      <c r="M705" s="684" t="s">
        <v>14</v>
      </c>
      <c r="N705" s="646"/>
      <c r="O705" s="740"/>
    </row>
    <row r="706" spans="1:15" ht="15" x14ac:dyDescent="0.35">
      <c r="A706" s="702"/>
      <c r="B706" s="2122" t="str">
        <f>B686</f>
        <v xml:space="preserve"> 33 KV SIDE</v>
      </c>
      <c r="C706" s="2123"/>
      <c r="D706" s="689">
        <f>M689</f>
        <v>0</v>
      </c>
      <c r="F706" s="2124" t="s">
        <v>1093</v>
      </c>
      <c r="G706" s="2125"/>
      <c r="H706" s="2126"/>
      <c r="I706" s="685">
        <f>L698</f>
        <v>298277.99999999581</v>
      </c>
      <c r="J706" s="620"/>
      <c r="K706" s="2160" t="str">
        <f>F707</f>
        <v>MIDFORT 33 KV NET IMPORT</v>
      </c>
      <c r="L706" s="2161"/>
      <c r="M706" s="687">
        <f>I707</f>
        <v>5179913.9999999981</v>
      </c>
      <c r="N706" s="646"/>
      <c r="O706" s="740"/>
    </row>
    <row r="707" spans="1:15" ht="15" x14ac:dyDescent="0.35">
      <c r="A707" s="702"/>
      <c r="B707" s="2122" t="e">
        <f>#REF!</f>
        <v>#REF!</v>
      </c>
      <c r="C707" s="2123"/>
      <c r="D707" s="741" t="e">
        <f>#REF!</f>
        <v>#REF!</v>
      </c>
      <c r="F707" s="2124" t="s">
        <v>1493</v>
      </c>
      <c r="G707" s="2125"/>
      <c r="H707" s="2126"/>
      <c r="I707" s="685">
        <f>L703</f>
        <v>5179913.9999999981</v>
      </c>
      <c r="J707" s="620"/>
      <c r="K707" s="2162" t="s">
        <v>1494</v>
      </c>
      <c r="L707" s="2163"/>
      <c r="M707" s="685">
        <f>M738</f>
        <v>0</v>
      </c>
      <c r="N707" s="646"/>
      <c r="O707" s="740"/>
    </row>
    <row r="708" spans="1:15" ht="15" x14ac:dyDescent="0.35">
      <c r="A708" s="702"/>
      <c r="B708" s="2122" t="s">
        <v>1117</v>
      </c>
      <c r="C708" s="2123"/>
      <c r="D708" s="721"/>
      <c r="F708" s="2124" t="s">
        <v>1089</v>
      </c>
      <c r="G708" s="2125"/>
      <c r="H708" s="2126"/>
      <c r="I708" s="685">
        <f>I706+I707</f>
        <v>5478191.9999999944</v>
      </c>
      <c r="J708" s="620"/>
      <c r="K708" s="2127" t="s">
        <v>284</v>
      </c>
      <c r="L708" s="2128"/>
      <c r="M708" s="685">
        <f>M706-M707</f>
        <v>5179913.9999999981</v>
      </c>
      <c r="N708" s="646"/>
      <c r="O708" s="740"/>
    </row>
    <row r="709" spans="1:15" ht="16" thickBot="1" x14ac:dyDescent="0.4">
      <c r="A709" s="702"/>
      <c r="B709" s="2122" t="s">
        <v>1118</v>
      </c>
      <c r="C709" s="2123"/>
      <c r="D709" s="722"/>
      <c r="F709" s="2113" t="s">
        <v>1102</v>
      </c>
      <c r="G709" s="2114"/>
      <c r="H709" s="2115"/>
      <c r="I709" s="690" t="e">
        <f>(D710-I708)/I708</f>
        <v>#REF!</v>
      </c>
      <c r="J709" s="620"/>
      <c r="K709" s="2134" t="s">
        <v>285</v>
      </c>
      <c r="L709" s="2135"/>
      <c r="M709" s="688">
        <f>M708/M706</f>
        <v>1</v>
      </c>
      <c r="N709" s="646"/>
      <c r="O709" s="740"/>
    </row>
    <row r="710" spans="1:15" ht="15.5" thickBot="1" x14ac:dyDescent="0.4">
      <c r="A710" s="702"/>
      <c r="B710" s="2158" t="s">
        <v>1082</v>
      </c>
      <c r="C710" s="2159"/>
      <c r="D710" s="686" t="e">
        <f>SUM(D706:D708)</f>
        <v>#REF!</v>
      </c>
      <c r="F710" s="810"/>
      <c r="G710" s="620"/>
      <c r="H710" s="620"/>
      <c r="I710" s="620"/>
      <c r="J710" s="620"/>
      <c r="K710" s="702"/>
      <c r="L710" s="620"/>
      <c r="M710" s="620"/>
      <c r="N710" s="646"/>
      <c r="O710" s="740"/>
    </row>
    <row r="711" spans="1:15" ht="15" x14ac:dyDescent="0.35">
      <c r="A711" s="702"/>
      <c r="B711" s="736"/>
      <c r="C711" s="92"/>
      <c r="D711" s="736"/>
      <c r="E711" s="92"/>
      <c r="F711" s="815"/>
      <c r="G711" s="737"/>
      <c r="H711" s="737"/>
      <c r="I711" s="737"/>
      <c r="J711" s="736"/>
      <c r="K711" s="738"/>
      <c r="L711" s="739"/>
      <c r="M711" s="739"/>
      <c r="N711" s="646"/>
      <c r="O711" s="740"/>
    </row>
    <row r="712" spans="1:15" x14ac:dyDescent="0.35">
      <c r="A712" s="620"/>
      <c r="B712" s="632"/>
      <c r="C712" s="620"/>
      <c r="D712" s="2014"/>
      <c r="E712" s="620"/>
      <c r="F712" s="810"/>
      <c r="G712" s="620"/>
      <c r="H712" s="620"/>
      <c r="I712" s="620"/>
      <c r="J712" s="620"/>
      <c r="K712" s="702"/>
      <c r="L712" s="620"/>
      <c r="M712" s="620"/>
      <c r="N712" s="620"/>
      <c r="O712" s="620"/>
    </row>
    <row r="713" spans="1:15" x14ac:dyDescent="0.35">
      <c r="A713" s="620"/>
      <c r="B713" s="632"/>
      <c r="C713" s="620"/>
      <c r="D713" s="2014"/>
      <c r="E713" s="620"/>
      <c r="F713" s="810"/>
      <c r="G713" s="620"/>
      <c r="H713" s="620"/>
      <c r="I713" s="620"/>
      <c r="J713" s="620"/>
      <c r="K713" s="702"/>
      <c r="L713" s="620"/>
      <c r="M713" s="620"/>
      <c r="N713" s="620"/>
      <c r="O713" s="620"/>
    </row>
    <row r="714" spans="1:15" ht="25" x14ac:dyDescent="0.35">
      <c r="A714" s="2095" t="s">
        <v>1170</v>
      </c>
      <c r="B714" s="2095"/>
      <c r="C714" s="2095"/>
      <c r="D714" s="2095"/>
      <c r="E714" s="2095"/>
      <c r="F714" s="2095"/>
      <c r="G714" s="2095"/>
      <c r="H714" s="2095"/>
      <c r="I714" s="2095"/>
      <c r="J714" s="2095"/>
      <c r="K714" s="2095"/>
      <c r="L714" s="2095"/>
      <c r="M714" s="2095"/>
      <c r="N714" s="2095"/>
      <c r="O714" s="756" t="e">
        <f>$O$6</f>
        <v>#REF!</v>
      </c>
    </row>
    <row r="715" spans="1:15" ht="15.5" x14ac:dyDescent="0.35">
      <c r="A715" s="2096" t="s">
        <v>0</v>
      </c>
      <c r="B715" s="2098" t="s">
        <v>1</v>
      </c>
      <c r="C715" s="2100" t="s">
        <v>2</v>
      </c>
      <c r="D715" s="2101"/>
      <c r="E715" s="2102"/>
      <c r="F715" s="2216" t="s">
        <v>3</v>
      </c>
      <c r="G715" s="2100" t="s">
        <v>4</v>
      </c>
      <c r="H715" s="2102"/>
      <c r="I715" s="2085"/>
      <c r="J715" s="2103" t="s">
        <v>5</v>
      </c>
      <c r="K715" s="2100" t="s">
        <v>6</v>
      </c>
      <c r="L715" s="2085"/>
      <c r="M715" s="97" t="s">
        <v>32</v>
      </c>
      <c r="N715" s="98"/>
      <c r="O715" s="2084" t="s">
        <v>7</v>
      </c>
    </row>
    <row r="716" spans="1:15" ht="15.5" x14ac:dyDescent="0.35">
      <c r="A716" s="2097"/>
      <c r="B716" s="2099"/>
      <c r="C716" s="2086" t="s">
        <v>1108</v>
      </c>
      <c r="D716" s="2087"/>
      <c r="E716" s="87" t="s">
        <v>9</v>
      </c>
      <c r="F716" s="2217"/>
      <c r="G716" s="2">
        <f>'NORTH-1'!$G$8</f>
        <v>44774</v>
      </c>
      <c r="H716" s="2">
        <f>'NORTH-1'!$H$8</f>
        <v>44805</v>
      </c>
      <c r="I716" s="1" t="s">
        <v>10</v>
      </c>
      <c r="J716" s="2097"/>
      <c r="K716" s="1" t="s">
        <v>11</v>
      </c>
      <c r="L716" s="1" t="s">
        <v>12</v>
      </c>
      <c r="M716" s="617" t="s">
        <v>33</v>
      </c>
      <c r="N716" s="76" t="s">
        <v>47</v>
      </c>
      <c r="O716" s="2085"/>
    </row>
    <row r="717" spans="1:15" ht="15.5" x14ac:dyDescent="0.35">
      <c r="A717" s="3">
        <v>1</v>
      </c>
      <c r="B717" s="88">
        <v>2</v>
      </c>
      <c r="C717" s="2088">
        <v>4</v>
      </c>
      <c r="D717" s="2089"/>
      <c r="E717" s="88">
        <v>5</v>
      </c>
      <c r="F717" s="803">
        <v>7</v>
      </c>
      <c r="G717" s="3">
        <v>8</v>
      </c>
      <c r="H717" s="3">
        <v>9</v>
      </c>
      <c r="I717" s="3" t="s">
        <v>13</v>
      </c>
      <c r="J717" s="3">
        <v>11</v>
      </c>
      <c r="K717" s="3" t="s">
        <v>19</v>
      </c>
      <c r="L717" s="3" t="s">
        <v>20</v>
      </c>
      <c r="M717" s="3">
        <v>14</v>
      </c>
      <c r="N717" s="77">
        <v>15</v>
      </c>
      <c r="O717" s="3">
        <v>16</v>
      </c>
    </row>
    <row r="718" spans="1:15" ht="15.5" x14ac:dyDescent="0.35">
      <c r="A718" s="631"/>
      <c r="B718" s="624" t="s">
        <v>1495</v>
      </c>
      <c r="C718" s="625"/>
      <c r="D718" s="695"/>
      <c r="E718" s="625"/>
      <c r="F718" s="804"/>
      <c r="G718" s="625"/>
      <c r="H718" s="625"/>
      <c r="I718" s="625"/>
      <c r="J718" s="625"/>
      <c r="K718" s="695"/>
      <c r="L718" s="625"/>
      <c r="M718" s="626"/>
      <c r="N718" s="627"/>
      <c r="O718" s="616"/>
    </row>
    <row r="719" spans="1:15" ht="15.5" x14ac:dyDescent="0.35">
      <c r="A719" s="631">
        <v>14</v>
      </c>
      <c r="B719" s="100" t="s">
        <v>3989</v>
      </c>
      <c r="C719" s="52" t="s">
        <v>3872</v>
      </c>
      <c r="D719" s="818"/>
      <c r="E719" s="52" t="s">
        <v>4138</v>
      </c>
      <c r="F719" s="812">
        <v>1</v>
      </c>
      <c r="G719" s="21">
        <v>2567802</v>
      </c>
      <c r="H719" s="21">
        <v>2583176</v>
      </c>
      <c r="I719" s="21">
        <f>H719-G719</f>
        <v>15374</v>
      </c>
      <c r="J719" s="616">
        <v>180</v>
      </c>
      <c r="K719" s="696">
        <f>F719*I719*J719</f>
        <v>2767320</v>
      </c>
      <c r="L719" s="22"/>
      <c r="M719" s="22"/>
      <c r="N719" s="82"/>
      <c r="O719" s="616"/>
    </row>
    <row r="720" spans="1:15" ht="15.5" x14ac:dyDescent="0.35">
      <c r="A720" s="631">
        <v>15</v>
      </c>
      <c r="B720" s="100" t="s">
        <v>3987</v>
      </c>
      <c r="C720" s="52" t="s">
        <v>3872</v>
      </c>
      <c r="D720" s="1444"/>
      <c r="E720" s="52" t="s">
        <v>4139</v>
      </c>
      <c r="F720" s="812">
        <v>1</v>
      </c>
      <c r="G720" s="21">
        <v>1907792</v>
      </c>
      <c r="H720" s="21">
        <v>1920361</v>
      </c>
      <c r="I720" s="21">
        <f>H720-G720</f>
        <v>12569</v>
      </c>
      <c r="J720" s="616">
        <v>180</v>
      </c>
      <c r="K720" s="696">
        <f>F720*I720*J720</f>
        <v>2262420</v>
      </c>
      <c r="L720" s="22"/>
      <c r="M720" s="22"/>
      <c r="N720" s="82"/>
      <c r="O720" s="616"/>
    </row>
    <row r="721" spans="1:15" ht="15.5" x14ac:dyDescent="0.35">
      <c r="A721" s="631"/>
      <c r="B721" s="102"/>
      <c r="C721" s="91"/>
      <c r="D721" s="726"/>
      <c r="E721" s="91"/>
      <c r="F721" s="814"/>
      <c r="G721" s="48"/>
      <c r="H721" s="48"/>
      <c r="I721" s="48"/>
      <c r="J721" s="39" t="s">
        <v>30</v>
      </c>
      <c r="K721" s="43">
        <f>SUM(K719:K720)</f>
        <v>5029740</v>
      </c>
      <c r="L721" s="49"/>
      <c r="M721" s="43">
        <f>SUM(M719:M720)</f>
        <v>0</v>
      </c>
      <c r="N721" s="85"/>
      <c r="O721" s="616"/>
    </row>
    <row r="722" spans="1:15" ht="15.5" x14ac:dyDescent="0.35">
      <c r="A722" s="631"/>
      <c r="B722" s="647" t="s">
        <v>1496</v>
      </c>
      <c r="C722" s="648"/>
      <c r="D722" s="700"/>
      <c r="E722" s="648"/>
      <c r="F722" s="807"/>
      <c r="G722" s="648"/>
      <c r="H722" s="648"/>
      <c r="I722" s="648"/>
      <c r="J722" s="50"/>
      <c r="K722" s="710"/>
      <c r="L722" s="51"/>
      <c r="M722" s="51"/>
      <c r="N722" s="649"/>
      <c r="O722" s="616"/>
    </row>
    <row r="723" spans="1:15" ht="18" customHeight="1" x14ac:dyDescent="0.35">
      <c r="A723" s="631">
        <v>7</v>
      </c>
      <c r="B723" s="100" t="s">
        <v>1446</v>
      </c>
      <c r="C723" s="73" t="s">
        <v>3872</v>
      </c>
      <c r="D723" s="2167"/>
      <c r="E723" s="52" t="s">
        <v>4140</v>
      </c>
      <c r="F723" s="812">
        <v>1</v>
      </c>
      <c r="G723" s="6"/>
      <c r="H723" s="6"/>
      <c r="I723" s="20">
        <f t="shared" ref="I723:I737" si="26">H723-G723</f>
        <v>0</v>
      </c>
      <c r="J723" s="616">
        <v>60000</v>
      </c>
      <c r="K723" s="703"/>
      <c r="L723" s="22">
        <f t="shared" ref="L723:L736" si="27">F723*I723*J723</f>
        <v>0</v>
      </c>
      <c r="M723" s="22"/>
      <c r="N723" s="72"/>
      <c r="O723" s="15"/>
    </row>
    <row r="724" spans="1:15" ht="18" customHeight="1" x14ac:dyDescent="0.35">
      <c r="A724" s="631">
        <v>8</v>
      </c>
      <c r="B724" s="100" t="s">
        <v>1446</v>
      </c>
      <c r="C724" s="73" t="s">
        <v>3872</v>
      </c>
      <c r="D724" s="2168"/>
      <c r="E724" s="52" t="s">
        <v>4141</v>
      </c>
      <c r="F724" s="812">
        <v>1</v>
      </c>
      <c r="G724" s="6"/>
      <c r="H724" s="6"/>
      <c r="I724" s="20">
        <f t="shared" si="26"/>
        <v>0</v>
      </c>
      <c r="J724" s="616">
        <v>60000</v>
      </c>
      <c r="K724" s="703"/>
      <c r="L724" s="22">
        <f t="shared" si="27"/>
        <v>0</v>
      </c>
      <c r="M724" s="22"/>
      <c r="N724" s="72"/>
      <c r="O724" s="15"/>
    </row>
    <row r="725" spans="1:15" ht="18" customHeight="1" x14ac:dyDescent="0.35">
      <c r="A725" s="631">
        <v>9</v>
      </c>
      <c r="B725" s="100" t="s">
        <v>4142</v>
      </c>
      <c r="C725" s="73" t="s">
        <v>3872</v>
      </c>
      <c r="D725" s="2168"/>
      <c r="E725" s="52" t="s">
        <v>4143</v>
      </c>
      <c r="F725" s="812">
        <v>1</v>
      </c>
      <c r="G725" s="6">
        <v>926277.3</v>
      </c>
      <c r="H725" s="6">
        <v>926277.3</v>
      </c>
      <c r="I725" s="20">
        <f t="shared" si="26"/>
        <v>0</v>
      </c>
      <c r="J725" s="616">
        <v>60</v>
      </c>
      <c r="K725" s="703"/>
      <c r="L725" s="22">
        <f t="shared" si="27"/>
        <v>0</v>
      </c>
      <c r="M725" s="22"/>
      <c r="N725" s="72" t="s">
        <v>90</v>
      </c>
      <c r="O725" s="15"/>
    </row>
    <row r="726" spans="1:15" ht="18" customHeight="1" x14ac:dyDescent="0.35">
      <c r="A726" s="631">
        <v>10</v>
      </c>
      <c r="B726" s="100" t="s">
        <v>1446</v>
      </c>
      <c r="C726" s="73" t="s">
        <v>3872</v>
      </c>
      <c r="D726" s="2168"/>
      <c r="E726" s="52" t="s">
        <v>4144</v>
      </c>
      <c r="F726" s="812">
        <v>1</v>
      </c>
      <c r="G726" s="6"/>
      <c r="H726" s="6"/>
      <c r="I726" s="20">
        <f t="shared" si="26"/>
        <v>0</v>
      </c>
      <c r="J726" s="616"/>
      <c r="K726" s="703"/>
      <c r="L726" s="22">
        <f t="shared" si="27"/>
        <v>0</v>
      </c>
      <c r="M726" s="22"/>
      <c r="N726" s="72"/>
      <c r="O726" s="15"/>
    </row>
    <row r="727" spans="1:15" ht="18" customHeight="1" x14ac:dyDescent="0.35">
      <c r="A727" s="631">
        <v>11</v>
      </c>
      <c r="B727" s="100" t="s">
        <v>4145</v>
      </c>
      <c r="C727" s="73" t="s">
        <v>3872</v>
      </c>
      <c r="D727" s="2168"/>
      <c r="E727" s="52" t="s">
        <v>4146</v>
      </c>
      <c r="F727" s="812">
        <v>1</v>
      </c>
      <c r="G727" s="6">
        <v>756321</v>
      </c>
      <c r="H727" s="6">
        <v>760039</v>
      </c>
      <c r="I727" s="20">
        <f t="shared" si="26"/>
        <v>3718</v>
      </c>
      <c r="J727" s="616">
        <v>60</v>
      </c>
      <c r="K727" s="703"/>
      <c r="L727" s="22">
        <f t="shared" si="27"/>
        <v>223080</v>
      </c>
      <c r="M727" s="22"/>
      <c r="N727" s="72" t="s">
        <v>102</v>
      </c>
      <c r="O727" s="15"/>
    </row>
    <row r="728" spans="1:15" ht="18" customHeight="1" x14ac:dyDescent="0.35">
      <c r="A728" s="631">
        <v>12</v>
      </c>
      <c r="B728" s="100" t="s">
        <v>4147</v>
      </c>
      <c r="C728" s="73" t="s">
        <v>3872</v>
      </c>
      <c r="D728" s="2168"/>
      <c r="E728" s="52" t="s">
        <v>4148</v>
      </c>
      <c r="F728" s="812">
        <v>1</v>
      </c>
      <c r="G728" s="6">
        <v>3410121</v>
      </c>
      <c r="H728" s="6">
        <v>3434374</v>
      </c>
      <c r="I728" s="20">
        <f t="shared" si="26"/>
        <v>24253</v>
      </c>
      <c r="J728" s="616">
        <v>60</v>
      </c>
      <c r="K728" s="703"/>
      <c r="L728" s="22">
        <f t="shared" si="27"/>
        <v>1455180</v>
      </c>
      <c r="M728" s="22"/>
      <c r="N728" s="72" t="s">
        <v>102</v>
      </c>
      <c r="O728" s="15"/>
    </row>
    <row r="729" spans="1:15" ht="18" customHeight="1" x14ac:dyDescent="0.35">
      <c r="A729" s="631">
        <v>13</v>
      </c>
      <c r="B729" s="100" t="s">
        <v>4149</v>
      </c>
      <c r="C729" s="73" t="s">
        <v>3872</v>
      </c>
      <c r="D729" s="2168"/>
      <c r="E729" s="52" t="s">
        <v>4150</v>
      </c>
      <c r="F729" s="812">
        <v>1</v>
      </c>
      <c r="G729" s="6">
        <v>887880.8</v>
      </c>
      <c r="H729" s="6">
        <v>908158.5</v>
      </c>
      <c r="I729" s="20">
        <f t="shared" si="26"/>
        <v>20277.699999999953</v>
      </c>
      <c r="J729" s="616">
        <v>60</v>
      </c>
      <c r="K729" s="703"/>
      <c r="L729" s="22">
        <f t="shared" si="27"/>
        <v>1216661.9999999972</v>
      </c>
      <c r="M729" s="22"/>
      <c r="N729" s="72" t="s">
        <v>102</v>
      </c>
      <c r="O729" s="15"/>
    </row>
    <row r="730" spans="1:15" ht="18" customHeight="1" x14ac:dyDescent="0.35">
      <c r="A730" s="631">
        <v>16</v>
      </c>
      <c r="B730" s="100" t="s">
        <v>1446</v>
      </c>
      <c r="C730" s="73" t="s">
        <v>3872</v>
      </c>
      <c r="D730" s="2168"/>
      <c r="E730" s="52" t="s">
        <v>4140</v>
      </c>
      <c r="F730" s="812">
        <v>1</v>
      </c>
      <c r="G730" s="6"/>
      <c r="H730" s="6"/>
      <c r="I730" s="20">
        <f t="shared" si="26"/>
        <v>0</v>
      </c>
      <c r="J730" s="616"/>
      <c r="K730" s="703"/>
      <c r="L730" s="22">
        <f t="shared" si="27"/>
        <v>0</v>
      </c>
      <c r="M730" s="22"/>
      <c r="N730" s="72"/>
      <c r="O730" s="15"/>
    </row>
    <row r="731" spans="1:15" ht="18" customHeight="1" x14ac:dyDescent="0.35">
      <c r="A731" s="631">
        <v>17</v>
      </c>
      <c r="B731" s="100" t="s">
        <v>4151</v>
      </c>
      <c r="C731" s="73" t="s">
        <v>3872</v>
      </c>
      <c r="D731" s="2168"/>
      <c r="E731" s="52" t="s">
        <v>4152</v>
      </c>
      <c r="F731" s="812">
        <v>1</v>
      </c>
      <c r="G731" s="6">
        <v>584063.19999999995</v>
      </c>
      <c r="H731" s="6">
        <v>592778.4</v>
      </c>
      <c r="I731" s="20">
        <f t="shared" si="26"/>
        <v>8715.2000000000698</v>
      </c>
      <c r="J731" s="616">
        <v>60</v>
      </c>
      <c r="K731" s="703"/>
      <c r="L731" s="22">
        <f t="shared" si="27"/>
        <v>522912.00000000419</v>
      </c>
      <c r="M731" s="22"/>
      <c r="N731" s="72" t="s">
        <v>102</v>
      </c>
      <c r="O731" s="15"/>
    </row>
    <row r="732" spans="1:15" ht="18" customHeight="1" x14ac:dyDescent="0.35">
      <c r="A732" s="631">
        <v>18</v>
      </c>
      <c r="B732" s="100" t="s">
        <v>4153</v>
      </c>
      <c r="C732" s="73" t="s">
        <v>3872</v>
      </c>
      <c r="D732" s="2168"/>
      <c r="E732" s="52" t="s">
        <v>4154</v>
      </c>
      <c r="F732" s="812">
        <v>1</v>
      </c>
      <c r="G732" s="6">
        <v>345474.3</v>
      </c>
      <c r="H732" s="6">
        <v>345474.3</v>
      </c>
      <c r="I732" s="20">
        <f t="shared" si="26"/>
        <v>0</v>
      </c>
      <c r="J732" s="616">
        <v>60</v>
      </c>
      <c r="K732" s="703"/>
      <c r="L732" s="22">
        <f t="shared" si="27"/>
        <v>0</v>
      </c>
      <c r="M732" s="22"/>
      <c r="N732" s="72" t="s">
        <v>102</v>
      </c>
      <c r="O732" s="15"/>
    </row>
    <row r="733" spans="1:15" ht="18" customHeight="1" x14ac:dyDescent="0.35">
      <c r="A733" s="631">
        <v>19</v>
      </c>
      <c r="B733" s="100" t="s">
        <v>4155</v>
      </c>
      <c r="C733" s="73" t="s">
        <v>3872</v>
      </c>
      <c r="D733" s="2168"/>
      <c r="E733" s="52" t="s">
        <v>4156</v>
      </c>
      <c r="F733" s="812">
        <v>1</v>
      </c>
      <c r="G733" s="6">
        <v>1350.13</v>
      </c>
      <c r="H733" s="6">
        <v>1362.07</v>
      </c>
      <c r="I733" s="20">
        <f t="shared" si="26"/>
        <v>11.939999999999827</v>
      </c>
      <c r="J733" s="616">
        <v>60000</v>
      </c>
      <c r="K733" s="703"/>
      <c r="L733" s="22">
        <f t="shared" si="27"/>
        <v>716399.99999998964</v>
      </c>
      <c r="M733" s="22"/>
      <c r="N733" s="72" t="s">
        <v>102</v>
      </c>
      <c r="O733" s="15"/>
    </row>
    <row r="734" spans="1:15" ht="18" customHeight="1" x14ac:dyDescent="0.35">
      <c r="A734" s="631">
        <v>20</v>
      </c>
      <c r="B734" s="100" t="s">
        <v>4157</v>
      </c>
      <c r="C734" s="73" t="s">
        <v>3872</v>
      </c>
      <c r="D734" s="2168"/>
      <c r="E734" s="52" t="s">
        <v>4158</v>
      </c>
      <c r="F734" s="812">
        <v>1</v>
      </c>
      <c r="G734" s="6">
        <v>1170.03</v>
      </c>
      <c r="H734" s="6">
        <v>1170.03</v>
      </c>
      <c r="I734" s="20">
        <f t="shared" si="26"/>
        <v>0</v>
      </c>
      <c r="J734" s="616">
        <v>60000</v>
      </c>
      <c r="K734" s="703"/>
      <c r="L734" s="22">
        <f t="shared" si="27"/>
        <v>0</v>
      </c>
      <c r="M734" s="22"/>
      <c r="N734" s="72" t="s">
        <v>90</v>
      </c>
      <c r="O734" s="15"/>
    </row>
    <row r="735" spans="1:15" ht="18" customHeight="1" x14ac:dyDescent="0.35">
      <c r="A735" s="631">
        <v>21</v>
      </c>
      <c r="B735" s="100" t="s">
        <v>1446</v>
      </c>
      <c r="C735" s="73" t="s">
        <v>3872</v>
      </c>
      <c r="D735" s="2168"/>
      <c r="E735" s="52" t="s">
        <v>4159</v>
      </c>
      <c r="F735" s="812">
        <v>1</v>
      </c>
      <c r="G735" s="6"/>
      <c r="H735" s="6"/>
      <c r="I735" s="20">
        <f t="shared" si="26"/>
        <v>0</v>
      </c>
      <c r="J735" s="616"/>
      <c r="K735" s="703"/>
      <c r="L735" s="22">
        <f t="shared" si="27"/>
        <v>0</v>
      </c>
      <c r="M735" s="22"/>
      <c r="N735" s="72"/>
      <c r="O735" s="15"/>
    </row>
    <row r="736" spans="1:15" ht="18" customHeight="1" x14ac:dyDescent="0.35">
      <c r="A736" s="631">
        <v>22</v>
      </c>
      <c r="B736" s="100" t="s">
        <v>4160</v>
      </c>
      <c r="C736" s="73" t="s">
        <v>3872</v>
      </c>
      <c r="D736" s="2168"/>
      <c r="E736" s="52" t="s">
        <v>4161</v>
      </c>
      <c r="F736" s="812">
        <v>1</v>
      </c>
      <c r="G736" s="6">
        <v>1362.1</v>
      </c>
      <c r="H736" s="6">
        <v>1379.48</v>
      </c>
      <c r="I736" s="20">
        <f t="shared" si="26"/>
        <v>17.380000000000109</v>
      </c>
      <c r="J736" s="616">
        <v>60000</v>
      </c>
      <c r="K736" s="703"/>
      <c r="L736" s="22">
        <f t="shared" si="27"/>
        <v>1042800.0000000065</v>
      </c>
      <c r="M736" s="22"/>
      <c r="N736" s="72" t="s">
        <v>102</v>
      </c>
      <c r="O736" s="15"/>
    </row>
    <row r="737" spans="1:15" ht="18" customHeight="1" x14ac:dyDescent="0.35">
      <c r="A737" s="631">
        <v>23</v>
      </c>
      <c r="B737" s="100" t="s">
        <v>4162</v>
      </c>
      <c r="C737" s="73" t="s">
        <v>3867</v>
      </c>
      <c r="D737" s="2169"/>
      <c r="E737" s="52" t="s">
        <v>4163</v>
      </c>
      <c r="F737" s="812">
        <v>1</v>
      </c>
      <c r="G737" s="6">
        <v>5246.95</v>
      </c>
      <c r="H737" s="6">
        <v>5289.31</v>
      </c>
      <c r="I737" s="20">
        <f t="shared" si="26"/>
        <v>42.360000000000582</v>
      </c>
      <c r="J737" s="616">
        <v>100</v>
      </c>
      <c r="K737" s="703"/>
      <c r="L737" s="22">
        <v>4236.0000000000582</v>
      </c>
      <c r="M737" s="22"/>
      <c r="N737" s="72" t="s">
        <v>102</v>
      </c>
      <c r="O737" s="15"/>
    </row>
    <row r="738" spans="1:15" ht="20" x14ac:dyDescent="0.35">
      <c r="A738" s="636"/>
      <c r="B738" s="96"/>
      <c r="C738" s="90"/>
      <c r="D738" s="96"/>
      <c r="E738" s="90"/>
      <c r="F738" s="813"/>
      <c r="G738" s="38"/>
      <c r="H738" s="38"/>
      <c r="I738" s="38"/>
      <c r="J738" s="53" t="s">
        <v>44</v>
      </c>
      <c r="K738" s="43">
        <f>K721</f>
        <v>5029740</v>
      </c>
      <c r="L738" s="43">
        <f>SUM(L723:L737)</f>
        <v>5181269.9999999981</v>
      </c>
      <c r="M738" s="43">
        <f>SUM(M723:M737)</f>
        <v>0</v>
      </c>
      <c r="N738" s="84">
        <f>(M738-L738)/L738*100</f>
        <v>-100</v>
      </c>
      <c r="O738" s="29"/>
    </row>
    <row r="740" spans="1:15" ht="15" x14ac:dyDescent="0.35">
      <c r="A740" s="620"/>
      <c r="B740" s="635"/>
      <c r="C740" s="632"/>
      <c r="D740" s="1900"/>
      <c r="F740" s="2092" t="s">
        <v>1099</v>
      </c>
      <c r="G740" s="2092"/>
      <c r="H740" s="2092"/>
      <c r="I740" s="677" t="s">
        <v>14</v>
      </c>
      <c r="J740" s="620"/>
      <c r="K740" s="702"/>
      <c r="L740" s="620"/>
      <c r="M740" s="620"/>
      <c r="N740" s="632"/>
      <c r="O740" s="620"/>
    </row>
    <row r="741" spans="1:15" ht="15.5" x14ac:dyDescent="0.35">
      <c r="A741" s="620"/>
      <c r="B741" s="635"/>
      <c r="C741" s="632"/>
      <c r="D741" s="1900"/>
      <c r="F741" s="2153" t="s">
        <v>232</v>
      </c>
      <c r="G741" s="2154"/>
      <c r="H741" s="2155"/>
      <c r="I741" s="643">
        <f>SUM(M723:M724,M727)</f>
        <v>0</v>
      </c>
      <c r="J741" s="620"/>
      <c r="K741" s="702"/>
      <c r="L741" s="620"/>
      <c r="M741" s="620"/>
      <c r="N741" s="632"/>
      <c r="O741" s="620" t="s">
        <v>237</v>
      </c>
    </row>
    <row r="742" spans="1:15" ht="15.5" x14ac:dyDescent="0.35">
      <c r="A742" s="620"/>
      <c r="B742" s="635"/>
      <c r="C742" s="632"/>
      <c r="D742" s="1900"/>
      <c r="F742" s="2153" t="s">
        <v>268</v>
      </c>
      <c r="G742" s="2154"/>
      <c r="H742" s="2155"/>
      <c r="I742" s="643">
        <f>SUM(M725:M726,M728,M734,M735,M737)</f>
        <v>0</v>
      </c>
      <c r="J742" s="620"/>
      <c r="K742" s="702"/>
      <c r="L742" s="620"/>
      <c r="M742" s="620"/>
      <c r="N742" s="632"/>
      <c r="O742" s="620"/>
    </row>
    <row r="743" spans="1:15" ht="16" thickBot="1" x14ac:dyDescent="0.4">
      <c r="A743" s="620"/>
      <c r="B743" s="635"/>
      <c r="C743" s="632"/>
      <c r="D743" s="1900"/>
      <c r="F743" s="2153" t="s">
        <v>269</v>
      </c>
      <c r="G743" s="2154"/>
      <c r="H743" s="2155"/>
      <c r="I743" s="643">
        <f>SUM(M729,M736)</f>
        <v>0</v>
      </c>
      <c r="J743" s="620"/>
      <c r="K743" s="702"/>
      <c r="L743" s="620"/>
      <c r="M743" s="620"/>
      <c r="N743" s="632"/>
      <c r="O743" s="620"/>
    </row>
    <row r="744" spans="1:15" ht="20.5" thickBot="1" x14ac:dyDescent="0.4">
      <c r="A744" s="620"/>
      <c r="B744" s="635"/>
      <c r="C744" s="632"/>
      <c r="D744" s="1900"/>
      <c r="E744" s="632"/>
      <c r="F744" s="2156" t="s">
        <v>210</v>
      </c>
      <c r="G744" s="2156"/>
      <c r="H744" s="2156"/>
      <c r="I744" s="656">
        <f>SUM(I741:I743)</f>
        <v>0</v>
      </c>
      <c r="J744" s="682">
        <f>I744-M738</f>
        <v>0</v>
      </c>
      <c r="K744" s="702"/>
      <c r="L744" s="620"/>
      <c r="M744" s="620"/>
      <c r="N744" s="632"/>
      <c r="O744" s="620"/>
    </row>
    <row r="745" spans="1:15" x14ac:dyDescent="0.35">
      <c r="A745" s="620"/>
      <c r="B745" s="635"/>
      <c r="C745" s="632"/>
      <c r="D745" s="1900"/>
      <c r="E745" s="632"/>
      <c r="F745" s="810"/>
      <c r="G745" s="620"/>
      <c r="H745" s="620"/>
      <c r="I745" s="620"/>
      <c r="J745" s="620"/>
      <c r="K745" s="702"/>
      <c r="L745" s="620"/>
      <c r="M745" s="620"/>
      <c r="N745" s="632"/>
      <c r="O745" s="620"/>
    </row>
    <row r="746" spans="1:15" x14ac:dyDescent="0.35">
      <c r="A746" s="620"/>
      <c r="B746" s="635"/>
      <c r="C746" s="632"/>
      <c r="D746" s="1900"/>
      <c r="E746" s="632"/>
      <c r="F746" s="810"/>
      <c r="G746" s="620"/>
      <c r="H746" s="620"/>
      <c r="I746" s="620"/>
      <c r="J746" s="620"/>
      <c r="K746" s="702"/>
      <c r="L746" s="620"/>
      <c r="M746" s="620"/>
      <c r="N746" s="632"/>
      <c r="O746" s="620"/>
    </row>
    <row r="747" spans="1:15" x14ac:dyDescent="0.35">
      <c r="A747" s="620"/>
      <c r="B747" s="635"/>
      <c r="C747" s="632"/>
      <c r="D747" s="1900"/>
      <c r="E747" s="632"/>
      <c r="F747" s="810"/>
      <c r="G747" s="620"/>
      <c r="H747" s="620"/>
      <c r="I747" s="620"/>
      <c r="J747" s="620"/>
      <c r="K747" s="702"/>
      <c r="L747" s="620"/>
      <c r="M747" s="620"/>
      <c r="N747" s="632"/>
      <c r="O747" s="620"/>
    </row>
    <row r="748" spans="1:15" x14ac:dyDescent="0.35">
      <c r="A748" s="620"/>
      <c r="B748" s="635"/>
      <c r="C748" s="632"/>
      <c r="D748" s="1900"/>
      <c r="E748" s="632"/>
      <c r="F748" s="810"/>
      <c r="G748" s="620"/>
      <c r="H748" s="620"/>
      <c r="I748" s="620"/>
      <c r="J748" s="620"/>
      <c r="K748" s="702"/>
      <c r="L748" s="620"/>
      <c r="M748" s="620"/>
      <c r="N748" s="632"/>
      <c r="O748" s="620"/>
    </row>
    <row r="749" spans="1:15" x14ac:dyDescent="0.35">
      <c r="A749" s="620"/>
      <c r="B749" s="635"/>
      <c r="C749" s="632"/>
      <c r="D749" s="1900"/>
      <c r="E749" s="632"/>
      <c r="F749" s="810"/>
      <c r="G749" s="620"/>
      <c r="H749" s="620"/>
      <c r="I749" s="620"/>
      <c r="J749" s="620"/>
      <c r="K749" s="702"/>
      <c r="L749" s="620"/>
      <c r="M749" s="620"/>
      <c r="N749" s="632"/>
      <c r="O749" s="620"/>
    </row>
    <row r="750" spans="1:15" x14ac:dyDescent="0.35">
      <c r="A750" s="620"/>
      <c r="B750" s="632"/>
      <c r="C750" s="632"/>
      <c r="D750" s="1900"/>
      <c r="E750" s="632"/>
      <c r="F750" s="810"/>
      <c r="G750" s="620"/>
      <c r="H750" s="620"/>
      <c r="I750" s="620"/>
      <c r="J750" s="620"/>
      <c r="K750" s="702"/>
      <c r="L750" s="620"/>
      <c r="M750" s="620"/>
      <c r="N750" s="632"/>
      <c r="O750" s="620"/>
    </row>
    <row r="751" spans="1:15" x14ac:dyDescent="0.35">
      <c r="A751" s="620"/>
      <c r="B751" s="632"/>
      <c r="C751" s="632"/>
      <c r="D751" s="1900"/>
      <c r="E751" s="632"/>
      <c r="F751" s="810"/>
      <c r="G751" s="620"/>
      <c r="H751" s="620"/>
      <c r="I751" s="620"/>
      <c r="J751" s="620"/>
      <c r="K751" s="702"/>
      <c r="L751" s="620"/>
      <c r="M751" s="620"/>
      <c r="N751" s="632"/>
      <c r="O751" s="620"/>
    </row>
    <row r="752" spans="1:15" x14ac:dyDescent="0.35">
      <c r="A752" s="620"/>
      <c r="B752" s="635"/>
      <c r="C752" s="632"/>
      <c r="D752" s="1900"/>
      <c r="E752" s="632"/>
      <c r="F752" s="810"/>
      <c r="G752" s="620"/>
      <c r="H752" s="620"/>
      <c r="I752" s="620"/>
      <c r="J752" s="620"/>
      <c r="K752" s="702"/>
      <c r="L752" s="620"/>
      <c r="M752" s="620"/>
      <c r="N752" s="632"/>
      <c r="O752" s="620"/>
    </row>
    <row r="753" spans="1:15" x14ac:dyDescent="0.35">
      <c r="A753" s="620"/>
      <c r="B753" s="635"/>
      <c r="C753" s="632"/>
      <c r="D753" s="1900"/>
      <c r="E753" s="632"/>
      <c r="F753" s="810"/>
      <c r="G753" s="620"/>
      <c r="H753" s="620"/>
      <c r="I753" s="620"/>
      <c r="J753" s="620"/>
      <c r="K753" s="702"/>
      <c r="L753" s="620"/>
      <c r="M753" s="620"/>
      <c r="N753" s="632"/>
      <c r="O753" s="620"/>
    </row>
    <row r="754" spans="1:15" x14ac:dyDescent="0.35">
      <c r="A754" s="620"/>
      <c r="B754" s="635"/>
      <c r="C754" s="632"/>
      <c r="D754" s="1900"/>
      <c r="E754" s="632"/>
      <c r="F754" s="810"/>
      <c r="G754" s="620"/>
      <c r="H754" s="620"/>
      <c r="I754" s="620"/>
      <c r="J754" s="620"/>
      <c r="K754" s="702"/>
      <c r="L754" s="620"/>
      <c r="M754" s="620"/>
      <c r="N754" s="632"/>
      <c r="O754" s="620"/>
    </row>
    <row r="755" spans="1:15" ht="25" x14ac:dyDescent="0.35">
      <c r="A755" s="28"/>
      <c r="B755" s="2152"/>
      <c r="C755" s="2152"/>
      <c r="D755" s="2152"/>
      <c r="E755" s="2152"/>
      <c r="F755" s="2152"/>
      <c r="G755" s="2152"/>
      <c r="H755" s="2152"/>
      <c r="I755" s="2152"/>
      <c r="J755" s="2152"/>
      <c r="K755" s="2152"/>
      <c r="L755" s="2152"/>
      <c r="M755" s="2152"/>
      <c r="N755" s="632"/>
      <c r="O755" s="620"/>
    </row>
    <row r="756" spans="1:15" x14ac:dyDescent="0.35">
      <c r="A756" s="620"/>
      <c r="B756" s="635"/>
      <c r="C756" s="632"/>
      <c r="D756" s="1900"/>
      <c r="E756" s="632"/>
      <c r="F756" s="810"/>
      <c r="G756" s="620"/>
      <c r="H756" s="620"/>
      <c r="I756" s="620"/>
      <c r="J756" s="620"/>
      <c r="K756" s="702"/>
      <c r="L756" s="620"/>
      <c r="M756" s="620"/>
      <c r="N756" s="632"/>
      <c r="O756" s="620"/>
    </row>
    <row r="757" spans="1:15" x14ac:dyDescent="0.35">
      <c r="A757" s="620"/>
      <c r="B757" s="635"/>
      <c r="C757" s="632"/>
      <c r="D757" s="1900"/>
      <c r="E757" s="632"/>
      <c r="F757" s="810"/>
      <c r="G757" s="620"/>
      <c r="H757" s="620"/>
      <c r="I757" s="620"/>
      <c r="J757" s="620"/>
      <c r="K757" s="702"/>
      <c r="L757" s="620"/>
      <c r="M757" s="620"/>
      <c r="N757" s="632"/>
      <c r="O757" s="620"/>
    </row>
    <row r="758" spans="1:15" ht="25" x14ac:dyDescent="0.35">
      <c r="A758" s="2095" t="s">
        <v>4164</v>
      </c>
      <c r="B758" s="2095"/>
      <c r="C758" s="2095"/>
      <c r="D758" s="2095"/>
      <c r="E758" s="2095"/>
      <c r="F758" s="2095"/>
      <c r="G758" s="2095"/>
      <c r="H758" s="2095"/>
      <c r="I758" s="2095"/>
      <c r="J758" s="2095"/>
      <c r="K758" s="2095"/>
      <c r="L758" s="2095"/>
      <c r="M758" s="2095"/>
      <c r="N758" s="2095"/>
      <c r="O758" s="756" t="e">
        <f>$O$6</f>
        <v>#REF!</v>
      </c>
    </row>
    <row r="759" spans="1:15" ht="15.5" x14ac:dyDescent="0.35">
      <c r="A759" s="2096" t="s">
        <v>0</v>
      </c>
      <c r="B759" s="2098" t="s">
        <v>1</v>
      </c>
      <c r="C759" s="2100" t="s">
        <v>2</v>
      </c>
      <c r="D759" s="2101"/>
      <c r="E759" s="2102"/>
      <c r="F759" s="2216" t="s">
        <v>3</v>
      </c>
      <c r="G759" s="2100" t="s">
        <v>4</v>
      </c>
      <c r="H759" s="2102"/>
      <c r="I759" s="2085"/>
      <c r="J759" s="2103" t="s">
        <v>5</v>
      </c>
      <c r="K759" s="2100" t="s">
        <v>6</v>
      </c>
      <c r="L759" s="2085"/>
      <c r="M759" s="97" t="s">
        <v>32</v>
      </c>
      <c r="N759" s="98"/>
      <c r="O759" s="2084" t="s">
        <v>7</v>
      </c>
    </row>
    <row r="760" spans="1:15" ht="15.5" x14ac:dyDescent="0.35">
      <c r="A760" s="2097"/>
      <c r="B760" s="2099"/>
      <c r="C760" s="2086" t="s">
        <v>1108</v>
      </c>
      <c r="D760" s="2087"/>
      <c r="E760" s="87" t="s">
        <v>9</v>
      </c>
      <c r="F760" s="2217"/>
      <c r="G760" s="2">
        <f>'NORTH-1'!$G$8</f>
        <v>44774</v>
      </c>
      <c r="H760" s="2">
        <f>'NORTH-1'!$H$8</f>
        <v>44805</v>
      </c>
      <c r="I760" s="1" t="s">
        <v>10</v>
      </c>
      <c r="J760" s="2097"/>
      <c r="K760" s="1" t="s">
        <v>11</v>
      </c>
      <c r="L760" s="1" t="s">
        <v>12</v>
      </c>
      <c r="M760" s="617" t="s">
        <v>33</v>
      </c>
      <c r="N760" s="76" t="s">
        <v>47</v>
      </c>
      <c r="O760" s="2085"/>
    </row>
    <row r="761" spans="1:15" ht="15.5" x14ac:dyDescent="0.35">
      <c r="A761" s="3">
        <v>1</v>
      </c>
      <c r="B761" s="88">
        <v>2</v>
      </c>
      <c r="C761" s="2088">
        <v>4</v>
      </c>
      <c r="D761" s="2089"/>
      <c r="E761" s="88">
        <v>5</v>
      </c>
      <c r="F761" s="803">
        <v>7</v>
      </c>
      <c r="G761" s="3">
        <v>8</v>
      </c>
      <c r="H761" s="3">
        <v>9</v>
      </c>
      <c r="I761" s="3" t="s">
        <v>13</v>
      </c>
      <c r="J761" s="3">
        <v>11</v>
      </c>
      <c r="K761" s="3" t="s">
        <v>19</v>
      </c>
      <c r="L761" s="3" t="s">
        <v>20</v>
      </c>
      <c r="M761" s="3">
        <v>14</v>
      </c>
      <c r="N761" s="77">
        <v>15</v>
      </c>
      <c r="O761" s="3">
        <v>16</v>
      </c>
    </row>
    <row r="762" spans="1:15" ht="15.5" x14ac:dyDescent="0.35">
      <c r="A762" s="631"/>
      <c r="B762" s="624" t="s">
        <v>3437</v>
      </c>
      <c r="C762" s="625"/>
      <c r="D762" s="695"/>
      <c r="E762" s="625"/>
      <c r="F762" s="804"/>
      <c r="G762" s="625"/>
      <c r="H762" s="625"/>
      <c r="I762" s="625"/>
      <c r="J762" s="625"/>
      <c r="K762" s="695"/>
      <c r="L762" s="625"/>
      <c r="M762" s="626"/>
      <c r="N762" s="627"/>
      <c r="O762" s="616"/>
    </row>
    <row r="763" spans="1:15" ht="15.5" x14ac:dyDescent="0.35">
      <c r="A763" s="11">
        <v>1</v>
      </c>
      <c r="B763" s="100" t="s">
        <v>4132</v>
      </c>
      <c r="C763" s="52" t="s">
        <v>3833</v>
      </c>
      <c r="D763" s="2105"/>
      <c r="E763" s="52" t="s">
        <v>4167</v>
      </c>
      <c r="F763" s="812">
        <v>1</v>
      </c>
      <c r="G763" s="21">
        <v>769494</v>
      </c>
      <c r="H763" s="21">
        <v>769494</v>
      </c>
      <c r="I763" s="21">
        <f>H763-G763</f>
        <v>0</v>
      </c>
      <c r="J763" s="616">
        <v>180</v>
      </c>
      <c r="K763" s="696">
        <f>F763*I763*J763</f>
        <v>0</v>
      </c>
      <c r="L763" s="22"/>
      <c r="M763" s="22"/>
      <c r="N763" s="82"/>
      <c r="O763" s="9"/>
    </row>
    <row r="764" spans="1:15" ht="15.5" x14ac:dyDescent="0.35">
      <c r="A764" s="11">
        <v>3</v>
      </c>
      <c r="B764" s="100" t="s">
        <v>4168</v>
      </c>
      <c r="C764" s="52" t="s">
        <v>3833</v>
      </c>
      <c r="D764" s="2106"/>
      <c r="E764" s="52" t="s">
        <v>4169</v>
      </c>
      <c r="F764" s="812">
        <v>1</v>
      </c>
      <c r="G764" s="21">
        <v>1085016</v>
      </c>
      <c r="H764" s="21">
        <v>1094722</v>
      </c>
      <c r="I764" s="21">
        <f>H764-G764</f>
        <v>9706</v>
      </c>
      <c r="J764" s="616">
        <v>540</v>
      </c>
      <c r="K764" s="696">
        <f>F764*I764*J764</f>
        <v>5241240</v>
      </c>
      <c r="L764" s="22"/>
      <c r="M764" s="22"/>
      <c r="N764" s="82"/>
      <c r="O764" s="9"/>
    </row>
    <row r="765" spans="1:15" ht="15.5" x14ac:dyDescent="0.35">
      <c r="A765" s="11">
        <v>5</v>
      </c>
      <c r="B765" s="100" t="s">
        <v>4170</v>
      </c>
      <c r="C765" s="52" t="s">
        <v>3833</v>
      </c>
      <c r="D765" s="2106"/>
      <c r="E765" s="52" t="s">
        <v>4171</v>
      </c>
      <c r="F765" s="812">
        <v>1</v>
      </c>
      <c r="G765" s="21">
        <v>73350</v>
      </c>
      <c r="H765" s="21">
        <v>80917</v>
      </c>
      <c r="I765" s="21">
        <f>H765-G765</f>
        <v>7567</v>
      </c>
      <c r="J765" s="616">
        <v>540</v>
      </c>
      <c r="K765" s="696">
        <f>F765*I765*J765</f>
        <v>4086180</v>
      </c>
      <c r="L765" s="22"/>
      <c r="M765" s="22"/>
      <c r="N765" s="82"/>
      <c r="O765" s="9"/>
    </row>
    <row r="766" spans="1:15" ht="15.5" x14ac:dyDescent="0.35">
      <c r="A766" s="631">
        <v>6</v>
      </c>
      <c r="B766" s="100" t="s">
        <v>4134</v>
      </c>
      <c r="C766" s="52" t="s">
        <v>3833</v>
      </c>
      <c r="D766" s="2151"/>
      <c r="E766" s="52" t="s">
        <v>4172</v>
      </c>
      <c r="F766" s="812">
        <v>1</v>
      </c>
      <c r="G766" s="21">
        <v>846054</v>
      </c>
      <c r="H766" s="21">
        <v>846054</v>
      </c>
      <c r="I766" s="21">
        <f>H766-G766</f>
        <v>0</v>
      </c>
      <c r="J766" s="616">
        <v>180</v>
      </c>
      <c r="K766" s="696">
        <f>F766*I766*J766</f>
        <v>0</v>
      </c>
      <c r="L766" s="22"/>
      <c r="M766" s="22"/>
      <c r="N766" s="82"/>
      <c r="O766" s="616"/>
    </row>
    <row r="767" spans="1:15" ht="15.5" x14ac:dyDescent="0.35">
      <c r="A767" s="631"/>
      <c r="B767" s="102"/>
      <c r="C767" s="91"/>
      <c r="D767" s="726"/>
      <c r="E767" s="91"/>
      <c r="F767" s="814"/>
      <c r="G767" s="48"/>
      <c r="H767" s="48"/>
      <c r="I767" s="48"/>
      <c r="J767" s="96" t="s">
        <v>30</v>
      </c>
      <c r="K767" s="43">
        <f>SUM(K763:K766)</f>
        <v>9327420</v>
      </c>
      <c r="L767" s="43">
        <f>SUM(L763:L766)</f>
        <v>0</v>
      </c>
      <c r="M767" s="43">
        <f>SUM(M763:M766)</f>
        <v>0</v>
      </c>
      <c r="N767" s="646" t="e">
        <f>(M767-L767)/L767*100</f>
        <v>#DIV/0!</v>
      </c>
      <c r="O767" s="616"/>
    </row>
    <row r="768" spans="1:15" ht="15.5" x14ac:dyDescent="0.35">
      <c r="A768" s="616"/>
      <c r="B768" s="624" t="s">
        <v>1497</v>
      </c>
      <c r="C768" s="625"/>
      <c r="D768" s="695"/>
      <c r="E768" s="625"/>
      <c r="F768" s="804"/>
      <c r="G768" s="625"/>
      <c r="H768" s="625"/>
      <c r="I768" s="625"/>
      <c r="J768" s="732"/>
      <c r="K768" s="733"/>
      <c r="L768" s="734"/>
      <c r="M768" s="734"/>
      <c r="N768" s="627"/>
      <c r="O768" s="12"/>
    </row>
    <row r="769" spans="1:15" ht="15.5" x14ac:dyDescent="0.35">
      <c r="A769" s="616"/>
      <c r="B769" s="100"/>
      <c r="C769" s="52">
        <v>33</v>
      </c>
      <c r="D769" s="2105" t="s">
        <v>1084</v>
      </c>
      <c r="E769" s="52" t="s">
        <v>257</v>
      </c>
      <c r="F769" s="812">
        <v>1</v>
      </c>
      <c r="G769" s="21"/>
      <c r="H769" s="21"/>
      <c r="I769" s="20">
        <f>H769-G769</f>
        <v>0</v>
      </c>
      <c r="J769" s="616">
        <v>180</v>
      </c>
      <c r="K769" s="696"/>
      <c r="L769" s="22">
        <f>J769*I769*F769</f>
        <v>0</v>
      </c>
      <c r="M769" s="22"/>
      <c r="N769" s="82"/>
      <c r="O769" s="12"/>
    </row>
    <row r="770" spans="1:15" ht="15.5" x14ac:dyDescent="0.35">
      <c r="A770" s="616"/>
      <c r="B770" s="100"/>
      <c r="C770" s="52">
        <v>33</v>
      </c>
      <c r="D770" s="2106"/>
      <c r="E770" s="52" t="s">
        <v>258</v>
      </c>
      <c r="F770" s="812">
        <v>1</v>
      </c>
      <c r="G770" s="21"/>
      <c r="H770" s="21"/>
      <c r="I770" s="20">
        <f>H770-G770</f>
        <v>0</v>
      </c>
      <c r="J770" s="616">
        <v>180000</v>
      </c>
      <c r="K770" s="696"/>
      <c r="L770" s="22">
        <f>J770*I770*F770</f>
        <v>0</v>
      </c>
      <c r="M770" s="22"/>
      <c r="N770" s="82"/>
      <c r="O770" s="12"/>
    </row>
    <row r="771" spans="1:15" ht="15.5" x14ac:dyDescent="0.35">
      <c r="A771" s="616"/>
      <c r="B771" s="100"/>
      <c r="C771" s="52">
        <v>33</v>
      </c>
      <c r="D771" s="2151"/>
      <c r="E771" s="52" t="s">
        <v>259</v>
      </c>
      <c r="F771" s="812">
        <v>1</v>
      </c>
      <c r="G771" s="21"/>
      <c r="H771" s="21"/>
      <c r="I771" s="20">
        <f>H771-G771</f>
        <v>0</v>
      </c>
      <c r="J771" s="616">
        <v>180000</v>
      </c>
      <c r="K771" s="696"/>
      <c r="L771" s="22">
        <f>J771*I771*F771</f>
        <v>0</v>
      </c>
      <c r="M771" s="22"/>
      <c r="N771" s="82"/>
      <c r="O771" s="12"/>
    </row>
    <row r="772" spans="1:15" ht="15.5" x14ac:dyDescent="0.35">
      <c r="A772" s="616"/>
      <c r="B772" s="102"/>
      <c r="C772" s="91"/>
      <c r="D772" s="726"/>
      <c r="E772" s="91"/>
      <c r="F772" s="814"/>
      <c r="G772" s="48"/>
      <c r="H772" s="48"/>
      <c r="I772" s="36"/>
      <c r="J772" s="96" t="s">
        <v>30</v>
      </c>
      <c r="K772" s="706"/>
      <c r="L772" s="43">
        <f>SUM(L769:L771)</f>
        <v>0</v>
      </c>
      <c r="M772" s="43" t="e">
        <f>M767+#REF!</f>
        <v>#REF!</v>
      </c>
      <c r="N772" s="85"/>
      <c r="O772" s="12"/>
    </row>
    <row r="773" spans="1:15" ht="15.5" x14ac:dyDescent="0.35">
      <c r="A773" s="616"/>
      <c r="B773" s="647" t="s">
        <v>1498</v>
      </c>
      <c r="C773" s="648"/>
      <c r="D773" s="700"/>
      <c r="E773" s="648"/>
      <c r="F773" s="807"/>
      <c r="G773" s="648"/>
      <c r="H773" s="648"/>
      <c r="I773" s="648"/>
      <c r="J773" s="648"/>
      <c r="K773" s="700"/>
      <c r="L773" s="648"/>
      <c r="M773" s="651"/>
      <c r="N773" s="649"/>
      <c r="O773" s="8"/>
    </row>
    <row r="774" spans="1:15" ht="15.5" x14ac:dyDescent="0.35">
      <c r="A774" s="616"/>
      <c r="B774" s="100" t="s">
        <v>1079</v>
      </c>
      <c r="C774" s="52">
        <v>132</v>
      </c>
      <c r="D774" s="2138" t="s">
        <v>1083</v>
      </c>
      <c r="E774" s="615"/>
      <c r="F774" s="812"/>
      <c r="G774" s="5"/>
      <c r="H774" s="5"/>
      <c r="I774" s="5"/>
      <c r="J774" s="616"/>
      <c r="K774" s="696"/>
      <c r="L774" s="16">
        <f>J774*I774*F774</f>
        <v>0</v>
      </c>
      <c r="M774" s="7"/>
      <c r="N774" s="78"/>
      <c r="O774" s="616"/>
    </row>
    <row r="775" spans="1:15" ht="15.5" x14ac:dyDescent="0.35">
      <c r="A775" s="616"/>
      <c r="B775" s="100" t="s">
        <v>1078</v>
      </c>
      <c r="C775" s="52">
        <v>132</v>
      </c>
      <c r="D775" s="2139"/>
      <c r="E775" s="615"/>
      <c r="F775" s="812"/>
      <c r="G775" s="5"/>
      <c r="H775" s="5"/>
      <c r="I775" s="5"/>
      <c r="J775" s="616"/>
      <c r="K775" s="696"/>
      <c r="L775" s="16">
        <f>J775*I775*F775</f>
        <v>0</v>
      </c>
      <c r="M775" s="16"/>
      <c r="N775" s="79"/>
      <c r="O775" s="616"/>
    </row>
    <row r="776" spans="1:15" ht="15.5" x14ac:dyDescent="0.35">
      <c r="A776" s="616"/>
      <c r="B776" s="95"/>
      <c r="C776" s="89"/>
      <c r="D776" s="1846"/>
      <c r="E776" s="89"/>
      <c r="F776" s="806"/>
      <c r="G776" s="37"/>
      <c r="H776" s="37"/>
      <c r="I776" s="37"/>
      <c r="J776" s="95" t="s">
        <v>279</v>
      </c>
      <c r="K776" s="699"/>
      <c r="L776" s="55">
        <f>SUM(L774:L775)</f>
        <v>0</v>
      </c>
      <c r="M776" s="633"/>
      <c r="N776" s="634"/>
      <c r="O776" s="616"/>
    </row>
    <row r="777" spans="1:15" ht="15.5" x14ac:dyDescent="0.35">
      <c r="A777" s="616"/>
      <c r="B777" s="102"/>
      <c r="C777" s="91"/>
      <c r="D777" s="726"/>
      <c r="E777" s="91"/>
      <c r="F777" s="814"/>
      <c r="G777" s="48"/>
      <c r="H777" s="48"/>
      <c r="I777" s="36"/>
      <c r="J777" s="96"/>
      <c r="K777" s="706"/>
      <c r="L777" s="43"/>
      <c r="M777" s="43"/>
      <c r="N777" s="85"/>
      <c r="O777" s="12"/>
    </row>
    <row r="778" spans="1:15" ht="15.5" x14ac:dyDescent="0.35">
      <c r="A778" s="636"/>
      <c r="B778" s="647" t="s">
        <v>1499</v>
      </c>
      <c r="C778" s="648"/>
      <c r="D778" s="700"/>
      <c r="E778" s="648"/>
      <c r="F778" s="807"/>
      <c r="G778" s="648"/>
      <c r="H778" s="648"/>
      <c r="I778" s="648"/>
      <c r="J778" s="50"/>
      <c r="K778" s="710"/>
      <c r="L778" s="51"/>
      <c r="M778" s="51"/>
      <c r="N778" s="649"/>
      <c r="O778" s="12"/>
    </row>
    <row r="779" spans="1:15" ht="15.5" x14ac:dyDescent="0.35">
      <c r="A779" s="616">
        <v>2</v>
      </c>
      <c r="B779" s="100" t="s">
        <v>4127</v>
      </c>
      <c r="C779" s="52" t="s">
        <v>3833</v>
      </c>
      <c r="D779" s="2140"/>
      <c r="E779" s="52" t="s">
        <v>4165</v>
      </c>
      <c r="F779" s="812">
        <v>1</v>
      </c>
      <c r="G779" s="21">
        <v>970650</v>
      </c>
      <c r="H779" s="21">
        <v>999823</v>
      </c>
      <c r="I779" s="21">
        <f>H779-G779</f>
        <v>29173</v>
      </c>
      <c r="J779" s="31">
        <v>180</v>
      </c>
      <c r="K779" s="707"/>
      <c r="L779" s="22">
        <f>F779*I779*J779</f>
        <v>5251140</v>
      </c>
      <c r="M779" s="22"/>
      <c r="N779" s="83"/>
      <c r="O779" s="12"/>
    </row>
    <row r="780" spans="1:15" ht="15.5" x14ac:dyDescent="0.35">
      <c r="A780" s="616">
        <v>4</v>
      </c>
      <c r="B780" s="100" t="s">
        <v>4129</v>
      </c>
      <c r="C780" s="52" t="s">
        <v>3833</v>
      </c>
      <c r="D780" s="2157"/>
      <c r="E780" s="52" t="s">
        <v>4166</v>
      </c>
      <c r="F780" s="812">
        <v>1</v>
      </c>
      <c r="G780" s="21">
        <v>125546</v>
      </c>
      <c r="H780" s="21">
        <v>148268</v>
      </c>
      <c r="I780" s="21">
        <f>H780-G780</f>
        <v>22722</v>
      </c>
      <c r="J780" s="31">
        <v>180</v>
      </c>
      <c r="K780" s="707"/>
      <c r="L780" s="22">
        <f>F780*I780*J780</f>
        <v>4089960</v>
      </c>
      <c r="M780" s="22"/>
      <c r="N780" s="83"/>
      <c r="O780" s="12"/>
    </row>
    <row r="781" spans="1:15" ht="15" x14ac:dyDescent="0.35">
      <c r="A781" s="636"/>
      <c r="B781" s="96"/>
      <c r="C781" s="90"/>
      <c r="D781" s="96"/>
      <c r="E781" s="90"/>
      <c r="F781" s="813"/>
      <c r="G781" s="38"/>
      <c r="H781" s="38"/>
      <c r="I781" s="38"/>
      <c r="J781" s="96" t="s">
        <v>30</v>
      </c>
      <c r="K781" s="708"/>
      <c r="L781" s="43">
        <f>SUM(L779:L780)</f>
        <v>9341100</v>
      </c>
      <c r="M781" s="43">
        <f>SUM(M779:M780)</f>
        <v>0</v>
      </c>
      <c r="N781" s="650">
        <f>(M781-L781)/L781*100</f>
        <v>-100</v>
      </c>
      <c r="O781" s="12"/>
    </row>
    <row r="782" spans="1:15" ht="15.5" thickBot="1" x14ac:dyDescent="0.4">
      <c r="A782" s="702"/>
      <c r="B782" s="736"/>
      <c r="C782" s="92"/>
      <c r="D782" s="736"/>
      <c r="E782" s="92"/>
      <c r="F782" s="815"/>
      <c r="G782" s="737"/>
      <c r="H782" s="737"/>
      <c r="I782" s="737"/>
      <c r="J782" s="736"/>
      <c r="K782" s="738"/>
      <c r="L782" s="739"/>
      <c r="M782" s="739"/>
      <c r="N782" s="646"/>
      <c r="O782" s="740"/>
    </row>
    <row r="783" spans="1:15" ht="15" x14ac:dyDescent="0.35">
      <c r="A783" s="702"/>
      <c r="B783" s="2142" t="s">
        <v>1339</v>
      </c>
      <c r="C783" s="2143"/>
      <c r="D783" s="683" t="s">
        <v>14</v>
      </c>
      <c r="F783" s="2144" t="s">
        <v>1350</v>
      </c>
      <c r="G783" s="2145"/>
      <c r="H783" s="2146"/>
      <c r="I783" s="683" t="s">
        <v>14</v>
      </c>
      <c r="J783" s="620"/>
      <c r="K783" s="2147" t="s">
        <v>1092</v>
      </c>
      <c r="L783" s="2148"/>
      <c r="M783" s="684" t="s">
        <v>14</v>
      </c>
      <c r="N783" s="646"/>
      <c r="O783" s="740"/>
    </row>
    <row r="784" spans="1:15" ht="15" x14ac:dyDescent="0.35">
      <c r="A784" s="702"/>
      <c r="B784" s="2122" t="str">
        <f>B762</f>
        <v xml:space="preserve"> 33 KV SIDE</v>
      </c>
      <c r="C784" s="2123"/>
      <c r="D784" s="689">
        <f>M767</f>
        <v>0</v>
      </c>
      <c r="F784" s="2124" t="s">
        <v>1093</v>
      </c>
      <c r="G784" s="2125"/>
      <c r="H784" s="2126"/>
      <c r="I784" s="685">
        <f>L776</f>
        <v>0</v>
      </c>
      <c r="J784" s="620"/>
      <c r="K784" s="2160" t="str">
        <f>F785</f>
        <v xml:space="preserve"> AZIMPUR 33 KV NET IMPORT</v>
      </c>
      <c r="L784" s="2161"/>
      <c r="M784" s="687" t="e">
        <f>I785</f>
        <v>#REF!</v>
      </c>
      <c r="N784" s="646"/>
      <c r="O784" s="740"/>
    </row>
    <row r="785" spans="1:15" ht="15" x14ac:dyDescent="0.35">
      <c r="A785" s="702"/>
      <c r="B785" s="2122" t="e">
        <f>#REF!</f>
        <v>#REF!</v>
      </c>
      <c r="C785" s="2123"/>
      <c r="D785" s="741" t="e">
        <f>#REF!</f>
        <v>#REF!</v>
      </c>
      <c r="F785" s="2124" t="s">
        <v>1500</v>
      </c>
      <c r="G785" s="2125"/>
      <c r="H785" s="2126"/>
      <c r="I785" s="685" t="e">
        <f>D788-I784</f>
        <v>#REF!</v>
      </c>
      <c r="J785" s="620"/>
      <c r="K785" s="2162" t="s">
        <v>1501</v>
      </c>
      <c r="L785" s="2163"/>
      <c r="M785" s="685">
        <f>M816</f>
        <v>0</v>
      </c>
      <c r="N785" s="646"/>
      <c r="O785" s="740"/>
    </row>
    <row r="786" spans="1:15" ht="15" x14ac:dyDescent="0.35">
      <c r="A786" s="702"/>
      <c r="B786" s="2122" t="s">
        <v>1117</v>
      </c>
      <c r="C786" s="2123"/>
      <c r="D786" s="721"/>
      <c r="F786" s="2124" t="s">
        <v>1089</v>
      </c>
      <c r="G786" s="2125"/>
      <c r="H786" s="2126"/>
      <c r="I786" s="685" t="e">
        <f>I784+I785</f>
        <v>#REF!</v>
      </c>
      <c r="J786" s="620"/>
      <c r="K786" s="2127" t="s">
        <v>284</v>
      </c>
      <c r="L786" s="2128"/>
      <c r="M786" s="685" t="e">
        <f>M784-M785</f>
        <v>#REF!</v>
      </c>
      <c r="N786" s="646"/>
      <c r="O786" s="740"/>
    </row>
    <row r="787" spans="1:15" ht="16" thickBot="1" x14ac:dyDescent="0.4">
      <c r="A787" s="702"/>
      <c r="B787" s="2122" t="s">
        <v>1118</v>
      </c>
      <c r="C787" s="2123"/>
      <c r="D787" s="722"/>
      <c r="F787" s="2113" t="s">
        <v>1102</v>
      </c>
      <c r="G787" s="2114"/>
      <c r="H787" s="2115"/>
      <c r="I787" s="690" t="e">
        <f>(D788-I786)/I786</f>
        <v>#REF!</v>
      </c>
      <c r="J787" s="620"/>
      <c r="K787" s="2134" t="s">
        <v>285</v>
      </c>
      <c r="L787" s="2135"/>
      <c r="M787" s="688" t="e">
        <f>M786/M784</f>
        <v>#REF!</v>
      </c>
      <c r="N787" s="646"/>
      <c r="O787" s="740"/>
    </row>
    <row r="788" spans="1:15" ht="15.5" thickBot="1" x14ac:dyDescent="0.4">
      <c r="A788" s="702"/>
      <c r="B788" s="2158" t="s">
        <v>1082</v>
      </c>
      <c r="C788" s="2159"/>
      <c r="D788" s="686" t="e">
        <f>SUM(D784:D786)</f>
        <v>#REF!</v>
      </c>
      <c r="F788" s="810"/>
      <c r="G788" s="620"/>
      <c r="H788" s="620"/>
      <c r="I788" s="620"/>
      <c r="J788" s="620"/>
      <c r="K788" s="702"/>
      <c r="L788" s="620"/>
      <c r="M788" s="620"/>
      <c r="N788" s="646"/>
      <c r="O788" s="740"/>
    </row>
    <row r="789" spans="1:15" ht="15" x14ac:dyDescent="0.35">
      <c r="A789" s="702"/>
      <c r="B789" s="736"/>
      <c r="C789" s="92"/>
      <c r="D789" s="736"/>
      <c r="E789" s="92"/>
      <c r="F789" s="815"/>
      <c r="G789" s="737"/>
      <c r="H789" s="737"/>
      <c r="I789" s="737"/>
      <c r="J789" s="736"/>
      <c r="K789" s="738"/>
      <c r="L789" s="739"/>
      <c r="M789" s="739"/>
      <c r="N789" s="646"/>
      <c r="O789" s="740"/>
    </row>
    <row r="790" spans="1:15" x14ac:dyDescent="0.35">
      <c r="A790" s="620"/>
      <c r="B790" s="632"/>
      <c r="C790" s="620"/>
      <c r="D790" s="2014"/>
      <c r="E790" s="620"/>
      <c r="F790" s="810"/>
      <c r="G790" s="620"/>
      <c r="H790" s="620"/>
      <c r="I790" s="620"/>
      <c r="J790" s="620"/>
      <c r="K790" s="702"/>
      <c r="L790" s="620"/>
      <c r="M790" s="620"/>
      <c r="N790" s="620"/>
      <c r="O790" s="620"/>
    </row>
    <row r="791" spans="1:15" x14ac:dyDescent="0.35">
      <c r="A791" s="620"/>
      <c r="B791" s="632"/>
      <c r="C791" s="620"/>
      <c r="D791" s="2014"/>
      <c r="E791" s="620"/>
      <c r="F791" s="810"/>
      <c r="G791" s="620"/>
      <c r="H791" s="620"/>
      <c r="I791" s="620"/>
      <c r="J791" s="620"/>
      <c r="K791" s="702"/>
      <c r="L791" s="620"/>
      <c r="M791" s="620"/>
      <c r="N791" s="620"/>
      <c r="O791" s="620"/>
    </row>
    <row r="792" spans="1:15" ht="25" x14ac:dyDescent="0.35">
      <c r="A792" s="2095" t="s">
        <v>1172</v>
      </c>
      <c r="B792" s="2095"/>
      <c r="C792" s="2095"/>
      <c r="D792" s="2095"/>
      <c r="E792" s="2095"/>
      <c r="F792" s="2095"/>
      <c r="G792" s="2095"/>
      <c r="H792" s="2095"/>
      <c r="I792" s="2095"/>
      <c r="J792" s="2095"/>
      <c r="K792" s="2095"/>
      <c r="L792" s="2095"/>
      <c r="M792" s="2095"/>
      <c r="N792" s="2095"/>
      <c r="O792" s="756" t="e">
        <f>$O$6</f>
        <v>#REF!</v>
      </c>
    </row>
    <row r="793" spans="1:15" ht="15.5" x14ac:dyDescent="0.35">
      <c r="A793" s="2096" t="s">
        <v>0</v>
      </c>
      <c r="B793" s="2098" t="s">
        <v>1</v>
      </c>
      <c r="C793" s="2100" t="s">
        <v>2</v>
      </c>
      <c r="D793" s="2101"/>
      <c r="E793" s="2102"/>
      <c r="F793" s="2216" t="s">
        <v>3</v>
      </c>
      <c r="G793" s="2100" t="s">
        <v>4</v>
      </c>
      <c r="H793" s="2102"/>
      <c r="I793" s="2085"/>
      <c r="J793" s="2103" t="s">
        <v>5</v>
      </c>
      <c r="K793" s="2100" t="s">
        <v>6</v>
      </c>
      <c r="L793" s="2085"/>
      <c r="M793" s="97" t="s">
        <v>32</v>
      </c>
      <c r="N793" s="98"/>
      <c r="O793" s="2084" t="s">
        <v>7</v>
      </c>
    </row>
    <row r="794" spans="1:15" ht="15.5" x14ac:dyDescent="0.35">
      <c r="A794" s="2097"/>
      <c r="B794" s="2099"/>
      <c r="C794" s="2086" t="s">
        <v>1108</v>
      </c>
      <c r="D794" s="2087"/>
      <c r="E794" s="87" t="s">
        <v>9</v>
      </c>
      <c r="F794" s="2217"/>
      <c r="G794" s="2">
        <f>'NORTH-1'!$G$8</f>
        <v>44774</v>
      </c>
      <c r="H794" s="2">
        <f>'NORTH-1'!$H$8</f>
        <v>44805</v>
      </c>
      <c r="I794" s="1" t="s">
        <v>10</v>
      </c>
      <c r="J794" s="2097"/>
      <c r="K794" s="1" t="s">
        <v>11</v>
      </c>
      <c r="L794" s="1" t="s">
        <v>12</v>
      </c>
      <c r="M794" s="617" t="s">
        <v>33</v>
      </c>
      <c r="N794" s="76" t="s">
        <v>47</v>
      </c>
      <c r="O794" s="2085"/>
    </row>
    <row r="795" spans="1:15" ht="15.5" x14ac:dyDescent="0.35">
      <c r="A795" s="3">
        <v>1</v>
      </c>
      <c r="B795" s="88">
        <v>2</v>
      </c>
      <c r="C795" s="2088">
        <v>4</v>
      </c>
      <c r="D795" s="2089"/>
      <c r="E795" s="88">
        <v>5</v>
      </c>
      <c r="F795" s="803">
        <v>7</v>
      </c>
      <c r="G795" s="3">
        <v>8</v>
      </c>
      <c r="H795" s="3">
        <v>9</v>
      </c>
      <c r="I795" s="3" t="s">
        <v>13</v>
      </c>
      <c r="J795" s="3">
        <v>11</v>
      </c>
      <c r="K795" s="3" t="s">
        <v>19</v>
      </c>
      <c r="L795" s="3" t="s">
        <v>20</v>
      </c>
      <c r="M795" s="3">
        <v>14</v>
      </c>
      <c r="N795" s="77">
        <v>15</v>
      </c>
      <c r="O795" s="3">
        <v>16</v>
      </c>
    </row>
    <row r="796" spans="1:15" ht="15.5" x14ac:dyDescent="0.35">
      <c r="A796" s="631"/>
      <c r="B796" s="624" t="s">
        <v>1502</v>
      </c>
      <c r="C796" s="625"/>
      <c r="D796" s="695"/>
      <c r="E796" s="625"/>
      <c r="F796" s="804"/>
      <c r="G796" s="625"/>
      <c r="H796" s="625"/>
      <c r="I796" s="625"/>
      <c r="J796" s="625"/>
      <c r="K796" s="695"/>
      <c r="L796" s="625"/>
      <c r="M796" s="626"/>
      <c r="N796" s="627"/>
      <c r="O796" s="616"/>
    </row>
    <row r="797" spans="1:15" ht="15.5" x14ac:dyDescent="0.35">
      <c r="A797" s="631">
        <v>14</v>
      </c>
      <c r="B797" s="100" t="s">
        <v>4173</v>
      </c>
      <c r="C797" s="52" t="s">
        <v>3872</v>
      </c>
      <c r="D797" s="818"/>
      <c r="E797" s="52" t="s">
        <v>4174</v>
      </c>
      <c r="F797" s="812">
        <v>1</v>
      </c>
      <c r="G797" s="21">
        <v>973219</v>
      </c>
      <c r="H797" s="21">
        <v>1002422</v>
      </c>
      <c r="I797" s="21">
        <f>H797-G797</f>
        <v>29203</v>
      </c>
      <c r="J797" s="616">
        <v>180</v>
      </c>
      <c r="K797" s="696">
        <f>F797*I797*J797</f>
        <v>5256540</v>
      </c>
      <c r="L797" s="22"/>
      <c r="M797" s="22"/>
      <c r="N797" s="82"/>
      <c r="O797" s="616"/>
    </row>
    <row r="798" spans="1:15" ht="15.5" x14ac:dyDescent="0.35">
      <c r="A798" s="631">
        <v>15</v>
      </c>
      <c r="B798" s="100" t="s">
        <v>3987</v>
      </c>
      <c r="C798" s="52" t="s">
        <v>3872</v>
      </c>
      <c r="D798" s="1444"/>
      <c r="E798" s="52" t="s">
        <v>4175</v>
      </c>
      <c r="F798" s="812">
        <v>1</v>
      </c>
      <c r="G798" s="21">
        <v>139979</v>
      </c>
      <c r="H798" s="21">
        <v>162778</v>
      </c>
      <c r="I798" s="21">
        <f>H798-G798</f>
        <v>22799</v>
      </c>
      <c r="J798" s="616">
        <v>180</v>
      </c>
      <c r="K798" s="696">
        <f>F798*I798*J798</f>
        <v>4103820</v>
      </c>
      <c r="L798" s="22"/>
      <c r="M798" s="22"/>
      <c r="N798" s="82"/>
      <c r="O798" s="616"/>
    </row>
    <row r="799" spans="1:15" ht="15.5" x14ac:dyDescent="0.35">
      <c r="A799" s="631"/>
      <c r="B799" s="102"/>
      <c r="C799" s="91"/>
      <c r="D799" s="726"/>
      <c r="E799" s="91"/>
      <c r="F799" s="814"/>
      <c r="G799" s="48"/>
      <c r="H799" s="48"/>
      <c r="I799" s="48"/>
      <c r="J799" s="39" t="s">
        <v>30</v>
      </c>
      <c r="K799" s="708">
        <f>SUM(K797:K798)</f>
        <v>9360360</v>
      </c>
      <c r="L799" s="49"/>
      <c r="M799" s="43">
        <f>SUM(M797:M798)</f>
        <v>0</v>
      </c>
      <c r="N799" s="85"/>
      <c r="O799" s="616"/>
    </row>
    <row r="800" spans="1:15" ht="15.5" x14ac:dyDescent="0.35">
      <c r="A800" s="631"/>
      <c r="B800" s="647" t="s">
        <v>1502</v>
      </c>
      <c r="C800" s="648"/>
      <c r="D800" s="700"/>
      <c r="E800" s="648"/>
      <c r="F800" s="807"/>
      <c r="G800" s="648"/>
      <c r="H800" s="648"/>
      <c r="I800" s="648"/>
      <c r="J800" s="50"/>
      <c r="K800" s="710"/>
      <c r="L800" s="51"/>
      <c r="M800" s="51"/>
      <c r="N800" s="649"/>
      <c r="O800" s="616"/>
    </row>
    <row r="801" spans="1:15" s="1952" customFormat="1" ht="18.75" customHeight="1" x14ac:dyDescent="0.35">
      <c r="A801" s="1941">
        <v>7</v>
      </c>
      <c r="B801" s="1917" t="s">
        <v>4176</v>
      </c>
      <c r="C801" s="1942" t="s">
        <v>3872</v>
      </c>
      <c r="D801" s="2017"/>
      <c r="E801" s="1953" t="s">
        <v>4177</v>
      </c>
      <c r="F801" s="1954">
        <v>1</v>
      </c>
      <c r="G801" s="1946">
        <v>323065</v>
      </c>
      <c r="H801" s="1946">
        <v>331303</v>
      </c>
      <c r="I801" s="1947">
        <f t="shared" ref="I801:I815" si="28">H801-G801</f>
        <v>8238</v>
      </c>
      <c r="J801" s="1948">
        <v>60</v>
      </c>
      <c r="K801" s="1949"/>
      <c r="L801" s="1950">
        <f t="shared" ref="L801:L815" si="29">F801*I801*J801</f>
        <v>494280</v>
      </c>
      <c r="M801" s="1950"/>
      <c r="N801" s="1934" t="s">
        <v>108</v>
      </c>
      <c r="O801" s="1951"/>
    </row>
    <row r="802" spans="1:15" s="1952" customFormat="1" ht="18.75" customHeight="1" x14ac:dyDescent="0.35">
      <c r="A802" s="1941">
        <v>8</v>
      </c>
      <c r="B802" s="1917" t="s">
        <v>4178</v>
      </c>
      <c r="C802" s="1942" t="s">
        <v>3872</v>
      </c>
      <c r="D802" s="2018"/>
      <c r="E802" s="1953" t="s">
        <v>4179</v>
      </c>
      <c r="F802" s="1954">
        <v>1</v>
      </c>
      <c r="G802" s="1946">
        <v>643633</v>
      </c>
      <c r="H802" s="1946">
        <v>645335</v>
      </c>
      <c r="I802" s="1947">
        <f t="shared" si="28"/>
        <v>1702</v>
      </c>
      <c r="J802" s="1948">
        <v>60</v>
      </c>
      <c r="K802" s="1949"/>
      <c r="L802" s="1950">
        <f t="shared" si="29"/>
        <v>102120</v>
      </c>
      <c r="M802" s="1950"/>
      <c r="N802" s="1934" t="s">
        <v>51</v>
      </c>
      <c r="O802" s="1951"/>
    </row>
    <row r="803" spans="1:15" ht="18.75" customHeight="1" x14ac:dyDescent="0.35">
      <c r="A803" s="631">
        <v>9</v>
      </c>
      <c r="B803" s="100" t="s">
        <v>4180</v>
      </c>
      <c r="C803" s="73" t="s">
        <v>3872</v>
      </c>
      <c r="D803" s="1769"/>
      <c r="E803" s="52" t="s">
        <v>4181</v>
      </c>
      <c r="F803" s="812">
        <v>1</v>
      </c>
      <c r="G803" s="6">
        <v>539083</v>
      </c>
      <c r="H803" s="6">
        <v>559817</v>
      </c>
      <c r="I803" s="20">
        <f t="shared" si="28"/>
        <v>20734</v>
      </c>
      <c r="J803" s="616">
        <v>60</v>
      </c>
      <c r="K803" s="703"/>
      <c r="L803" s="22">
        <f t="shared" si="29"/>
        <v>1244040</v>
      </c>
      <c r="M803" s="22"/>
      <c r="N803" s="72" t="s">
        <v>48</v>
      </c>
      <c r="O803" s="15"/>
    </row>
    <row r="804" spans="1:15" ht="18.75" customHeight="1" x14ac:dyDescent="0.35">
      <c r="A804" s="631">
        <v>10</v>
      </c>
      <c r="B804" s="100" t="s">
        <v>48</v>
      </c>
      <c r="C804" s="73" t="s">
        <v>3872</v>
      </c>
      <c r="D804" s="1769"/>
      <c r="E804" s="52" t="s">
        <v>4182</v>
      </c>
      <c r="F804" s="812">
        <v>1</v>
      </c>
      <c r="G804" s="6">
        <v>183662</v>
      </c>
      <c r="H804" s="6">
        <v>194712</v>
      </c>
      <c r="I804" s="20">
        <f t="shared" si="28"/>
        <v>11050</v>
      </c>
      <c r="J804" s="616">
        <v>60</v>
      </c>
      <c r="K804" s="703"/>
      <c r="L804" s="22">
        <f t="shared" si="29"/>
        <v>663000</v>
      </c>
      <c r="M804" s="22"/>
      <c r="N804" s="72" t="s">
        <v>48</v>
      </c>
      <c r="O804" s="15"/>
    </row>
    <row r="805" spans="1:15" ht="18.75" customHeight="1" x14ac:dyDescent="0.35">
      <c r="A805" s="631">
        <v>11</v>
      </c>
      <c r="B805" s="100" t="s">
        <v>4183</v>
      </c>
      <c r="C805" s="73" t="s">
        <v>3872</v>
      </c>
      <c r="D805" s="1769"/>
      <c r="E805" s="52" t="s">
        <v>4184</v>
      </c>
      <c r="F805" s="812">
        <v>1</v>
      </c>
      <c r="G805" s="6">
        <v>847504</v>
      </c>
      <c r="H805" s="6">
        <v>860380</v>
      </c>
      <c r="I805" s="20">
        <f t="shared" si="28"/>
        <v>12876</v>
      </c>
      <c r="J805" s="616">
        <v>60</v>
      </c>
      <c r="K805" s="703"/>
      <c r="L805" s="22">
        <f t="shared" si="29"/>
        <v>772560</v>
      </c>
      <c r="M805" s="22"/>
      <c r="N805" s="72" t="s">
        <v>48</v>
      </c>
      <c r="O805" s="15"/>
    </row>
    <row r="806" spans="1:15" ht="18.75" customHeight="1" x14ac:dyDescent="0.35">
      <c r="A806" s="631">
        <v>12</v>
      </c>
      <c r="B806" s="100" t="s">
        <v>4185</v>
      </c>
      <c r="C806" s="73" t="s">
        <v>3872</v>
      </c>
      <c r="D806" s="1769"/>
      <c r="E806" s="52" t="s">
        <v>4186</v>
      </c>
      <c r="F806" s="812">
        <v>1</v>
      </c>
      <c r="G806" s="6">
        <v>408335</v>
      </c>
      <c r="H806" s="6">
        <v>417772</v>
      </c>
      <c r="I806" s="20">
        <f t="shared" si="28"/>
        <v>9437</v>
      </c>
      <c r="J806" s="616">
        <v>60</v>
      </c>
      <c r="K806" s="703"/>
      <c r="L806" s="22">
        <f t="shared" si="29"/>
        <v>566220</v>
      </c>
      <c r="M806" s="22"/>
      <c r="N806" s="72" t="s">
        <v>48</v>
      </c>
      <c r="O806" s="15"/>
    </row>
    <row r="807" spans="1:15" ht="18.75" customHeight="1" x14ac:dyDescent="0.35">
      <c r="A807" s="631">
        <v>13</v>
      </c>
      <c r="B807" s="100" t="s">
        <v>4187</v>
      </c>
      <c r="C807" s="73" t="s">
        <v>3872</v>
      </c>
      <c r="D807" s="1769"/>
      <c r="E807" s="52" t="s">
        <v>4188</v>
      </c>
      <c r="F807" s="812">
        <v>1</v>
      </c>
      <c r="G807" s="6">
        <v>1706.59</v>
      </c>
      <c r="H807" s="6">
        <v>1726.47</v>
      </c>
      <c r="I807" s="20">
        <f t="shared" si="28"/>
        <v>19.880000000000109</v>
      </c>
      <c r="J807" s="616">
        <v>60000</v>
      </c>
      <c r="K807" s="703"/>
      <c r="L807" s="22">
        <f t="shared" si="29"/>
        <v>1192800.0000000065</v>
      </c>
      <c r="M807" s="22"/>
      <c r="N807" s="72" t="s">
        <v>48</v>
      </c>
      <c r="O807" s="15"/>
    </row>
    <row r="808" spans="1:15" ht="18.75" customHeight="1" x14ac:dyDescent="0.35">
      <c r="A808" s="631">
        <v>16</v>
      </c>
      <c r="B808" s="100" t="s">
        <v>4189</v>
      </c>
      <c r="C808" s="73" t="s">
        <v>3872</v>
      </c>
      <c r="D808" s="1769"/>
      <c r="E808" s="52" t="s">
        <v>4190</v>
      </c>
      <c r="F808" s="812">
        <v>1</v>
      </c>
      <c r="G808" s="6">
        <v>1459606</v>
      </c>
      <c r="H808" s="6">
        <v>1472823</v>
      </c>
      <c r="I808" s="20">
        <f t="shared" si="28"/>
        <v>13217</v>
      </c>
      <c r="J808" s="616">
        <v>60</v>
      </c>
      <c r="K808" s="703"/>
      <c r="L808" s="22">
        <f t="shared" si="29"/>
        <v>793020</v>
      </c>
      <c r="M808" s="22"/>
      <c r="N808" s="72" t="s">
        <v>48</v>
      </c>
      <c r="O808" s="15"/>
    </row>
    <row r="809" spans="1:15" ht="18.75" customHeight="1" x14ac:dyDescent="0.35">
      <c r="A809" s="631">
        <v>17</v>
      </c>
      <c r="B809" s="100" t="s">
        <v>4191</v>
      </c>
      <c r="C809" s="73" t="s">
        <v>3872</v>
      </c>
      <c r="D809" s="1769"/>
      <c r="E809" s="52" t="s">
        <v>4192</v>
      </c>
      <c r="F809" s="812">
        <v>1</v>
      </c>
      <c r="G809" s="6">
        <v>3840483</v>
      </c>
      <c r="H809" s="6">
        <v>3854615</v>
      </c>
      <c r="I809" s="20">
        <f t="shared" si="28"/>
        <v>14132</v>
      </c>
      <c r="J809" s="616">
        <v>60</v>
      </c>
      <c r="K809" s="703"/>
      <c r="L809" s="22">
        <f t="shared" si="29"/>
        <v>847920</v>
      </c>
      <c r="M809" s="22"/>
      <c r="N809" s="72" t="s">
        <v>48</v>
      </c>
      <c r="O809" s="15"/>
    </row>
    <row r="810" spans="1:15" ht="18.75" customHeight="1" x14ac:dyDescent="0.35">
      <c r="A810" s="631">
        <v>18</v>
      </c>
      <c r="B810" s="100" t="s">
        <v>4193</v>
      </c>
      <c r="C810" s="73" t="s">
        <v>3872</v>
      </c>
      <c r="D810" s="1769"/>
      <c r="E810" s="52" t="s">
        <v>4194</v>
      </c>
      <c r="F810" s="812">
        <v>1</v>
      </c>
      <c r="G810" s="6">
        <v>468309</v>
      </c>
      <c r="H810" s="6">
        <v>492459</v>
      </c>
      <c r="I810" s="20">
        <f t="shared" si="28"/>
        <v>24150</v>
      </c>
      <c r="J810" s="616">
        <v>60</v>
      </c>
      <c r="K810" s="703"/>
      <c r="L810" s="22">
        <f t="shared" si="29"/>
        <v>1449000</v>
      </c>
      <c r="M810" s="22"/>
      <c r="N810" s="72" t="s">
        <v>48</v>
      </c>
      <c r="O810" s="15"/>
    </row>
    <row r="811" spans="1:15" s="1952" customFormat="1" ht="18.75" customHeight="1" x14ac:dyDescent="0.35">
      <c r="A811" s="1941">
        <v>19</v>
      </c>
      <c r="B811" s="1917" t="s">
        <v>4195</v>
      </c>
      <c r="C811" s="1942" t="s">
        <v>3872</v>
      </c>
      <c r="D811" s="2018"/>
      <c r="E811" s="1953" t="s">
        <v>4196</v>
      </c>
      <c r="F811" s="1954">
        <v>1</v>
      </c>
      <c r="G811" s="1946">
        <v>1170958</v>
      </c>
      <c r="H811" s="1946">
        <v>1173571</v>
      </c>
      <c r="I811" s="1947">
        <f t="shared" si="28"/>
        <v>2613</v>
      </c>
      <c r="J811" s="1948">
        <v>60</v>
      </c>
      <c r="K811" s="1949"/>
      <c r="L811" s="1950">
        <f t="shared" si="29"/>
        <v>156780</v>
      </c>
      <c r="M811" s="1950"/>
      <c r="N811" s="1934" t="s">
        <v>111</v>
      </c>
      <c r="O811" s="1951"/>
    </row>
    <row r="812" spans="1:15" ht="18.75" customHeight="1" x14ac:dyDescent="0.35">
      <c r="A812" s="631">
        <v>20</v>
      </c>
      <c r="B812" s="100" t="s">
        <v>4197</v>
      </c>
      <c r="C812" s="73" t="s">
        <v>3872</v>
      </c>
      <c r="D812" s="1769"/>
      <c r="E812" s="52" t="s">
        <v>4198</v>
      </c>
      <c r="F812" s="812">
        <v>1</v>
      </c>
      <c r="G812" s="6">
        <v>886319</v>
      </c>
      <c r="H812" s="6">
        <v>890683</v>
      </c>
      <c r="I812" s="20">
        <f t="shared" si="28"/>
        <v>4364</v>
      </c>
      <c r="J812" s="616">
        <v>60</v>
      </c>
      <c r="K812" s="703"/>
      <c r="L812" s="22">
        <f t="shared" si="29"/>
        <v>261840</v>
      </c>
      <c r="M812" s="22"/>
      <c r="N812" s="72" t="s">
        <v>48</v>
      </c>
      <c r="O812" s="15"/>
    </row>
    <row r="813" spans="1:15" ht="18.75" customHeight="1" x14ac:dyDescent="0.35">
      <c r="A813" s="631">
        <v>21</v>
      </c>
      <c r="B813" s="100" t="s">
        <v>4199</v>
      </c>
      <c r="C813" s="73" t="s">
        <v>3872</v>
      </c>
      <c r="D813" s="1769"/>
      <c r="E813" s="52" t="s">
        <v>4200</v>
      </c>
      <c r="F813" s="812">
        <v>1</v>
      </c>
      <c r="G813" s="6">
        <v>406489</v>
      </c>
      <c r="H813" s="6">
        <v>413335</v>
      </c>
      <c r="I813" s="20">
        <f t="shared" si="28"/>
        <v>6846</v>
      </c>
      <c r="J813" s="616">
        <v>60</v>
      </c>
      <c r="K813" s="703"/>
      <c r="L813" s="22">
        <f t="shared" si="29"/>
        <v>410760</v>
      </c>
      <c r="M813" s="22"/>
      <c r="N813" s="72" t="s">
        <v>48</v>
      </c>
      <c r="O813" s="15"/>
    </row>
    <row r="814" spans="1:15" s="1952" customFormat="1" ht="18.75" customHeight="1" x14ac:dyDescent="0.35">
      <c r="A814" s="1941">
        <v>22</v>
      </c>
      <c r="B814" s="1917" t="s">
        <v>4201</v>
      </c>
      <c r="C814" s="1942" t="s">
        <v>3872</v>
      </c>
      <c r="D814" s="2018"/>
      <c r="E814" s="1953" t="s">
        <v>4202</v>
      </c>
      <c r="F814" s="1954">
        <v>1</v>
      </c>
      <c r="G814" s="1946">
        <v>865579</v>
      </c>
      <c r="H814" s="1946">
        <v>868892</v>
      </c>
      <c r="I814" s="1947">
        <f t="shared" si="28"/>
        <v>3313</v>
      </c>
      <c r="J814" s="1948">
        <v>60</v>
      </c>
      <c r="K814" s="1949"/>
      <c r="L814" s="1950">
        <f t="shared" si="29"/>
        <v>198780</v>
      </c>
      <c r="M814" s="1950"/>
      <c r="N814" s="1934" t="s">
        <v>111</v>
      </c>
      <c r="O814" s="1951"/>
    </row>
    <row r="815" spans="1:15" ht="18.75" customHeight="1" x14ac:dyDescent="0.35">
      <c r="A815" s="631">
        <v>23</v>
      </c>
      <c r="B815" s="100" t="s">
        <v>4162</v>
      </c>
      <c r="C815" s="73" t="s">
        <v>3867</v>
      </c>
      <c r="D815" s="766"/>
      <c r="E815" s="52" t="s">
        <v>4203</v>
      </c>
      <c r="F815" s="812">
        <v>1</v>
      </c>
      <c r="G815" s="6">
        <v>368570</v>
      </c>
      <c r="H815" s="6">
        <v>369778</v>
      </c>
      <c r="I815" s="20">
        <f t="shared" si="28"/>
        <v>1208</v>
      </c>
      <c r="J815" s="616">
        <v>1</v>
      </c>
      <c r="K815" s="703"/>
      <c r="L815" s="22">
        <f t="shared" si="29"/>
        <v>1208</v>
      </c>
      <c r="M815" s="22"/>
      <c r="N815" s="72" t="s">
        <v>48</v>
      </c>
      <c r="O815" s="15"/>
    </row>
    <row r="816" spans="1:15" ht="20" x14ac:dyDescent="0.35">
      <c r="A816" s="636"/>
      <c r="B816" s="96"/>
      <c r="C816" s="90"/>
      <c r="D816" s="96"/>
      <c r="E816" s="90"/>
      <c r="F816" s="813"/>
      <c r="G816" s="38"/>
      <c r="H816" s="38"/>
      <c r="I816" s="38"/>
      <c r="J816" s="53" t="s">
        <v>44</v>
      </c>
      <c r="K816" s="43">
        <f>K799</f>
        <v>9360360</v>
      </c>
      <c r="L816" s="43">
        <f>SUM(L801:L815)</f>
        <v>9154328.0000000075</v>
      </c>
      <c r="M816" s="43">
        <f>SUM(M801:M815)</f>
        <v>0</v>
      </c>
      <c r="N816" s="84">
        <f>(M816-L816)/L816*100</f>
        <v>-100</v>
      </c>
      <c r="O816" s="29"/>
    </row>
    <row r="818" spans="1:15" ht="15" x14ac:dyDescent="0.35">
      <c r="A818" s="620"/>
      <c r="B818" s="635"/>
      <c r="C818" s="632"/>
      <c r="D818" s="1900"/>
      <c r="F818" s="2092" t="s">
        <v>1099</v>
      </c>
      <c r="G818" s="2092"/>
      <c r="H818" s="2092"/>
      <c r="I818" s="677" t="s">
        <v>14</v>
      </c>
      <c r="J818" s="620"/>
      <c r="K818" s="702"/>
      <c r="L818" s="620"/>
      <c r="M818" s="620"/>
      <c r="N818" s="632"/>
      <c r="O818" s="620"/>
    </row>
    <row r="819" spans="1:15" ht="15.5" x14ac:dyDescent="0.35">
      <c r="A819" s="620"/>
      <c r="B819" s="635"/>
      <c r="C819" s="632"/>
      <c r="D819" s="1900"/>
      <c r="F819" s="2153" t="s">
        <v>232</v>
      </c>
      <c r="G819" s="2154"/>
      <c r="H819" s="2155"/>
      <c r="I819" s="643">
        <f>SUM(M801:M802,M805)</f>
        <v>0</v>
      </c>
      <c r="J819" s="620"/>
      <c r="K819" s="702"/>
      <c r="L819" s="620"/>
      <c r="M819" s="620"/>
      <c r="N819" s="632"/>
      <c r="O819" s="620" t="s">
        <v>237</v>
      </c>
    </row>
    <row r="820" spans="1:15" ht="15.5" x14ac:dyDescent="0.35">
      <c r="A820" s="620"/>
      <c r="B820" s="635"/>
      <c r="C820" s="632"/>
      <c r="D820" s="1900"/>
      <c r="F820" s="2153" t="s">
        <v>268</v>
      </c>
      <c r="G820" s="2154"/>
      <c r="H820" s="2155"/>
      <c r="I820" s="643">
        <f>SUM(M803:M804,M806,M812,M813,M815)</f>
        <v>0</v>
      </c>
      <c r="J820" s="620"/>
      <c r="K820" s="702"/>
      <c r="L820" s="620"/>
      <c r="M820" s="620"/>
      <c r="N820" s="632"/>
      <c r="O820" s="620"/>
    </row>
    <row r="821" spans="1:15" ht="16" thickBot="1" x14ac:dyDescent="0.4">
      <c r="A821" s="620"/>
      <c r="B821" s="635"/>
      <c r="C821" s="632"/>
      <c r="D821" s="1900"/>
      <c r="F821" s="2153" t="s">
        <v>269</v>
      </c>
      <c r="G821" s="2154"/>
      <c r="H821" s="2155"/>
      <c r="I821" s="643">
        <f>SUM(M811,M814)</f>
        <v>0</v>
      </c>
      <c r="J821" s="620"/>
      <c r="K821" s="702"/>
      <c r="L821" s="620"/>
      <c r="M821" s="620"/>
      <c r="N821" s="632"/>
      <c r="O821" s="620"/>
    </row>
    <row r="822" spans="1:15" ht="20.5" thickBot="1" x14ac:dyDescent="0.4">
      <c r="A822" s="620"/>
      <c r="B822" s="635"/>
      <c r="C822" s="632"/>
      <c r="D822" s="1900"/>
      <c r="E822" s="632"/>
      <c r="F822" s="2156" t="s">
        <v>210</v>
      </c>
      <c r="G822" s="2156"/>
      <c r="H822" s="2156"/>
      <c r="I822" s="656">
        <f>SUM(I819:I821)</f>
        <v>0</v>
      </c>
      <c r="J822" s="682">
        <f>I822-M816</f>
        <v>0</v>
      </c>
      <c r="K822" s="702"/>
      <c r="L822" s="620"/>
      <c r="M822" s="620"/>
      <c r="N822" s="632"/>
      <c r="O822" s="620"/>
    </row>
    <row r="834" spans="1:15" x14ac:dyDescent="0.35">
      <c r="A834" s="620"/>
      <c r="B834" s="635"/>
      <c r="C834" s="632"/>
      <c r="D834" s="1900"/>
      <c r="E834" s="632"/>
      <c r="F834" s="810"/>
      <c r="G834" s="620"/>
      <c r="H834" s="620"/>
      <c r="I834" s="620"/>
      <c r="J834" s="620"/>
      <c r="K834" s="702"/>
      <c r="L834" s="620"/>
      <c r="M834" s="620"/>
      <c r="N834" s="632"/>
      <c r="O834" s="620"/>
    </row>
    <row r="835" spans="1:15" x14ac:dyDescent="0.35">
      <c r="A835" s="620"/>
      <c r="B835" s="635"/>
      <c r="C835" s="632"/>
      <c r="D835" s="1900"/>
      <c r="E835" s="632"/>
      <c r="F835" s="810"/>
      <c r="G835" s="620"/>
      <c r="H835" s="620"/>
      <c r="I835" s="620"/>
      <c r="J835" s="620"/>
      <c r="K835" s="702"/>
      <c r="L835" s="620"/>
      <c r="M835" s="620"/>
      <c r="N835" s="632"/>
      <c r="O835" s="620"/>
    </row>
    <row r="836" spans="1:15" ht="25" x14ac:dyDescent="0.35">
      <c r="A836" s="46"/>
      <c r="B836" s="2152"/>
      <c r="C836" s="2152"/>
      <c r="D836" s="2152"/>
      <c r="E836" s="2152"/>
      <c r="F836" s="2152"/>
      <c r="G836" s="2152"/>
      <c r="H836" s="2152"/>
      <c r="I836" s="2152"/>
      <c r="J836" s="2152"/>
      <c r="K836" s="2152"/>
      <c r="L836" s="2152"/>
      <c r="M836" s="2152"/>
      <c r="N836" s="75"/>
      <c r="O836" s="28"/>
    </row>
    <row r="837" spans="1:15" x14ac:dyDescent="0.35">
      <c r="A837" s="620"/>
      <c r="B837" s="635"/>
      <c r="C837" s="632"/>
      <c r="D837" s="1900"/>
      <c r="E837" s="632"/>
      <c r="F837" s="810"/>
      <c r="G837" s="620"/>
      <c r="H837" s="620"/>
      <c r="I837" s="620"/>
      <c r="J837" s="620"/>
      <c r="K837" s="702"/>
      <c r="L837" s="620"/>
      <c r="M837" s="620"/>
      <c r="N837" s="632"/>
      <c r="O837" s="620"/>
    </row>
    <row r="838" spans="1:15" x14ac:dyDescent="0.35">
      <c r="A838" s="620"/>
      <c r="B838" s="635"/>
      <c r="C838" s="632"/>
      <c r="D838" s="1900"/>
      <c r="E838" s="632"/>
      <c r="F838" s="810"/>
      <c r="G838" s="620"/>
      <c r="H838" s="620"/>
      <c r="I838" s="620"/>
      <c r="J838" s="620"/>
      <c r="K838" s="702"/>
      <c r="L838" s="620"/>
      <c r="M838" s="620"/>
      <c r="N838" s="632"/>
      <c r="O838" s="620"/>
    </row>
    <row r="839" spans="1:15" ht="25" x14ac:dyDescent="0.35">
      <c r="A839" s="2095" t="s">
        <v>1503</v>
      </c>
      <c r="B839" s="2095"/>
      <c r="C839" s="2095"/>
      <c r="D839" s="2095"/>
      <c r="E839" s="2095"/>
      <c r="F839" s="2095"/>
      <c r="G839" s="2095"/>
      <c r="H839" s="2095"/>
      <c r="I839" s="2095"/>
      <c r="J839" s="2095"/>
      <c r="K839" s="2095"/>
      <c r="L839" s="2095"/>
      <c r="M839" s="2095"/>
      <c r="N839" s="2095"/>
      <c r="O839" s="756" t="e">
        <f>#REF!</f>
        <v>#REF!</v>
      </c>
    </row>
    <row r="840" spans="1:15" ht="15.5" x14ac:dyDescent="0.35">
      <c r="A840" s="2096" t="s">
        <v>0</v>
      </c>
      <c r="B840" s="2098" t="s">
        <v>1</v>
      </c>
      <c r="C840" s="2100" t="s">
        <v>2</v>
      </c>
      <c r="D840" s="2101"/>
      <c r="E840" s="2102"/>
      <c r="F840" s="2216" t="s">
        <v>3</v>
      </c>
      <c r="G840" s="2100" t="s">
        <v>4</v>
      </c>
      <c r="H840" s="2102"/>
      <c r="I840" s="2085"/>
      <c r="J840" s="2103" t="s">
        <v>5</v>
      </c>
      <c r="K840" s="2100" t="s">
        <v>6</v>
      </c>
      <c r="L840" s="2102"/>
      <c r="M840" s="97" t="s">
        <v>1088</v>
      </c>
      <c r="N840" s="98"/>
      <c r="O840" s="2084" t="s">
        <v>7</v>
      </c>
    </row>
    <row r="841" spans="1:15" ht="15.5" x14ac:dyDescent="0.35">
      <c r="A841" s="2097"/>
      <c r="B841" s="2099"/>
      <c r="C841" s="2086" t="s">
        <v>1108</v>
      </c>
      <c r="D841" s="2087"/>
      <c r="E841" s="87" t="s">
        <v>9</v>
      </c>
      <c r="F841" s="2217"/>
      <c r="G841" s="2">
        <f>'NORTH-1'!$G$8</f>
        <v>44774</v>
      </c>
      <c r="H841" s="2">
        <f>'NORTH-1'!$H$8</f>
        <v>44805</v>
      </c>
      <c r="I841" s="1" t="s">
        <v>10</v>
      </c>
      <c r="J841" s="2097"/>
      <c r="K841" s="1" t="s">
        <v>11</v>
      </c>
      <c r="L841" s="1" t="s">
        <v>12</v>
      </c>
      <c r="M841" s="617" t="s">
        <v>33</v>
      </c>
      <c r="N841" s="76" t="s">
        <v>47</v>
      </c>
      <c r="O841" s="2085"/>
    </row>
    <row r="842" spans="1:15" ht="15.5" x14ac:dyDescent="0.35">
      <c r="A842" s="3">
        <v>1</v>
      </c>
      <c r="B842" s="88">
        <v>2</v>
      </c>
      <c r="C842" s="2088">
        <v>4</v>
      </c>
      <c r="D842" s="2089"/>
      <c r="E842" s="88">
        <v>5</v>
      </c>
      <c r="F842" s="803">
        <v>7</v>
      </c>
      <c r="G842" s="3">
        <v>8</v>
      </c>
      <c r="H842" s="3">
        <v>9</v>
      </c>
      <c r="I842" s="3" t="s">
        <v>13</v>
      </c>
      <c r="J842" s="3">
        <v>11</v>
      </c>
      <c r="K842" s="3" t="s">
        <v>19</v>
      </c>
      <c r="L842" s="3" t="s">
        <v>20</v>
      </c>
      <c r="M842" s="3">
        <v>14</v>
      </c>
      <c r="N842" s="77">
        <v>15</v>
      </c>
      <c r="O842" s="3">
        <v>16</v>
      </c>
    </row>
    <row r="843" spans="1:15" ht="15.5" x14ac:dyDescent="0.35">
      <c r="A843" s="11"/>
      <c r="B843" s="624" t="s">
        <v>1636</v>
      </c>
      <c r="C843" s="625"/>
      <c r="D843" s="695"/>
      <c r="E843" s="667"/>
      <c r="F843" s="804"/>
      <c r="G843" s="625"/>
      <c r="H843" s="625"/>
      <c r="I843" s="625"/>
      <c r="J843" s="625"/>
      <c r="K843" s="695"/>
      <c r="L843" s="625"/>
      <c r="M843" s="626"/>
      <c r="N843" s="627"/>
      <c r="O843" s="8"/>
    </row>
    <row r="844" spans="1:15" ht="15.5" x14ac:dyDescent="0.35">
      <c r="A844" s="631">
        <v>3</v>
      </c>
      <c r="B844" s="100" t="s">
        <v>4254</v>
      </c>
      <c r="C844" s="52" t="s">
        <v>3816</v>
      </c>
      <c r="D844" s="1429"/>
      <c r="E844" s="619">
        <v>30799507</v>
      </c>
      <c r="F844" s="805">
        <v>1</v>
      </c>
      <c r="G844" s="5">
        <v>5286.43</v>
      </c>
      <c r="H844" s="5">
        <v>5331.98</v>
      </c>
      <c r="I844" s="5">
        <f>H844-G844</f>
        <v>45.549999999999272</v>
      </c>
      <c r="J844" s="616">
        <v>960000</v>
      </c>
      <c r="K844" s="696">
        <f>F844*I844*J844</f>
        <v>43727999.9999993</v>
      </c>
      <c r="L844" s="7"/>
      <c r="M844" s="7"/>
      <c r="N844" s="78"/>
      <c r="O844" s="616"/>
    </row>
    <row r="845" spans="1:15" ht="15.5" x14ac:dyDescent="0.35">
      <c r="A845" s="631"/>
      <c r="B845" s="102"/>
      <c r="C845" s="91" t="s">
        <v>3816</v>
      </c>
      <c r="D845" s="819"/>
      <c r="E845" s="619"/>
      <c r="F845" s="814">
        <v>1</v>
      </c>
      <c r="G845" s="798">
        <v>91.71</v>
      </c>
      <c r="H845" s="798">
        <v>91.71</v>
      </c>
      <c r="I845" s="798">
        <f>H845-G845</f>
        <v>0</v>
      </c>
      <c r="J845" s="799">
        <v>960000</v>
      </c>
      <c r="K845" s="696"/>
      <c r="L845" s="7">
        <f>F845*I845*J845</f>
        <v>0</v>
      </c>
      <c r="M845" s="1866"/>
      <c r="N845" s="1867"/>
      <c r="O845" s="616"/>
    </row>
    <row r="846" spans="1:15" ht="15.5" x14ac:dyDescent="0.35">
      <c r="A846" s="631">
        <v>4</v>
      </c>
      <c r="B846" s="102" t="s">
        <v>4255</v>
      </c>
      <c r="C846" s="91" t="s">
        <v>3816</v>
      </c>
      <c r="D846" s="819"/>
      <c r="E846" s="619">
        <v>30799526</v>
      </c>
      <c r="F846" s="814">
        <v>1</v>
      </c>
      <c r="G846" s="798">
        <v>2859.45</v>
      </c>
      <c r="H846" s="798">
        <v>2870.81</v>
      </c>
      <c r="I846" s="798">
        <f>H846-G846</f>
        <v>11.360000000000127</v>
      </c>
      <c r="J846" s="799">
        <v>960000</v>
      </c>
      <c r="K846" s="696">
        <f>F846*I846*J846</f>
        <v>10905600.000000123</v>
      </c>
      <c r="L846" s="7"/>
      <c r="M846" s="1866"/>
      <c r="N846" s="1867"/>
      <c r="O846" s="616"/>
    </row>
    <row r="847" spans="1:15" ht="15.5" x14ac:dyDescent="0.35">
      <c r="A847" s="631"/>
      <c r="B847" s="102"/>
      <c r="C847" s="91" t="s">
        <v>3816</v>
      </c>
      <c r="D847" s="819"/>
      <c r="E847" s="619"/>
      <c r="F847" s="814">
        <v>1</v>
      </c>
      <c r="G847" s="798">
        <v>7.65</v>
      </c>
      <c r="H847" s="798">
        <v>7.65</v>
      </c>
      <c r="I847" s="798">
        <f>H847-G847</f>
        <v>0</v>
      </c>
      <c r="J847" s="799">
        <v>960000</v>
      </c>
      <c r="K847" s="696"/>
      <c r="L847" s="7">
        <f>F847*I847*J847</f>
        <v>0</v>
      </c>
      <c r="M847" s="1866"/>
      <c r="N847" s="1867"/>
      <c r="O847" s="616"/>
    </row>
    <row r="848" spans="1:15" ht="15.5" x14ac:dyDescent="0.35">
      <c r="A848" s="631"/>
      <c r="B848" s="95"/>
      <c r="C848" s="89"/>
      <c r="D848" s="1846"/>
      <c r="E848" s="90"/>
      <c r="F848" s="806"/>
      <c r="G848" s="37"/>
      <c r="H848" s="37"/>
      <c r="I848" s="2136" t="s">
        <v>236</v>
      </c>
      <c r="J848" s="2137"/>
      <c r="K848" s="698">
        <f>SUM(K844:K847)</f>
        <v>54633599.999999419</v>
      </c>
      <c r="L848" s="94">
        <f>SUM(L844:L844)</f>
        <v>0</v>
      </c>
      <c r="M848" s="18"/>
      <c r="N848" s="81"/>
      <c r="O848" s="616"/>
    </row>
    <row r="849" spans="1:15" ht="15.5" x14ac:dyDescent="0.35">
      <c r="A849" s="631"/>
      <c r="B849" s="95"/>
      <c r="C849" s="89"/>
      <c r="D849" s="1846"/>
      <c r="E849" s="89"/>
      <c r="F849" s="89"/>
      <c r="G849" s="37"/>
      <c r="H849" s="37"/>
      <c r="I849" s="665"/>
      <c r="J849" s="665" t="s">
        <v>31</v>
      </c>
      <c r="K849" s="699">
        <f>K848-L848</f>
        <v>54633599.999999419</v>
      </c>
      <c r="L849" s="40"/>
      <c r="M849" s="41"/>
      <c r="N849" s="632"/>
      <c r="O849" s="616"/>
    </row>
    <row r="850" spans="1:15" ht="15.5" x14ac:dyDescent="0.35">
      <c r="A850" s="631"/>
      <c r="B850" s="624" t="s">
        <v>4256</v>
      </c>
      <c r="C850" s="625"/>
      <c r="D850" s="695"/>
      <c r="E850" s="625"/>
      <c r="F850" s="625"/>
      <c r="G850" s="625"/>
      <c r="H850" s="625"/>
      <c r="I850" s="625"/>
      <c r="J850" s="625"/>
      <c r="K850" s="695"/>
      <c r="L850" s="625"/>
      <c r="M850" s="626"/>
      <c r="N850" s="627"/>
      <c r="O850" s="616"/>
    </row>
    <row r="851" spans="1:15" ht="15.5" x14ac:dyDescent="0.35">
      <c r="A851" s="631"/>
      <c r="B851" s="100" t="s">
        <v>1637</v>
      </c>
      <c r="C851" s="52">
        <v>132</v>
      </c>
      <c r="D851" s="1429" t="s">
        <v>1084</v>
      </c>
      <c r="E851" s="619"/>
      <c r="F851" s="805">
        <v>1</v>
      </c>
      <c r="G851" s="5"/>
      <c r="H851" s="5"/>
      <c r="I851" s="5">
        <f>H851-G851</f>
        <v>0</v>
      </c>
      <c r="J851" s="616"/>
      <c r="K851" s="696">
        <f>J851*I851*F851</f>
        <v>0</v>
      </c>
      <c r="L851" s="16"/>
      <c r="M851" s="16"/>
      <c r="N851" s="79"/>
      <c r="O851" s="616"/>
    </row>
    <row r="852" spans="1:15" ht="15.5" x14ac:dyDescent="0.35">
      <c r="A852" s="631"/>
      <c r="B852" s="102" t="s">
        <v>4255</v>
      </c>
      <c r="C852" s="91"/>
      <c r="D852" s="1429" t="s">
        <v>1084</v>
      </c>
      <c r="E852" s="619"/>
      <c r="F852" s="805">
        <v>2</v>
      </c>
      <c r="G852" s="5"/>
      <c r="H852" s="5"/>
      <c r="I852" s="5">
        <f>H852-G852</f>
        <v>0</v>
      </c>
      <c r="J852" s="616"/>
      <c r="K852" s="696">
        <f>J852*I852*F852</f>
        <v>0</v>
      </c>
      <c r="L852" s="16"/>
      <c r="M852" s="16"/>
      <c r="N852" s="79"/>
      <c r="O852" s="616"/>
    </row>
    <row r="853" spans="1:15" ht="15.5" x14ac:dyDescent="0.35">
      <c r="A853" s="631"/>
      <c r="B853" s="95"/>
      <c r="C853" s="89"/>
      <c r="D853" s="1846"/>
      <c r="E853" s="89"/>
      <c r="F853" s="806"/>
      <c r="G853" s="37"/>
      <c r="H853" s="37"/>
      <c r="I853" s="2136" t="s">
        <v>303</v>
      </c>
      <c r="J853" s="2137"/>
      <c r="K853" s="698">
        <f>SUM(K851:K851)</f>
        <v>0</v>
      </c>
      <c r="L853" s="94">
        <f>SUM(L851:L851)</f>
        <v>0</v>
      </c>
      <c r="M853" s="18"/>
      <c r="N853" s="81"/>
      <c r="O853" s="633"/>
    </row>
    <row r="854" spans="1:15" ht="15.5" x14ac:dyDescent="0.35">
      <c r="A854" s="631"/>
      <c r="B854" s="95"/>
      <c r="C854" s="89"/>
      <c r="D854" s="1846"/>
      <c r="E854" s="89"/>
      <c r="F854" s="806"/>
      <c r="G854" s="37"/>
      <c r="H854" s="37"/>
      <c r="I854" s="2136" t="s">
        <v>31</v>
      </c>
      <c r="J854" s="2137"/>
      <c r="K854" s="699">
        <f>K849</f>
        <v>54633599.999999419</v>
      </c>
      <c r="L854" s="40"/>
      <c r="M854" s="42"/>
      <c r="N854" s="634"/>
      <c r="O854" s="633"/>
    </row>
    <row r="855" spans="1:15" ht="15.5" x14ac:dyDescent="0.35">
      <c r="A855" s="616"/>
      <c r="B855" s="647" t="s">
        <v>4206</v>
      </c>
      <c r="C855" s="648"/>
      <c r="D855" s="700"/>
      <c r="E855" s="648"/>
      <c r="F855" s="807"/>
      <c r="G855" s="648"/>
      <c r="H855" s="648"/>
      <c r="I855" s="648"/>
      <c r="J855" s="648"/>
      <c r="K855" s="700"/>
      <c r="L855" s="648"/>
      <c r="M855" s="651"/>
      <c r="N855" s="649"/>
      <c r="O855" s="8"/>
    </row>
    <row r="856" spans="1:15" ht="15.5" x14ac:dyDescent="0.35">
      <c r="A856" s="616">
        <v>5</v>
      </c>
      <c r="B856" s="100" t="s">
        <v>4207</v>
      </c>
      <c r="C856" s="52" t="s">
        <v>3816</v>
      </c>
      <c r="D856" s="1919"/>
      <c r="E856" s="615">
        <v>42003953362</v>
      </c>
      <c r="F856" s="812">
        <v>1</v>
      </c>
      <c r="G856" s="5">
        <v>104.27</v>
      </c>
      <c r="H856" s="5">
        <v>111.04</v>
      </c>
      <c r="I856" s="5">
        <f>H856-G856</f>
        <v>6.7700000000000102</v>
      </c>
      <c r="J856" s="616">
        <v>1440000</v>
      </c>
      <c r="K856" s="696"/>
      <c r="L856" s="16">
        <f>F856*I856*J856</f>
        <v>9748800.0000000149</v>
      </c>
      <c r="M856" s="7"/>
      <c r="N856" s="78"/>
      <c r="O856" s="616"/>
    </row>
    <row r="857" spans="1:15" ht="15.5" x14ac:dyDescent="0.35">
      <c r="A857" s="616">
        <v>6</v>
      </c>
      <c r="B857" s="100" t="s">
        <v>4208</v>
      </c>
      <c r="C857" s="52" t="s">
        <v>900</v>
      </c>
      <c r="D857" s="1920"/>
      <c r="E857" s="615">
        <v>42003953364</v>
      </c>
      <c r="F857" s="812">
        <v>1</v>
      </c>
      <c r="G857" s="5">
        <v>102.26</v>
      </c>
      <c r="H857" s="5">
        <v>108.88</v>
      </c>
      <c r="I857" s="5">
        <f>H857-G857</f>
        <v>6.6199999999999903</v>
      </c>
      <c r="J857" s="616">
        <v>1440000</v>
      </c>
      <c r="K857" s="696"/>
      <c r="L857" s="16">
        <f>F857*I857*J857</f>
        <v>9532799.999999987</v>
      </c>
      <c r="M857" s="16"/>
      <c r="N857" s="79"/>
      <c r="O857" s="616"/>
    </row>
    <row r="858" spans="1:15" ht="15.5" x14ac:dyDescent="0.35">
      <c r="A858" s="616"/>
      <c r="B858" s="95"/>
      <c r="C858" s="89"/>
      <c r="D858" s="1846"/>
      <c r="E858" s="89"/>
      <c r="F858" s="806"/>
      <c r="G858" s="37"/>
      <c r="H858" s="37"/>
      <c r="I858" s="37"/>
      <c r="J858" s="95" t="s">
        <v>279</v>
      </c>
      <c r="K858" s="699"/>
      <c r="L858" s="55">
        <f>SUM(L856:L857)</f>
        <v>19281600</v>
      </c>
      <c r="M858" s="633"/>
      <c r="N858" s="634"/>
      <c r="O858" s="616"/>
    </row>
    <row r="859" spans="1:15" ht="15.5" x14ac:dyDescent="0.35">
      <c r="A859" s="11"/>
      <c r="B859" s="647" t="s">
        <v>1504</v>
      </c>
      <c r="C859" s="648"/>
      <c r="D859" s="700"/>
      <c r="E859" s="648"/>
      <c r="F859" s="807"/>
      <c r="G859" s="648"/>
      <c r="H859" s="648"/>
      <c r="I859" s="648"/>
      <c r="J859" s="648"/>
      <c r="K859" s="700"/>
      <c r="L859" s="648"/>
      <c r="M859" s="651"/>
      <c r="N859" s="649"/>
      <c r="O859" s="8"/>
    </row>
    <row r="860" spans="1:15" ht="15.75" customHeight="1" x14ac:dyDescent="0.35">
      <c r="A860" s="631">
        <v>1</v>
      </c>
      <c r="B860" s="100" t="s">
        <v>4059</v>
      </c>
      <c r="C860" s="52" t="s">
        <v>3816</v>
      </c>
      <c r="D860" s="1924"/>
      <c r="E860" s="615">
        <v>30799138</v>
      </c>
      <c r="F860" s="812">
        <v>1</v>
      </c>
      <c r="G860" s="5">
        <v>3293.16</v>
      </c>
      <c r="H860" s="5">
        <v>3305.1</v>
      </c>
      <c r="I860" s="5">
        <f>H860-G860</f>
        <v>11.940000000000055</v>
      </c>
      <c r="J860" s="616">
        <v>960000</v>
      </c>
      <c r="K860" s="4"/>
      <c r="L860" s="16">
        <f>F860*I860*J860</f>
        <v>11462400.000000052</v>
      </c>
      <c r="M860" s="16"/>
      <c r="N860" s="78"/>
      <c r="O860" s="616"/>
    </row>
    <row r="861" spans="1:15" ht="15.5" x14ac:dyDescent="0.35">
      <c r="A861" s="631">
        <v>2</v>
      </c>
      <c r="B861" s="100" t="s">
        <v>4057</v>
      </c>
      <c r="C861" s="52" t="s">
        <v>3816</v>
      </c>
      <c r="D861" s="1926"/>
      <c r="E861" s="615">
        <v>30799148</v>
      </c>
      <c r="F861" s="812">
        <v>1</v>
      </c>
      <c r="G861" s="5">
        <v>3272.95</v>
      </c>
      <c r="H861" s="5">
        <v>3284.42</v>
      </c>
      <c r="I861" s="5">
        <f>H861-G861</f>
        <v>11.470000000000255</v>
      </c>
      <c r="J861" s="616">
        <v>960000</v>
      </c>
      <c r="K861" s="4"/>
      <c r="L861" s="16">
        <f>F861*I861*J861</f>
        <v>11011200.000000244</v>
      </c>
      <c r="M861" s="16"/>
      <c r="N861" s="78"/>
      <c r="O861" s="616"/>
    </row>
    <row r="862" spans="1:15" ht="15.5" x14ac:dyDescent="0.35">
      <c r="A862" s="631">
        <v>7</v>
      </c>
      <c r="B862" s="100" t="s">
        <v>4204</v>
      </c>
      <c r="C862" s="52" t="s">
        <v>3816</v>
      </c>
      <c r="D862" s="1925"/>
      <c r="E862" s="615" t="s">
        <v>4205</v>
      </c>
      <c r="F862" s="812">
        <v>1</v>
      </c>
      <c r="G862" s="5">
        <v>1065.8</v>
      </c>
      <c r="H862" s="5">
        <v>1078.46</v>
      </c>
      <c r="I862" s="5">
        <f>H862-G862</f>
        <v>12.660000000000082</v>
      </c>
      <c r="J862" s="616">
        <v>960000</v>
      </c>
      <c r="K862" s="4"/>
      <c r="L862" s="16">
        <f>F862*I862*J862</f>
        <v>12153600.000000078</v>
      </c>
      <c r="M862" s="16"/>
      <c r="N862" s="78"/>
      <c r="O862" s="616"/>
    </row>
    <row r="863" spans="1:15" ht="15.5" x14ac:dyDescent="0.35">
      <c r="A863" s="631"/>
      <c r="B863" s="95"/>
      <c r="C863" s="89"/>
      <c r="D863" s="1846"/>
      <c r="E863" s="65"/>
      <c r="F863" s="808"/>
      <c r="G863" s="65"/>
      <c r="H863" s="65"/>
      <c r="I863" s="65"/>
      <c r="J863" s="95" t="s">
        <v>30</v>
      </c>
      <c r="K863" s="701"/>
      <c r="L863" s="55">
        <f>SUM(L860:L862)</f>
        <v>34627200.000000373</v>
      </c>
      <c r="M863" s="55"/>
      <c r="N863" s="78"/>
      <c r="O863" s="616"/>
    </row>
    <row r="864" spans="1:15" ht="15" thickBot="1" x14ac:dyDescent="0.4">
      <c r="A864" s="620"/>
      <c r="B864" s="635"/>
      <c r="C864" s="632"/>
      <c r="D864" s="1900"/>
      <c r="K864" s="702"/>
      <c r="L864" s="620"/>
      <c r="M864" s="620"/>
      <c r="N864" s="632"/>
      <c r="O864" s="620"/>
    </row>
    <row r="865" spans="1:15" s="620" customFormat="1" x14ac:dyDescent="0.35">
      <c r="B865" s="2142" t="s">
        <v>1090</v>
      </c>
      <c r="C865" s="2143"/>
      <c r="D865" s="683" t="s">
        <v>14</v>
      </c>
      <c r="E865"/>
      <c r="F865" s="2144" t="s">
        <v>1091</v>
      </c>
      <c r="G865" s="2145"/>
      <c r="H865" s="2146"/>
      <c r="I865" s="683" t="s">
        <v>14</v>
      </c>
      <c r="K865" s="2147" t="s">
        <v>1092</v>
      </c>
      <c r="L865" s="2148"/>
      <c r="M865" s="684" t="s">
        <v>14</v>
      </c>
      <c r="N865" s="632"/>
    </row>
    <row r="866" spans="1:15" s="620" customFormat="1" x14ac:dyDescent="0.35">
      <c r="B866" s="2122" t="str">
        <f>B843</f>
        <v>Keranigonj 132 KV SIDE (TARIFF POINT)</v>
      </c>
      <c r="C866" s="2123"/>
      <c r="D866" s="689">
        <f>K849</f>
        <v>54633599.999999419</v>
      </c>
      <c r="E866"/>
      <c r="F866" s="2124" t="s">
        <v>1093</v>
      </c>
      <c r="G866" s="2125"/>
      <c r="H866" s="2126"/>
      <c r="I866" s="689">
        <f>L858</f>
        <v>19281600</v>
      </c>
      <c r="K866" s="2189" t="s">
        <v>4625</v>
      </c>
      <c r="L866" s="2190"/>
      <c r="M866" s="687">
        <f>I867</f>
        <v>34627200.000000373</v>
      </c>
      <c r="N866" s="632"/>
    </row>
    <row r="867" spans="1:15" s="620" customFormat="1" x14ac:dyDescent="0.35">
      <c r="B867" s="2122" t="s">
        <v>1116</v>
      </c>
      <c r="C867" s="2123"/>
      <c r="D867" s="689"/>
      <c r="E867"/>
      <c r="F867" s="2124" t="s">
        <v>4625</v>
      </c>
      <c r="G867" s="2125"/>
      <c r="H867" s="2126"/>
      <c r="I867" s="687">
        <f>L863</f>
        <v>34627200.000000373</v>
      </c>
      <c r="K867" s="2191" t="s">
        <v>2455</v>
      </c>
      <c r="L867" s="2192"/>
      <c r="M867" s="1908">
        <f>K885</f>
        <v>35025600.000000119</v>
      </c>
      <c r="N867" s="632"/>
    </row>
    <row r="868" spans="1:15" s="620" customFormat="1" x14ac:dyDescent="0.35">
      <c r="B868" s="2122" t="s">
        <v>1117</v>
      </c>
      <c r="C868" s="2123"/>
      <c r="D868" s="689"/>
      <c r="E868"/>
      <c r="F868" s="2124" t="s">
        <v>1089</v>
      </c>
      <c r="G868" s="2125"/>
      <c r="H868" s="2126"/>
      <c r="I868" s="689">
        <f>I866+I867</f>
        <v>53908800.000000373</v>
      </c>
      <c r="K868" s="2189" t="s">
        <v>4622</v>
      </c>
      <c r="L868" s="2190"/>
      <c r="M868" s="689">
        <f>M866-M867</f>
        <v>-398399.99999974668</v>
      </c>
      <c r="N868" s="632"/>
    </row>
    <row r="869" spans="1:15" s="620" customFormat="1" ht="15.5" thickBot="1" x14ac:dyDescent="0.4">
      <c r="B869" s="2122" t="s">
        <v>1118</v>
      </c>
      <c r="C869" s="2123"/>
      <c r="D869" s="722"/>
      <c r="E869"/>
      <c r="F869" s="2131" t="s">
        <v>4626</v>
      </c>
      <c r="G869" s="2132"/>
      <c r="H869" s="2133"/>
      <c r="I869" s="689">
        <f>D870-I868</f>
        <v>724799.99999904633</v>
      </c>
      <c r="K869" s="2193" t="s">
        <v>285</v>
      </c>
      <c r="L869" s="2194"/>
      <c r="M869" s="688">
        <f>M868/M866</f>
        <v>-1.1505406154691757E-2</v>
      </c>
      <c r="N869" s="632"/>
    </row>
    <row r="870" spans="1:15" s="620" customFormat="1" ht="16" thickBot="1" x14ac:dyDescent="0.4">
      <c r="B870" s="2109" t="s">
        <v>4620</v>
      </c>
      <c r="C870" s="2110"/>
      <c r="D870" s="1435">
        <f>SUM(D866:D869)</f>
        <v>54633599.999999419</v>
      </c>
      <c r="E870"/>
      <c r="F870" s="2113" t="s">
        <v>2454</v>
      </c>
      <c r="G870" s="2114"/>
      <c r="H870" s="2115"/>
      <c r="I870" s="690">
        <f>(D870-I868)/I868</f>
        <v>1.3444929213765494E-2</v>
      </c>
      <c r="K870" s="702"/>
      <c r="N870" s="632"/>
    </row>
    <row r="871" spans="1:15" s="620" customFormat="1" x14ac:dyDescent="0.35">
      <c r="B871" s="2116" t="s">
        <v>4624</v>
      </c>
      <c r="C871" s="2117"/>
      <c r="D871" s="2011">
        <f>K885</f>
        <v>35025600.000000119</v>
      </c>
      <c r="E871"/>
      <c r="F871" s="791"/>
      <c r="G871"/>
      <c r="H871"/>
      <c r="I871"/>
      <c r="J871"/>
      <c r="K871" s="702"/>
      <c r="N871" s="632"/>
    </row>
    <row r="872" spans="1:15" s="620" customFormat="1" x14ac:dyDescent="0.35">
      <c r="B872" s="2118" t="s">
        <v>4627</v>
      </c>
      <c r="C872" s="2119"/>
      <c r="D872" s="741">
        <f>D870-D871</f>
        <v>19607999.9999993</v>
      </c>
      <c r="E872"/>
      <c r="F872" s="791"/>
      <c r="G872"/>
      <c r="H872"/>
      <c r="I872"/>
      <c r="J872"/>
      <c r="K872" s="702"/>
      <c r="N872" s="632"/>
    </row>
    <row r="873" spans="1:15" s="620" customFormat="1" ht="15" thickBot="1" x14ac:dyDescent="0.4">
      <c r="B873" s="2120" t="str">
        <f>K869</f>
        <v>LOSS % IN =&gt;</v>
      </c>
      <c r="C873" s="2121"/>
      <c r="D873" s="2012">
        <f>D872/D866</f>
        <v>0.35890001757159529</v>
      </c>
      <c r="E873"/>
      <c r="F873" s="791"/>
      <c r="G873" s="678"/>
      <c r="H873" s="678"/>
      <c r="I873" s="678"/>
      <c r="J873" s="679"/>
      <c r="K873" s="702"/>
      <c r="N873" s="632"/>
    </row>
    <row r="874" spans="1:15" x14ac:dyDescent="0.35">
      <c r="A874" s="620"/>
      <c r="B874" s="635"/>
      <c r="C874" s="632"/>
      <c r="D874" s="1900"/>
      <c r="G874" s="678"/>
      <c r="H874" s="678"/>
      <c r="I874" s="678"/>
      <c r="J874" s="679"/>
      <c r="K874" s="702"/>
      <c r="L874" s="620"/>
      <c r="M874" s="620"/>
      <c r="N874" s="632"/>
      <c r="O874" s="620"/>
    </row>
    <row r="875" spans="1:15" x14ac:dyDescent="0.35">
      <c r="A875" s="620"/>
      <c r="B875" s="635"/>
      <c r="C875" s="632"/>
      <c r="D875" s="1900"/>
      <c r="G875" s="678"/>
      <c r="H875" s="678"/>
      <c r="I875" s="678"/>
      <c r="J875" s="679"/>
      <c r="K875" s="702"/>
      <c r="L875" s="620"/>
      <c r="M875" s="620"/>
      <c r="N875" s="632"/>
      <c r="O875" s="620"/>
    </row>
    <row r="876" spans="1:15" x14ac:dyDescent="0.35">
      <c r="A876" s="620"/>
      <c r="B876" s="635"/>
      <c r="C876" s="632"/>
      <c r="D876" s="1900"/>
      <c r="E876" s="632"/>
      <c r="F876" s="810"/>
      <c r="G876" s="620"/>
      <c r="H876" s="620"/>
      <c r="I876" s="620"/>
      <c r="J876" s="620"/>
      <c r="K876" s="702"/>
      <c r="L876" s="620"/>
      <c r="M876" s="620"/>
      <c r="N876" s="632"/>
      <c r="O876" s="620"/>
    </row>
    <row r="877" spans="1:15" ht="25" x14ac:dyDescent="0.35">
      <c r="A877" s="2095" t="s">
        <v>1505</v>
      </c>
      <c r="B877" s="2095"/>
      <c r="C877" s="2095"/>
      <c r="D877" s="2095"/>
      <c r="E877" s="2095"/>
      <c r="F877" s="2095"/>
      <c r="G877" s="2095"/>
      <c r="H877" s="2095"/>
      <c r="I877" s="2095"/>
      <c r="J877" s="2095"/>
      <c r="K877" s="2095"/>
      <c r="L877" s="2095"/>
      <c r="M877" s="2095"/>
      <c r="N877" s="2095"/>
      <c r="O877" s="756" t="e">
        <f>$O$6</f>
        <v>#REF!</v>
      </c>
    </row>
    <row r="878" spans="1:15" ht="15.5" x14ac:dyDescent="0.35">
      <c r="A878" s="2096" t="s">
        <v>0</v>
      </c>
      <c r="B878" s="2098" t="s">
        <v>1</v>
      </c>
      <c r="C878" s="2100" t="s">
        <v>2</v>
      </c>
      <c r="D878" s="2101"/>
      <c r="E878" s="2102"/>
      <c r="F878" s="2216" t="s">
        <v>3</v>
      </c>
      <c r="G878" s="2100" t="s">
        <v>4</v>
      </c>
      <c r="H878" s="2102"/>
      <c r="I878" s="2085"/>
      <c r="J878" s="2103" t="s">
        <v>5</v>
      </c>
      <c r="K878" s="2100" t="s">
        <v>6</v>
      </c>
      <c r="L878" s="2085"/>
      <c r="M878" s="97" t="s">
        <v>32</v>
      </c>
      <c r="N878" s="98"/>
      <c r="O878" s="2084" t="s">
        <v>7</v>
      </c>
    </row>
    <row r="879" spans="1:15" ht="15.5" x14ac:dyDescent="0.35">
      <c r="A879" s="2111"/>
      <c r="B879" s="2112"/>
      <c r="C879" s="2086" t="s">
        <v>1108</v>
      </c>
      <c r="D879" s="2087"/>
      <c r="E879" s="675" t="s">
        <v>9</v>
      </c>
      <c r="F879" s="2218"/>
      <c r="G879" s="2">
        <f>'NORTH-1'!$G$8</f>
        <v>44774</v>
      </c>
      <c r="H879" s="2">
        <f>'NORTH-1'!$H$8</f>
        <v>44805</v>
      </c>
      <c r="I879" s="676" t="s">
        <v>10</v>
      </c>
      <c r="J879" s="2111"/>
      <c r="K879" s="676" t="s">
        <v>11</v>
      </c>
      <c r="L879" s="676" t="s">
        <v>12</v>
      </c>
      <c r="M879" s="715" t="s">
        <v>33</v>
      </c>
      <c r="N879" s="716" t="s">
        <v>47</v>
      </c>
      <c r="O879" s="2104"/>
    </row>
    <row r="880" spans="1:15" ht="15.5" x14ac:dyDescent="0.35">
      <c r="A880" s="717">
        <v>1</v>
      </c>
      <c r="B880" s="673">
        <v>2</v>
      </c>
      <c r="C880" s="2088">
        <v>4</v>
      </c>
      <c r="D880" s="2089"/>
      <c r="E880" s="673">
        <v>5</v>
      </c>
      <c r="F880" s="811">
        <v>7</v>
      </c>
      <c r="G880" s="717">
        <v>8</v>
      </c>
      <c r="H880" s="717">
        <v>9</v>
      </c>
      <c r="I880" s="717" t="s">
        <v>13</v>
      </c>
      <c r="J880" s="717">
        <v>11</v>
      </c>
      <c r="K880" s="717" t="s">
        <v>19</v>
      </c>
      <c r="L880" s="717" t="s">
        <v>20</v>
      </c>
      <c r="M880" s="717">
        <v>14</v>
      </c>
      <c r="N880" s="673">
        <v>15</v>
      </c>
      <c r="O880" s="717">
        <v>16</v>
      </c>
    </row>
    <row r="881" spans="1:15" ht="15.5" x14ac:dyDescent="0.35">
      <c r="A881" s="11"/>
      <c r="B881" s="624" t="s">
        <v>1506</v>
      </c>
      <c r="C881" s="625"/>
      <c r="D881" s="695"/>
      <c r="E881" s="625"/>
      <c r="F881" s="804"/>
      <c r="G881" s="625"/>
      <c r="H881" s="625"/>
      <c r="I881" s="625"/>
      <c r="J881" s="625"/>
      <c r="K881" s="695"/>
      <c r="L881" s="625"/>
      <c r="M881" s="626"/>
      <c r="N881" s="627"/>
      <c r="O881" s="8"/>
    </row>
    <row r="882" spans="1:15" ht="15.5" x14ac:dyDescent="0.35">
      <c r="A882" s="631">
        <v>12</v>
      </c>
      <c r="B882" s="100" t="s">
        <v>3837</v>
      </c>
      <c r="C882" s="52" t="s">
        <v>3833</v>
      </c>
      <c r="D882" s="818"/>
      <c r="E882" s="52" t="s">
        <v>4209</v>
      </c>
      <c r="F882" s="812">
        <v>1</v>
      </c>
      <c r="G882" s="5">
        <v>2145.7399999999998</v>
      </c>
      <c r="H882" s="5">
        <v>2171.04</v>
      </c>
      <c r="I882" s="5">
        <f>H882-G882</f>
        <v>25.300000000000182</v>
      </c>
      <c r="J882" s="616">
        <v>480000</v>
      </c>
      <c r="K882" s="696">
        <f>F882*I882*J882</f>
        <v>12144000.000000088</v>
      </c>
      <c r="L882" s="7"/>
      <c r="M882" s="7"/>
      <c r="N882" s="78"/>
      <c r="O882" s="616"/>
    </row>
    <row r="883" spans="1:15" ht="15.5" x14ac:dyDescent="0.35">
      <c r="A883" s="631">
        <v>14</v>
      </c>
      <c r="B883" s="100" t="s">
        <v>4071</v>
      </c>
      <c r="C883" s="52" t="s">
        <v>3833</v>
      </c>
      <c r="D883" s="1918"/>
      <c r="E883" s="52">
        <v>30799094</v>
      </c>
      <c r="F883" s="812">
        <v>1</v>
      </c>
      <c r="G883" s="5">
        <v>6684.56</v>
      </c>
      <c r="H883" s="5">
        <v>6708.64</v>
      </c>
      <c r="I883" s="5">
        <f>H883-G883</f>
        <v>24.079999999999927</v>
      </c>
      <c r="J883" s="616">
        <v>480000</v>
      </c>
      <c r="K883" s="696">
        <f>F883*I883*J883</f>
        <v>11558399.999999965</v>
      </c>
      <c r="L883" s="7"/>
      <c r="M883" s="7"/>
      <c r="N883" s="78"/>
      <c r="O883" s="616"/>
    </row>
    <row r="884" spans="1:15" ht="15.5" x14ac:dyDescent="0.35">
      <c r="A884" s="631">
        <v>19</v>
      </c>
      <c r="B884" s="100" t="s">
        <v>3835</v>
      </c>
      <c r="C884" s="52" t="s">
        <v>3833</v>
      </c>
      <c r="D884" s="1444"/>
      <c r="E884" s="52">
        <v>30799150</v>
      </c>
      <c r="F884" s="812">
        <v>1</v>
      </c>
      <c r="G884" s="5">
        <v>6587.66</v>
      </c>
      <c r="H884" s="5">
        <v>6611.25</v>
      </c>
      <c r="I884" s="5">
        <f>H884-G884</f>
        <v>23.590000000000146</v>
      </c>
      <c r="J884" s="616">
        <v>480000</v>
      </c>
      <c r="K884" s="696">
        <f>F884*I884*J884</f>
        <v>11323200.000000071</v>
      </c>
      <c r="L884" s="7"/>
      <c r="M884" s="7"/>
      <c r="N884" s="78"/>
      <c r="O884" s="616"/>
    </row>
    <row r="885" spans="1:15" ht="15.5" x14ac:dyDescent="0.35">
      <c r="A885" s="631"/>
      <c r="B885" s="95"/>
      <c r="C885" s="89"/>
      <c r="D885" s="1846"/>
      <c r="E885" s="89"/>
      <c r="F885" s="806"/>
      <c r="G885" s="37"/>
      <c r="H885" s="37"/>
      <c r="I885" s="37"/>
      <c r="J885" s="95" t="s">
        <v>30</v>
      </c>
      <c r="K885" s="1908">
        <f>SUM(K882:K884)</f>
        <v>35025600.000000119</v>
      </c>
      <c r="L885" s="40"/>
      <c r="M885" s="40">
        <f>SUM(M882:M884)</f>
        <v>0</v>
      </c>
      <c r="N885" s="78"/>
      <c r="O885" s="616"/>
    </row>
    <row r="886" spans="1:15" ht="15.5" x14ac:dyDescent="0.35">
      <c r="A886" s="631"/>
      <c r="B886" s="647" t="s">
        <v>1507</v>
      </c>
      <c r="C886" s="648"/>
      <c r="D886" s="700"/>
      <c r="E886" s="648"/>
      <c r="F886" s="807"/>
      <c r="G886" s="648"/>
      <c r="H886" s="648"/>
      <c r="I886" s="648"/>
      <c r="J886" s="648"/>
      <c r="K886" s="700"/>
      <c r="L886" s="648"/>
      <c r="M886" s="651"/>
      <c r="N886" s="649"/>
      <c r="O886" s="616"/>
    </row>
    <row r="887" spans="1:15" ht="15.5" x14ac:dyDescent="0.35">
      <c r="A887" s="631"/>
      <c r="B887" s="662" t="s">
        <v>1106</v>
      </c>
      <c r="C887" s="52"/>
      <c r="D887" s="1919" t="s">
        <v>1083</v>
      </c>
      <c r="E887" s="52"/>
      <c r="F887" s="812"/>
      <c r="G887" s="5"/>
      <c r="H887" s="5"/>
      <c r="I887" s="6"/>
      <c r="J887" s="616"/>
      <c r="K887" s="696"/>
      <c r="L887" s="7"/>
      <c r="M887" s="7"/>
      <c r="N887" s="78"/>
      <c r="O887" s="616"/>
    </row>
    <row r="888" spans="1:15" ht="15.5" x14ac:dyDescent="0.35">
      <c r="A888" s="11">
        <v>13</v>
      </c>
      <c r="B888" s="100" t="s">
        <v>4210</v>
      </c>
      <c r="C888" s="661" t="s">
        <v>3833</v>
      </c>
      <c r="D888" s="1920"/>
      <c r="E888" s="674">
        <v>30799129</v>
      </c>
      <c r="F888" s="812">
        <v>1</v>
      </c>
      <c r="G888" s="21">
        <v>6585.57</v>
      </c>
      <c r="H888" s="21">
        <v>6616.61</v>
      </c>
      <c r="I888" s="20">
        <f>H888-G888</f>
        <v>31.039999999999964</v>
      </c>
      <c r="J888" s="616">
        <v>240000</v>
      </c>
      <c r="K888" s="696"/>
      <c r="L888" s="22">
        <f>F888*I888*J888</f>
        <v>7449599.9999999916</v>
      </c>
      <c r="M888" s="22"/>
      <c r="N888" s="82"/>
      <c r="O888" s="9"/>
    </row>
    <row r="889" spans="1:15" ht="15.5" x14ac:dyDescent="0.35">
      <c r="A889" s="631">
        <v>20</v>
      </c>
      <c r="B889" s="100" t="s">
        <v>4211</v>
      </c>
      <c r="C889" s="661" t="s">
        <v>3833</v>
      </c>
      <c r="D889" s="1920"/>
      <c r="E889" s="674">
        <v>30799110</v>
      </c>
      <c r="F889" s="812">
        <v>1</v>
      </c>
      <c r="G889" s="21">
        <v>6484.86</v>
      </c>
      <c r="H889" s="21">
        <v>6515.46</v>
      </c>
      <c r="I889" s="20">
        <f>H889-G889</f>
        <v>30.600000000000364</v>
      </c>
      <c r="J889" s="616">
        <v>240000</v>
      </c>
      <c r="K889" s="696"/>
      <c r="L889" s="22">
        <f>F889*I889*J889</f>
        <v>7344000.0000000875</v>
      </c>
      <c r="M889" s="22"/>
      <c r="N889" s="82"/>
      <c r="O889" s="616"/>
    </row>
    <row r="890" spans="1:15" ht="15.5" x14ac:dyDescent="0.35">
      <c r="A890" s="616">
        <v>21</v>
      </c>
      <c r="B890" s="100" t="s">
        <v>4212</v>
      </c>
      <c r="C890" s="661" t="s">
        <v>3833</v>
      </c>
      <c r="D890" s="1920"/>
      <c r="E890" s="674">
        <v>30799137</v>
      </c>
      <c r="F890" s="812">
        <v>1</v>
      </c>
      <c r="G890" s="21">
        <v>3602.26</v>
      </c>
      <c r="H890" s="21">
        <v>3635.49</v>
      </c>
      <c r="I890" s="20">
        <f>H890-G890</f>
        <v>33.229999999999563</v>
      </c>
      <c r="J890" s="616">
        <v>240000</v>
      </c>
      <c r="K890" s="696"/>
      <c r="L890" s="22">
        <f>F890*I890*J890</f>
        <v>7975199.9999998957</v>
      </c>
      <c r="M890" s="22"/>
      <c r="N890" s="82"/>
      <c r="O890" s="616"/>
    </row>
    <row r="891" spans="1:15" ht="15.5" x14ac:dyDescent="0.35">
      <c r="A891" s="616"/>
      <c r="B891" s="662" t="s">
        <v>1107</v>
      </c>
      <c r="C891" s="89"/>
      <c r="D891" s="1920"/>
      <c r="E891" s="89"/>
      <c r="F891" s="806"/>
      <c r="G891" s="37"/>
      <c r="H891" s="37"/>
      <c r="I891" s="37"/>
      <c r="J891" s="95" t="s">
        <v>30</v>
      </c>
      <c r="K891" s="696"/>
      <c r="L891" s="43">
        <f>SUM(L888:L890)</f>
        <v>22768799.999999974</v>
      </c>
      <c r="M891" s="43">
        <f>SUM(M888:M890)</f>
        <v>0</v>
      </c>
      <c r="N891" s="83"/>
      <c r="O891" s="12"/>
    </row>
    <row r="892" spans="1:15" ht="15.5" x14ac:dyDescent="0.35">
      <c r="A892" s="636">
        <v>8</v>
      </c>
      <c r="B892" s="100" t="s">
        <v>4213</v>
      </c>
      <c r="C892" s="661" t="s">
        <v>3833</v>
      </c>
      <c r="D892" s="1920"/>
      <c r="E892" s="674" t="s">
        <v>4214</v>
      </c>
      <c r="F892" s="812">
        <v>1</v>
      </c>
      <c r="G892" s="6">
        <v>345.3</v>
      </c>
      <c r="H892" s="6">
        <v>345.3</v>
      </c>
      <c r="I892" s="20">
        <f t="shared" ref="I892:I902" si="30">H892-G892</f>
        <v>0</v>
      </c>
      <c r="J892" s="616">
        <v>240000</v>
      </c>
      <c r="K892" s="703"/>
      <c r="L892" s="22">
        <f t="shared" ref="L892:L900" si="31">F892*I892*J892</f>
        <v>0</v>
      </c>
      <c r="M892" s="22"/>
      <c r="N892" s="82"/>
      <c r="O892" s="15"/>
    </row>
    <row r="893" spans="1:15" ht="15.5" x14ac:dyDescent="0.35">
      <c r="A893" s="636">
        <v>9</v>
      </c>
      <c r="B893" s="100" t="s">
        <v>4215</v>
      </c>
      <c r="C893" s="661" t="s">
        <v>3833</v>
      </c>
      <c r="D893" s="1920"/>
      <c r="E893" s="691" t="s">
        <v>4216</v>
      </c>
      <c r="F893" s="812">
        <v>1</v>
      </c>
      <c r="G893" s="6">
        <v>424.99</v>
      </c>
      <c r="H893" s="6">
        <v>424.99</v>
      </c>
      <c r="I893" s="20">
        <f t="shared" si="30"/>
        <v>0</v>
      </c>
      <c r="J893" s="616">
        <v>240000</v>
      </c>
      <c r="K893" s="704"/>
      <c r="L893" s="22">
        <f t="shared" si="31"/>
        <v>0</v>
      </c>
      <c r="M893" s="22"/>
      <c r="N893" s="82"/>
      <c r="O893" s="14"/>
    </row>
    <row r="894" spans="1:15" ht="15.5" x14ac:dyDescent="0.35">
      <c r="A894" s="636">
        <v>10</v>
      </c>
      <c r="B894" s="100" t="s">
        <v>4217</v>
      </c>
      <c r="C894" s="661" t="s">
        <v>3833</v>
      </c>
      <c r="D894" s="1920"/>
      <c r="E894" s="691">
        <v>30799130</v>
      </c>
      <c r="F894" s="812">
        <v>1</v>
      </c>
      <c r="G894" s="6"/>
      <c r="H894" s="6"/>
      <c r="I894" s="20">
        <f t="shared" si="30"/>
        <v>0</v>
      </c>
      <c r="J894" s="616">
        <v>240000</v>
      </c>
      <c r="K894" s="704"/>
      <c r="L894" s="22">
        <f t="shared" si="31"/>
        <v>0</v>
      </c>
      <c r="M894" s="22"/>
      <c r="N894" s="82"/>
      <c r="O894" s="14"/>
    </row>
    <row r="895" spans="1:15" ht="15.5" x14ac:dyDescent="0.35">
      <c r="A895" s="636">
        <v>11</v>
      </c>
      <c r="B895" s="100" t="s">
        <v>4257</v>
      </c>
      <c r="C895" s="661" t="s">
        <v>3833</v>
      </c>
      <c r="D895" s="1920"/>
      <c r="E895" s="674">
        <v>30799125</v>
      </c>
      <c r="F895" s="812">
        <v>1</v>
      </c>
      <c r="G895" s="6"/>
      <c r="H895" s="6"/>
      <c r="I895" s="20">
        <f t="shared" si="30"/>
        <v>0</v>
      </c>
      <c r="J895" s="616">
        <v>240000</v>
      </c>
      <c r="K895" s="704"/>
      <c r="L895" s="22">
        <f t="shared" si="31"/>
        <v>0</v>
      </c>
      <c r="M895" s="22"/>
      <c r="N895" s="82"/>
      <c r="O895" s="14"/>
    </row>
    <row r="896" spans="1:15" ht="15.5" x14ac:dyDescent="0.35">
      <c r="A896" s="636">
        <v>15</v>
      </c>
      <c r="B896" s="100" t="s">
        <v>4132</v>
      </c>
      <c r="C896" s="661" t="s">
        <v>3833</v>
      </c>
      <c r="D896" s="1920"/>
      <c r="E896" s="674">
        <v>30799098</v>
      </c>
      <c r="F896" s="812">
        <v>1</v>
      </c>
      <c r="G896" s="6">
        <v>1756.65</v>
      </c>
      <c r="H896" s="6">
        <v>1756.65</v>
      </c>
      <c r="I896" s="20">
        <f t="shared" si="30"/>
        <v>0</v>
      </c>
      <c r="J896" s="616">
        <v>240000</v>
      </c>
      <c r="K896" s="704"/>
      <c r="L896" s="22">
        <f t="shared" si="31"/>
        <v>0</v>
      </c>
      <c r="M896" s="22"/>
      <c r="N896" s="82"/>
      <c r="O896" s="14"/>
    </row>
    <row r="897" spans="1:15" ht="15.5" x14ac:dyDescent="0.35">
      <c r="A897" s="636">
        <v>16</v>
      </c>
      <c r="B897" s="100" t="s">
        <v>4218</v>
      </c>
      <c r="C897" s="661" t="s">
        <v>3833</v>
      </c>
      <c r="D897" s="1920"/>
      <c r="E897" s="674">
        <v>30799088</v>
      </c>
      <c r="F897" s="812">
        <v>1</v>
      </c>
      <c r="G897" s="6">
        <v>5900.92</v>
      </c>
      <c r="H897" s="6">
        <v>5932.39</v>
      </c>
      <c r="I897" s="20">
        <f t="shared" si="30"/>
        <v>31.470000000000255</v>
      </c>
      <c r="J897" s="616">
        <v>240000</v>
      </c>
      <c r="K897" s="704"/>
      <c r="L897" s="22">
        <f t="shared" si="31"/>
        <v>7552800.0000000615</v>
      </c>
      <c r="M897" s="22"/>
      <c r="N897" s="82"/>
      <c r="O897" s="14"/>
    </row>
    <row r="898" spans="1:15" ht="15.5" x14ac:dyDescent="0.35">
      <c r="A898" s="636">
        <v>17</v>
      </c>
      <c r="B898" s="100" t="s">
        <v>4219</v>
      </c>
      <c r="C898" s="661" t="s">
        <v>3833</v>
      </c>
      <c r="D898" s="1920"/>
      <c r="E898" s="674"/>
      <c r="F898" s="812">
        <v>1</v>
      </c>
      <c r="G898" s="6"/>
      <c r="H898" s="6"/>
      <c r="I898" s="20">
        <f t="shared" si="30"/>
        <v>0</v>
      </c>
      <c r="J898" s="616">
        <v>240000</v>
      </c>
      <c r="K898" s="704"/>
      <c r="L898" s="22">
        <f t="shared" si="31"/>
        <v>0</v>
      </c>
      <c r="M898" s="22"/>
      <c r="N898" s="82"/>
      <c r="O898" s="14"/>
    </row>
    <row r="899" spans="1:15" ht="15.5" x14ac:dyDescent="0.35">
      <c r="A899" s="636">
        <v>18</v>
      </c>
      <c r="B899" s="100" t="s">
        <v>4134</v>
      </c>
      <c r="C899" s="661" t="s">
        <v>3833</v>
      </c>
      <c r="D899" s="1920"/>
      <c r="E899" s="674">
        <v>30799147</v>
      </c>
      <c r="F899" s="812">
        <v>1</v>
      </c>
      <c r="G899" s="6">
        <v>1341.29</v>
      </c>
      <c r="H899" s="6">
        <v>1342.81</v>
      </c>
      <c r="I899" s="20">
        <f t="shared" si="30"/>
        <v>1.5199999999999818</v>
      </c>
      <c r="J899" s="616">
        <v>240000</v>
      </c>
      <c r="K899" s="703"/>
      <c r="L899" s="22">
        <f t="shared" si="31"/>
        <v>364799.99999999563</v>
      </c>
      <c r="M899" s="22"/>
      <c r="N899" s="82"/>
      <c r="O899" s="15"/>
    </row>
    <row r="900" spans="1:15" ht="15.5" x14ac:dyDescent="0.35">
      <c r="A900" s="636">
        <v>22</v>
      </c>
      <c r="B900" s="100" t="s">
        <v>4220</v>
      </c>
      <c r="C900" s="661" t="s">
        <v>3833</v>
      </c>
      <c r="D900" s="1920"/>
      <c r="E900" s="674">
        <v>30799131</v>
      </c>
      <c r="F900" s="812">
        <f>1.35</f>
        <v>1.35</v>
      </c>
      <c r="G900" s="6">
        <v>1819.76</v>
      </c>
      <c r="H900" s="6">
        <v>1832</v>
      </c>
      <c r="I900" s="20">
        <f t="shared" si="30"/>
        <v>12.240000000000009</v>
      </c>
      <c r="J900" s="616">
        <v>240000</v>
      </c>
      <c r="K900" s="704"/>
      <c r="L900" s="22">
        <f t="shared" si="31"/>
        <v>3965760.0000000037</v>
      </c>
      <c r="M900" s="22"/>
      <c r="N900" s="82"/>
      <c r="O900" s="10"/>
    </row>
    <row r="901" spans="1:15" ht="15.5" x14ac:dyDescent="0.35">
      <c r="A901" s="636">
        <v>23</v>
      </c>
      <c r="B901" s="100" t="s">
        <v>3984</v>
      </c>
      <c r="C901" s="661" t="s">
        <v>3867</v>
      </c>
      <c r="D901" s="1920"/>
      <c r="E901" s="674" t="s">
        <v>4221</v>
      </c>
      <c r="F901" s="812">
        <v>1</v>
      </c>
      <c r="G901" s="6">
        <v>41589.32</v>
      </c>
      <c r="H901" s="6">
        <v>41754</v>
      </c>
      <c r="I901" s="20">
        <f t="shared" si="30"/>
        <v>164.68000000000029</v>
      </c>
      <c r="J901" s="616">
        <v>120</v>
      </c>
      <c r="K901" s="704"/>
      <c r="L901" s="22">
        <f>F901*I901*J901</f>
        <v>19761.600000000035</v>
      </c>
      <c r="M901" s="22"/>
      <c r="N901" s="82"/>
      <c r="O901" s="10"/>
    </row>
    <row r="902" spans="1:15" ht="15.5" x14ac:dyDescent="0.35">
      <c r="A902" s="636">
        <v>24</v>
      </c>
      <c r="B902" s="100" t="s">
        <v>3985</v>
      </c>
      <c r="C902" s="661" t="s">
        <v>3867</v>
      </c>
      <c r="D902" s="1920"/>
      <c r="E902" s="674" t="s">
        <v>4222</v>
      </c>
      <c r="F902" s="812">
        <v>1</v>
      </c>
      <c r="G902" s="6">
        <v>45568.3</v>
      </c>
      <c r="H902" s="6">
        <v>45568.3</v>
      </c>
      <c r="I902" s="20">
        <f t="shared" si="30"/>
        <v>0</v>
      </c>
      <c r="J902" s="616">
        <v>120</v>
      </c>
      <c r="K902" s="703">
        <f>F902*I902*J902</f>
        <v>0</v>
      </c>
      <c r="L902" s="22">
        <f>F902*I902*J902</f>
        <v>0</v>
      </c>
      <c r="M902" s="22"/>
      <c r="N902" s="82"/>
      <c r="O902" s="13"/>
    </row>
    <row r="903" spans="1:15" ht="15.5" x14ac:dyDescent="0.35">
      <c r="A903" s="636"/>
      <c r="B903" s="96"/>
      <c r="C903" s="90"/>
      <c r="D903" s="96"/>
      <c r="E903" s="90"/>
      <c r="F903" s="813"/>
      <c r="G903" s="38"/>
      <c r="H903" s="38"/>
      <c r="I903" s="38"/>
      <c r="J903" s="95" t="s">
        <v>30</v>
      </c>
      <c r="K903" s="696"/>
      <c r="L903" s="43">
        <f>SUM(L892:L902)</f>
        <v>11903121.600000059</v>
      </c>
      <c r="M903" s="43">
        <f>SUM(M892:M902)</f>
        <v>0</v>
      </c>
      <c r="N903" s="83"/>
      <c r="O903" s="13"/>
    </row>
    <row r="904" spans="1:15" ht="20" x14ac:dyDescent="0.35">
      <c r="A904" s="636"/>
      <c r="B904" s="96"/>
      <c r="C904" s="90"/>
      <c r="D904" s="96"/>
      <c r="E904" s="90"/>
      <c r="F904" s="813"/>
      <c r="G904" s="38"/>
      <c r="H904" s="38"/>
      <c r="I904" s="2107" t="s">
        <v>44</v>
      </c>
      <c r="J904" s="2108"/>
      <c r="K904" s="698">
        <f>K885</f>
        <v>35025600.000000119</v>
      </c>
      <c r="L904" s="44">
        <f>L891+L903</f>
        <v>34671921.600000031</v>
      </c>
      <c r="M904" s="44">
        <f>M903+M891</f>
        <v>0</v>
      </c>
      <c r="N904" s="1908">
        <f>(M904-L904)/L904*100</f>
        <v>-100</v>
      </c>
      <c r="O904" s="29"/>
    </row>
    <row r="905" spans="1:15" x14ac:dyDescent="0.35">
      <c r="A905" s="620"/>
      <c r="B905" s="635"/>
      <c r="C905" s="632"/>
      <c r="D905" s="1900"/>
      <c r="K905" s="702"/>
      <c r="L905" s="620"/>
      <c r="M905" s="620"/>
      <c r="N905" s="632"/>
      <c r="O905" s="620"/>
    </row>
    <row r="906" spans="1:15" ht="15" x14ac:dyDescent="0.35">
      <c r="A906" s="620"/>
      <c r="D906" s="2013"/>
      <c r="G906" s="2092" t="s">
        <v>1096</v>
      </c>
      <c r="H906" s="2092"/>
      <c r="I906" s="2092"/>
      <c r="J906" s="677" t="s">
        <v>14</v>
      </c>
      <c r="K906" s="69" t="s">
        <v>1098</v>
      </c>
      <c r="L906" s="620"/>
      <c r="M906" s="620"/>
      <c r="N906" s="632"/>
      <c r="O906" s="620"/>
    </row>
    <row r="907" spans="1:15" ht="17.5" x14ac:dyDescent="0.35">
      <c r="A907" s="620"/>
      <c r="D907" s="2013"/>
      <c r="G907" s="2093" t="s">
        <v>1071</v>
      </c>
      <c r="H907" s="2093"/>
      <c r="I907" s="2093"/>
      <c r="J907" s="692">
        <f>M891</f>
        <v>0</v>
      </c>
      <c r="K907" s="70">
        <v>6.933634163553025</v>
      </c>
      <c r="L907" s="620"/>
      <c r="M907" s="620"/>
      <c r="N907" s="632"/>
      <c r="O907" s="620"/>
    </row>
    <row r="908" spans="1:15" ht="17.5" x14ac:dyDescent="0.35">
      <c r="A908" s="620"/>
      <c r="D908" s="2013"/>
      <c r="G908" s="2093" t="s">
        <v>206</v>
      </c>
      <c r="H908" s="2093"/>
      <c r="I908" s="2093"/>
      <c r="J908" s="692">
        <f>M892+M893+M894</f>
        <v>0</v>
      </c>
      <c r="K908" s="70">
        <v>-0.33769527905653496</v>
      </c>
      <c r="L908" s="620"/>
      <c r="M908" s="620"/>
      <c r="N908" s="632"/>
      <c r="O908" s="620"/>
    </row>
    <row r="909" spans="1:15" ht="17.5" x14ac:dyDescent="0.35">
      <c r="A909" s="620"/>
      <c r="D909" s="2013"/>
      <c r="G909" s="2093" t="s">
        <v>207</v>
      </c>
      <c r="H909" s="2093"/>
      <c r="I909" s="2093"/>
      <c r="J909" s="692">
        <f>M895+M899</f>
        <v>0</v>
      </c>
      <c r="K909" s="70"/>
      <c r="L909" s="620"/>
      <c r="M909" s="620"/>
      <c r="N909" s="632"/>
      <c r="O909" s="620"/>
    </row>
    <row r="910" spans="1:15" ht="17.5" x14ac:dyDescent="0.35">
      <c r="A910" s="620"/>
      <c r="D910" s="2013"/>
      <c r="G910" s="2093" t="s">
        <v>208</v>
      </c>
      <c r="H910" s="2093"/>
      <c r="I910" s="2093"/>
      <c r="J910" s="692">
        <f>M900</f>
        <v>0</v>
      </c>
      <c r="K910" s="70">
        <v>0.58957194954853154</v>
      </c>
      <c r="L910" s="620"/>
      <c r="M910" s="620"/>
      <c r="N910" s="632"/>
      <c r="O910" s="620"/>
    </row>
    <row r="911" spans="1:15" ht="17.5" x14ac:dyDescent="0.35">
      <c r="A911" s="620"/>
      <c r="B911" s="635"/>
      <c r="C911" s="632"/>
      <c r="D911" s="1900"/>
      <c r="G911" s="2093" t="s">
        <v>209</v>
      </c>
      <c r="H911" s="2093"/>
      <c r="I911" s="2093"/>
      <c r="J911" s="692">
        <f>M902</f>
        <v>0</v>
      </c>
      <c r="K911" s="70"/>
      <c r="L911" s="620"/>
      <c r="M911" s="620"/>
      <c r="N911" s="632"/>
      <c r="O911" s="620"/>
    </row>
    <row r="912" spans="1:15" ht="17.5" x14ac:dyDescent="0.35">
      <c r="A912" s="620"/>
      <c r="B912" s="635"/>
      <c r="C912" s="632"/>
      <c r="D912" s="1900"/>
      <c r="G912" s="2093" t="s">
        <v>40</v>
      </c>
      <c r="H912" s="2093"/>
      <c r="I912" s="2093"/>
      <c r="J912" s="692" t="e">
        <f>#REF!+#REF!</f>
        <v>#REF!</v>
      </c>
      <c r="K912" s="70">
        <v>2.4391608198671739</v>
      </c>
      <c r="L912" s="620"/>
      <c r="M912" s="620"/>
      <c r="N912" s="632"/>
      <c r="O912" s="620"/>
    </row>
    <row r="913" spans="1:15" x14ac:dyDescent="0.35">
      <c r="A913" s="620"/>
      <c r="B913" s="635"/>
      <c r="C913" s="632"/>
      <c r="D913" s="1900"/>
      <c r="G913" s="2094" t="s">
        <v>42</v>
      </c>
      <c r="H913" s="2094"/>
      <c r="I913" s="2094"/>
      <c r="J913" s="693" t="e">
        <f>#REF!</f>
        <v>#REF!</v>
      </c>
      <c r="K913" s="694" t="s">
        <v>1097</v>
      </c>
      <c r="L913" s="620"/>
      <c r="M913" s="620"/>
      <c r="N913" s="632"/>
      <c r="O913" s="620"/>
    </row>
    <row r="914" spans="1:15" ht="18" thickBot="1" x14ac:dyDescent="0.4">
      <c r="A914" s="620"/>
      <c r="B914" s="635"/>
      <c r="C914" s="632"/>
      <c r="D914" s="1900"/>
      <c r="E914" s="632"/>
      <c r="F914" s="810"/>
      <c r="G914" s="2093" t="s">
        <v>41</v>
      </c>
      <c r="H914" s="2093"/>
      <c r="I914" s="2093"/>
      <c r="J914" s="692" t="e">
        <f>#REF!</f>
        <v>#REF!</v>
      </c>
      <c r="K914" s="681">
        <v>1.4463055987403735</v>
      </c>
      <c r="L914" s="620"/>
      <c r="M914" s="620"/>
      <c r="N914" s="632"/>
      <c r="O914" s="620"/>
    </row>
    <row r="915" spans="1:15" ht="20.5" thickBot="1" x14ac:dyDescent="0.4">
      <c r="A915" s="620"/>
      <c r="B915" s="635"/>
      <c r="C915" s="632"/>
      <c r="D915" s="1900"/>
      <c r="E915" s="632"/>
      <c r="F915" s="810"/>
      <c r="G915" s="620"/>
      <c r="H915" s="620"/>
      <c r="I915" s="642" t="s">
        <v>210</v>
      </c>
      <c r="J915" s="680" t="e">
        <f>SUM(J907:J914)</f>
        <v>#REF!</v>
      </c>
      <c r="K915" s="682" t="e">
        <f>J915-M904</f>
        <v>#REF!</v>
      </c>
      <c r="L915" s="620"/>
      <c r="M915" s="620"/>
      <c r="N915" s="632"/>
      <c r="O915" s="620"/>
    </row>
    <row r="916" spans="1:15" x14ac:dyDescent="0.35">
      <c r="A916" s="620"/>
      <c r="B916" s="635"/>
      <c r="C916" s="632"/>
      <c r="D916" s="1900"/>
      <c r="E916" s="632"/>
      <c r="F916" s="810"/>
      <c r="G916" s="620"/>
      <c r="H916" s="620"/>
      <c r="I916" s="620"/>
      <c r="J916" s="620"/>
      <c r="K916" s="702"/>
      <c r="L916" s="620"/>
      <c r="M916" s="620"/>
      <c r="N916" s="632"/>
      <c r="O916" s="620"/>
    </row>
    <row r="917" spans="1:15" ht="25" x14ac:dyDescent="0.35">
      <c r="A917" s="2095" t="s">
        <v>1173</v>
      </c>
      <c r="B917" s="2095"/>
      <c r="C917" s="2095"/>
      <c r="D917" s="2095"/>
      <c r="E917" s="2095"/>
      <c r="F917" s="2095"/>
      <c r="G917" s="2095"/>
      <c r="H917" s="2095"/>
      <c r="I917" s="2095"/>
      <c r="J917" s="2095"/>
      <c r="K917" s="2095"/>
      <c r="L917" s="2095"/>
      <c r="M917" s="2095"/>
      <c r="N917" s="2095"/>
      <c r="O917" s="756" t="e">
        <f>$O$6</f>
        <v>#REF!</v>
      </c>
    </row>
    <row r="918" spans="1:15" ht="15.5" x14ac:dyDescent="0.35">
      <c r="A918" s="2096" t="s">
        <v>0</v>
      </c>
      <c r="B918" s="2098" t="s">
        <v>1</v>
      </c>
      <c r="C918" s="2100" t="s">
        <v>2</v>
      </c>
      <c r="D918" s="2101"/>
      <c r="E918" s="2102"/>
      <c r="F918" s="2216" t="s">
        <v>3</v>
      </c>
      <c r="G918" s="2100" t="s">
        <v>4</v>
      </c>
      <c r="H918" s="2102"/>
      <c r="I918" s="2085"/>
      <c r="J918" s="2103" t="s">
        <v>5</v>
      </c>
      <c r="K918" s="2100" t="s">
        <v>6</v>
      </c>
      <c r="L918" s="2085"/>
      <c r="M918" s="97" t="s">
        <v>32</v>
      </c>
      <c r="N918" s="98"/>
      <c r="O918" s="2084" t="s">
        <v>7</v>
      </c>
    </row>
    <row r="919" spans="1:15" ht="15.5" x14ac:dyDescent="0.35">
      <c r="A919" s="2097"/>
      <c r="B919" s="2099"/>
      <c r="C919" s="2086" t="s">
        <v>1108</v>
      </c>
      <c r="D919" s="2087"/>
      <c r="E919" s="87" t="s">
        <v>9</v>
      </c>
      <c r="F919" s="2217"/>
      <c r="G919" s="2">
        <f>'NORTH-1'!$G$8</f>
        <v>44774</v>
      </c>
      <c r="H919" s="2">
        <f>'NORTH-1'!$H$8</f>
        <v>44805</v>
      </c>
      <c r="I919" s="1" t="s">
        <v>10</v>
      </c>
      <c r="J919" s="2097"/>
      <c r="K919" s="1" t="s">
        <v>11</v>
      </c>
      <c r="L919" s="1" t="s">
        <v>12</v>
      </c>
      <c r="M919" s="617" t="s">
        <v>33</v>
      </c>
      <c r="N919" s="76" t="s">
        <v>47</v>
      </c>
      <c r="O919" s="2085"/>
    </row>
    <row r="920" spans="1:15" ht="15.5" x14ac:dyDescent="0.35">
      <c r="A920" s="3">
        <v>1</v>
      </c>
      <c r="B920" s="88">
        <v>2</v>
      </c>
      <c r="C920" s="2088">
        <v>4</v>
      </c>
      <c r="D920" s="2089"/>
      <c r="E920" s="88">
        <v>5</v>
      </c>
      <c r="F920" s="803">
        <v>7</v>
      </c>
      <c r="G920" s="3">
        <v>8</v>
      </c>
      <c r="H920" s="3">
        <v>9</v>
      </c>
      <c r="I920" s="3" t="s">
        <v>13</v>
      </c>
      <c r="J920" s="3">
        <v>11</v>
      </c>
      <c r="K920" s="3" t="s">
        <v>19</v>
      </c>
      <c r="L920" s="3" t="s">
        <v>20</v>
      </c>
      <c r="M920" s="3">
        <v>14</v>
      </c>
      <c r="N920" s="77">
        <v>15</v>
      </c>
      <c r="O920" s="3">
        <v>16</v>
      </c>
    </row>
    <row r="921" spans="1:15" ht="15" x14ac:dyDescent="0.35">
      <c r="A921" s="636"/>
      <c r="B921" s="624" t="s">
        <v>1508</v>
      </c>
      <c r="C921" s="625"/>
      <c r="D921" s="695"/>
      <c r="E921" s="625"/>
      <c r="F921" s="804"/>
      <c r="G921" s="625"/>
      <c r="H921" s="625"/>
      <c r="I921" s="625"/>
      <c r="J921" s="625"/>
      <c r="K921" s="695"/>
      <c r="L921" s="625"/>
      <c r="M921" s="626"/>
      <c r="N921" s="627"/>
      <c r="O921" s="12"/>
    </row>
    <row r="922" spans="1:15" ht="20.25" customHeight="1" x14ac:dyDescent="0.35">
      <c r="A922" s="616">
        <v>6</v>
      </c>
      <c r="B922" s="100" t="s">
        <v>4223</v>
      </c>
      <c r="C922" s="73" t="s">
        <v>4224</v>
      </c>
      <c r="D922" s="1922"/>
      <c r="E922" s="52"/>
      <c r="F922" s="812">
        <v>1</v>
      </c>
      <c r="G922" s="5"/>
      <c r="H922" s="5"/>
      <c r="I922" s="21">
        <f>H922-G922</f>
        <v>0</v>
      </c>
      <c r="J922" s="616">
        <v>160000</v>
      </c>
      <c r="K922" s="707">
        <f>K923</f>
        <v>7156800.0000000391</v>
      </c>
      <c r="L922" s="22"/>
      <c r="M922" s="22"/>
      <c r="N922" s="83"/>
      <c r="O922" s="12"/>
    </row>
    <row r="923" spans="1:15" ht="20.25" customHeight="1" x14ac:dyDescent="0.35">
      <c r="A923" s="616">
        <v>11</v>
      </c>
      <c r="B923" s="100" t="s">
        <v>4225</v>
      </c>
      <c r="C923" s="73" t="s">
        <v>4224</v>
      </c>
      <c r="D923" s="1923"/>
      <c r="E923" s="52">
        <v>6604433</v>
      </c>
      <c r="F923" s="812">
        <v>1</v>
      </c>
      <c r="G923" s="5">
        <v>7237.75</v>
      </c>
      <c r="H923" s="5">
        <v>7277.51</v>
      </c>
      <c r="I923" s="21">
        <f>H923-G923</f>
        <v>39.760000000000218</v>
      </c>
      <c r="J923" s="616">
        <v>180000</v>
      </c>
      <c r="K923" s="707">
        <f>F923*I923*J923</f>
        <v>7156800.0000000391</v>
      </c>
      <c r="L923" s="22"/>
      <c r="M923" s="22"/>
      <c r="N923" s="83"/>
      <c r="O923" s="12"/>
    </row>
    <row r="924" spans="1:15" ht="20.25" customHeight="1" x14ac:dyDescent="0.35">
      <c r="A924" s="616">
        <v>22</v>
      </c>
      <c r="B924" s="100" t="s">
        <v>4226</v>
      </c>
      <c r="C924" s="73" t="s">
        <v>4224</v>
      </c>
      <c r="D924" s="1923"/>
      <c r="E924" s="52" t="s">
        <v>4227</v>
      </c>
      <c r="F924" s="812">
        <v>1</v>
      </c>
      <c r="G924" s="5">
        <v>4188184</v>
      </c>
      <c r="H924" s="5">
        <v>4231694</v>
      </c>
      <c r="I924" s="21">
        <f>H924-G924</f>
        <v>43510</v>
      </c>
      <c r="J924" s="616">
        <v>180</v>
      </c>
      <c r="K924" s="707">
        <f>F924*I924*J924</f>
        <v>7831800</v>
      </c>
      <c r="L924" s="22"/>
      <c r="M924" s="22"/>
      <c r="N924" s="83"/>
      <c r="O924" s="12"/>
    </row>
    <row r="925" spans="1:15" ht="15" x14ac:dyDescent="0.35">
      <c r="A925" s="636"/>
      <c r="B925" s="96"/>
      <c r="C925" s="90"/>
      <c r="D925" s="96"/>
      <c r="E925" s="90"/>
      <c r="F925" s="813"/>
      <c r="G925" s="38"/>
      <c r="H925" s="38"/>
      <c r="I925" s="38"/>
      <c r="J925" s="96" t="s">
        <v>30</v>
      </c>
      <c r="K925" s="708">
        <f>SUM(K922:K924)</f>
        <v>22145400.000000078</v>
      </c>
      <c r="L925" s="43"/>
      <c r="M925" s="43">
        <f>SUM(M922:M924)</f>
        <v>0</v>
      </c>
      <c r="N925" s="83"/>
      <c r="O925" s="12"/>
    </row>
    <row r="926" spans="1:15" ht="15.5" x14ac:dyDescent="0.35">
      <c r="A926" s="631"/>
      <c r="B926" s="647" t="s">
        <v>1509</v>
      </c>
      <c r="C926" s="648"/>
      <c r="D926" s="700"/>
      <c r="E926" s="648"/>
      <c r="F926" s="807"/>
      <c r="G926" s="648"/>
      <c r="H926" s="648"/>
      <c r="I926" s="648"/>
      <c r="J926" s="648"/>
      <c r="K926" s="700"/>
      <c r="L926" s="648"/>
      <c r="M926" s="651"/>
      <c r="N926" s="649"/>
      <c r="O926" s="616"/>
    </row>
    <row r="927" spans="1:15" ht="22.5" customHeight="1" x14ac:dyDescent="0.35">
      <c r="A927" s="631">
        <v>4</v>
      </c>
      <c r="B927" s="100" t="s">
        <v>4228</v>
      </c>
      <c r="C927" s="73" t="s">
        <v>4224</v>
      </c>
      <c r="D927" s="1768"/>
      <c r="E927" s="52" t="s">
        <v>4229</v>
      </c>
      <c r="F927" s="812">
        <v>1</v>
      </c>
      <c r="G927" s="6">
        <v>83464089</v>
      </c>
      <c r="H927" s="6">
        <v>84303651</v>
      </c>
      <c r="I927" s="20">
        <f t="shared" ref="I927:I941" si="32">H927-G927</f>
        <v>839562</v>
      </c>
      <c r="J927" s="616">
        <v>1</v>
      </c>
      <c r="K927" s="703"/>
      <c r="L927" s="22">
        <f t="shared" ref="L927:L932" si="33">F927*I927*J927</f>
        <v>839562</v>
      </c>
      <c r="M927" s="22"/>
      <c r="N927" s="72" t="s">
        <v>49</v>
      </c>
      <c r="O927" s="15"/>
    </row>
    <row r="928" spans="1:15" ht="22.5" customHeight="1" x14ac:dyDescent="0.35">
      <c r="A928" s="631">
        <v>5</v>
      </c>
      <c r="B928" s="100" t="s">
        <v>4230</v>
      </c>
      <c r="C928" s="73" t="s">
        <v>4224</v>
      </c>
      <c r="D928" s="1769"/>
      <c r="E928" s="52" t="s">
        <v>4231</v>
      </c>
      <c r="F928" s="812">
        <v>1</v>
      </c>
      <c r="G928" s="6">
        <v>47248668</v>
      </c>
      <c r="H928" s="6">
        <v>49042156</v>
      </c>
      <c r="I928" s="20">
        <f t="shared" si="32"/>
        <v>1793488</v>
      </c>
      <c r="J928" s="616">
        <v>1</v>
      </c>
      <c r="K928" s="703"/>
      <c r="L928" s="22">
        <f t="shared" si="33"/>
        <v>1793488</v>
      </c>
      <c r="M928" s="22"/>
      <c r="N928" s="72" t="s">
        <v>49</v>
      </c>
      <c r="O928" s="15"/>
    </row>
    <row r="929" spans="1:15" ht="30.75" customHeight="1" x14ac:dyDescent="0.35">
      <c r="A929" s="631">
        <v>7</v>
      </c>
      <c r="B929" s="101" t="s">
        <v>4660</v>
      </c>
      <c r="C929" s="73" t="s">
        <v>4224</v>
      </c>
      <c r="D929" s="1769"/>
      <c r="E929" s="52">
        <v>30799521</v>
      </c>
      <c r="F929" s="812">
        <v>1</v>
      </c>
      <c r="G929" s="6">
        <v>2584.75</v>
      </c>
      <c r="H929" s="6">
        <v>2590.17</v>
      </c>
      <c r="I929" s="20">
        <f t="shared" si="32"/>
        <v>5.4200000000000728</v>
      </c>
      <c r="J929" s="616">
        <v>60000</v>
      </c>
      <c r="K929" s="703"/>
      <c r="L929" s="22">
        <f t="shared" si="33"/>
        <v>325200.00000000437</v>
      </c>
      <c r="M929" s="22"/>
      <c r="N929" s="72" t="s">
        <v>49</v>
      </c>
      <c r="O929" s="15"/>
    </row>
    <row r="930" spans="1:15" ht="22.5" customHeight="1" x14ac:dyDescent="0.35">
      <c r="A930" s="631">
        <v>8</v>
      </c>
      <c r="B930" s="100" t="s">
        <v>4232</v>
      </c>
      <c r="C930" s="73" t="s">
        <v>4224</v>
      </c>
      <c r="D930" s="1769"/>
      <c r="E930" s="52" t="s">
        <v>4233</v>
      </c>
      <c r="F930" s="812">
        <v>1</v>
      </c>
      <c r="G930" s="6">
        <v>5150.79</v>
      </c>
      <c r="H930" s="6">
        <v>5166.01</v>
      </c>
      <c r="I930" s="20">
        <f t="shared" si="32"/>
        <v>15.220000000000255</v>
      </c>
      <c r="J930" s="616">
        <v>60000</v>
      </c>
      <c r="K930" s="703"/>
      <c r="L930" s="22">
        <f t="shared" si="33"/>
        <v>913200.00000001525</v>
      </c>
      <c r="M930" s="22"/>
      <c r="N930" s="72" t="s">
        <v>49</v>
      </c>
      <c r="O930" s="15"/>
    </row>
    <row r="931" spans="1:15" ht="22.5" customHeight="1" x14ac:dyDescent="0.35">
      <c r="A931" s="631">
        <v>9</v>
      </c>
      <c r="B931" s="100" t="s">
        <v>4117</v>
      </c>
      <c r="C931" s="73" t="s">
        <v>4224</v>
      </c>
      <c r="D931" s="1769"/>
      <c r="E931" s="52">
        <v>30799460</v>
      </c>
      <c r="F931" s="812">
        <v>1</v>
      </c>
      <c r="G931" s="6">
        <v>5095.25</v>
      </c>
      <c r="H931" s="6">
        <v>5125.55</v>
      </c>
      <c r="I931" s="20">
        <f t="shared" si="32"/>
        <v>30.300000000000182</v>
      </c>
      <c r="J931" s="616">
        <v>60000</v>
      </c>
      <c r="K931" s="703"/>
      <c r="L931" s="22">
        <f t="shared" si="33"/>
        <v>1818000.0000000109</v>
      </c>
      <c r="M931" s="22"/>
      <c r="N931" s="72" t="s">
        <v>49</v>
      </c>
      <c r="O931" s="15"/>
    </row>
    <row r="932" spans="1:15" ht="22.5" customHeight="1" x14ac:dyDescent="0.35">
      <c r="A932" s="631">
        <v>10</v>
      </c>
      <c r="B932" s="781" t="s">
        <v>4234</v>
      </c>
      <c r="C932" s="73" t="s">
        <v>4224</v>
      </c>
      <c r="D932" s="1769"/>
      <c r="E932" s="52"/>
      <c r="F932" s="812">
        <v>1</v>
      </c>
      <c r="G932" s="6">
        <v>11130</v>
      </c>
      <c r="H932" s="6">
        <v>11130</v>
      </c>
      <c r="I932" s="20">
        <f t="shared" si="32"/>
        <v>0</v>
      </c>
      <c r="J932" s="616">
        <v>1</v>
      </c>
      <c r="K932" s="703"/>
      <c r="L932" s="22">
        <f t="shared" si="33"/>
        <v>0</v>
      </c>
      <c r="M932" s="22"/>
      <c r="N932" s="1937" t="s">
        <v>51</v>
      </c>
      <c r="O932" s="15"/>
    </row>
    <row r="933" spans="1:15" ht="22.5" customHeight="1" x14ac:dyDescent="0.35">
      <c r="A933" s="631">
        <v>12</v>
      </c>
      <c r="B933" s="100" t="s">
        <v>4235</v>
      </c>
      <c r="C933" s="73" t="s">
        <v>4224</v>
      </c>
      <c r="D933" s="1769"/>
      <c r="E933" s="52" t="s">
        <v>4236</v>
      </c>
      <c r="F933" s="812">
        <v>1</v>
      </c>
      <c r="G933" s="6">
        <v>85992209</v>
      </c>
      <c r="H933" s="6">
        <v>88626758</v>
      </c>
      <c r="I933" s="20">
        <f t="shared" si="32"/>
        <v>2634549</v>
      </c>
      <c r="J933" s="616">
        <v>1</v>
      </c>
      <c r="K933" s="703"/>
      <c r="L933" s="22">
        <f t="shared" ref="L933:L942" si="34">F933*I933*J933</f>
        <v>2634549</v>
      </c>
      <c r="M933" s="22"/>
      <c r="N933" s="72" t="s">
        <v>49</v>
      </c>
      <c r="O933" s="15"/>
    </row>
    <row r="934" spans="1:15" ht="22.5" customHeight="1" x14ac:dyDescent="0.35">
      <c r="A934" s="631">
        <v>13</v>
      </c>
      <c r="B934" s="100" t="s">
        <v>49</v>
      </c>
      <c r="C934" s="73" t="s">
        <v>4224</v>
      </c>
      <c r="D934" s="1769"/>
      <c r="E934" s="52" t="s">
        <v>4237</v>
      </c>
      <c r="F934" s="812">
        <v>1</v>
      </c>
      <c r="G934" s="6">
        <v>8502366</v>
      </c>
      <c r="H934" s="6">
        <v>10235169</v>
      </c>
      <c r="I934" s="20">
        <f t="shared" si="32"/>
        <v>1732803</v>
      </c>
      <c r="J934" s="616">
        <v>1</v>
      </c>
      <c r="K934" s="703"/>
      <c r="L934" s="22">
        <f t="shared" si="34"/>
        <v>1732803</v>
      </c>
      <c r="M934" s="22"/>
      <c r="N934" s="72" t="s">
        <v>49</v>
      </c>
      <c r="O934" s="15"/>
    </row>
    <row r="935" spans="1:15" ht="22.5" customHeight="1" x14ac:dyDescent="0.35">
      <c r="A935" s="631">
        <v>14</v>
      </c>
      <c r="B935" s="100" t="s">
        <v>4238</v>
      </c>
      <c r="C935" s="73" t="s">
        <v>4224</v>
      </c>
      <c r="D935" s="1769"/>
      <c r="E935" s="52" t="s">
        <v>4239</v>
      </c>
      <c r="F935" s="812">
        <v>1</v>
      </c>
      <c r="G935" s="6">
        <v>43134665</v>
      </c>
      <c r="H935" s="6">
        <v>43867082</v>
      </c>
      <c r="I935" s="20">
        <f t="shared" si="32"/>
        <v>732417</v>
      </c>
      <c r="J935" s="616">
        <v>1</v>
      </c>
      <c r="K935" s="703"/>
      <c r="L935" s="22">
        <f t="shared" si="34"/>
        <v>732417</v>
      </c>
      <c r="M935" s="22"/>
      <c r="N935" s="72" t="s">
        <v>49</v>
      </c>
      <c r="O935" s="15"/>
    </row>
    <row r="936" spans="1:15" ht="22.5" customHeight="1" x14ac:dyDescent="0.35">
      <c r="A936" s="631">
        <v>15</v>
      </c>
      <c r="B936" s="100" t="s">
        <v>4240</v>
      </c>
      <c r="C936" s="73" t="s">
        <v>4224</v>
      </c>
      <c r="D936" s="1769"/>
      <c r="E936" s="52" t="s">
        <v>4241</v>
      </c>
      <c r="F936" s="812">
        <v>1</v>
      </c>
      <c r="G936" s="6">
        <v>89160562</v>
      </c>
      <c r="H936" s="6">
        <v>89160562</v>
      </c>
      <c r="I936" s="20">
        <f t="shared" si="32"/>
        <v>0</v>
      </c>
      <c r="J936" s="616">
        <v>1</v>
      </c>
      <c r="K936" s="703"/>
      <c r="L936" s="22">
        <f t="shared" si="34"/>
        <v>0</v>
      </c>
      <c r="M936" s="22"/>
      <c r="N936" s="72" t="s">
        <v>49</v>
      </c>
      <c r="O936" s="15"/>
    </row>
    <row r="937" spans="1:15" ht="22.5" customHeight="1" x14ac:dyDescent="0.35">
      <c r="A937" s="631">
        <v>16</v>
      </c>
      <c r="B937" s="100" t="s">
        <v>4242</v>
      </c>
      <c r="C937" s="73" t="s">
        <v>4224</v>
      </c>
      <c r="D937" s="1769"/>
      <c r="E937" s="52" t="s">
        <v>4243</v>
      </c>
      <c r="F937" s="812">
        <v>1</v>
      </c>
      <c r="G937" s="6">
        <v>99315820</v>
      </c>
      <c r="H937" s="6">
        <v>99315820</v>
      </c>
      <c r="I937" s="20">
        <f t="shared" si="32"/>
        <v>0</v>
      </c>
      <c r="J937" s="616">
        <v>1</v>
      </c>
      <c r="K937" s="703"/>
      <c r="L937" s="22">
        <f t="shared" si="34"/>
        <v>0</v>
      </c>
      <c r="M937" s="22"/>
      <c r="N937" s="72" t="s">
        <v>49</v>
      </c>
      <c r="O937" s="15"/>
    </row>
    <row r="938" spans="1:15" ht="22.5" customHeight="1" x14ac:dyDescent="0.35">
      <c r="A938" s="631">
        <v>17</v>
      </c>
      <c r="B938" s="100" t="s">
        <v>4244</v>
      </c>
      <c r="C938" s="73" t="s">
        <v>4224</v>
      </c>
      <c r="D938" s="1769"/>
      <c r="E938" s="52" t="s">
        <v>4245</v>
      </c>
      <c r="F938" s="812">
        <v>1.5</v>
      </c>
      <c r="G938" s="6">
        <v>3370541</v>
      </c>
      <c r="H938" s="6">
        <v>5320157</v>
      </c>
      <c r="I938" s="20">
        <f t="shared" si="32"/>
        <v>1949616</v>
      </c>
      <c r="J938" s="616">
        <v>1</v>
      </c>
      <c r="K938" s="703"/>
      <c r="L938" s="22">
        <f t="shared" si="34"/>
        <v>2924424</v>
      </c>
      <c r="M938" s="22"/>
      <c r="N938" s="72" t="s">
        <v>49</v>
      </c>
      <c r="O938" s="15"/>
    </row>
    <row r="939" spans="1:15" ht="22.5" customHeight="1" x14ac:dyDescent="0.35">
      <c r="A939" s="631">
        <v>18</v>
      </c>
      <c r="B939" s="100" t="s">
        <v>4246</v>
      </c>
      <c r="C939" s="73" t="s">
        <v>4224</v>
      </c>
      <c r="D939" s="1769"/>
      <c r="E939" s="52" t="s">
        <v>4247</v>
      </c>
      <c r="F939" s="812">
        <v>1</v>
      </c>
      <c r="G939" s="6">
        <v>12357818</v>
      </c>
      <c r="H939" s="6">
        <v>14095111</v>
      </c>
      <c r="I939" s="20">
        <f t="shared" si="32"/>
        <v>1737293</v>
      </c>
      <c r="J939" s="616">
        <v>1</v>
      </c>
      <c r="K939" s="703"/>
      <c r="L939" s="22">
        <f t="shared" si="34"/>
        <v>1737293</v>
      </c>
      <c r="M939" s="22"/>
      <c r="N939" s="72" t="s">
        <v>49</v>
      </c>
      <c r="O939" s="15"/>
    </row>
    <row r="940" spans="1:15" ht="22.5" customHeight="1" x14ac:dyDescent="0.35">
      <c r="A940" s="631">
        <v>19</v>
      </c>
      <c r="B940" s="100" t="s">
        <v>4248</v>
      </c>
      <c r="C940" s="73" t="s">
        <v>4224</v>
      </c>
      <c r="D940" s="1769"/>
      <c r="E940" s="52" t="s">
        <v>4249</v>
      </c>
      <c r="F940" s="812">
        <v>1</v>
      </c>
      <c r="G940" s="6">
        <v>83113409</v>
      </c>
      <c r="H940" s="6">
        <v>83113409</v>
      </c>
      <c r="I940" s="20">
        <f t="shared" si="32"/>
        <v>0</v>
      </c>
      <c r="J940" s="616">
        <v>1</v>
      </c>
      <c r="K940" s="703"/>
      <c r="L940" s="22">
        <f t="shared" si="34"/>
        <v>0</v>
      </c>
      <c r="M940" s="22"/>
      <c r="N940" s="72" t="s">
        <v>49</v>
      </c>
      <c r="O940" s="15"/>
    </row>
    <row r="941" spans="1:15" ht="22.5" customHeight="1" x14ac:dyDescent="0.35">
      <c r="A941" s="631">
        <v>20</v>
      </c>
      <c r="B941" s="101" t="s">
        <v>4250</v>
      </c>
      <c r="C941" s="73" t="s">
        <v>4224</v>
      </c>
      <c r="D941" s="1769"/>
      <c r="E941" s="52" t="s">
        <v>4251</v>
      </c>
      <c r="F941" s="812">
        <v>1</v>
      </c>
      <c r="G941" s="6">
        <v>6839499</v>
      </c>
      <c r="H941" s="6">
        <v>8850972</v>
      </c>
      <c r="I941" s="20">
        <f t="shared" si="32"/>
        <v>2011473</v>
      </c>
      <c r="J941" s="616">
        <v>1</v>
      </c>
      <c r="K941" s="703"/>
      <c r="L941" s="22">
        <f t="shared" si="34"/>
        <v>2011473</v>
      </c>
      <c r="M941" s="22"/>
      <c r="N941" s="72" t="s">
        <v>49</v>
      </c>
      <c r="O941" s="15"/>
    </row>
    <row r="942" spans="1:15" ht="22.5" customHeight="1" x14ac:dyDescent="0.35">
      <c r="A942" s="631">
        <v>21</v>
      </c>
      <c r="B942" s="100" t="s">
        <v>4252</v>
      </c>
      <c r="C942" s="73" t="s">
        <v>4224</v>
      </c>
      <c r="D942" s="1769"/>
      <c r="E942" s="52" t="s">
        <v>4253</v>
      </c>
      <c r="F942" s="812">
        <v>1</v>
      </c>
      <c r="G942" s="6">
        <v>4895719</v>
      </c>
      <c r="H942" s="6">
        <v>6470953</v>
      </c>
      <c r="I942" s="20">
        <f>H942-G942</f>
        <v>1575234</v>
      </c>
      <c r="J942" s="616">
        <v>1</v>
      </c>
      <c r="K942" s="703"/>
      <c r="L942" s="22">
        <f t="shared" si="34"/>
        <v>1575234</v>
      </c>
      <c r="M942" s="22"/>
      <c r="N942" s="72" t="s">
        <v>49</v>
      </c>
      <c r="O942" s="15"/>
    </row>
    <row r="943" spans="1:15" ht="20" x14ac:dyDescent="0.35">
      <c r="A943" s="636"/>
      <c r="B943" s="96"/>
      <c r="C943" s="90"/>
      <c r="D943" s="96"/>
      <c r="E943" s="90"/>
      <c r="F943" s="813"/>
      <c r="G943" s="38"/>
      <c r="H943" s="38"/>
      <c r="I943" s="38"/>
      <c r="J943" s="96" t="s">
        <v>30</v>
      </c>
      <c r="K943" s="708">
        <f>K925</f>
        <v>22145400.000000078</v>
      </c>
      <c r="L943" s="43">
        <f>SUM(L927:L942)</f>
        <v>19037643.00000003</v>
      </c>
      <c r="M943" s="43">
        <f>SUM(M927:M942)</f>
        <v>0</v>
      </c>
      <c r="N943" s="84">
        <f>(M943-L943)/L943*100</f>
        <v>-100</v>
      </c>
      <c r="O943" s="13"/>
    </row>
    <row r="944" spans="1:15" x14ac:dyDescent="0.35">
      <c r="D944" s="2013"/>
      <c r="K944" s="34"/>
    </row>
    <row r="945" spans="1:15" ht="15" x14ac:dyDescent="0.35">
      <c r="A945" s="620"/>
      <c r="B945" s="635"/>
      <c r="C945" s="632"/>
      <c r="D945" s="1900"/>
      <c r="G945" s="2092" t="s">
        <v>1099</v>
      </c>
      <c r="H945" s="2092"/>
      <c r="I945" s="2092"/>
      <c r="J945" s="677" t="s">
        <v>14</v>
      </c>
      <c r="K945" s="702"/>
      <c r="L945" s="620"/>
      <c r="M945" s="620"/>
      <c r="N945" s="632"/>
      <c r="O945" s="620"/>
    </row>
    <row r="946" spans="1:15" ht="15.5" x14ac:dyDescent="0.35">
      <c r="A946" s="620"/>
      <c r="B946" s="635"/>
      <c r="C946" s="632"/>
      <c r="D946" s="1900"/>
      <c r="G946" s="2082" t="s">
        <v>232</v>
      </c>
      <c r="H946" s="2082"/>
      <c r="I946" s="2082"/>
      <c r="J946" s="643" t="e">
        <f>M933+M937+M939+M940+M941+#REF!+#REF!+#REF!+#REF!</f>
        <v>#REF!</v>
      </c>
      <c r="K946" s="702"/>
      <c r="L946" s="620"/>
      <c r="M946" s="620"/>
      <c r="N946" s="632"/>
      <c r="O946" s="620" t="s">
        <v>237</v>
      </c>
    </row>
    <row r="947" spans="1:15" ht="15.5" x14ac:dyDescent="0.35">
      <c r="A947" s="620"/>
      <c r="B947" s="635"/>
      <c r="C947" s="632"/>
      <c r="D947" s="1900"/>
      <c r="G947" s="2082" t="s">
        <v>233</v>
      </c>
      <c r="H947" s="2082"/>
      <c r="I947" s="2082"/>
      <c r="J947" s="643" t="e">
        <f>M928+M929+M930+M934+M935+M936+#REF!+#REF!+#REF!</f>
        <v>#REF!</v>
      </c>
      <c r="K947" s="702"/>
      <c r="L947" s="620"/>
      <c r="M947" s="620"/>
      <c r="N947" s="632"/>
      <c r="O947" s="620"/>
    </row>
    <row r="948" spans="1:15" ht="15.5" x14ac:dyDescent="0.35">
      <c r="A948" s="620"/>
      <c r="B948" s="635"/>
      <c r="C948" s="632"/>
      <c r="D948" s="1900"/>
      <c r="G948" s="2082" t="s">
        <v>234</v>
      </c>
      <c r="H948" s="2082"/>
      <c r="I948" s="2082"/>
      <c r="J948" s="643" t="e">
        <f>#REF!</f>
        <v>#REF!</v>
      </c>
      <c r="K948" s="702"/>
      <c r="L948" s="620"/>
      <c r="M948" s="620"/>
      <c r="N948" s="632"/>
      <c r="O948" s="620"/>
    </row>
    <row r="949" spans="1:15" ht="16" thickBot="1" x14ac:dyDescent="0.4">
      <c r="A949" s="620"/>
      <c r="B949" s="635"/>
      <c r="C949" s="632"/>
      <c r="D949" s="1900"/>
      <c r="G949" s="2082" t="s">
        <v>235</v>
      </c>
      <c r="H949" s="2082"/>
      <c r="I949" s="2082"/>
      <c r="J949" s="643" t="e">
        <f>M927+M931+M932+M938+M942+#REF!+#REF!+#REF!+#REF!</f>
        <v>#REF!</v>
      </c>
      <c r="K949" s="702"/>
      <c r="L949" s="620"/>
      <c r="M949" s="620"/>
      <c r="N949" s="632"/>
      <c r="O949" s="620"/>
    </row>
    <row r="950" spans="1:15" ht="20.5" thickBot="1" x14ac:dyDescent="0.4">
      <c r="A950" s="620"/>
      <c r="B950" s="635"/>
      <c r="C950" s="632"/>
      <c r="D950" s="1900"/>
      <c r="G950" s="2083" t="s">
        <v>210</v>
      </c>
      <c r="H950" s="2083"/>
      <c r="I950" s="2083"/>
      <c r="J950" s="714" t="e">
        <f>SUM(J946:J949)</f>
        <v>#REF!</v>
      </c>
      <c r="K950" s="682" t="e">
        <f>J950-M943</f>
        <v>#REF!</v>
      </c>
      <c r="L950" s="620"/>
      <c r="M950" s="620"/>
      <c r="N950" s="632"/>
      <c r="O950" s="620"/>
    </row>
    <row r="951" spans="1:15" x14ac:dyDescent="0.35">
      <c r="A951" s="620"/>
      <c r="B951" s="635"/>
      <c r="C951" s="632"/>
      <c r="D951" s="1900"/>
      <c r="E951" s="632"/>
      <c r="F951" s="810"/>
      <c r="G951" s="620"/>
      <c r="H951" s="620"/>
      <c r="I951" s="620"/>
      <c r="J951" s="620"/>
      <c r="K951" s="702"/>
      <c r="L951" s="620"/>
      <c r="M951" s="620"/>
      <c r="N951" s="632"/>
      <c r="O951" s="620"/>
    </row>
    <row r="952" spans="1:15" x14ac:dyDescent="0.35">
      <c r="A952" s="620"/>
      <c r="B952" s="635"/>
      <c r="C952" s="632"/>
      <c r="D952" s="1900"/>
      <c r="E952" s="632"/>
      <c r="F952" s="810"/>
      <c r="G952" s="620"/>
      <c r="H952" s="620"/>
      <c r="I952" s="620"/>
      <c r="J952" s="620"/>
      <c r="K952" s="702"/>
      <c r="L952" s="620"/>
      <c r="M952" s="620"/>
      <c r="N952" s="632"/>
      <c r="O952" s="620"/>
    </row>
    <row r="953" spans="1:15" x14ac:dyDescent="0.35">
      <c r="A953" s="620"/>
      <c r="B953" s="635"/>
      <c r="C953" s="632"/>
      <c r="D953" s="1900"/>
      <c r="E953" s="632"/>
      <c r="F953" s="810"/>
      <c r="G953" s="620"/>
      <c r="H953" s="620"/>
      <c r="I953" s="620"/>
      <c r="J953" s="620"/>
      <c r="K953" s="702"/>
      <c r="L953" s="620"/>
      <c r="M953" s="620"/>
      <c r="N953" s="632"/>
      <c r="O953" s="620"/>
    </row>
    <row r="954" spans="1:15" x14ac:dyDescent="0.35">
      <c r="A954" s="620"/>
      <c r="B954" s="635"/>
      <c r="C954" s="632"/>
      <c r="D954" s="1900"/>
      <c r="E954" s="632"/>
      <c r="F954" s="810"/>
      <c r="G954" s="620"/>
      <c r="H954" s="620"/>
      <c r="I954" s="620"/>
      <c r="J954" s="620"/>
      <c r="K954" s="702"/>
      <c r="L954" s="620"/>
      <c r="M954" s="620"/>
      <c r="N954" s="632"/>
      <c r="O954" s="620"/>
    </row>
    <row r="955" spans="1:15" x14ac:dyDescent="0.35">
      <c r="A955" s="620"/>
      <c r="B955" s="635"/>
      <c r="C955" s="632"/>
      <c r="D955" s="1900"/>
      <c r="E955" s="632"/>
      <c r="F955" s="810"/>
      <c r="G955" s="620"/>
      <c r="H955" s="620"/>
      <c r="I955" s="620"/>
      <c r="J955" s="620"/>
      <c r="K955" s="702"/>
      <c r="L955" s="620"/>
      <c r="M955" s="620"/>
      <c r="N955" s="632"/>
      <c r="O955" s="620"/>
    </row>
    <row r="956" spans="1:15" x14ac:dyDescent="0.35">
      <c r="A956" s="620"/>
      <c r="B956" s="632"/>
      <c r="C956" s="632"/>
      <c r="D956" s="1900"/>
      <c r="E956" s="632"/>
      <c r="F956" s="810"/>
      <c r="G956" s="620"/>
      <c r="H956" s="620"/>
      <c r="I956" s="620"/>
      <c r="J956" s="620"/>
      <c r="K956" s="702"/>
      <c r="L956" s="620"/>
      <c r="M956" s="620"/>
      <c r="N956" s="632"/>
      <c r="O956" s="620"/>
    </row>
    <row r="957" spans="1:15" x14ac:dyDescent="0.35">
      <c r="A957" s="620"/>
      <c r="B957" s="632"/>
      <c r="C957" s="632"/>
      <c r="D957" s="1900"/>
      <c r="E957" s="632"/>
      <c r="F957" s="810"/>
      <c r="G957" s="620"/>
      <c r="H957" s="620"/>
      <c r="I957" s="620"/>
      <c r="J957" s="620"/>
      <c r="K957" s="702"/>
      <c r="L957" s="620"/>
      <c r="M957" s="620"/>
      <c r="N957" s="632"/>
      <c r="O957" s="620"/>
    </row>
    <row r="958" spans="1:15" x14ac:dyDescent="0.35">
      <c r="A958" s="620"/>
      <c r="B958" s="635"/>
      <c r="C958" s="632"/>
      <c r="D958" s="1900"/>
      <c r="E958" s="632"/>
      <c r="F958" s="810"/>
      <c r="G958" s="620"/>
      <c r="H958" s="620"/>
      <c r="I958" s="620"/>
      <c r="J958" s="620"/>
      <c r="K958" s="702"/>
      <c r="L958" s="620"/>
      <c r="M958" s="620"/>
      <c r="N958" s="632"/>
      <c r="O958" s="620"/>
    </row>
    <row r="959" spans="1:15" x14ac:dyDescent="0.35">
      <c r="A959" s="620"/>
      <c r="B959" s="635"/>
      <c r="C959" s="632"/>
      <c r="D959" s="1900"/>
      <c r="E959" s="632"/>
      <c r="F959" s="810"/>
      <c r="G959" s="620"/>
      <c r="H959" s="620"/>
      <c r="I959" s="620"/>
      <c r="J959" s="620"/>
      <c r="K959" s="702"/>
      <c r="L959" s="620"/>
      <c r="M959" s="620"/>
      <c r="N959" s="632"/>
      <c r="O959" s="620"/>
    </row>
    <row r="960" spans="1:15" x14ac:dyDescent="0.35">
      <c r="A960" s="620"/>
      <c r="B960" s="635"/>
      <c r="C960" s="632"/>
      <c r="D960" s="1900"/>
      <c r="E960" s="632"/>
      <c r="F960" s="810"/>
      <c r="G960" s="620"/>
      <c r="H960" s="620"/>
      <c r="I960" s="620"/>
      <c r="J960" s="620"/>
      <c r="K960" s="702"/>
      <c r="L960" s="620"/>
      <c r="M960" s="620"/>
      <c r="N960" s="632"/>
      <c r="O960" s="620"/>
    </row>
    <row r="961" spans="1:15" ht="25" x14ac:dyDescent="0.35">
      <c r="A961" s="28"/>
      <c r="B961" s="2152"/>
      <c r="C961" s="2152"/>
      <c r="D961" s="2152"/>
      <c r="E961" s="2152"/>
      <c r="F961" s="2152"/>
      <c r="G961" s="2152"/>
      <c r="H961" s="2152"/>
      <c r="I961" s="2152"/>
      <c r="J961" s="2152"/>
      <c r="K961" s="2152"/>
      <c r="L961" s="2152"/>
      <c r="M961" s="2152"/>
      <c r="N961" s="632"/>
      <c r="O961" s="620"/>
    </row>
    <row r="962" spans="1:15" x14ac:dyDescent="0.35">
      <c r="A962" s="620"/>
      <c r="B962" s="635"/>
      <c r="C962" s="632"/>
      <c r="D962" s="1900"/>
      <c r="E962" s="632"/>
      <c r="F962" s="810"/>
      <c r="G962" s="620"/>
      <c r="H962" s="620"/>
      <c r="I962" s="620"/>
      <c r="J962" s="620"/>
      <c r="K962" s="702"/>
      <c r="L962" s="620"/>
      <c r="M962" s="620"/>
      <c r="N962" s="632"/>
      <c r="O962" s="620"/>
    </row>
    <row r="963" spans="1:15" x14ac:dyDescent="0.35">
      <c r="A963" s="620"/>
      <c r="B963" s="635"/>
      <c r="C963" s="632"/>
      <c r="D963" s="1900"/>
      <c r="E963" s="632"/>
      <c r="F963" s="810"/>
      <c r="G963" s="620"/>
      <c r="H963" s="620"/>
      <c r="I963" s="620"/>
      <c r="J963" s="620"/>
      <c r="K963" s="702"/>
      <c r="L963" s="620"/>
      <c r="M963" s="620"/>
      <c r="N963" s="632"/>
      <c r="O963" s="620"/>
    </row>
    <row r="964" spans="1:15" ht="25" x14ac:dyDescent="0.35">
      <c r="A964" s="2095" t="s">
        <v>1510</v>
      </c>
      <c r="B964" s="2095"/>
      <c r="C964" s="2095"/>
      <c r="D964" s="2095"/>
      <c r="E964" s="2095"/>
      <c r="F964" s="2095"/>
      <c r="G964" s="2095"/>
      <c r="H964" s="2095"/>
      <c r="I964" s="2095"/>
      <c r="J964" s="2095"/>
      <c r="K964" s="2095"/>
      <c r="L964" s="2095"/>
      <c r="M964" s="2095"/>
      <c r="N964" s="2095"/>
      <c r="O964" s="756" t="e">
        <f>$O$6</f>
        <v>#REF!</v>
      </c>
    </row>
    <row r="965" spans="1:15" ht="15.5" x14ac:dyDescent="0.35">
      <c r="A965" s="2096" t="s">
        <v>0</v>
      </c>
      <c r="B965" s="2098" t="s">
        <v>1</v>
      </c>
      <c r="C965" s="2100" t="s">
        <v>2</v>
      </c>
      <c r="D965" s="2101"/>
      <c r="E965" s="2102"/>
      <c r="F965" s="2216" t="s">
        <v>3</v>
      </c>
      <c r="G965" s="2100" t="s">
        <v>4</v>
      </c>
      <c r="H965" s="2102"/>
      <c r="I965" s="2085"/>
      <c r="J965" s="2103" t="s">
        <v>5</v>
      </c>
      <c r="K965" s="2100" t="s">
        <v>6</v>
      </c>
      <c r="L965" s="2085"/>
      <c r="M965" s="97" t="s">
        <v>32</v>
      </c>
      <c r="N965" s="98"/>
      <c r="O965" s="2084" t="s">
        <v>7</v>
      </c>
    </row>
    <row r="966" spans="1:15" ht="15.5" x14ac:dyDescent="0.35">
      <c r="A966" s="2097"/>
      <c r="B966" s="2099"/>
      <c r="C966" s="2086" t="s">
        <v>1108</v>
      </c>
      <c r="D966" s="2087"/>
      <c r="E966" s="87" t="s">
        <v>9</v>
      </c>
      <c r="F966" s="2217"/>
      <c r="G966" s="2">
        <f>'NORTH-1'!$G$8</f>
        <v>44774</v>
      </c>
      <c r="H966" s="2">
        <f>'NORTH-1'!$H$8</f>
        <v>44805</v>
      </c>
      <c r="I966" s="1" t="s">
        <v>10</v>
      </c>
      <c r="J966" s="2097"/>
      <c r="K966" s="1" t="s">
        <v>11</v>
      </c>
      <c r="L966" s="1" t="s">
        <v>12</v>
      </c>
      <c r="M966" s="617" t="s">
        <v>33</v>
      </c>
      <c r="N966" s="76" t="s">
        <v>47</v>
      </c>
      <c r="O966" s="2085"/>
    </row>
    <row r="967" spans="1:15" ht="15.5" x14ac:dyDescent="0.35">
      <c r="A967" s="3">
        <v>1</v>
      </c>
      <c r="B967" s="88">
        <v>2</v>
      </c>
      <c r="C967" s="2088">
        <v>4</v>
      </c>
      <c r="D967" s="2089"/>
      <c r="E967" s="88">
        <v>5</v>
      </c>
      <c r="F967" s="803">
        <v>7</v>
      </c>
      <c r="G967" s="3">
        <v>8</v>
      </c>
      <c r="H967" s="3">
        <v>9</v>
      </c>
      <c r="I967" s="3" t="s">
        <v>13</v>
      </c>
      <c r="J967" s="3">
        <v>11</v>
      </c>
      <c r="K967" s="3" t="s">
        <v>19</v>
      </c>
      <c r="L967" s="3" t="s">
        <v>20</v>
      </c>
      <c r="M967" s="3">
        <v>14</v>
      </c>
      <c r="N967" s="77">
        <v>15</v>
      </c>
      <c r="O967" s="3">
        <v>16</v>
      </c>
    </row>
    <row r="968" spans="1:15" ht="15.5" x14ac:dyDescent="0.35">
      <c r="A968" s="631"/>
      <c r="B968" s="624" t="s">
        <v>3437</v>
      </c>
      <c r="C968" s="625"/>
      <c r="D968" s="695"/>
      <c r="E968" s="625"/>
      <c r="F968" s="804"/>
      <c r="G968" s="625"/>
      <c r="H968" s="625"/>
      <c r="I968" s="625"/>
      <c r="J968" s="625"/>
      <c r="K968" s="695"/>
      <c r="L968" s="625"/>
      <c r="M968" s="626"/>
      <c r="N968" s="627"/>
      <c r="O968" s="616"/>
    </row>
    <row r="969" spans="1:15" ht="15.5" x14ac:dyDescent="0.35">
      <c r="A969" s="11">
        <v>1</v>
      </c>
      <c r="B969" s="100" t="s">
        <v>4258</v>
      </c>
      <c r="C969" s="52" t="s">
        <v>3833</v>
      </c>
      <c r="D969" s="818"/>
      <c r="E969" s="52"/>
      <c r="F969" s="812">
        <v>1</v>
      </c>
      <c r="G969" s="21">
        <v>5900.92</v>
      </c>
      <c r="H969" s="21">
        <v>5932.39</v>
      </c>
      <c r="I969" s="21">
        <f>H969-G969</f>
        <v>31.470000000000255</v>
      </c>
      <c r="J969" s="616">
        <v>240000</v>
      </c>
      <c r="K969" s="696">
        <f>F969*I969*J969</f>
        <v>7552800.0000000615</v>
      </c>
      <c r="L969" s="22"/>
      <c r="M969" s="22"/>
      <c r="N969" s="82"/>
      <c r="O969" s="9"/>
    </row>
    <row r="970" spans="1:15" ht="15.5" x14ac:dyDescent="0.35">
      <c r="A970" s="631">
        <v>2</v>
      </c>
      <c r="B970" s="100" t="s">
        <v>4259</v>
      </c>
      <c r="C970" s="52" t="s">
        <v>3833</v>
      </c>
      <c r="D970" s="1444"/>
      <c r="E970" s="52"/>
      <c r="F970" s="812">
        <v>1</v>
      </c>
      <c r="G970" s="21">
        <v>1819.76</v>
      </c>
      <c r="H970" s="21">
        <v>1832</v>
      </c>
      <c r="I970" s="21">
        <f>H970-G970</f>
        <v>12.240000000000009</v>
      </c>
      <c r="J970" s="616">
        <v>240000</v>
      </c>
      <c r="K970" s="696">
        <f>F970*I970*J970</f>
        <v>2937600.0000000023</v>
      </c>
      <c r="L970" s="22"/>
      <c r="M970" s="22"/>
      <c r="N970" s="82"/>
      <c r="O970" s="616"/>
    </row>
    <row r="971" spans="1:15" ht="15.5" x14ac:dyDescent="0.35">
      <c r="A971" s="631"/>
      <c r="B971" s="102"/>
      <c r="C971" s="91"/>
      <c r="D971" s="726"/>
      <c r="E971" s="91"/>
      <c r="F971" s="814"/>
      <c r="G971" s="48"/>
      <c r="H971" s="48"/>
      <c r="I971" s="48"/>
      <c r="J971" s="96" t="s">
        <v>30</v>
      </c>
      <c r="K971" s="43">
        <f>SUM(K969:K970)</f>
        <v>10490400.000000063</v>
      </c>
      <c r="L971" s="43">
        <f>SUM(L969:L970)</f>
        <v>0</v>
      </c>
      <c r="M971" s="43">
        <f>SUM(M969:M970)</f>
        <v>0</v>
      </c>
      <c r="N971" s="646"/>
      <c r="O971" s="616"/>
    </row>
    <row r="972" spans="1:15" ht="15.5" x14ac:dyDescent="0.35">
      <c r="A972" s="616"/>
      <c r="B972" s="624" t="s">
        <v>1511</v>
      </c>
      <c r="C972" s="625"/>
      <c r="D972" s="695"/>
      <c r="E972" s="625"/>
      <c r="F972" s="804"/>
      <c r="G972" s="625"/>
      <c r="H972" s="625"/>
      <c r="I972" s="625"/>
      <c r="J972" s="732"/>
      <c r="K972" s="733"/>
      <c r="L972" s="734"/>
      <c r="M972" s="734"/>
      <c r="N972" s="627"/>
      <c r="O972" s="12"/>
    </row>
    <row r="973" spans="1:15" ht="15.5" x14ac:dyDescent="0.35">
      <c r="A973" s="616">
        <v>5</v>
      </c>
      <c r="B973" s="100" t="s">
        <v>4260</v>
      </c>
      <c r="C973" s="52" t="s">
        <v>3833</v>
      </c>
      <c r="D973" s="818"/>
      <c r="E973" s="52">
        <v>43998032</v>
      </c>
      <c r="F973" s="812">
        <v>1</v>
      </c>
      <c r="G973" s="21">
        <v>990.05</v>
      </c>
      <c r="H973" s="21">
        <v>1018.1</v>
      </c>
      <c r="I973" s="20">
        <f>H973-G973</f>
        <v>28.050000000000068</v>
      </c>
      <c r="J973" s="616">
        <v>270000</v>
      </c>
      <c r="K973" s="696">
        <f>J973*I973*F973</f>
        <v>7573500.0000000186</v>
      </c>
      <c r="L973" s="22"/>
      <c r="M973" s="22"/>
      <c r="N973" s="82"/>
      <c r="O973" s="12"/>
    </row>
    <row r="974" spans="1:15" ht="15.5" x14ac:dyDescent="0.35">
      <c r="A974" s="616">
        <v>8</v>
      </c>
      <c r="B974" s="100" t="s">
        <v>4261</v>
      </c>
      <c r="C974" s="52" t="s">
        <v>3833</v>
      </c>
      <c r="D974" s="1918"/>
      <c r="E974" s="52">
        <v>43998027</v>
      </c>
      <c r="F974" s="812">
        <v>1</v>
      </c>
      <c r="G974" s="21">
        <v>696.43</v>
      </c>
      <c r="H974" s="21">
        <v>712.55</v>
      </c>
      <c r="I974" s="20">
        <f>H974-G974</f>
        <v>16.120000000000005</v>
      </c>
      <c r="J974" s="616">
        <v>270000</v>
      </c>
      <c r="K974" s="696">
        <f>J974*I974*F974</f>
        <v>4352400.0000000009</v>
      </c>
      <c r="L974" s="22"/>
      <c r="M974" s="22"/>
      <c r="N974" s="82"/>
      <c r="O974" s="12"/>
    </row>
    <row r="975" spans="1:15" ht="15.5" x14ac:dyDescent="0.35">
      <c r="A975" s="616"/>
      <c r="B975" s="102"/>
      <c r="C975" s="91"/>
      <c r="D975" s="726"/>
      <c r="E975" s="91"/>
      <c r="F975" s="814"/>
      <c r="G975" s="48"/>
      <c r="H975" s="48"/>
      <c r="I975" s="36"/>
      <c r="J975" s="96" t="s">
        <v>30</v>
      </c>
      <c r="K975" s="43">
        <f>SUM(K973:K974)</f>
        <v>11925900.000000019</v>
      </c>
      <c r="L975" s="43">
        <f>SUM(L973:L974)</f>
        <v>0</v>
      </c>
      <c r="M975" s="43">
        <f>SUM(M973:M974)</f>
        <v>0</v>
      </c>
      <c r="N975" s="85"/>
      <c r="O975" s="12"/>
    </row>
    <row r="976" spans="1:15" ht="15.5" x14ac:dyDescent="0.35">
      <c r="A976" s="616"/>
      <c r="B976" s="647" t="s">
        <v>1512</v>
      </c>
      <c r="C976" s="648"/>
      <c r="D976" s="700"/>
      <c r="E976" s="648"/>
      <c r="F976" s="807"/>
      <c r="G976" s="648"/>
      <c r="H976" s="648"/>
      <c r="I976" s="648"/>
      <c r="J976" s="648"/>
      <c r="K976" s="700"/>
      <c r="L976" s="648"/>
      <c r="M976" s="651"/>
      <c r="N976" s="649"/>
      <c r="O976" s="8"/>
    </row>
    <row r="977" spans="1:15" ht="15.5" x14ac:dyDescent="0.35">
      <c r="A977" s="616"/>
      <c r="B977" s="100" t="s">
        <v>1079</v>
      </c>
      <c r="C977" s="52">
        <v>132</v>
      </c>
      <c r="D977" s="2138" t="s">
        <v>1083</v>
      </c>
      <c r="E977" s="615"/>
      <c r="F977" s="812"/>
      <c r="G977" s="5"/>
      <c r="H977" s="5"/>
      <c r="I977" s="5"/>
      <c r="J977" s="616"/>
      <c r="K977" s="696"/>
      <c r="L977" s="16">
        <f>J977*I977*F977</f>
        <v>0</v>
      </c>
      <c r="M977" s="7"/>
      <c r="N977" s="78"/>
      <c r="O977" s="616"/>
    </row>
    <row r="978" spans="1:15" ht="15.5" x14ac:dyDescent="0.35">
      <c r="A978" s="616"/>
      <c r="B978" s="100" t="s">
        <v>1078</v>
      </c>
      <c r="C978" s="52">
        <v>132</v>
      </c>
      <c r="D978" s="2139"/>
      <c r="E978" s="615"/>
      <c r="F978" s="812"/>
      <c r="G978" s="5"/>
      <c r="H978" s="5"/>
      <c r="I978" s="5"/>
      <c r="J978" s="616"/>
      <c r="K978" s="696"/>
      <c r="L978" s="16">
        <f>J978*I978*F978</f>
        <v>0</v>
      </c>
      <c r="M978" s="16"/>
      <c r="N978" s="79"/>
      <c r="O978" s="616"/>
    </row>
    <row r="979" spans="1:15" ht="15.5" x14ac:dyDescent="0.35">
      <c r="A979" s="616"/>
      <c r="B979" s="95"/>
      <c r="C979" s="89"/>
      <c r="D979" s="1846"/>
      <c r="E979" s="89"/>
      <c r="F979" s="806"/>
      <c r="G979" s="37"/>
      <c r="H979" s="37"/>
      <c r="I979" s="37"/>
      <c r="J979" s="95" t="s">
        <v>279</v>
      </c>
      <c r="K979" s="699"/>
      <c r="L979" s="55">
        <f>SUM(L977:L978)</f>
        <v>0</v>
      </c>
      <c r="M979" s="633"/>
      <c r="N979" s="634"/>
      <c r="O979" s="616"/>
    </row>
    <row r="980" spans="1:15" ht="15.5" x14ac:dyDescent="0.35">
      <c r="A980" s="616"/>
      <c r="B980" s="102"/>
      <c r="C980" s="91"/>
      <c r="D980" s="726"/>
      <c r="E980" s="91"/>
      <c r="F980" s="814"/>
      <c r="G980" s="48"/>
      <c r="H980" s="48"/>
      <c r="I980" s="36"/>
      <c r="J980" s="96"/>
      <c r="K980" s="706"/>
      <c r="L980" s="43"/>
      <c r="M980" s="43"/>
      <c r="N980" s="85"/>
      <c r="O980" s="12"/>
    </row>
    <row r="981" spans="1:15" ht="15.5" x14ac:dyDescent="0.35">
      <c r="A981" s="636"/>
      <c r="B981" s="647" t="s">
        <v>1513</v>
      </c>
      <c r="C981" s="648"/>
      <c r="D981" s="700"/>
      <c r="E981" s="648"/>
      <c r="F981" s="807"/>
      <c r="G981" s="648"/>
      <c r="H981" s="648"/>
      <c r="I981" s="648"/>
      <c r="J981" s="50"/>
      <c r="K981" s="710"/>
      <c r="L981" s="51"/>
      <c r="M981" s="51"/>
      <c r="N981" s="649"/>
      <c r="O981" s="12"/>
    </row>
    <row r="982" spans="1:15" ht="15.75" customHeight="1" x14ac:dyDescent="0.35">
      <c r="A982" s="616">
        <v>6</v>
      </c>
      <c r="B982" s="100" t="s">
        <v>4262</v>
      </c>
      <c r="C982" s="52" t="s">
        <v>3833</v>
      </c>
      <c r="D982" s="1924"/>
      <c r="E982" s="52">
        <v>43998028</v>
      </c>
      <c r="F982" s="812">
        <v>1</v>
      </c>
      <c r="G982" s="21">
        <v>521.55999999999995</v>
      </c>
      <c r="H982" s="21">
        <v>549.6</v>
      </c>
      <c r="I982" s="21">
        <f>H982-G982</f>
        <v>28.040000000000077</v>
      </c>
      <c r="J982" s="31">
        <v>270000</v>
      </c>
      <c r="K982" s="707"/>
      <c r="L982" s="22">
        <f>J982*I982*F982</f>
        <v>7570800.0000000205</v>
      </c>
      <c r="M982" s="22"/>
      <c r="N982" s="83"/>
      <c r="O982" s="12"/>
    </row>
    <row r="983" spans="1:15" ht="15.5" x14ac:dyDescent="0.35">
      <c r="A983" s="616">
        <v>9</v>
      </c>
      <c r="B983" s="100" t="s">
        <v>4263</v>
      </c>
      <c r="C983" s="52" t="s">
        <v>3833</v>
      </c>
      <c r="D983" s="1926"/>
      <c r="E983" s="52">
        <v>43998029</v>
      </c>
      <c r="F983" s="812">
        <v>1</v>
      </c>
      <c r="G983" s="21">
        <v>574.04999999999995</v>
      </c>
      <c r="H983" s="21">
        <v>590.17999999999995</v>
      </c>
      <c r="I983" s="21">
        <f>H983-G983</f>
        <v>16.129999999999995</v>
      </c>
      <c r="J983" s="31">
        <v>270000</v>
      </c>
      <c r="K983" s="707"/>
      <c r="L983" s="22">
        <f>J983*I983*F983</f>
        <v>4355099.9999999991</v>
      </c>
      <c r="M983" s="22"/>
      <c r="N983" s="83"/>
      <c r="O983" s="12"/>
    </row>
    <row r="984" spans="1:15" ht="15.5" x14ac:dyDescent="0.35">
      <c r="A984" s="616">
        <v>11</v>
      </c>
      <c r="B984" s="100" t="s">
        <v>4264</v>
      </c>
      <c r="C984" s="52" t="s">
        <v>3833</v>
      </c>
      <c r="D984" s="1925"/>
      <c r="E984" s="52"/>
      <c r="F984" s="812">
        <v>1</v>
      </c>
      <c r="G984" s="21"/>
      <c r="H984" s="21"/>
      <c r="I984" s="21">
        <f>H984-G984</f>
        <v>0</v>
      </c>
      <c r="J984" s="31">
        <v>270000</v>
      </c>
      <c r="K984" s="707"/>
      <c r="L984" s="22">
        <f>J984*I984*F984</f>
        <v>0</v>
      </c>
      <c r="M984" s="22"/>
      <c r="N984" s="83"/>
      <c r="O984" s="12"/>
    </row>
    <row r="985" spans="1:15" ht="15" x14ac:dyDescent="0.35">
      <c r="A985" s="636"/>
      <c r="B985" s="96"/>
      <c r="C985" s="90"/>
      <c r="D985" s="96"/>
      <c r="E985" s="90"/>
      <c r="F985" s="813"/>
      <c r="G985" s="38"/>
      <c r="H985" s="38"/>
      <c r="I985" s="38"/>
      <c r="J985" s="96" t="s">
        <v>30</v>
      </c>
      <c r="K985" s="708"/>
      <c r="L985" s="43">
        <f>SUM(L982:L984)</f>
        <v>11925900.000000019</v>
      </c>
      <c r="M985" s="43">
        <f>SUM(M982:M984)</f>
        <v>0</v>
      </c>
      <c r="N985" s="650">
        <f>(M985-L985)/L985*100</f>
        <v>-100</v>
      </c>
      <c r="O985" s="12"/>
    </row>
    <row r="986" spans="1:15" ht="15.5" thickBot="1" x14ac:dyDescent="0.4">
      <c r="A986" s="702"/>
      <c r="B986" s="736"/>
      <c r="C986" s="92"/>
      <c r="D986" s="736"/>
      <c r="E986" s="92"/>
      <c r="F986" s="815"/>
      <c r="G986" s="737"/>
      <c r="H986" s="737"/>
      <c r="I986" s="737"/>
      <c r="J986" s="736"/>
      <c r="K986" s="738"/>
      <c r="L986" s="739"/>
      <c r="M986" s="739"/>
      <c r="N986" s="646"/>
      <c r="O986" s="740"/>
    </row>
    <row r="987" spans="1:15" ht="15" x14ac:dyDescent="0.35">
      <c r="A987" s="702"/>
      <c r="B987" s="2142" t="s">
        <v>1339</v>
      </c>
      <c r="C987" s="2143"/>
      <c r="D987" s="683" t="s">
        <v>14</v>
      </c>
      <c r="F987" s="2144" t="s">
        <v>1350</v>
      </c>
      <c r="G987" s="2145"/>
      <c r="H987" s="2146"/>
      <c r="I987" s="683" t="s">
        <v>14</v>
      </c>
      <c r="J987" s="620"/>
      <c r="K987" s="2147" t="s">
        <v>1092</v>
      </c>
      <c r="L987" s="2148"/>
      <c r="M987" s="684" t="s">
        <v>14</v>
      </c>
      <c r="N987" s="646"/>
      <c r="O987" s="740"/>
    </row>
    <row r="988" spans="1:15" ht="15" x14ac:dyDescent="0.35">
      <c r="A988" s="702"/>
      <c r="B988" s="2122" t="str">
        <f>B968</f>
        <v xml:space="preserve"> 33 KV SIDE</v>
      </c>
      <c r="C988" s="2123"/>
      <c r="D988" s="689">
        <f>M971</f>
        <v>0</v>
      </c>
      <c r="F988" s="2124" t="s">
        <v>1093</v>
      </c>
      <c r="G988" s="2125"/>
      <c r="H988" s="2126"/>
      <c r="I988" s="685">
        <f>L979</f>
        <v>0</v>
      </c>
      <c r="J988" s="620"/>
      <c r="K988" s="2160" t="str">
        <f>F989</f>
        <v xml:space="preserve"> BGB 33 KV NET IMPORT</v>
      </c>
      <c r="L988" s="2161"/>
      <c r="M988" s="687" t="e">
        <f>I989</f>
        <v>#REF!</v>
      </c>
      <c r="N988" s="646"/>
      <c r="O988" s="740"/>
    </row>
    <row r="989" spans="1:15" ht="15" x14ac:dyDescent="0.35">
      <c r="A989" s="702"/>
      <c r="B989" s="2122" t="e">
        <f>#REF!</f>
        <v>#REF!</v>
      </c>
      <c r="C989" s="2123"/>
      <c r="D989" s="741" t="e">
        <f>#REF!</f>
        <v>#REF!</v>
      </c>
      <c r="F989" s="2124" t="s">
        <v>1514</v>
      </c>
      <c r="G989" s="2125"/>
      <c r="H989" s="2126"/>
      <c r="I989" s="685" t="e">
        <f>D992-I988</f>
        <v>#REF!</v>
      </c>
      <c r="J989" s="620"/>
      <c r="K989" s="2162" t="s">
        <v>1515</v>
      </c>
      <c r="L989" s="2163"/>
      <c r="M989" s="685">
        <f>M1024</f>
        <v>0</v>
      </c>
      <c r="N989" s="646"/>
      <c r="O989" s="740"/>
    </row>
    <row r="990" spans="1:15" ht="15" x14ac:dyDescent="0.35">
      <c r="A990" s="702"/>
      <c r="B990" s="2122" t="s">
        <v>1117</v>
      </c>
      <c r="C990" s="2123"/>
      <c r="D990" s="721"/>
      <c r="F990" s="2124" t="s">
        <v>1089</v>
      </c>
      <c r="G990" s="2125"/>
      <c r="H990" s="2126"/>
      <c r="I990" s="685" t="e">
        <f>I988+I989</f>
        <v>#REF!</v>
      </c>
      <c r="J990" s="620"/>
      <c r="K990" s="2127" t="s">
        <v>284</v>
      </c>
      <c r="L990" s="2128"/>
      <c r="M990" s="685" t="e">
        <f>M988-M989</f>
        <v>#REF!</v>
      </c>
      <c r="N990" s="646"/>
      <c r="O990" s="740"/>
    </row>
    <row r="991" spans="1:15" ht="16" thickBot="1" x14ac:dyDescent="0.4">
      <c r="A991" s="702"/>
      <c r="B991" s="2122" t="s">
        <v>1118</v>
      </c>
      <c r="C991" s="2123"/>
      <c r="D991" s="722"/>
      <c r="F991" s="2113" t="s">
        <v>1102</v>
      </c>
      <c r="G991" s="2114"/>
      <c r="H991" s="2115"/>
      <c r="I991" s="690" t="e">
        <f>(D992-I990)/I990</f>
        <v>#REF!</v>
      </c>
      <c r="J991" s="620"/>
      <c r="K991" s="2134" t="s">
        <v>285</v>
      </c>
      <c r="L991" s="2135"/>
      <c r="M991" s="688" t="e">
        <f>M990/M988</f>
        <v>#REF!</v>
      </c>
      <c r="N991" s="646"/>
      <c r="O991" s="740"/>
    </row>
    <row r="992" spans="1:15" ht="15.5" thickBot="1" x14ac:dyDescent="0.4">
      <c r="A992" s="702"/>
      <c r="B992" s="2158" t="s">
        <v>1082</v>
      </c>
      <c r="C992" s="2159"/>
      <c r="D992" s="686" t="e">
        <f>SUM(D988:D990)</f>
        <v>#REF!</v>
      </c>
      <c r="F992" s="810"/>
      <c r="G992" s="620"/>
      <c r="H992" s="620"/>
      <c r="I992" s="620"/>
      <c r="J992" s="620"/>
      <c r="K992" s="702"/>
      <c r="L992" s="620"/>
      <c r="M992" s="620"/>
      <c r="N992" s="646"/>
      <c r="O992" s="740"/>
    </row>
    <row r="993" spans="1:15" ht="15" x14ac:dyDescent="0.35">
      <c r="A993" s="702"/>
      <c r="B993" s="736"/>
      <c r="C993" s="92"/>
      <c r="D993" s="736"/>
      <c r="E993" s="92"/>
      <c r="F993" s="815"/>
      <c r="G993" s="737"/>
      <c r="H993" s="737"/>
      <c r="I993" s="737"/>
      <c r="J993" s="736"/>
      <c r="K993" s="738"/>
      <c r="L993" s="739"/>
      <c r="M993" s="739"/>
      <c r="N993" s="646"/>
      <c r="O993" s="740"/>
    </row>
    <row r="994" spans="1:15" x14ac:dyDescent="0.35">
      <c r="A994" s="620"/>
      <c r="B994" s="632"/>
      <c r="C994" s="620"/>
      <c r="D994" s="2014"/>
      <c r="E994" s="620"/>
      <c r="F994" s="810"/>
      <c r="G994" s="620"/>
      <c r="H994" s="620"/>
      <c r="I994" s="620"/>
      <c r="J994" s="620"/>
      <c r="K994" s="702"/>
      <c r="L994" s="620"/>
      <c r="M994" s="620"/>
      <c r="N994" s="620"/>
      <c r="O994" s="620"/>
    </row>
    <row r="995" spans="1:15" x14ac:dyDescent="0.35">
      <c r="A995" s="620"/>
      <c r="B995" s="632"/>
      <c r="C995" s="620"/>
      <c r="D995" s="2014"/>
      <c r="E995" s="620"/>
      <c r="F995" s="810"/>
      <c r="G995" s="620"/>
      <c r="H995" s="620"/>
      <c r="I995" s="620"/>
      <c r="J995" s="620"/>
      <c r="K995" s="702"/>
      <c r="L995" s="620"/>
      <c r="M995" s="620"/>
      <c r="N995" s="620"/>
      <c r="O995" s="620"/>
    </row>
    <row r="996" spans="1:15" ht="25" x14ac:dyDescent="0.35">
      <c r="A996" s="2095" t="s">
        <v>1174</v>
      </c>
      <c r="B996" s="2095"/>
      <c r="C996" s="2095"/>
      <c r="D996" s="2095"/>
      <c r="E996" s="2095"/>
      <c r="F996" s="2095"/>
      <c r="G996" s="2095"/>
      <c r="H996" s="2095"/>
      <c r="I996" s="2095"/>
      <c r="J996" s="2095"/>
      <c r="K996" s="2095"/>
      <c r="L996" s="2095"/>
      <c r="M996" s="2095"/>
      <c r="N996" s="2095"/>
      <c r="O996" s="756" t="e">
        <f>$O$6</f>
        <v>#REF!</v>
      </c>
    </row>
    <row r="997" spans="1:15" ht="15.5" x14ac:dyDescent="0.35">
      <c r="A997" s="2096" t="s">
        <v>0</v>
      </c>
      <c r="B997" s="2098" t="s">
        <v>1</v>
      </c>
      <c r="C997" s="2100" t="s">
        <v>2</v>
      </c>
      <c r="D997" s="2101"/>
      <c r="E997" s="2102"/>
      <c r="F997" s="2216" t="s">
        <v>3</v>
      </c>
      <c r="G997" s="2100" t="s">
        <v>4</v>
      </c>
      <c r="H997" s="2102"/>
      <c r="I997" s="2085"/>
      <c r="J997" s="2103" t="s">
        <v>5</v>
      </c>
      <c r="K997" s="2100" t="s">
        <v>6</v>
      </c>
      <c r="L997" s="2085"/>
      <c r="M997" s="97" t="s">
        <v>32</v>
      </c>
      <c r="N997" s="98"/>
      <c r="O997" s="2084" t="s">
        <v>7</v>
      </c>
    </row>
    <row r="998" spans="1:15" ht="15.5" x14ac:dyDescent="0.35">
      <c r="A998" s="2097"/>
      <c r="B998" s="2099"/>
      <c r="C998" s="2086" t="s">
        <v>1108</v>
      </c>
      <c r="D998" s="2087"/>
      <c r="E998" s="87" t="s">
        <v>9</v>
      </c>
      <c r="F998" s="2217"/>
      <c r="G998" s="2">
        <f>'NORTH-1'!$G$8</f>
        <v>44774</v>
      </c>
      <c r="H998" s="2">
        <f>'NORTH-1'!$H$8</f>
        <v>44805</v>
      </c>
      <c r="I998" s="1" t="s">
        <v>10</v>
      </c>
      <c r="J998" s="2097"/>
      <c r="K998" s="1" t="s">
        <v>11</v>
      </c>
      <c r="L998" s="1" t="s">
        <v>12</v>
      </c>
      <c r="M998" s="617" t="s">
        <v>33</v>
      </c>
      <c r="N998" s="76" t="s">
        <v>47</v>
      </c>
      <c r="O998" s="2085"/>
    </row>
    <row r="999" spans="1:15" ht="15.5" x14ac:dyDescent="0.35">
      <c r="A999" s="3">
        <v>1</v>
      </c>
      <c r="B999" s="88">
        <v>2</v>
      </c>
      <c r="C999" s="2088">
        <v>4</v>
      </c>
      <c r="D999" s="2089"/>
      <c r="E999" s="88">
        <v>5</v>
      </c>
      <c r="F999" s="803">
        <v>7</v>
      </c>
      <c r="G999" s="3">
        <v>8</v>
      </c>
      <c r="H999" s="3">
        <v>9</v>
      </c>
      <c r="I999" s="3" t="s">
        <v>13</v>
      </c>
      <c r="J999" s="3">
        <v>11</v>
      </c>
      <c r="K999" s="3" t="s">
        <v>19</v>
      </c>
      <c r="L999" s="3" t="s">
        <v>20</v>
      </c>
      <c r="M999" s="3">
        <v>14</v>
      </c>
      <c r="N999" s="77">
        <v>15</v>
      </c>
      <c r="O999" s="3">
        <v>16</v>
      </c>
    </row>
    <row r="1000" spans="1:15" ht="15.5" x14ac:dyDescent="0.35">
      <c r="A1000" s="631"/>
      <c r="B1000" s="624" t="s">
        <v>1516</v>
      </c>
      <c r="C1000" s="625"/>
      <c r="D1000" s="695"/>
      <c r="E1000" s="625"/>
      <c r="F1000" s="804"/>
      <c r="G1000" s="625"/>
      <c r="H1000" s="625"/>
      <c r="I1000" s="625"/>
      <c r="J1000" s="625"/>
      <c r="K1000" s="695"/>
      <c r="L1000" s="625"/>
      <c r="M1000" s="626"/>
      <c r="N1000" s="627"/>
      <c r="O1000" s="616"/>
    </row>
    <row r="1001" spans="1:15" ht="15.5" x14ac:dyDescent="0.35">
      <c r="A1001" s="631">
        <v>20</v>
      </c>
      <c r="B1001" s="100" t="s">
        <v>4265</v>
      </c>
      <c r="C1001" s="52" t="s">
        <v>4224</v>
      </c>
      <c r="D1001" s="2105"/>
      <c r="E1001" s="52"/>
      <c r="F1001" s="812">
        <v>1</v>
      </c>
      <c r="G1001" s="21">
        <v>39722152</v>
      </c>
      <c r="H1001" s="21">
        <v>47271832</v>
      </c>
      <c r="I1001" s="21">
        <f>H1001-G1001</f>
        <v>7549680</v>
      </c>
      <c r="J1001" s="616">
        <v>1</v>
      </c>
      <c r="K1001" s="696">
        <f>F1001*I1001*J1001</f>
        <v>7549680</v>
      </c>
      <c r="L1001" s="22"/>
      <c r="M1001" s="22"/>
      <c r="N1001" s="82"/>
      <c r="O1001" s="616"/>
    </row>
    <row r="1002" spans="1:15" ht="15.5" x14ac:dyDescent="0.35">
      <c r="A1002" s="631">
        <v>29</v>
      </c>
      <c r="B1002" s="100" t="s">
        <v>4266</v>
      </c>
      <c r="C1002" s="52" t="s">
        <v>4224</v>
      </c>
      <c r="D1002" s="2106"/>
      <c r="E1002" s="52"/>
      <c r="F1002" s="812">
        <v>1</v>
      </c>
      <c r="G1002" s="21">
        <v>53598120</v>
      </c>
      <c r="H1002" s="21">
        <v>57933192</v>
      </c>
      <c r="I1002" s="21">
        <f>H1002-G1002</f>
        <v>4335072</v>
      </c>
      <c r="J1002" s="616">
        <v>1</v>
      </c>
      <c r="K1002" s="696">
        <f>J1002*I1002*F1002</f>
        <v>4335072</v>
      </c>
      <c r="L1002" s="22"/>
      <c r="M1002" s="22"/>
      <c r="N1002" s="82"/>
      <c r="O1002" s="616"/>
    </row>
    <row r="1003" spans="1:15" ht="15.5" x14ac:dyDescent="0.35">
      <c r="A1003" s="631">
        <v>30</v>
      </c>
      <c r="B1003" s="100" t="s">
        <v>4267</v>
      </c>
      <c r="C1003" s="52" t="s">
        <v>4224</v>
      </c>
      <c r="D1003" s="2151"/>
      <c r="E1003" s="52"/>
      <c r="F1003" s="812">
        <v>1</v>
      </c>
      <c r="G1003" s="21"/>
      <c r="H1003" s="21"/>
      <c r="I1003" s="21">
        <f>H1003-G1003</f>
        <v>0</v>
      </c>
      <c r="J1003" s="616">
        <v>1</v>
      </c>
      <c r="K1003" s="696">
        <f>J1003*I1003*F1003</f>
        <v>0</v>
      </c>
      <c r="L1003" s="22">
        <f>F1003*I1003*J1003</f>
        <v>0</v>
      </c>
      <c r="M1003" s="22"/>
      <c r="N1003" s="82"/>
      <c r="O1003" s="616"/>
    </row>
    <row r="1004" spans="1:15" ht="15.5" x14ac:dyDescent="0.35">
      <c r="A1004" s="631"/>
      <c r="B1004" s="102"/>
      <c r="C1004" s="91"/>
      <c r="D1004" s="726"/>
      <c r="E1004" s="91"/>
      <c r="F1004" s="814"/>
      <c r="G1004" s="48"/>
      <c r="H1004" s="48"/>
      <c r="I1004" s="48"/>
      <c r="J1004" s="39" t="s">
        <v>30</v>
      </c>
      <c r="K1004" s="708">
        <f>SUM(K1001:K1003)</f>
        <v>11884752</v>
      </c>
      <c r="L1004" s="49"/>
      <c r="M1004" s="43">
        <f>SUM(M1001:M1003)</f>
        <v>0</v>
      </c>
      <c r="N1004" s="85"/>
      <c r="O1004" s="616"/>
    </row>
    <row r="1005" spans="1:15" ht="15.5" x14ac:dyDescent="0.35">
      <c r="A1005" s="631"/>
      <c r="B1005" s="647" t="s">
        <v>1516</v>
      </c>
      <c r="C1005" s="648"/>
      <c r="D1005" s="700"/>
      <c r="E1005" s="648"/>
      <c r="F1005" s="807"/>
      <c r="G1005" s="648"/>
      <c r="H1005" s="648"/>
      <c r="I1005" s="648"/>
      <c r="J1005" s="50"/>
      <c r="K1005" s="710"/>
      <c r="L1005" s="51"/>
      <c r="M1005" s="51"/>
      <c r="N1005" s="649"/>
      <c r="O1005" s="616"/>
    </row>
    <row r="1006" spans="1:15" ht="19.5" customHeight="1" x14ac:dyDescent="0.35">
      <c r="A1006" s="631">
        <v>12</v>
      </c>
      <c r="B1006" s="100" t="s">
        <v>1446</v>
      </c>
      <c r="C1006" s="73" t="s">
        <v>4224</v>
      </c>
      <c r="D1006" s="1768"/>
      <c r="E1006" s="52"/>
      <c r="F1006" s="812">
        <v>1</v>
      </c>
      <c r="G1006" s="6"/>
      <c r="H1006" s="6"/>
      <c r="I1006" s="20">
        <f t="shared" ref="I1006:I1023" si="35">H1006-G1006</f>
        <v>0</v>
      </c>
      <c r="J1006" s="616">
        <v>1</v>
      </c>
      <c r="K1006" s="703"/>
      <c r="L1006" s="22">
        <f t="shared" ref="L1006:L1023" si="36">F1006*I1006*J1006</f>
        <v>0</v>
      </c>
      <c r="M1006" s="22"/>
      <c r="N1006" s="72"/>
      <c r="O1006" s="15"/>
    </row>
    <row r="1007" spans="1:15" ht="19.5" customHeight="1" x14ac:dyDescent="0.35">
      <c r="A1007" s="631">
        <v>13</v>
      </c>
      <c r="B1007" s="100" t="s">
        <v>1446</v>
      </c>
      <c r="C1007" s="73" t="s">
        <v>4224</v>
      </c>
      <c r="D1007" s="1769"/>
      <c r="E1007" s="52"/>
      <c r="F1007" s="812">
        <v>1</v>
      </c>
      <c r="G1007" s="6"/>
      <c r="H1007" s="6"/>
      <c r="I1007" s="20">
        <f t="shared" si="35"/>
        <v>0</v>
      </c>
      <c r="J1007" s="616">
        <v>1</v>
      </c>
      <c r="K1007" s="703"/>
      <c r="L1007" s="22">
        <f t="shared" si="36"/>
        <v>0</v>
      </c>
      <c r="M1007" s="22"/>
      <c r="N1007" s="72"/>
      <c r="O1007" s="15"/>
    </row>
    <row r="1008" spans="1:15" ht="19.5" customHeight="1" x14ac:dyDescent="0.35">
      <c r="A1008" s="631">
        <v>14</v>
      </c>
      <c r="B1008" s="100" t="s">
        <v>1446</v>
      </c>
      <c r="C1008" s="73" t="s">
        <v>4224</v>
      </c>
      <c r="D1008" s="1769"/>
      <c r="E1008" s="52"/>
      <c r="F1008" s="812">
        <v>1</v>
      </c>
      <c r="G1008" s="6"/>
      <c r="H1008" s="6"/>
      <c r="I1008" s="20">
        <f t="shared" si="35"/>
        <v>0</v>
      </c>
      <c r="J1008" s="616">
        <v>1</v>
      </c>
      <c r="K1008" s="703"/>
      <c r="L1008" s="22">
        <f t="shared" si="36"/>
        <v>0</v>
      </c>
      <c r="M1008" s="22"/>
      <c r="N1008" s="72"/>
      <c r="O1008" s="15"/>
    </row>
    <row r="1009" spans="1:15" ht="19.5" customHeight="1" x14ac:dyDescent="0.35">
      <c r="A1009" s="631">
        <v>15</v>
      </c>
      <c r="B1009" s="100" t="s">
        <v>4268</v>
      </c>
      <c r="C1009" s="73" t="s">
        <v>4224</v>
      </c>
      <c r="D1009" s="1769"/>
      <c r="E1009" s="52"/>
      <c r="F1009" s="812">
        <v>1</v>
      </c>
      <c r="G1009" s="6">
        <v>1179134</v>
      </c>
      <c r="H1009" s="6">
        <v>1784511</v>
      </c>
      <c r="I1009" s="20">
        <f t="shared" si="35"/>
        <v>605377</v>
      </c>
      <c r="J1009" s="616">
        <v>1</v>
      </c>
      <c r="K1009" s="703"/>
      <c r="L1009" s="22">
        <f t="shared" si="36"/>
        <v>605377</v>
      </c>
      <c r="M1009" s="22"/>
      <c r="N1009" s="72" t="s">
        <v>48</v>
      </c>
      <c r="O1009" s="15"/>
    </row>
    <row r="1010" spans="1:15" ht="19.5" customHeight="1" x14ac:dyDescent="0.35">
      <c r="A1010" s="631">
        <v>16</v>
      </c>
      <c r="B1010" s="100" t="s">
        <v>4269</v>
      </c>
      <c r="C1010" s="73" t="s">
        <v>4224</v>
      </c>
      <c r="D1010" s="1769"/>
      <c r="E1010" s="52"/>
      <c r="F1010" s="812">
        <v>1</v>
      </c>
      <c r="G1010" s="6">
        <v>56405080</v>
      </c>
      <c r="H1010" s="6">
        <v>58920840</v>
      </c>
      <c r="I1010" s="20">
        <f t="shared" si="35"/>
        <v>2515760</v>
      </c>
      <c r="J1010" s="616">
        <v>1</v>
      </c>
      <c r="K1010" s="703"/>
      <c r="L1010" s="22">
        <f t="shared" si="36"/>
        <v>2515760</v>
      </c>
      <c r="M1010" s="22"/>
      <c r="N1010" s="72" t="s">
        <v>49</v>
      </c>
      <c r="O1010" s="15"/>
    </row>
    <row r="1011" spans="1:15" ht="19.5" customHeight="1" x14ac:dyDescent="0.35">
      <c r="A1011" s="631">
        <v>17</v>
      </c>
      <c r="B1011" s="100" t="s">
        <v>4270</v>
      </c>
      <c r="C1011" s="73" t="s">
        <v>4224</v>
      </c>
      <c r="D1011" s="1769"/>
      <c r="E1011" s="52"/>
      <c r="F1011" s="812">
        <v>1</v>
      </c>
      <c r="G1011" s="6">
        <v>72510848</v>
      </c>
      <c r="H1011" s="6">
        <v>74601168</v>
      </c>
      <c r="I1011" s="20">
        <f t="shared" si="35"/>
        <v>2090320</v>
      </c>
      <c r="J1011" s="616">
        <v>1</v>
      </c>
      <c r="K1011" s="703"/>
      <c r="L1011" s="22">
        <f t="shared" si="36"/>
        <v>2090320</v>
      </c>
      <c r="M1011" s="22"/>
      <c r="N1011" s="72" t="s">
        <v>49</v>
      </c>
      <c r="O1011" s="15"/>
    </row>
    <row r="1012" spans="1:15" ht="19.5" customHeight="1" x14ac:dyDescent="0.35">
      <c r="A1012" s="631">
        <v>18</v>
      </c>
      <c r="B1012" s="100" t="s">
        <v>4271</v>
      </c>
      <c r="C1012" s="73" t="s">
        <v>4224</v>
      </c>
      <c r="D1012" s="1769"/>
      <c r="E1012" s="52"/>
      <c r="F1012" s="812">
        <v>1</v>
      </c>
      <c r="G1012" s="6">
        <v>2767563</v>
      </c>
      <c r="H1012" s="6">
        <v>4320282</v>
      </c>
      <c r="I1012" s="20">
        <f t="shared" si="35"/>
        <v>1552719</v>
      </c>
      <c r="J1012" s="616">
        <v>1</v>
      </c>
      <c r="K1012" s="703"/>
      <c r="L1012" s="22">
        <f t="shared" si="36"/>
        <v>1552719</v>
      </c>
      <c r="M1012" s="22"/>
      <c r="N1012" s="72" t="s">
        <v>48</v>
      </c>
      <c r="O1012" s="15"/>
    </row>
    <row r="1013" spans="1:15" ht="19.5" customHeight="1" x14ac:dyDescent="0.35">
      <c r="A1013" s="631">
        <v>19</v>
      </c>
      <c r="B1013" s="100" t="s">
        <v>4272</v>
      </c>
      <c r="C1013" s="73" t="s">
        <v>4224</v>
      </c>
      <c r="D1013" s="1769"/>
      <c r="E1013" s="52"/>
      <c r="F1013" s="812">
        <v>1</v>
      </c>
      <c r="G1013" s="6">
        <v>23717000</v>
      </c>
      <c r="H1013" s="6">
        <v>24498900</v>
      </c>
      <c r="I1013" s="20">
        <f t="shared" si="35"/>
        <v>781900</v>
      </c>
      <c r="J1013" s="616">
        <v>1</v>
      </c>
      <c r="K1013" s="703"/>
      <c r="L1013" s="22">
        <f t="shared" si="36"/>
        <v>781900</v>
      </c>
      <c r="M1013" s="22"/>
      <c r="N1013" s="72" t="s">
        <v>48</v>
      </c>
      <c r="O1013" s="15"/>
    </row>
    <row r="1014" spans="1:15" ht="19.5" customHeight="1" x14ac:dyDescent="0.35">
      <c r="A1014" s="631">
        <v>21</v>
      </c>
      <c r="B1014" s="100" t="s">
        <v>4273</v>
      </c>
      <c r="C1014" s="73" t="s">
        <v>4224</v>
      </c>
      <c r="D1014" s="1769"/>
      <c r="E1014" s="52"/>
      <c r="F1014" s="812">
        <v>1</v>
      </c>
      <c r="G1014" s="6">
        <v>18407070</v>
      </c>
      <c r="H1014" s="6">
        <v>18834870</v>
      </c>
      <c r="I1014" s="20">
        <f t="shared" si="35"/>
        <v>427800</v>
      </c>
      <c r="J1014" s="616">
        <v>1</v>
      </c>
      <c r="K1014" s="703"/>
      <c r="L1014" s="22">
        <f t="shared" si="36"/>
        <v>427800</v>
      </c>
      <c r="M1014" s="22"/>
      <c r="N1014" s="72" t="s">
        <v>4662</v>
      </c>
      <c r="O1014" s="15"/>
    </row>
    <row r="1015" spans="1:15" ht="19.5" customHeight="1" x14ac:dyDescent="0.35">
      <c r="A1015" s="631">
        <v>22</v>
      </c>
      <c r="B1015" s="100" t="s">
        <v>4274</v>
      </c>
      <c r="C1015" s="73" t="s">
        <v>4224</v>
      </c>
      <c r="D1015" s="1769"/>
      <c r="E1015" s="52"/>
      <c r="F1015" s="812">
        <v>1</v>
      </c>
      <c r="G1015" s="6"/>
      <c r="H1015" s="6"/>
      <c r="I1015" s="20">
        <f t="shared" si="35"/>
        <v>0</v>
      </c>
      <c r="J1015" s="616">
        <v>1</v>
      </c>
      <c r="K1015" s="703"/>
      <c r="L1015" s="22">
        <f t="shared" si="36"/>
        <v>0</v>
      </c>
      <c r="M1015" s="22"/>
      <c r="N1015" s="72"/>
      <c r="O1015" s="15"/>
    </row>
    <row r="1016" spans="1:15" ht="19.5" customHeight="1" x14ac:dyDescent="0.35">
      <c r="A1016" s="631">
        <v>23</v>
      </c>
      <c r="B1016" s="100" t="s">
        <v>4234</v>
      </c>
      <c r="C1016" s="73" t="s">
        <v>4224</v>
      </c>
      <c r="D1016" s="1769"/>
      <c r="E1016" s="52"/>
      <c r="F1016" s="812">
        <v>1</v>
      </c>
      <c r="G1016" s="6">
        <v>19846892</v>
      </c>
      <c r="H1016" s="6">
        <v>20879095</v>
      </c>
      <c r="I1016" s="20">
        <f t="shared" si="35"/>
        <v>1032203</v>
      </c>
      <c r="J1016" s="616">
        <v>1</v>
      </c>
      <c r="K1016" s="703"/>
      <c r="L1016" s="22">
        <f t="shared" si="36"/>
        <v>1032203</v>
      </c>
      <c r="M1016" s="22"/>
      <c r="N1016" s="72" t="s">
        <v>4662</v>
      </c>
      <c r="O1016" s="15"/>
    </row>
    <row r="1017" spans="1:15" ht="19.5" customHeight="1" x14ac:dyDescent="0.35">
      <c r="A1017" s="631">
        <v>24</v>
      </c>
      <c r="B1017" s="100" t="s">
        <v>4275</v>
      </c>
      <c r="C1017" s="73" t="s">
        <v>4224</v>
      </c>
      <c r="D1017" s="1769"/>
      <c r="E1017" s="52"/>
      <c r="F1017" s="812">
        <v>1</v>
      </c>
      <c r="G1017" s="6">
        <v>27315780</v>
      </c>
      <c r="H1017" s="6">
        <v>28097670</v>
      </c>
      <c r="I1017" s="20">
        <f t="shared" si="35"/>
        <v>781890</v>
      </c>
      <c r="J1017" s="616">
        <v>1</v>
      </c>
      <c r="K1017" s="703"/>
      <c r="L1017" s="22">
        <f t="shared" si="36"/>
        <v>781890</v>
      </c>
      <c r="M1017" s="22"/>
      <c r="N1017" s="72" t="s">
        <v>4662</v>
      </c>
      <c r="O1017" s="15"/>
    </row>
    <row r="1018" spans="1:15" ht="19.5" customHeight="1" x14ac:dyDescent="0.35">
      <c r="A1018" s="631">
        <v>25</v>
      </c>
      <c r="B1018" s="100" t="s">
        <v>4276</v>
      </c>
      <c r="C1018" s="73" t="s">
        <v>4224</v>
      </c>
      <c r="D1018" s="1769"/>
      <c r="E1018" s="52"/>
      <c r="F1018" s="812">
        <v>1</v>
      </c>
      <c r="G1018" s="6">
        <v>40331520</v>
      </c>
      <c r="H1018" s="6">
        <v>41550400</v>
      </c>
      <c r="I1018" s="20">
        <f t="shared" si="35"/>
        <v>1218880</v>
      </c>
      <c r="J1018" s="616">
        <v>1</v>
      </c>
      <c r="K1018" s="703"/>
      <c r="L1018" s="22">
        <f t="shared" si="36"/>
        <v>1218880</v>
      </c>
      <c r="M1018" s="22"/>
      <c r="N1018" s="72" t="s">
        <v>49</v>
      </c>
      <c r="O1018" s="15"/>
    </row>
    <row r="1019" spans="1:15" ht="19.5" customHeight="1" x14ac:dyDescent="0.35">
      <c r="A1019" s="631">
        <v>26</v>
      </c>
      <c r="B1019" s="100" t="s">
        <v>4277</v>
      </c>
      <c r="C1019" s="73" t="s">
        <v>4224</v>
      </c>
      <c r="D1019" s="1769"/>
      <c r="E1019" s="52"/>
      <c r="F1019" s="812">
        <v>1</v>
      </c>
      <c r="G1019" s="6">
        <v>30057520</v>
      </c>
      <c r="H1019" s="6">
        <v>30923590</v>
      </c>
      <c r="I1019" s="20">
        <f t="shared" si="35"/>
        <v>866070</v>
      </c>
      <c r="J1019" s="616">
        <v>1</v>
      </c>
      <c r="K1019" s="703"/>
      <c r="L1019" s="22">
        <f t="shared" si="36"/>
        <v>866070</v>
      </c>
      <c r="M1019" s="22"/>
      <c r="N1019" s="72" t="s">
        <v>4662</v>
      </c>
      <c r="O1019" s="15"/>
    </row>
    <row r="1020" spans="1:15" ht="19.5" customHeight="1" x14ac:dyDescent="0.35">
      <c r="A1020" s="631">
        <v>27</v>
      </c>
      <c r="B1020" s="100" t="s">
        <v>1446</v>
      </c>
      <c r="C1020" s="73" t="s">
        <v>4224</v>
      </c>
      <c r="D1020" s="1769"/>
      <c r="E1020" s="52"/>
      <c r="F1020" s="812">
        <v>1</v>
      </c>
      <c r="G1020" s="6"/>
      <c r="H1020" s="6"/>
      <c r="I1020" s="20">
        <f t="shared" si="35"/>
        <v>0</v>
      </c>
      <c r="J1020" s="616">
        <v>1</v>
      </c>
      <c r="K1020" s="703"/>
      <c r="L1020" s="22">
        <f t="shared" si="36"/>
        <v>0</v>
      </c>
      <c r="M1020" s="22"/>
      <c r="N1020" s="72"/>
      <c r="O1020" s="15"/>
    </row>
    <row r="1021" spans="1:15" ht="19.5" customHeight="1" x14ac:dyDescent="0.35">
      <c r="A1021" s="631">
        <v>28</v>
      </c>
      <c r="B1021" s="100" t="s">
        <v>1446</v>
      </c>
      <c r="C1021" s="73" t="s">
        <v>4224</v>
      </c>
      <c r="D1021" s="1769"/>
      <c r="E1021" s="52"/>
      <c r="F1021" s="812">
        <v>1</v>
      </c>
      <c r="G1021" s="6"/>
      <c r="H1021" s="6"/>
      <c r="I1021" s="20">
        <f t="shared" si="35"/>
        <v>0</v>
      </c>
      <c r="J1021" s="616">
        <v>1</v>
      </c>
      <c r="K1021" s="703"/>
      <c r="L1021" s="22">
        <f t="shared" si="36"/>
        <v>0</v>
      </c>
      <c r="M1021" s="22"/>
      <c r="N1021" s="72"/>
      <c r="O1021" s="15"/>
    </row>
    <row r="1022" spans="1:15" ht="19.5" customHeight="1" x14ac:dyDescent="0.35">
      <c r="A1022" s="631">
        <v>31</v>
      </c>
      <c r="B1022" s="100" t="s">
        <v>4278</v>
      </c>
      <c r="C1022" s="73" t="s">
        <v>3867</v>
      </c>
      <c r="D1022" s="1769"/>
      <c r="E1022" s="52"/>
      <c r="F1022" s="812">
        <v>1</v>
      </c>
      <c r="G1022" s="6">
        <v>1687.35</v>
      </c>
      <c r="H1022" s="6">
        <v>1732.84</v>
      </c>
      <c r="I1022" s="20">
        <f t="shared" si="35"/>
        <v>45.490000000000009</v>
      </c>
      <c r="J1022" s="616">
        <v>10</v>
      </c>
      <c r="K1022" s="703"/>
      <c r="L1022" s="22">
        <f t="shared" si="36"/>
        <v>454.90000000000009</v>
      </c>
      <c r="M1022" s="22"/>
      <c r="N1022" s="72"/>
      <c r="O1022" s="15"/>
    </row>
    <row r="1023" spans="1:15" ht="19.5" customHeight="1" x14ac:dyDescent="0.35">
      <c r="A1023" s="631">
        <v>32</v>
      </c>
      <c r="B1023" s="100" t="s">
        <v>4279</v>
      </c>
      <c r="C1023" s="73" t="s">
        <v>3867</v>
      </c>
      <c r="D1023" s="766"/>
      <c r="E1023" s="52"/>
      <c r="F1023" s="812">
        <v>1</v>
      </c>
      <c r="G1023" s="6">
        <v>1298.42</v>
      </c>
      <c r="H1023" s="6">
        <v>1342.14</v>
      </c>
      <c r="I1023" s="20">
        <f t="shared" si="35"/>
        <v>43.720000000000027</v>
      </c>
      <c r="J1023" s="616">
        <v>10</v>
      </c>
      <c r="K1023" s="703"/>
      <c r="L1023" s="22">
        <f t="shared" si="36"/>
        <v>437.20000000000027</v>
      </c>
      <c r="M1023" s="22"/>
      <c r="N1023" s="72"/>
      <c r="O1023" s="15"/>
    </row>
    <row r="1024" spans="1:15" ht="20" x14ac:dyDescent="0.35">
      <c r="A1024" s="636"/>
      <c r="B1024" s="96"/>
      <c r="C1024" s="90"/>
      <c r="D1024" s="96"/>
      <c r="E1024" s="90"/>
      <c r="F1024" s="813"/>
      <c r="G1024" s="38"/>
      <c r="H1024" s="38"/>
      <c r="I1024" s="38"/>
      <c r="J1024" s="53" t="s">
        <v>44</v>
      </c>
      <c r="K1024" s="43">
        <f>M1004</f>
        <v>0</v>
      </c>
      <c r="L1024" s="43">
        <f>SUM(L1006:L1023)</f>
        <v>11873811.1</v>
      </c>
      <c r="M1024" s="43">
        <f>SUM(M1006:M1023)</f>
        <v>0</v>
      </c>
      <c r="N1024" s="84">
        <f>(M1024-L1024)/L1024*100</f>
        <v>-100</v>
      </c>
      <c r="O1024" s="29"/>
    </row>
    <row r="1026" spans="1:15" ht="15" x14ac:dyDescent="0.35">
      <c r="A1026" s="620"/>
      <c r="B1026" s="635"/>
      <c r="C1026" s="632"/>
      <c r="D1026" s="1900"/>
      <c r="F1026" s="2092" t="s">
        <v>1099</v>
      </c>
      <c r="G1026" s="2092"/>
      <c r="H1026" s="2092"/>
      <c r="I1026" s="677" t="s">
        <v>14</v>
      </c>
      <c r="J1026" s="620"/>
      <c r="K1026" s="702"/>
      <c r="L1026" s="620"/>
      <c r="M1026" s="620"/>
      <c r="N1026" s="632"/>
      <c r="O1026" s="620"/>
    </row>
    <row r="1027" spans="1:15" ht="15.5" x14ac:dyDescent="0.35">
      <c r="A1027" s="620"/>
      <c r="B1027" s="635"/>
      <c r="C1027" s="632"/>
      <c r="D1027" s="1900"/>
      <c r="F1027" s="2153" t="s">
        <v>232</v>
      </c>
      <c r="G1027" s="2154"/>
      <c r="H1027" s="2155"/>
      <c r="I1027" s="643">
        <f>SUM(M1006:M1007,M1017)</f>
        <v>0</v>
      </c>
      <c r="J1027" s="620"/>
      <c r="K1027" s="702"/>
      <c r="L1027" s="620"/>
      <c r="M1027" s="620"/>
      <c r="N1027" s="632"/>
      <c r="O1027" s="620" t="s">
        <v>237</v>
      </c>
    </row>
    <row r="1028" spans="1:15" ht="15.5" x14ac:dyDescent="0.35">
      <c r="A1028" s="620"/>
      <c r="B1028" s="635"/>
      <c r="C1028" s="632"/>
      <c r="D1028" s="1900"/>
      <c r="F1028" s="2153" t="s">
        <v>268</v>
      </c>
      <c r="G1028" s="2154"/>
      <c r="H1028" s="2155"/>
      <c r="I1028" s="643">
        <f>SUM(M1008:M1016,M1018,M1020,M1021,M1023)</f>
        <v>0</v>
      </c>
      <c r="J1028" s="620"/>
      <c r="K1028" s="702"/>
      <c r="L1028" s="620"/>
      <c r="M1028" s="620"/>
      <c r="N1028" s="632"/>
      <c r="O1028" s="620"/>
    </row>
    <row r="1029" spans="1:15" ht="16" thickBot="1" x14ac:dyDescent="0.4">
      <c r="A1029" s="620"/>
      <c r="B1029" s="635"/>
      <c r="C1029" s="632"/>
      <c r="D1029" s="1900"/>
      <c r="F1029" s="2153" t="s">
        <v>269</v>
      </c>
      <c r="G1029" s="2154"/>
      <c r="H1029" s="2155"/>
      <c r="I1029" s="643">
        <f>SUM(M1019,M1022)</f>
        <v>0</v>
      </c>
      <c r="J1029" s="620"/>
      <c r="K1029" s="702"/>
      <c r="L1029" s="620"/>
      <c r="M1029" s="620"/>
      <c r="N1029" s="632"/>
      <c r="O1029" s="620"/>
    </row>
    <row r="1030" spans="1:15" ht="20.5" thickBot="1" x14ac:dyDescent="0.4">
      <c r="A1030" s="620"/>
      <c r="B1030" s="635"/>
      <c r="C1030" s="632"/>
      <c r="D1030" s="1900"/>
      <c r="E1030" s="632"/>
      <c r="F1030" s="2156" t="s">
        <v>210</v>
      </c>
      <c r="G1030" s="2156"/>
      <c r="H1030" s="2156"/>
      <c r="I1030" s="656">
        <f>SUM(I1027:I1029)</f>
        <v>0</v>
      </c>
      <c r="J1030" s="682">
        <f>I1030-M1024</f>
        <v>0</v>
      </c>
      <c r="K1030" s="702"/>
      <c r="L1030" s="620"/>
      <c r="M1030" s="620"/>
      <c r="N1030" s="632"/>
      <c r="O1030" s="620"/>
    </row>
    <row r="1042" spans="1:15" x14ac:dyDescent="0.35">
      <c r="A1042" s="620"/>
      <c r="B1042" s="635"/>
      <c r="C1042" s="632"/>
      <c r="D1042" s="1900"/>
      <c r="E1042" s="632"/>
      <c r="F1042" s="810"/>
      <c r="G1042" s="620"/>
      <c r="H1042" s="620"/>
      <c r="I1042" s="620"/>
      <c r="J1042" s="620"/>
      <c r="K1042" s="702"/>
      <c r="L1042" s="620"/>
      <c r="M1042" s="620"/>
      <c r="N1042" s="632"/>
      <c r="O1042" s="620"/>
    </row>
    <row r="1043" spans="1:15" x14ac:dyDescent="0.35">
      <c r="A1043" s="620"/>
      <c r="B1043" s="635"/>
      <c r="C1043" s="632"/>
      <c r="D1043" s="1900"/>
      <c r="E1043" s="632"/>
      <c r="F1043" s="810"/>
      <c r="G1043" s="620"/>
      <c r="H1043" s="620"/>
      <c r="I1043" s="620"/>
      <c r="J1043" s="620"/>
      <c r="K1043" s="702"/>
      <c r="L1043" s="620"/>
      <c r="M1043" s="620"/>
      <c r="N1043" s="632"/>
      <c r="O1043" s="620"/>
    </row>
    <row r="1044" spans="1:15" ht="25" x14ac:dyDescent="0.35">
      <c r="A1044" s="46"/>
      <c r="B1044" s="2152"/>
      <c r="C1044" s="2152"/>
      <c r="D1044" s="2152"/>
      <c r="E1044" s="2152"/>
      <c r="F1044" s="2152"/>
      <c r="G1044" s="2152"/>
      <c r="H1044" s="2152"/>
      <c r="I1044" s="2152"/>
      <c r="J1044" s="2152"/>
      <c r="K1044" s="2152"/>
      <c r="L1044" s="2152"/>
      <c r="M1044" s="2152"/>
      <c r="N1044" s="75"/>
      <c r="O1044" s="28"/>
    </row>
    <row r="1045" spans="1:15" x14ac:dyDescent="0.35">
      <c r="A1045" s="620"/>
      <c r="B1045" s="635"/>
      <c r="C1045" s="632"/>
      <c r="D1045" s="1900"/>
      <c r="E1045" s="632"/>
      <c r="F1045" s="810"/>
      <c r="G1045" s="620"/>
      <c r="H1045" s="620"/>
      <c r="I1045" s="620"/>
      <c r="J1045" s="620"/>
      <c r="K1045" s="702"/>
      <c r="L1045" s="620"/>
      <c r="M1045" s="620"/>
      <c r="N1045" s="632"/>
      <c r="O1045" s="620"/>
    </row>
    <row r="1046" spans="1:15" x14ac:dyDescent="0.35">
      <c r="A1046" s="620"/>
      <c r="B1046" s="635"/>
      <c r="C1046" s="632"/>
      <c r="D1046" s="1900"/>
      <c r="E1046" s="632"/>
      <c r="F1046" s="810"/>
      <c r="G1046" s="620"/>
      <c r="H1046" s="620"/>
      <c r="I1046" s="620"/>
      <c r="J1046" s="620"/>
      <c r="K1046" s="702"/>
      <c r="L1046" s="620"/>
      <c r="M1046" s="620"/>
      <c r="N1046" s="632"/>
      <c r="O1046" s="620"/>
    </row>
    <row r="1047" spans="1:15" ht="25" x14ac:dyDescent="0.35">
      <c r="A1047" s="2095" t="s">
        <v>1517</v>
      </c>
      <c r="B1047" s="2095"/>
      <c r="C1047" s="2095"/>
      <c r="D1047" s="2095"/>
      <c r="E1047" s="2095"/>
      <c r="F1047" s="2095"/>
      <c r="G1047" s="2095"/>
      <c r="H1047" s="2095"/>
      <c r="I1047" s="2095"/>
      <c r="J1047" s="2095"/>
      <c r="K1047" s="2095"/>
      <c r="L1047" s="2095"/>
      <c r="M1047" s="2095"/>
      <c r="N1047" s="2095"/>
      <c r="O1047" s="756" t="e">
        <f>#REF!</f>
        <v>#REF!</v>
      </c>
    </row>
    <row r="1048" spans="1:15" ht="15.5" x14ac:dyDescent="0.35">
      <c r="A1048" s="2096" t="s">
        <v>0</v>
      </c>
      <c r="B1048" s="2098" t="s">
        <v>1</v>
      </c>
      <c r="C1048" s="2100" t="s">
        <v>2</v>
      </c>
      <c r="D1048" s="2101"/>
      <c r="E1048" s="2102"/>
      <c r="F1048" s="2216" t="s">
        <v>3</v>
      </c>
      <c r="G1048" s="2100" t="s">
        <v>4</v>
      </c>
      <c r="H1048" s="2102"/>
      <c r="I1048" s="2085"/>
      <c r="J1048" s="2103" t="s">
        <v>5</v>
      </c>
      <c r="K1048" s="2100" t="s">
        <v>6</v>
      </c>
      <c r="L1048" s="2102"/>
      <c r="M1048" s="97" t="s">
        <v>1088</v>
      </c>
      <c r="N1048" s="98"/>
      <c r="O1048" s="2084" t="s">
        <v>7</v>
      </c>
    </row>
    <row r="1049" spans="1:15" ht="15.5" x14ac:dyDescent="0.35">
      <c r="A1049" s="2097"/>
      <c r="B1049" s="2099"/>
      <c r="C1049" s="2086" t="s">
        <v>1108</v>
      </c>
      <c r="D1049" s="2087"/>
      <c r="E1049" s="87" t="s">
        <v>9</v>
      </c>
      <c r="F1049" s="2217"/>
      <c r="G1049" s="2">
        <f>'NORTH-1'!$G$8</f>
        <v>44774</v>
      </c>
      <c r="H1049" s="2">
        <f>'NORTH-1'!$H$8</f>
        <v>44805</v>
      </c>
      <c r="I1049" s="1" t="s">
        <v>10</v>
      </c>
      <c r="J1049" s="2097"/>
      <c r="K1049" s="1" t="s">
        <v>11</v>
      </c>
      <c r="L1049" s="1" t="s">
        <v>12</v>
      </c>
      <c r="M1049" s="617" t="s">
        <v>33</v>
      </c>
      <c r="N1049" s="76" t="s">
        <v>47</v>
      </c>
      <c r="O1049" s="2085"/>
    </row>
    <row r="1050" spans="1:15" ht="15.5" x14ac:dyDescent="0.35">
      <c r="A1050" s="3">
        <v>1</v>
      </c>
      <c r="B1050" s="88">
        <v>2</v>
      </c>
      <c r="C1050" s="2088">
        <v>4</v>
      </c>
      <c r="D1050" s="2089"/>
      <c r="E1050" s="88">
        <v>5</v>
      </c>
      <c r="F1050" s="803">
        <v>7</v>
      </c>
      <c r="G1050" s="3">
        <v>8</v>
      </c>
      <c r="H1050" s="3">
        <v>9</v>
      </c>
      <c r="I1050" s="3" t="s">
        <v>13</v>
      </c>
      <c r="J1050" s="3">
        <v>11</v>
      </c>
      <c r="K1050" s="3" t="s">
        <v>19</v>
      </c>
      <c r="L1050" s="3" t="s">
        <v>20</v>
      </c>
      <c r="M1050" s="3">
        <v>14</v>
      </c>
      <c r="N1050" s="77">
        <v>15</v>
      </c>
      <c r="O1050" s="3">
        <v>16</v>
      </c>
    </row>
    <row r="1051" spans="1:15" ht="15.5" x14ac:dyDescent="0.35">
      <c r="A1051" s="11"/>
      <c r="B1051" s="624" t="s">
        <v>4628</v>
      </c>
      <c r="C1051" s="625"/>
      <c r="D1051" s="695"/>
      <c r="E1051" s="667"/>
      <c r="F1051" s="804"/>
      <c r="G1051" s="625"/>
      <c r="H1051" s="625"/>
      <c r="I1051" s="625"/>
      <c r="J1051" s="625"/>
      <c r="K1051" s="695"/>
      <c r="L1051" s="625"/>
      <c r="M1051" s="626"/>
      <c r="N1051" s="627"/>
      <c r="O1051" s="8"/>
    </row>
    <row r="1052" spans="1:15" ht="15.5" x14ac:dyDescent="0.35">
      <c r="A1052" s="631"/>
      <c r="B1052" s="100" t="s">
        <v>4280</v>
      </c>
      <c r="C1052" s="52" t="s">
        <v>3811</v>
      </c>
      <c r="D1052" s="818"/>
      <c r="E1052" s="2149"/>
      <c r="F1052" s="812">
        <v>1</v>
      </c>
      <c r="G1052" s="5">
        <v>125.03</v>
      </c>
      <c r="H1052" s="5">
        <v>133.16</v>
      </c>
      <c r="I1052" s="5">
        <f>H1052-G1052</f>
        <v>8.1299999999999955</v>
      </c>
      <c r="J1052" s="616">
        <v>1200000</v>
      </c>
      <c r="K1052" s="696">
        <f>F1052*I1052*J1052</f>
        <v>9755999.9999999944</v>
      </c>
      <c r="L1052" s="7"/>
      <c r="M1052" s="7"/>
      <c r="N1052" s="78"/>
      <c r="O1052" s="616"/>
    </row>
    <row r="1053" spans="1:15" ht="15.5" x14ac:dyDescent="0.35">
      <c r="A1053" s="631">
        <v>2</v>
      </c>
      <c r="B1053" s="100" t="s">
        <v>4281</v>
      </c>
      <c r="C1053" s="52" t="s">
        <v>3811</v>
      </c>
      <c r="D1053" s="1918"/>
      <c r="E1053" s="2150"/>
      <c r="F1053" s="812">
        <v>1</v>
      </c>
      <c r="G1053" s="5">
        <v>122.65</v>
      </c>
      <c r="H1053" s="5">
        <v>130.61000000000001</v>
      </c>
      <c r="I1053" s="5">
        <f>H1053-G1053</f>
        <v>7.960000000000008</v>
      </c>
      <c r="J1053" s="616">
        <v>1200000</v>
      </c>
      <c r="K1053" s="696">
        <f>F1053*I1053*J1053</f>
        <v>9552000.0000000093</v>
      </c>
      <c r="L1053" s="16"/>
      <c r="M1053" s="16"/>
      <c r="N1053" s="79"/>
      <c r="O1053" s="616"/>
    </row>
    <row r="1054" spans="1:15" ht="15.5" x14ac:dyDescent="0.35">
      <c r="A1054" s="631"/>
      <c r="B1054" s="95"/>
      <c r="C1054" s="89"/>
      <c r="D1054" s="1846"/>
      <c r="E1054" s="89"/>
      <c r="F1054" s="806"/>
      <c r="G1054" s="37"/>
      <c r="H1054" s="37"/>
      <c r="I1054" s="2136" t="s">
        <v>236</v>
      </c>
      <c r="J1054" s="2137"/>
      <c r="K1054" s="698">
        <f>SUM(K1052:K1053)</f>
        <v>19308000.000000004</v>
      </c>
      <c r="L1054" s="94">
        <f>SUM(L1052:L1053)</f>
        <v>0</v>
      </c>
      <c r="M1054" s="18"/>
      <c r="N1054" s="81"/>
      <c r="O1054" s="616"/>
    </row>
    <row r="1055" spans="1:15" ht="15.5" x14ac:dyDescent="0.35">
      <c r="A1055" s="631"/>
      <c r="B1055" s="95"/>
      <c r="C1055" s="89"/>
      <c r="D1055" s="1846"/>
      <c r="E1055" s="89"/>
      <c r="F1055" s="806"/>
      <c r="G1055" s="37"/>
      <c r="H1055" s="37"/>
      <c r="I1055" s="665"/>
      <c r="J1055" s="665" t="s">
        <v>31</v>
      </c>
      <c r="K1055" s="699">
        <f>K1054-L1054</f>
        <v>19308000.000000004</v>
      </c>
      <c r="L1055" s="40"/>
      <c r="M1055" s="41"/>
      <c r="N1055" s="632"/>
      <c r="O1055" s="616"/>
    </row>
    <row r="1056" spans="1:15" ht="15.5" x14ac:dyDescent="0.35">
      <c r="A1056" s="631"/>
      <c r="B1056" s="624" t="s">
        <v>1518</v>
      </c>
      <c r="C1056" s="625"/>
      <c r="D1056" s="695"/>
      <c r="E1056" s="625"/>
      <c r="F1056" s="804"/>
      <c r="G1056" s="625"/>
      <c r="H1056" s="625"/>
      <c r="I1056" s="625"/>
      <c r="J1056" s="625"/>
      <c r="K1056" s="695"/>
      <c r="L1056" s="625"/>
      <c r="M1056" s="626"/>
      <c r="N1056" s="627"/>
      <c r="O1056" s="616"/>
    </row>
    <row r="1057" spans="1:15" ht="15.5" x14ac:dyDescent="0.35">
      <c r="A1057" s="631"/>
      <c r="B1057" s="100" t="s">
        <v>25</v>
      </c>
      <c r="C1057" s="52">
        <v>132</v>
      </c>
      <c r="D1057" s="2105" t="s">
        <v>1084</v>
      </c>
      <c r="E1057" s="2149">
        <v>6604452</v>
      </c>
      <c r="F1057" s="812">
        <v>1</v>
      </c>
      <c r="G1057" s="5">
        <v>8738.1299999999992</v>
      </c>
      <c r="H1057" s="5">
        <v>8795.51</v>
      </c>
      <c r="I1057" s="5">
        <f>H1057-G1057</f>
        <v>57.380000000001019</v>
      </c>
      <c r="J1057" s="616">
        <v>720000</v>
      </c>
      <c r="K1057" s="696">
        <f>J1057*I1057*F1057</f>
        <v>41313600.00000073</v>
      </c>
      <c r="L1057" s="16"/>
      <c r="M1057" s="16"/>
      <c r="N1057" s="79"/>
      <c r="O1057" s="616"/>
    </row>
    <row r="1058" spans="1:15" ht="15.5" x14ac:dyDescent="0.35">
      <c r="A1058" s="631"/>
      <c r="B1058" s="100" t="s">
        <v>26</v>
      </c>
      <c r="C1058" s="52">
        <v>132</v>
      </c>
      <c r="D1058" s="2106"/>
      <c r="E1058" s="2150"/>
      <c r="F1058" s="812">
        <v>1</v>
      </c>
      <c r="G1058" s="5">
        <v>0</v>
      </c>
      <c r="H1058" s="5">
        <v>0</v>
      </c>
      <c r="I1058" s="5">
        <f>H1058-G1058</f>
        <v>0</v>
      </c>
      <c r="J1058" s="616">
        <v>720000</v>
      </c>
      <c r="K1058" s="696"/>
      <c r="L1058" s="16">
        <f>J1058*I1058*F1058</f>
        <v>0</v>
      </c>
      <c r="M1058" s="16"/>
      <c r="N1058" s="79"/>
      <c r="O1058" s="616"/>
    </row>
    <row r="1059" spans="1:15" ht="15.5" x14ac:dyDescent="0.35">
      <c r="A1059" s="631"/>
      <c r="B1059" s="100" t="s">
        <v>27</v>
      </c>
      <c r="C1059" s="52">
        <v>132</v>
      </c>
      <c r="D1059" s="2106"/>
      <c r="E1059" s="2149">
        <v>6604428</v>
      </c>
      <c r="F1059" s="812">
        <v>1</v>
      </c>
      <c r="G1059" s="5">
        <v>5141.9399999999996</v>
      </c>
      <c r="H1059" s="5">
        <v>5185.82</v>
      </c>
      <c r="I1059" s="5">
        <f>H1059-G1059</f>
        <v>43.880000000000109</v>
      </c>
      <c r="J1059" s="616">
        <v>720000</v>
      </c>
      <c r="K1059" s="696">
        <f>J1059*I1059*F1059</f>
        <v>31593600.000000078</v>
      </c>
      <c r="L1059" s="16"/>
      <c r="M1059" s="16"/>
      <c r="N1059" s="79"/>
      <c r="O1059" s="616"/>
    </row>
    <row r="1060" spans="1:15" ht="15.5" x14ac:dyDescent="0.35">
      <c r="A1060" s="631"/>
      <c r="B1060" s="100" t="s">
        <v>27</v>
      </c>
      <c r="C1060" s="52">
        <v>132</v>
      </c>
      <c r="D1060" s="2151"/>
      <c r="E1060" s="2150"/>
      <c r="F1060" s="812">
        <v>1</v>
      </c>
      <c r="G1060" s="5">
        <v>7.2</v>
      </c>
      <c r="H1060" s="5">
        <v>7.2</v>
      </c>
      <c r="I1060" s="5">
        <f>H1060-G1060</f>
        <v>0</v>
      </c>
      <c r="J1060" s="616">
        <v>720000</v>
      </c>
      <c r="K1060" s="697"/>
      <c r="L1060" s="17">
        <f>J1060*I1060*F1060</f>
        <v>0</v>
      </c>
      <c r="M1060" s="17"/>
      <c r="N1060" s="80"/>
      <c r="O1060" s="616"/>
    </row>
    <row r="1061" spans="1:15" ht="15.5" x14ac:dyDescent="0.35">
      <c r="A1061" s="631"/>
      <c r="B1061" s="95"/>
      <c r="C1061" s="89"/>
      <c r="D1061" s="1846"/>
      <c r="E1061" s="89"/>
      <c r="F1061" s="806"/>
      <c r="G1061" s="37"/>
      <c r="H1061" s="37"/>
      <c r="I1061" s="2136" t="s">
        <v>303</v>
      </c>
      <c r="J1061" s="2137"/>
      <c r="K1061" s="698">
        <f>SUM(K1057:K1060)</f>
        <v>72907200.000000805</v>
      </c>
      <c r="L1061" s="94">
        <f>SUM(L1057:L1060)</f>
        <v>0</v>
      </c>
      <c r="M1061" s="18"/>
      <c r="N1061" s="81"/>
      <c r="O1061" s="633"/>
    </row>
    <row r="1062" spans="1:15" ht="15.5" x14ac:dyDescent="0.35">
      <c r="A1062" s="631"/>
      <c r="B1062" s="95"/>
      <c r="C1062" s="89"/>
      <c r="D1062" s="1846"/>
      <c r="E1062" s="89"/>
      <c r="F1062" s="806"/>
      <c r="G1062" s="37"/>
      <c r="H1062" s="37"/>
      <c r="I1062" s="2136" t="s">
        <v>31</v>
      </c>
      <c r="J1062" s="2137"/>
      <c r="K1062" s="699">
        <f>K1061-L1061</f>
        <v>72907200.000000805</v>
      </c>
      <c r="L1062" s="40"/>
      <c r="M1062" s="42"/>
      <c r="N1062" s="634"/>
      <c r="O1062" s="633"/>
    </row>
    <row r="1063" spans="1:15" ht="15.5" x14ac:dyDescent="0.35">
      <c r="A1063" s="11"/>
      <c r="B1063" s="647" t="s">
        <v>1519</v>
      </c>
      <c r="C1063" s="648"/>
      <c r="D1063" s="700"/>
      <c r="E1063" s="648"/>
      <c r="F1063" s="807"/>
      <c r="G1063" s="648"/>
      <c r="H1063" s="648"/>
      <c r="I1063" s="648"/>
      <c r="J1063" s="648"/>
      <c r="K1063" s="700"/>
      <c r="L1063" s="648"/>
      <c r="M1063" s="651"/>
      <c r="N1063" s="649"/>
      <c r="O1063" s="8"/>
    </row>
    <row r="1064" spans="1:15" ht="15.5" x14ac:dyDescent="0.35">
      <c r="A1064" s="631"/>
      <c r="B1064" s="100" t="s">
        <v>1079</v>
      </c>
      <c r="C1064" s="52">
        <v>132</v>
      </c>
      <c r="D1064" s="2138" t="s">
        <v>1083</v>
      </c>
      <c r="E1064" s="615"/>
      <c r="F1064" s="812"/>
      <c r="G1064" s="5"/>
      <c r="H1064" s="5"/>
      <c r="I1064" s="5"/>
      <c r="J1064" s="616"/>
      <c r="K1064" s="696"/>
      <c r="L1064" s="16">
        <f>J1064*I1064*F1064</f>
        <v>0</v>
      </c>
      <c r="M1064" s="7"/>
      <c r="N1064" s="78"/>
      <c r="O1064" s="616"/>
    </row>
    <row r="1065" spans="1:15" ht="15.5" x14ac:dyDescent="0.35">
      <c r="A1065" s="631"/>
      <c r="B1065" s="100" t="s">
        <v>1078</v>
      </c>
      <c r="C1065" s="52">
        <v>132</v>
      </c>
      <c r="D1065" s="2139"/>
      <c r="E1065" s="615"/>
      <c r="F1065" s="812"/>
      <c r="G1065" s="5"/>
      <c r="H1065" s="5"/>
      <c r="I1065" s="5"/>
      <c r="J1065" s="616"/>
      <c r="K1065" s="696"/>
      <c r="L1065" s="16">
        <f>J1065*I1065*F1065</f>
        <v>0</v>
      </c>
      <c r="M1065" s="16"/>
      <c r="N1065" s="79"/>
      <c r="O1065" s="616"/>
    </row>
    <row r="1066" spans="1:15" ht="15.5" x14ac:dyDescent="0.35">
      <c r="A1066" s="631"/>
      <c r="B1066" s="95"/>
      <c r="C1066" s="89"/>
      <c r="D1066" s="1846"/>
      <c r="E1066" s="89"/>
      <c r="F1066" s="806"/>
      <c r="G1066" s="37"/>
      <c r="H1066" s="37"/>
      <c r="I1066" s="37"/>
      <c r="J1066" s="95" t="s">
        <v>279</v>
      </c>
      <c r="K1066" s="699"/>
      <c r="L1066" s="55">
        <f>SUM(L1064:L1065)</f>
        <v>0</v>
      </c>
      <c r="M1066" s="633"/>
      <c r="N1066" s="634"/>
      <c r="O1066" s="616"/>
    </row>
    <row r="1067" spans="1:15" ht="15.5" x14ac:dyDescent="0.35">
      <c r="A1067" s="11"/>
      <c r="B1067" s="647" t="s">
        <v>1520</v>
      </c>
      <c r="C1067" s="648"/>
      <c r="D1067" s="700"/>
      <c r="E1067" s="648"/>
      <c r="F1067" s="807"/>
      <c r="G1067" s="648"/>
      <c r="H1067" s="648"/>
      <c r="I1067" s="648"/>
      <c r="J1067" s="648"/>
      <c r="K1067" s="700"/>
      <c r="L1067" s="648"/>
      <c r="M1067" s="651"/>
      <c r="N1067" s="649"/>
      <c r="O1067" s="8"/>
    </row>
    <row r="1068" spans="1:15" ht="15.5" x14ac:dyDescent="0.35">
      <c r="A1068" s="631">
        <v>1</v>
      </c>
      <c r="B1068" s="100" t="s">
        <v>3826</v>
      </c>
      <c r="C1068" s="52" t="s">
        <v>3811</v>
      </c>
      <c r="D1068" s="818"/>
      <c r="E1068" s="2149"/>
      <c r="F1068" s="812">
        <v>1</v>
      </c>
      <c r="G1068" s="5">
        <v>91.65</v>
      </c>
      <c r="H1068" s="5">
        <v>99.25</v>
      </c>
      <c r="I1068" s="5">
        <f>H1068-G1068</f>
        <v>7.5999999999999943</v>
      </c>
      <c r="J1068" s="616">
        <v>1200000</v>
      </c>
      <c r="K1068" s="696"/>
      <c r="L1068" s="7">
        <f>F1068*I1068*J1068</f>
        <v>9119999.9999999925</v>
      </c>
      <c r="M1068" s="7"/>
      <c r="N1068" s="78"/>
      <c r="O1068" s="616"/>
    </row>
    <row r="1069" spans="1:15" ht="15.5" x14ac:dyDescent="0.35">
      <c r="A1069" s="631">
        <v>3</v>
      </c>
      <c r="B1069" s="100" t="s">
        <v>3828</v>
      </c>
      <c r="C1069" s="52" t="s">
        <v>3811</v>
      </c>
      <c r="D1069" s="1918"/>
      <c r="E1069" s="2150"/>
      <c r="F1069" s="812">
        <v>1</v>
      </c>
      <c r="G1069" s="5">
        <v>155.96</v>
      </c>
      <c r="H1069" s="5">
        <v>164.45</v>
      </c>
      <c r="I1069" s="5">
        <f>H1069-G1069</f>
        <v>8.4899999999999807</v>
      </c>
      <c r="J1069" s="616">
        <v>1200000</v>
      </c>
      <c r="K1069" s="696"/>
      <c r="L1069" s="16">
        <f>F1069*I1069*J1069</f>
        <v>10187999.999999978</v>
      </c>
      <c r="M1069" s="16"/>
      <c r="N1069" s="79"/>
      <c r="O1069" s="616"/>
    </row>
    <row r="1070" spans="1:15" ht="15.5" x14ac:dyDescent="0.35">
      <c r="A1070" s="631"/>
      <c r="B1070" s="95"/>
      <c r="C1070" s="89"/>
      <c r="D1070" s="1846"/>
      <c r="E1070" s="65"/>
      <c r="F1070" s="808"/>
      <c r="G1070" s="65"/>
      <c r="H1070" s="65"/>
      <c r="I1070" s="65"/>
      <c r="J1070" s="95" t="s">
        <v>30</v>
      </c>
      <c r="K1070" s="701"/>
      <c r="L1070" s="699">
        <f>SUM(L1068:L1069)</f>
        <v>19307999.99999997</v>
      </c>
      <c r="M1070" s="55"/>
      <c r="N1070" s="78"/>
      <c r="O1070" s="616"/>
    </row>
    <row r="1071" spans="1:15" ht="15" thickBot="1" x14ac:dyDescent="0.4">
      <c r="A1071" s="620"/>
      <c r="B1071" s="635"/>
      <c r="C1071" s="632"/>
      <c r="D1071" s="1900"/>
      <c r="K1071" s="702"/>
      <c r="L1071" s="620"/>
      <c r="M1071" s="620"/>
      <c r="N1071" s="632"/>
      <c r="O1071" s="620"/>
    </row>
    <row r="1072" spans="1:15" s="620" customFormat="1" x14ac:dyDescent="0.35">
      <c r="B1072" s="2142" t="s">
        <v>1090</v>
      </c>
      <c r="C1072" s="2143"/>
      <c r="D1072" s="683" t="s">
        <v>14</v>
      </c>
      <c r="E1072"/>
      <c r="F1072" s="2144" t="s">
        <v>1091</v>
      </c>
      <c r="G1072" s="2145"/>
      <c r="H1072" s="2146"/>
      <c r="I1072" s="683" t="s">
        <v>14</v>
      </c>
      <c r="K1072" s="2147" t="s">
        <v>1092</v>
      </c>
      <c r="L1072" s="2148"/>
      <c r="M1072" s="684" t="s">
        <v>14</v>
      </c>
      <c r="N1072" s="632"/>
    </row>
    <row r="1073" spans="1:15" s="620" customFormat="1" x14ac:dyDescent="0.35">
      <c r="B1073" s="2122" t="str">
        <f>B1051</f>
        <v>132 KV SIDE (SENDING)</v>
      </c>
      <c r="C1073" s="2123"/>
      <c r="D1073" s="689">
        <f>K1055</f>
        <v>19308000.000000004</v>
      </c>
      <c r="E1073"/>
      <c r="F1073" s="2124" t="s">
        <v>1093</v>
      </c>
      <c r="G1073" s="2125"/>
      <c r="H1073" s="2126"/>
      <c r="I1073" s="689">
        <f>L1066</f>
        <v>0</v>
      </c>
      <c r="K1073" s="2129" t="s">
        <v>4625</v>
      </c>
      <c r="L1073" s="2130"/>
      <c r="M1073" s="687">
        <f>I1074</f>
        <v>19307999.99999997</v>
      </c>
      <c r="N1073" s="632"/>
    </row>
    <row r="1074" spans="1:15" s="620" customFormat="1" x14ac:dyDescent="0.35">
      <c r="B1074" s="2122" t="s">
        <v>1116</v>
      </c>
      <c r="C1074" s="2123"/>
      <c r="D1074" s="689"/>
      <c r="E1074"/>
      <c r="F1074" s="2124" t="s">
        <v>4625</v>
      </c>
      <c r="G1074" s="2125"/>
      <c r="H1074" s="2126"/>
      <c r="I1074" s="687">
        <f>L1070</f>
        <v>19307999.99999997</v>
      </c>
      <c r="K1074" s="2127" t="s">
        <v>2455</v>
      </c>
      <c r="L1074" s="2128"/>
      <c r="M1074" s="1908">
        <f>D1078</f>
        <v>19180799.99999997</v>
      </c>
      <c r="N1074" s="632"/>
    </row>
    <row r="1075" spans="1:15" s="620" customFormat="1" x14ac:dyDescent="0.35">
      <c r="B1075" s="2122" t="s">
        <v>1117</v>
      </c>
      <c r="C1075" s="2123"/>
      <c r="D1075" s="689"/>
      <c r="E1075"/>
      <c r="F1075" s="2124" t="s">
        <v>1089</v>
      </c>
      <c r="G1075" s="2125"/>
      <c r="H1075" s="2126"/>
      <c r="I1075" s="689">
        <f>I1073+I1074</f>
        <v>19307999.99999997</v>
      </c>
      <c r="K1075" s="2129" t="s">
        <v>4622</v>
      </c>
      <c r="L1075" s="2130"/>
      <c r="M1075" s="689">
        <f>M1073-M1074</f>
        <v>127200</v>
      </c>
      <c r="N1075" s="632"/>
    </row>
    <row r="1076" spans="1:15" s="620" customFormat="1" ht="15" thickBot="1" x14ac:dyDescent="0.4">
      <c r="B1076" s="2122" t="s">
        <v>1118</v>
      </c>
      <c r="C1076" s="2123"/>
      <c r="D1076" s="722"/>
      <c r="E1076"/>
      <c r="F1076" s="2131" t="s">
        <v>4626</v>
      </c>
      <c r="G1076" s="2132"/>
      <c r="H1076" s="2133"/>
      <c r="I1076" s="689">
        <f>D1077-I1075</f>
        <v>3.3527612686157227E-8</v>
      </c>
      <c r="K1076" s="2134" t="s">
        <v>285</v>
      </c>
      <c r="L1076" s="2135"/>
      <c r="M1076" s="1905">
        <f>M1075/M1073</f>
        <v>6.5879428216283507E-3</v>
      </c>
      <c r="N1076" s="632"/>
    </row>
    <row r="1077" spans="1:15" s="620" customFormat="1" ht="15" thickBot="1" x14ac:dyDescent="0.4">
      <c r="B1077" s="2109" t="s">
        <v>4620</v>
      </c>
      <c r="C1077" s="2110"/>
      <c r="D1077" s="1435">
        <f>SUM(D1073:D1076)</f>
        <v>19308000.000000004</v>
      </c>
      <c r="E1077"/>
      <c r="F1077" s="2113" t="s">
        <v>2454</v>
      </c>
      <c r="G1077" s="2114"/>
      <c r="H1077" s="2115"/>
      <c r="I1077" s="1904">
        <f>I1076/I1075</f>
        <v>1.7364622273750403E-15</v>
      </c>
      <c r="K1077" s="702"/>
      <c r="N1077" s="632"/>
    </row>
    <row r="1078" spans="1:15" s="620" customFormat="1" x14ac:dyDescent="0.35">
      <c r="B1078" s="2116" t="s">
        <v>4624</v>
      </c>
      <c r="C1078" s="2117"/>
      <c r="D1078" s="2011">
        <f>K1091</f>
        <v>19180799.99999997</v>
      </c>
      <c r="E1078"/>
      <c r="F1078" s="791"/>
      <c r="G1078"/>
      <c r="H1078"/>
      <c r="I1078"/>
      <c r="J1078"/>
      <c r="K1078" s="702"/>
      <c r="N1078" s="632"/>
    </row>
    <row r="1079" spans="1:15" s="620" customFormat="1" x14ac:dyDescent="0.35">
      <c r="B1079" s="2118" t="s">
        <v>4627</v>
      </c>
      <c r="C1079" s="2119"/>
      <c r="D1079" s="741">
        <f>D1077-D1078</f>
        <v>127200.00000003353</v>
      </c>
      <c r="E1079"/>
      <c r="F1079" s="791"/>
      <c r="G1079"/>
      <c r="H1079"/>
      <c r="I1079"/>
      <c r="J1079"/>
      <c r="K1079" s="702"/>
      <c r="N1079" s="632"/>
    </row>
    <row r="1080" spans="1:15" s="620" customFormat="1" ht="15" thickBot="1" x14ac:dyDescent="0.4">
      <c r="B1080" s="2120" t="str">
        <f>K1076</f>
        <v>LOSS % IN =&gt;</v>
      </c>
      <c r="C1080" s="2121"/>
      <c r="D1080" s="2012">
        <f>D1079/D1073</f>
        <v>6.5879428216300759E-3</v>
      </c>
      <c r="E1080"/>
      <c r="F1080" s="791"/>
      <c r="G1080" s="678"/>
      <c r="H1080" s="678"/>
      <c r="I1080" s="678"/>
      <c r="J1080" s="679"/>
      <c r="K1080" s="702"/>
      <c r="N1080" s="632"/>
    </row>
    <row r="1081" spans="1:15" x14ac:dyDescent="0.35">
      <c r="A1081" s="620"/>
      <c r="B1081" s="635"/>
      <c r="C1081" s="632"/>
      <c r="D1081" s="1900"/>
      <c r="G1081" s="678"/>
      <c r="H1081" s="678"/>
      <c r="I1081" s="678"/>
      <c r="J1081" s="679"/>
      <c r="K1081" s="702"/>
      <c r="L1081" s="620"/>
      <c r="M1081" s="620"/>
      <c r="N1081" s="632"/>
      <c r="O1081" s="620"/>
    </row>
    <row r="1082" spans="1:15" x14ac:dyDescent="0.35">
      <c r="A1082" s="620"/>
      <c r="B1082" s="635"/>
      <c r="C1082" s="632"/>
      <c r="D1082" s="1900"/>
      <c r="G1082" s="678"/>
      <c r="H1082" s="678"/>
      <c r="I1082" s="678"/>
      <c r="J1082" s="679"/>
      <c r="K1082" s="702"/>
      <c r="L1082" s="620"/>
      <c r="M1082" s="620"/>
      <c r="N1082" s="632"/>
      <c r="O1082" s="620"/>
    </row>
    <row r="1083" spans="1:15" x14ac:dyDescent="0.35">
      <c r="A1083" s="620"/>
      <c r="B1083" s="635"/>
      <c r="C1083" s="632"/>
      <c r="D1083" s="1900"/>
      <c r="E1083" s="632"/>
      <c r="F1083" s="810"/>
      <c r="G1083" s="620"/>
      <c r="H1083" s="620"/>
      <c r="I1083" s="620"/>
      <c r="J1083" s="620"/>
      <c r="K1083" s="702"/>
      <c r="L1083" s="620"/>
      <c r="M1083" s="620"/>
      <c r="N1083" s="632"/>
      <c r="O1083" s="620"/>
    </row>
    <row r="1084" spans="1:15" ht="25" x14ac:dyDescent="0.35">
      <c r="A1084" s="2095" t="s">
        <v>1175</v>
      </c>
      <c r="B1084" s="2095"/>
      <c r="C1084" s="2095"/>
      <c r="D1084" s="2095"/>
      <c r="E1084" s="2095"/>
      <c r="F1084" s="2095"/>
      <c r="G1084" s="2095"/>
      <c r="H1084" s="2095"/>
      <c r="I1084" s="2095"/>
      <c r="J1084" s="2095"/>
      <c r="K1084" s="2095"/>
      <c r="L1084" s="2095"/>
      <c r="M1084" s="2095"/>
      <c r="N1084" s="2095"/>
      <c r="O1084" s="756" t="e">
        <f>$O$6</f>
        <v>#REF!</v>
      </c>
    </row>
    <row r="1085" spans="1:15" ht="15.5" x14ac:dyDescent="0.35">
      <c r="A1085" s="2096" t="s">
        <v>0</v>
      </c>
      <c r="B1085" s="2098" t="s">
        <v>1</v>
      </c>
      <c r="C1085" s="2100" t="s">
        <v>2</v>
      </c>
      <c r="D1085" s="2101"/>
      <c r="E1085" s="2102"/>
      <c r="F1085" s="2216" t="s">
        <v>3</v>
      </c>
      <c r="G1085" s="2100" t="s">
        <v>4</v>
      </c>
      <c r="H1085" s="2102"/>
      <c r="I1085" s="2085"/>
      <c r="J1085" s="2103" t="s">
        <v>5</v>
      </c>
      <c r="K1085" s="2100" t="s">
        <v>6</v>
      </c>
      <c r="L1085" s="2085"/>
      <c r="M1085" s="97" t="s">
        <v>32</v>
      </c>
      <c r="N1085" s="98"/>
      <c r="O1085" s="2084" t="s">
        <v>7</v>
      </c>
    </row>
    <row r="1086" spans="1:15" ht="15.5" x14ac:dyDescent="0.35">
      <c r="A1086" s="2111"/>
      <c r="B1086" s="2112"/>
      <c r="C1086" s="2086" t="s">
        <v>1108</v>
      </c>
      <c r="D1086" s="2087"/>
      <c r="E1086" s="675" t="s">
        <v>9</v>
      </c>
      <c r="F1086" s="2218"/>
      <c r="G1086" s="2">
        <f>'NORTH-1'!$G$8</f>
        <v>44774</v>
      </c>
      <c r="H1086" s="2">
        <f>'NORTH-1'!$H$8</f>
        <v>44805</v>
      </c>
      <c r="I1086" s="676" t="s">
        <v>10</v>
      </c>
      <c r="J1086" s="2111"/>
      <c r="K1086" s="676" t="s">
        <v>11</v>
      </c>
      <c r="L1086" s="676" t="s">
        <v>12</v>
      </c>
      <c r="M1086" s="715" t="s">
        <v>33</v>
      </c>
      <c r="N1086" s="716" t="s">
        <v>47</v>
      </c>
      <c r="O1086" s="2104"/>
    </row>
    <row r="1087" spans="1:15" ht="15.5" x14ac:dyDescent="0.35">
      <c r="A1087" s="717">
        <v>1</v>
      </c>
      <c r="B1087" s="673">
        <v>2</v>
      </c>
      <c r="C1087" s="2088">
        <v>4</v>
      </c>
      <c r="D1087" s="2089"/>
      <c r="E1087" s="673">
        <v>5</v>
      </c>
      <c r="F1087" s="811">
        <v>7</v>
      </c>
      <c r="G1087" s="717">
        <v>8</v>
      </c>
      <c r="H1087" s="717">
        <v>9</v>
      </c>
      <c r="I1087" s="717" t="s">
        <v>13</v>
      </c>
      <c r="J1087" s="717">
        <v>11</v>
      </c>
      <c r="K1087" s="717" t="s">
        <v>19</v>
      </c>
      <c r="L1087" s="717" t="s">
        <v>20</v>
      </c>
      <c r="M1087" s="717">
        <v>14</v>
      </c>
      <c r="N1087" s="673">
        <v>15</v>
      </c>
      <c r="O1087" s="717">
        <v>16</v>
      </c>
    </row>
    <row r="1088" spans="1:15" ht="15.5" x14ac:dyDescent="0.35">
      <c r="A1088" s="11"/>
      <c r="B1088" s="624" t="s">
        <v>1521</v>
      </c>
      <c r="C1088" s="625"/>
      <c r="D1088" s="695"/>
      <c r="E1088" s="625"/>
      <c r="F1088" s="804"/>
      <c r="G1088" s="625"/>
      <c r="H1088" s="625"/>
      <c r="I1088" s="625"/>
      <c r="J1088" s="625"/>
      <c r="K1088" s="695"/>
      <c r="L1088" s="625"/>
      <c r="M1088" s="626"/>
      <c r="N1088" s="627"/>
      <c r="O1088" s="8"/>
    </row>
    <row r="1089" spans="1:15" ht="15.5" x14ac:dyDescent="0.35">
      <c r="A1089" s="631">
        <v>6</v>
      </c>
      <c r="B1089" s="100" t="s">
        <v>4282</v>
      </c>
      <c r="C1089" s="52" t="s">
        <v>3833</v>
      </c>
      <c r="D1089" s="2105"/>
      <c r="E1089" s="52"/>
      <c r="F1089" s="812">
        <v>1</v>
      </c>
      <c r="G1089" s="5">
        <v>151.78</v>
      </c>
      <c r="H1089" s="5">
        <v>164.37</v>
      </c>
      <c r="I1089" s="5">
        <f>H1089-G1089</f>
        <v>12.590000000000003</v>
      </c>
      <c r="J1089" s="616">
        <v>720000</v>
      </c>
      <c r="K1089" s="696">
        <f>F1089*I1089*J1089</f>
        <v>9064800.0000000019</v>
      </c>
      <c r="L1089" s="7"/>
      <c r="M1089" s="7"/>
      <c r="N1089" s="78"/>
      <c r="O1089" s="616"/>
    </row>
    <row r="1090" spans="1:15" ht="15.5" x14ac:dyDescent="0.35">
      <c r="A1090" s="631">
        <v>7</v>
      </c>
      <c r="B1090" s="100" t="s">
        <v>4283</v>
      </c>
      <c r="C1090" s="52" t="s">
        <v>3833</v>
      </c>
      <c r="D1090" s="2106"/>
      <c r="E1090" s="52"/>
      <c r="F1090" s="812">
        <v>1</v>
      </c>
      <c r="G1090" s="5">
        <v>258.79000000000002</v>
      </c>
      <c r="H1090" s="5">
        <v>272.83999999999997</v>
      </c>
      <c r="I1090" s="5">
        <f>H1090-G1090</f>
        <v>14.049999999999955</v>
      </c>
      <c r="J1090" s="616">
        <v>720000</v>
      </c>
      <c r="K1090" s="696">
        <f>F1090*I1090*J1090</f>
        <v>10115999.999999966</v>
      </c>
      <c r="L1090" s="7"/>
      <c r="M1090" s="7"/>
      <c r="N1090" s="78"/>
      <c r="O1090" s="616"/>
    </row>
    <row r="1091" spans="1:15" ht="15.5" x14ac:dyDescent="0.35">
      <c r="A1091" s="631"/>
      <c r="B1091" s="95"/>
      <c r="C1091" s="89"/>
      <c r="D1091" s="1846"/>
      <c r="E1091" s="89"/>
      <c r="F1091" s="806"/>
      <c r="G1091" s="37"/>
      <c r="H1091" s="37"/>
      <c r="I1091" s="37"/>
      <c r="J1091" s="95" t="s">
        <v>30</v>
      </c>
      <c r="K1091" s="1908">
        <f>SUM(K1089:K1090)</f>
        <v>19180799.99999997</v>
      </c>
      <c r="L1091" s="40"/>
      <c r="M1091" s="40">
        <f>SUM(M1089:M1090)</f>
        <v>0</v>
      </c>
      <c r="N1091" s="78"/>
      <c r="O1091" s="616"/>
    </row>
    <row r="1092" spans="1:15" ht="15.5" x14ac:dyDescent="0.35">
      <c r="A1092" s="631"/>
      <c r="B1092" s="647" t="s">
        <v>1522</v>
      </c>
      <c r="C1092" s="648"/>
      <c r="D1092" s="700"/>
      <c r="E1092" s="648"/>
      <c r="F1092" s="807"/>
      <c r="G1092" s="648"/>
      <c r="H1092" s="648"/>
      <c r="I1092" s="648"/>
      <c r="J1092" s="648"/>
      <c r="K1092" s="700"/>
      <c r="L1092" s="648"/>
      <c r="M1092" s="651"/>
      <c r="N1092" s="649"/>
      <c r="O1092" s="616"/>
    </row>
    <row r="1093" spans="1:15" ht="15.5" x14ac:dyDescent="0.35">
      <c r="A1093" s="631"/>
      <c r="B1093" s="662" t="s">
        <v>1106</v>
      </c>
      <c r="C1093" s="52"/>
      <c r="D1093" s="1919" t="s">
        <v>1083</v>
      </c>
      <c r="E1093" s="52"/>
      <c r="F1093" s="812"/>
      <c r="G1093" s="5"/>
      <c r="H1093" s="5"/>
      <c r="I1093" s="6"/>
      <c r="J1093" s="616"/>
      <c r="K1093" s="696"/>
      <c r="L1093" s="7"/>
      <c r="M1093" s="7"/>
      <c r="N1093" s="78"/>
      <c r="O1093" s="616"/>
    </row>
    <row r="1094" spans="1:15" ht="15.5" x14ac:dyDescent="0.35">
      <c r="A1094" s="11">
        <v>5</v>
      </c>
      <c r="B1094" s="100" t="s">
        <v>4284</v>
      </c>
      <c r="C1094" s="661" t="s">
        <v>3833</v>
      </c>
      <c r="D1094" s="1920"/>
      <c r="E1094" s="674"/>
      <c r="F1094" s="812">
        <v>1</v>
      </c>
      <c r="G1094" s="21">
        <v>349.86</v>
      </c>
      <c r="H1094" s="21">
        <v>371.77</v>
      </c>
      <c r="I1094" s="21">
        <f>H1094-G1094</f>
        <v>21.909999999999968</v>
      </c>
      <c r="J1094" s="616">
        <v>240000</v>
      </c>
      <c r="K1094" s="696"/>
      <c r="L1094" s="22">
        <f>F1094*I1094*J1094</f>
        <v>5258399.9999999925</v>
      </c>
      <c r="M1094" s="22"/>
      <c r="N1094" s="82"/>
      <c r="O1094" s="9"/>
    </row>
    <row r="1095" spans="1:15" ht="15.5" x14ac:dyDescent="0.35">
      <c r="A1095" s="631">
        <v>8</v>
      </c>
      <c r="B1095" s="100" t="s">
        <v>4285</v>
      </c>
      <c r="C1095" s="661" t="s">
        <v>3833</v>
      </c>
      <c r="D1095" s="1920"/>
      <c r="E1095" s="674"/>
      <c r="F1095" s="812">
        <v>1</v>
      </c>
      <c r="G1095" s="21">
        <v>229.31</v>
      </c>
      <c r="H1095" s="21">
        <v>241.74</v>
      </c>
      <c r="I1095" s="21">
        <f>H1095-G1095</f>
        <v>12.430000000000007</v>
      </c>
      <c r="J1095" s="616">
        <v>240000</v>
      </c>
      <c r="K1095" s="696"/>
      <c r="L1095" s="22">
        <f>F1095*I1095*J1095</f>
        <v>2983200.0000000019</v>
      </c>
      <c r="M1095" s="22"/>
      <c r="N1095" s="82"/>
      <c r="O1095" s="616"/>
    </row>
    <row r="1096" spans="1:15" ht="15.5" x14ac:dyDescent="0.35">
      <c r="A1096" s="616">
        <v>13</v>
      </c>
      <c r="B1096" s="100" t="s">
        <v>4286</v>
      </c>
      <c r="C1096" s="661" t="s">
        <v>3833</v>
      </c>
      <c r="D1096" s="1920"/>
      <c r="E1096" s="674"/>
      <c r="F1096" s="812">
        <v>1</v>
      </c>
      <c r="G1096" s="21">
        <v>194.79</v>
      </c>
      <c r="H1096" s="21">
        <v>209.17</v>
      </c>
      <c r="I1096" s="21">
        <f>H1096-G1096</f>
        <v>14.379999999999995</v>
      </c>
      <c r="J1096" s="616">
        <v>240000</v>
      </c>
      <c r="K1096" s="696"/>
      <c r="L1096" s="22">
        <f>F1096*I1096*J1096</f>
        <v>3451199.9999999991</v>
      </c>
      <c r="M1096" s="22"/>
      <c r="N1096" s="82"/>
      <c r="O1096" s="616"/>
    </row>
    <row r="1097" spans="1:15" ht="15.5" x14ac:dyDescent="0.35">
      <c r="A1097" s="616"/>
      <c r="B1097" s="662" t="s">
        <v>1107</v>
      </c>
      <c r="C1097" s="89"/>
      <c r="D1097" s="1920"/>
      <c r="E1097" s="89"/>
      <c r="F1097" s="806"/>
      <c r="G1097" s="37"/>
      <c r="H1097" s="37"/>
      <c r="I1097" s="37"/>
      <c r="J1097" s="95" t="s">
        <v>30</v>
      </c>
      <c r="K1097" s="696"/>
      <c r="L1097" s="43">
        <f>SUM(L1094:L1096)</f>
        <v>11692799.999999993</v>
      </c>
      <c r="M1097" s="43">
        <f>SUM(M1094:M1096)</f>
        <v>0</v>
      </c>
      <c r="N1097" s="83"/>
      <c r="O1097" s="12"/>
    </row>
    <row r="1098" spans="1:15" ht="15.5" x14ac:dyDescent="0.35">
      <c r="A1098" s="636">
        <v>2</v>
      </c>
      <c r="B1098" s="100" t="s">
        <v>4287</v>
      </c>
      <c r="C1098" s="661" t="s">
        <v>3833</v>
      </c>
      <c r="D1098" s="1920"/>
      <c r="E1098" s="674"/>
      <c r="F1098" s="812">
        <v>1</v>
      </c>
      <c r="G1098" s="6">
        <v>0.03</v>
      </c>
      <c r="H1098" s="6">
        <v>0.03</v>
      </c>
      <c r="I1098" s="20">
        <f t="shared" ref="I1098:I1107" si="37">H1098-G1098</f>
        <v>0</v>
      </c>
      <c r="J1098" s="616">
        <v>360000</v>
      </c>
      <c r="K1098" s="703"/>
      <c r="L1098" s="22">
        <f>F1098*I1098*J1098</f>
        <v>0</v>
      </c>
      <c r="M1098" s="22"/>
      <c r="N1098" s="82"/>
      <c r="O1098" s="15"/>
    </row>
    <row r="1099" spans="1:15" ht="15.5" x14ac:dyDescent="0.35">
      <c r="A1099" s="636">
        <v>2</v>
      </c>
      <c r="B1099" s="100" t="s">
        <v>4288</v>
      </c>
      <c r="C1099" s="661" t="s">
        <v>3833</v>
      </c>
      <c r="D1099" s="1920"/>
      <c r="E1099" s="691"/>
      <c r="F1099" s="812">
        <v>1</v>
      </c>
      <c r="G1099" s="6"/>
      <c r="H1099" s="6"/>
      <c r="I1099" s="20">
        <f t="shared" si="37"/>
        <v>0</v>
      </c>
      <c r="J1099" s="616">
        <v>360000</v>
      </c>
      <c r="K1099" s="704"/>
      <c r="L1099" s="22">
        <f>F1099*I1099*J1099</f>
        <v>0</v>
      </c>
      <c r="M1099" s="22"/>
      <c r="N1099" s="82"/>
      <c r="O1099" s="14"/>
    </row>
    <row r="1100" spans="1:15" ht="15.5" x14ac:dyDescent="0.35">
      <c r="A1100" s="636">
        <v>3</v>
      </c>
      <c r="B1100" s="100" t="s">
        <v>4289</v>
      </c>
      <c r="C1100" s="661" t="s">
        <v>3833</v>
      </c>
      <c r="D1100" s="1920"/>
      <c r="E1100" s="691"/>
      <c r="F1100" s="812">
        <v>1</v>
      </c>
      <c r="G1100" s="6">
        <v>71.14</v>
      </c>
      <c r="H1100" s="6">
        <v>81.760000000000005</v>
      </c>
      <c r="I1100" s="20">
        <f t="shared" si="37"/>
        <v>10.620000000000005</v>
      </c>
      <c r="J1100" s="616">
        <v>360000</v>
      </c>
      <c r="K1100" s="704"/>
      <c r="L1100" s="22">
        <f>F1100*I1100*J1100</f>
        <v>3823200.0000000019</v>
      </c>
      <c r="M1100" s="22"/>
      <c r="N1100" s="82"/>
      <c r="O1100" s="14"/>
    </row>
    <row r="1101" spans="1:15" ht="15.5" x14ac:dyDescent="0.35">
      <c r="A1101" s="636">
        <v>4</v>
      </c>
      <c r="B1101" s="100" t="s">
        <v>4290</v>
      </c>
      <c r="C1101" s="661" t="s">
        <v>3833</v>
      </c>
      <c r="D1101" s="1920"/>
      <c r="E1101" s="674"/>
      <c r="F1101" s="812">
        <v>1</v>
      </c>
      <c r="G1101" s="6">
        <v>0.34</v>
      </c>
      <c r="H1101" s="6">
        <v>0.34</v>
      </c>
      <c r="I1101" s="20">
        <f t="shared" si="37"/>
        <v>0</v>
      </c>
      <c r="J1101" s="616">
        <v>360000</v>
      </c>
      <c r="K1101" s="704"/>
      <c r="L1101" s="22">
        <f>F1101*I1101*J1101</f>
        <v>0</v>
      </c>
      <c r="M1101" s="22"/>
      <c r="N1101" s="82"/>
      <c r="O1101" s="14"/>
    </row>
    <row r="1102" spans="1:15" ht="15.5" x14ac:dyDescent="0.35">
      <c r="A1102" s="636">
        <v>9</v>
      </c>
      <c r="B1102" s="100" t="s">
        <v>4291</v>
      </c>
      <c r="C1102" s="661" t="s">
        <v>3833</v>
      </c>
      <c r="D1102" s="1920"/>
      <c r="E1102" s="674"/>
      <c r="F1102" s="812">
        <v>1</v>
      </c>
      <c r="G1102" s="6">
        <v>0.02</v>
      </c>
      <c r="H1102" s="6">
        <v>0.02</v>
      </c>
      <c r="I1102" s="20">
        <f t="shared" si="37"/>
        <v>0</v>
      </c>
      <c r="J1102" s="616">
        <v>360000</v>
      </c>
      <c r="K1102" s="703"/>
      <c r="L1102" s="22">
        <f t="shared" ref="L1102:L1107" si="38">F1102*I1102*J1102</f>
        <v>0</v>
      </c>
      <c r="M1102" s="22"/>
      <c r="N1102" s="82"/>
      <c r="O1102" s="15"/>
    </row>
    <row r="1103" spans="1:15" ht="15.5" x14ac:dyDescent="0.35">
      <c r="A1103" s="636">
        <v>10</v>
      </c>
      <c r="B1103" s="100" t="s">
        <v>4292</v>
      </c>
      <c r="C1103" s="661" t="s">
        <v>3833</v>
      </c>
      <c r="D1103" s="1920"/>
      <c r="E1103" s="674"/>
      <c r="F1103" s="812">
        <v>1</v>
      </c>
      <c r="G1103" s="6">
        <v>75.67</v>
      </c>
      <c r="H1103" s="6">
        <v>85.9</v>
      </c>
      <c r="I1103" s="20">
        <f t="shared" si="37"/>
        <v>10.230000000000004</v>
      </c>
      <c r="J1103" s="616">
        <v>360000</v>
      </c>
      <c r="K1103" s="704"/>
      <c r="L1103" s="22">
        <f t="shared" si="38"/>
        <v>3682800.0000000014</v>
      </c>
      <c r="M1103" s="22"/>
      <c r="N1103" s="82"/>
      <c r="O1103" s="10"/>
    </row>
    <row r="1104" spans="1:15" ht="15.5" x14ac:dyDescent="0.35">
      <c r="A1104" s="636">
        <v>11</v>
      </c>
      <c r="B1104" s="100" t="s">
        <v>4293</v>
      </c>
      <c r="C1104" s="661" t="s">
        <v>3833</v>
      </c>
      <c r="D1104" s="1920"/>
      <c r="E1104" s="674"/>
      <c r="F1104" s="812">
        <v>1</v>
      </c>
      <c r="G1104" s="6">
        <v>158.44</v>
      </c>
      <c r="H1104" s="6">
        <v>158.44</v>
      </c>
      <c r="I1104" s="20">
        <f t="shared" si="37"/>
        <v>0</v>
      </c>
      <c r="J1104" s="616">
        <v>360000</v>
      </c>
      <c r="K1104" s="703"/>
      <c r="L1104" s="22">
        <f t="shared" si="38"/>
        <v>0</v>
      </c>
      <c r="M1104" s="22"/>
      <c r="N1104" s="82"/>
      <c r="O1104" s="13"/>
    </row>
    <row r="1105" spans="1:15" ht="15.5" x14ac:dyDescent="0.35">
      <c r="A1105" s="636">
        <v>12</v>
      </c>
      <c r="B1105" s="101" t="s">
        <v>4294</v>
      </c>
      <c r="C1105" s="661" t="s">
        <v>3833</v>
      </c>
      <c r="D1105" s="1920"/>
      <c r="E1105" s="674"/>
      <c r="F1105" s="812">
        <v>1</v>
      </c>
      <c r="G1105" s="6">
        <v>0.28999999999999998</v>
      </c>
      <c r="H1105" s="6">
        <v>0.28999999999999998</v>
      </c>
      <c r="I1105" s="20">
        <f t="shared" si="37"/>
        <v>0</v>
      </c>
      <c r="J1105" s="616">
        <v>360000</v>
      </c>
      <c r="K1105" s="705"/>
      <c r="L1105" s="22">
        <f t="shared" si="38"/>
        <v>0</v>
      </c>
      <c r="M1105" s="22"/>
      <c r="N1105" s="82"/>
      <c r="O1105" s="30"/>
    </row>
    <row r="1106" spans="1:15" ht="15.5" x14ac:dyDescent="0.35">
      <c r="A1106" s="636">
        <v>14</v>
      </c>
      <c r="B1106" s="100" t="s">
        <v>3866</v>
      </c>
      <c r="C1106" s="661" t="s">
        <v>3867</v>
      </c>
      <c r="D1106" s="1920"/>
      <c r="E1106" s="674"/>
      <c r="F1106" s="812">
        <v>1</v>
      </c>
      <c r="G1106" s="6">
        <v>747.6</v>
      </c>
      <c r="H1106" s="6">
        <v>747.6</v>
      </c>
      <c r="I1106" s="20">
        <f t="shared" si="37"/>
        <v>0</v>
      </c>
      <c r="J1106" s="616">
        <v>320</v>
      </c>
      <c r="K1106" s="696"/>
      <c r="L1106" s="22">
        <f t="shared" si="38"/>
        <v>0</v>
      </c>
      <c r="M1106" s="22"/>
      <c r="N1106" s="82"/>
      <c r="O1106" s="616"/>
    </row>
    <row r="1107" spans="1:15" ht="15.5" x14ac:dyDescent="0.35">
      <c r="A1107" s="636">
        <v>15</v>
      </c>
      <c r="B1107" s="101" t="s">
        <v>4295</v>
      </c>
      <c r="C1107" s="661" t="s">
        <v>3867</v>
      </c>
      <c r="D1107" s="1920"/>
      <c r="E1107" s="674"/>
      <c r="F1107" s="812">
        <v>1</v>
      </c>
      <c r="G1107" s="6"/>
      <c r="H1107" s="6"/>
      <c r="I1107" s="20">
        <f t="shared" si="37"/>
        <v>0</v>
      </c>
      <c r="J1107" s="616"/>
      <c r="K1107" s="705"/>
      <c r="L1107" s="22">
        <f t="shared" si="38"/>
        <v>0</v>
      </c>
      <c r="M1107" s="22"/>
      <c r="N1107" s="82"/>
      <c r="O1107" s="13"/>
    </row>
    <row r="1108" spans="1:15" ht="15.5" x14ac:dyDescent="0.35">
      <c r="A1108" s="636"/>
      <c r="B1108" s="96"/>
      <c r="C1108" s="90"/>
      <c r="D1108" s="96"/>
      <c r="E1108" s="90"/>
      <c r="F1108" s="813"/>
      <c r="G1108" s="38"/>
      <c r="H1108" s="38"/>
      <c r="I1108" s="38"/>
      <c r="J1108" s="95" t="s">
        <v>30</v>
      </c>
      <c r="K1108" s="696"/>
      <c r="L1108" s="43">
        <f>SUM(L1098:L1107)</f>
        <v>7506000.0000000037</v>
      </c>
      <c r="M1108" s="43">
        <f>SUM(M1098:M1107)</f>
        <v>0</v>
      </c>
      <c r="N1108" s="83"/>
      <c r="O1108" s="13"/>
    </row>
    <row r="1109" spans="1:15" ht="20" x14ac:dyDescent="0.35">
      <c r="A1109" s="636"/>
      <c r="B1109" s="96"/>
      <c r="C1109" s="90"/>
      <c r="D1109" s="96"/>
      <c r="E1109" s="90"/>
      <c r="F1109" s="813"/>
      <c r="G1109" s="38"/>
      <c r="H1109" s="38"/>
      <c r="I1109" s="2107" t="s">
        <v>44</v>
      </c>
      <c r="J1109" s="2108"/>
      <c r="K1109" s="698">
        <f>K1091</f>
        <v>19180799.99999997</v>
      </c>
      <c r="L1109" s="44">
        <f>L1097+L1108</f>
        <v>19198799.999999996</v>
      </c>
      <c r="M1109" s="44">
        <f>M1108+M1097</f>
        <v>0</v>
      </c>
      <c r="N1109" s="1908">
        <f>(M1109-L1109)/L1109*100</f>
        <v>-100</v>
      </c>
      <c r="O1109" s="29"/>
    </row>
    <row r="1110" spans="1:15" x14ac:dyDescent="0.35">
      <c r="A1110" s="620"/>
      <c r="B1110" s="635"/>
      <c r="C1110" s="632"/>
      <c r="D1110" s="1900"/>
      <c r="K1110" s="702"/>
      <c r="L1110" s="620"/>
      <c r="M1110" s="620"/>
      <c r="N1110" s="632"/>
      <c r="O1110" s="620"/>
    </row>
    <row r="1111" spans="1:15" ht="15" x14ac:dyDescent="0.35">
      <c r="A1111" s="620"/>
      <c r="D1111" s="2013"/>
      <c r="G1111" s="2092" t="s">
        <v>1096</v>
      </c>
      <c r="H1111" s="2092"/>
      <c r="I1111" s="2092"/>
      <c r="J1111" s="677" t="s">
        <v>14</v>
      </c>
      <c r="K1111" s="69" t="s">
        <v>1098</v>
      </c>
      <c r="L1111" s="620"/>
      <c r="M1111" s="620"/>
      <c r="N1111" s="632"/>
      <c r="O1111" s="620"/>
    </row>
    <row r="1112" spans="1:15" ht="17.5" x14ac:dyDescent="0.35">
      <c r="A1112" s="620"/>
      <c r="D1112" s="2013"/>
      <c r="G1112" s="2093" t="s">
        <v>1071</v>
      </c>
      <c r="H1112" s="2093"/>
      <c r="I1112" s="2093"/>
      <c r="J1112" s="692">
        <f>M1097</f>
        <v>0</v>
      </c>
      <c r="K1112" s="70">
        <v>6.933634163553025</v>
      </c>
      <c r="L1112" s="620"/>
      <c r="M1112" s="620"/>
      <c r="N1112" s="632"/>
      <c r="O1112" s="620"/>
    </row>
    <row r="1113" spans="1:15" ht="17.5" x14ac:dyDescent="0.35">
      <c r="A1113" s="620"/>
      <c r="D1113" s="2013"/>
      <c r="G1113" s="2093" t="s">
        <v>206</v>
      </c>
      <c r="H1113" s="2093"/>
      <c r="I1113" s="2093"/>
      <c r="J1113" s="692">
        <f>M1098+M1099+M1100</f>
        <v>0</v>
      </c>
      <c r="K1113" s="70">
        <v>-0.33769527905653496</v>
      </c>
      <c r="L1113" s="620"/>
      <c r="M1113" s="620"/>
      <c r="N1113" s="632"/>
      <c r="O1113" s="620"/>
    </row>
    <row r="1114" spans="1:15" ht="17.5" x14ac:dyDescent="0.35">
      <c r="A1114" s="620"/>
      <c r="D1114" s="2013"/>
      <c r="G1114" s="2093" t="s">
        <v>207</v>
      </c>
      <c r="H1114" s="2093"/>
      <c r="I1114" s="2093"/>
      <c r="J1114" s="692">
        <f>M1101+M1102</f>
        <v>0</v>
      </c>
      <c r="K1114" s="70"/>
      <c r="L1114" s="620"/>
      <c r="M1114" s="620"/>
      <c r="N1114" s="632"/>
      <c r="O1114" s="620"/>
    </row>
    <row r="1115" spans="1:15" ht="17.5" x14ac:dyDescent="0.35">
      <c r="A1115" s="620"/>
      <c r="D1115" s="2013"/>
      <c r="G1115" s="2093" t="s">
        <v>208</v>
      </c>
      <c r="H1115" s="2093"/>
      <c r="I1115" s="2093"/>
      <c r="J1115" s="692">
        <f>M1103</f>
        <v>0</v>
      </c>
      <c r="K1115" s="70">
        <v>0.58957194954853154</v>
      </c>
      <c r="L1115" s="620"/>
      <c r="M1115" s="620"/>
      <c r="N1115" s="632"/>
      <c r="O1115" s="620"/>
    </row>
    <row r="1116" spans="1:15" ht="17.5" x14ac:dyDescent="0.35">
      <c r="A1116" s="620"/>
      <c r="B1116" s="635"/>
      <c r="C1116" s="632"/>
      <c r="D1116" s="1900"/>
      <c r="G1116" s="2093" t="s">
        <v>209</v>
      </c>
      <c r="H1116" s="2093"/>
      <c r="I1116" s="2093"/>
      <c r="J1116" s="692">
        <f>M1104</f>
        <v>0</v>
      </c>
      <c r="K1116" s="70"/>
      <c r="L1116" s="620"/>
      <c r="M1116" s="620"/>
      <c r="N1116" s="632"/>
      <c r="O1116" s="620"/>
    </row>
    <row r="1117" spans="1:15" ht="17.5" x14ac:dyDescent="0.35">
      <c r="A1117" s="620"/>
      <c r="B1117" s="635"/>
      <c r="C1117" s="632"/>
      <c r="D1117" s="1900"/>
      <c r="G1117" s="2093" t="s">
        <v>40</v>
      </c>
      <c r="H1117" s="2093"/>
      <c r="I1117" s="2093"/>
      <c r="J1117" s="692">
        <f>M1105+M1106</f>
        <v>0</v>
      </c>
      <c r="K1117" s="70">
        <v>2.4391608198671739</v>
      </c>
      <c r="L1117" s="620"/>
      <c r="M1117" s="620"/>
      <c r="N1117" s="632"/>
      <c r="O1117" s="620"/>
    </row>
    <row r="1118" spans="1:15" x14ac:dyDescent="0.35">
      <c r="A1118" s="620"/>
      <c r="B1118" s="635"/>
      <c r="C1118" s="632"/>
      <c r="D1118" s="1900"/>
      <c r="G1118" s="2094" t="s">
        <v>42</v>
      </c>
      <c r="H1118" s="2094"/>
      <c r="I1118" s="2094"/>
      <c r="J1118" s="693">
        <f>M1107</f>
        <v>0</v>
      </c>
      <c r="K1118" s="694" t="s">
        <v>1097</v>
      </c>
      <c r="L1118" s="620"/>
      <c r="M1118" s="620"/>
      <c r="N1118" s="632"/>
      <c r="O1118" s="620"/>
    </row>
    <row r="1119" spans="1:15" ht="18" thickBot="1" x14ac:dyDescent="0.4">
      <c r="A1119" s="620"/>
      <c r="B1119" s="635"/>
      <c r="C1119" s="632"/>
      <c r="D1119" s="1900"/>
      <c r="E1119" s="632"/>
      <c r="F1119" s="810"/>
      <c r="G1119" s="2093" t="s">
        <v>41</v>
      </c>
      <c r="H1119" s="2093"/>
      <c r="I1119" s="2093"/>
      <c r="J1119" s="692" t="e">
        <f>#REF!</f>
        <v>#REF!</v>
      </c>
      <c r="K1119" s="681">
        <v>1.4463055987403735</v>
      </c>
      <c r="L1119" s="620"/>
      <c r="M1119" s="620"/>
      <c r="N1119" s="632"/>
      <c r="O1119" s="620"/>
    </row>
    <row r="1120" spans="1:15" ht="20.5" thickBot="1" x14ac:dyDescent="0.4">
      <c r="A1120" s="620"/>
      <c r="B1120" s="635"/>
      <c r="C1120" s="632"/>
      <c r="D1120" s="1900"/>
      <c r="E1120" s="632"/>
      <c r="F1120" s="810"/>
      <c r="G1120" s="620"/>
      <c r="H1120" s="620"/>
      <c r="I1120" s="642" t="s">
        <v>210</v>
      </c>
      <c r="J1120" s="680" t="e">
        <f>SUM(J1112:J1119)</f>
        <v>#REF!</v>
      </c>
      <c r="K1120" s="682" t="e">
        <f>J1120-M1109</f>
        <v>#REF!</v>
      </c>
      <c r="L1120" s="620"/>
      <c r="M1120" s="620"/>
      <c r="N1120" s="632"/>
      <c r="O1120" s="620"/>
    </row>
    <row r="1121" spans="1:15" x14ac:dyDescent="0.35">
      <c r="A1121" s="620"/>
      <c r="B1121" s="635"/>
      <c r="C1121" s="632"/>
      <c r="D1121" s="1900"/>
      <c r="E1121" s="632"/>
      <c r="F1121" s="810"/>
      <c r="G1121" s="620"/>
      <c r="H1121" s="620"/>
      <c r="I1121" s="620"/>
      <c r="J1121" s="620"/>
      <c r="K1121" s="702"/>
      <c r="L1121" s="620"/>
      <c r="M1121" s="620"/>
      <c r="N1121" s="632"/>
      <c r="O1121" s="620"/>
    </row>
    <row r="1122" spans="1:15" ht="25" x14ac:dyDescent="0.35">
      <c r="A1122" s="2095" t="s">
        <v>1176</v>
      </c>
      <c r="B1122" s="2095"/>
      <c r="C1122" s="2095"/>
      <c r="D1122" s="2095"/>
      <c r="E1122" s="2095"/>
      <c r="F1122" s="2095"/>
      <c r="G1122" s="2095"/>
      <c r="H1122" s="2095"/>
      <c r="I1122" s="2095"/>
      <c r="J1122" s="2095"/>
      <c r="K1122" s="2095"/>
      <c r="L1122" s="2095"/>
      <c r="M1122" s="2095"/>
      <c r="N1122" s="2095"/>
      <c r="O1122" s="756" t="e">
        <f>$O$6</f>
        <v>#REF!</v>
      </c>
    </row>
    <row r="1123" spans="1:15" ht="15.5" x14ac:dyDescent="0.35">
      <c r="A1123" s="2096" t="s">
        <v>0</v>
      </c>
      <c r="B1123" s="2098" t="s">
        <v>1</v>
      </c>
      <c r="C1123" s="2100" t="s">
        <v>2</v>
      </c>
      <c r="D1123" s="2101"/>
      <c r="E1123" s="2102"/>
      <c r="F1123" s="2216" t="s">
        <v>3</v>
      </c>
      <c r="G1123" s="2100" t="s">
        <v>4</v>
      </c>
      <c r="H1123" s="2102"/>
      <c r="I1123" s="2085"/>
      <c r="J1123" s="2103" t="s">
        <v>5</v>
      </c>
      <c r="K1123" s="2100" t="s">
        <v>6</v>
      </c>
      <c r="L1123" s="2085"/>
      <c r="M1123" s="97" t="s">
        <v>32</v>
      </c>
      <c r="N1123" s="98"/>
      <c r="O1123" s="2084" t="s">
        <v>7</v>
      </c>
    </row>
    <row r="1124" spans="1:15" ht="15.5" x14ac:dyDescent="0.35">
      <c r="A1124" s="2097"/>
      <c r="B1124" s="2099"/>
      <c r="C1124" s="2086" t="s">
        <v>1108</v>
      </c>
      <c r="D1124" s="2087"/>
      <c r="E1124" s="87" t="s">
        <v>9</v>
      </c>
      <c r="F1124" s="2217"/>
      <c r="G1124" s="2">
        <f>'NORTH-1'!$G$8</f>
        <v>44774</v>
      </c>
      <c r="H1124" s="2">
        <f>'NORTH-1'!$H$8</f>
        <v>44805</v>
      </c>
      <c r="I1124" s="1" t="s">
        <v>10</v>
      </c>
      <c r="J1124" s="2097"/>
      <c r="K1124" s="1" t="s">
        <v>11</v>
      </c>
      <c r="L1124" s="1" t="s">
        <v>12</v>
      </c>
      <c r="M1124" s="617" t="s">
        <v>33</v>
      </c>
      <c r="N1124" s="76" t="s">
        <v>47</v>
      </c>
      <c r="O1124" s="2085"/>
    </row>
    <row r="1125" spans="1:15" ht="15.5" x14ac:dyDescent="0.35">
      <c r="A1125" s="3">
        <v>1</v>
      </c>
      <c r="B1125" s="88">
        <v>2</v>
      </c>
      <c r="C1125" s="2088">
        <v>4</v>
      </c>
      <c r="D1125" s="2089"/>
      <c r="E1125" s="88">
        <v>5</v>
      </c>
      <c r="F1125" s="803">
        <v>7</v>
      </c>
      <c r="G1125" s="3">
        <v>8</v>
      </c>
      <c r="H1125" s="3">
        <v>9</v>
      </c>
      <c r="I1125" s="3" t="s">
        <v>13</v>
      </c>
      <c r="J1125" s="3">
        <v>11</v>
      </c>
      <c r="K1125" s="3" t="s">
        <v>19</v>
      </c>
      <c r="L1125" s="3" t="s">
        <v>20</v>
      </c>
      <c r="M1125" s="3">
        <v>14</v>
      </c>
      <c r="N1125" s="77">
        <v>15</v>
      </c>
      <c r="O1125" s="3">
        <v>16</v>
      </c>
    </row>
    <row r="1126" spans="1:15" ht="15" x14ac:dyDescent="0.35">
      <c r="A1126" s="636"/>
      <c r="B1126" s="624" t="s">
        <v>1523</v>
      </c>
      <c r="C1126" s="625"/>
      <c r="D1126" s="695"/>
      <c r="E1126" s="625"/>
      <c r="F1126" s="804"/>
      <c r="G1126" s="625"/>
      <c r="H1126" s="625"/>
      <c r="I1126" s="625"/>
      <c r="J1126" s="625"/>
      <c r="K1126" s="695"/>
      <c r="L1126" s="625"/>
      <c r="M1126" s="626"/>
      <c r="N1126" s="627"/>
      <c r="O1126" s="12"/>
    </row>
    <row r="1127" spans="1:15" ht="22.5" customHeight="1" x14ac:dyDescent="0.35">
      <c r="A1127" s="616">
        <v>3</v>
      </c>
      <c r="B1127" s="100" t="s">
        <v>3389</v>
      </c>
      <c r="C1127" s="73" t="s">
        <v>3872</v>
      </c>
      <c r="D1127" s="1922"/>
      <c r="E1127" s="52">
        <v>2762</v>
      </c>
      <c r="F1127" s="812">
        <v>1</v>
      </c>
      <c r="G1127" s="5">
        <v>0.08</v>
      </c>
      <c r="H1127" s="5">
        <v>0.08</v>
      </c>
      <c r="I1127" s="21">
        <f>H1127-G1127</f>
        <v>0</v>
      </c>
      <c r="J1127" s="616">
        <v>250000</v>
      </c>
      <c r="K1127" s="707">
        <f>F1127*I1127*J1127</f>
        <v>0</v>
      </c>
      <c r="L1127" s="22"/>
      <c r="M1127" s="22"/>
      <c r="N1127" s="83"/>
      <c r="O1127" s="12"/>
    </row>
    <row r="1128" spans="1:15" ht="22.5" customHeight="1" x14ac:dyDescent="0.35">
      <c r="A1128" s="616">
        <v>9</v>
      </c>
      <c r="B1128" s="100" t="s">
        <v>1711</v>
      </c>
      <c r="C1128" s="73" t="s">
        <v>3872</v>
      </c>
      <c r="D1128" s="1923"/>
      <c r="E1128" s="52">
        <v>2771</v>
      </c>
      <c r="F1128" s="812">
        <v>1</v>
      </c>
      <c r="G1128" s="5">
        <v>0.03</v>
      </c>
      <c r="H1128" s="5">
        <v>0.03</v>
      </c>
      <c r="I1128" s="21">
        <f>H1128-G1128</f>
        <v>0</v>
      </c>
      <c r="J1128" s="616">
        <v>250000</v>
      </c>
      <c r="K1128" s="707">
        <f>F1128*I1128*J1128</f>
        <v>0</v>
      </c>
      <c r="L1128" s="22"/>
      <c r="M1128" s="22"/>
      <c r="N1128" s="83"/>
      <c r="O1128" s="12"/>
    </row>
    <row r="1129" spans="1:15" ht="22.5" customHeight="1" x14ac:dyDescent="0.35">
      <c r="A1129" s="616">
        <v>20</v>
      </c>
      <c r="B1129" s="100" t="s">
        <v>3415</v>
      </c>
      <c r="C1129" s="73" t="s">
        <v>3872</v>
      </c>
      <c r="D1129" s="1923"/>
      <c r="E1129" s="52" t="s">
        <v>3903</v>
      </c>
      <c r="F1129" s="812">
        <v>1</v>
      </c>
      <c r="G1129" s="5">
        <v>0.03</v>
      </c>
      <c r="H1129" s="5">
        <v>0.03</v>
      </c>
      <c r="I1129" s="21">
        <f>H1129-G1129</f>
        <v>0</v>
      </c>
      <c r="J1129" s="616">
        <v>250000</v>
      </c>
      <c r="K1129" s="707">
        <f>K1110</f>
        <v>0</v>
      </c>
      <c r="L1129" s="22"/>
      <c r="M1129" s="22"/>
      <c r="N1129" s="83"/>
      <c r="O1129" s="12"/>
    </row>
    <row r="1130" spans="1:15" ht="15" x14ac:dyDescent="0.35">
      <c r="A1130" s="636"/>
      <c r="B1130" s="96"/>
      <c r="C1130" s="90"/>
      <c r="D1130" s="96"/>
      <c r="E1130" s="90"/>
      <c r="F1130" s="813"/>
      <c r="G1130" s="38"/>
      <c r="H1130" s="38"/>
      <c r="I1130" s="38"/>
      <c r="J1130" s="96" t="s">
        <v>30</v>
      </c>
      <c r="K1130" s="708">
        <f>L1097</f>
        <v>11692799.999999993</v>
      </c>
      <c r="L1130" s="43"/>
      <c r="M1130" s="43">
        <f>SUM(M1127:M1129)</f>
        <v>0</v>
      </c>
      <c r="N1130" s="83"/>
      <c r="O1130" s="12"/>
    </row>
    <row r="1131" spans="1:15" ht="15.5" x14ac:dyDescent="0.35">
      <c r="A1131" s="631"/>
      <c r="B1131" s="647" t="s">
        <v>1524</v>
      </c>
      <c r="C1131" s="648"/>
      <c r="D1131" s="700"/>
      <c r="E1131" s="648"/>
      <c r="F1131" s="807"/>
      <c r="G1131" s="648"/>
      <c r="H1131" s="648"/>
      <c r="I1131" s="648"/>
      <c r="J1131" s="648"/>
      <c r="K1131" s="700"/>
      <c r="L1131" s="648"/>
      <c r="M1131" s="651"/>
      <c r="N1131" s="649"/>
      <c r="O1131" s="616"/>
    </row>
    <row r="1132" spans="1:15" ht="21" customHeight="1" x14ac:dyDescent="0.35">
      <c r="A1132" s="631"/>
      <c r="B1132" s="100" t="s">
        <v>4296</v>
      </c>
      <c r="C1132" s="73" t="s">
        <v>3872</v>
      </c>
      <c r="D1132" s="1768"/>
      <c r="E1132" s="52">
        <v>2761</v>
      </c>
      <c r="F1132" s="812">
        <v>1</v>
      </c>
      <c r="G1132" s="6">
        <v>325.64999999999998</v>
      </c>
      <c r="H1132" s="6">
        <v>348.37</v>
      </c>
      <c r="I1132" s="20">
        <f t="shared" ref="I1132:I1147" si="39">H1132-G1132</f>
        <v>22.720000000000027</v>
      </c>
      <c r="J1132" s="616">
        <v>60000</v>
      </c>
      <c r="K1132" s="703"/>
      <c r="L1132" s="22">
        <f t="shared" ref="L1132:L1147" si="40">F1132*I1132*J1132</f>
        <v>1363200.0000000016</v>
      </c>
      <c r="M1132" s="22"/>
      <c r="N1132" s="72" t="s">
        <v>51</v>
      </c>
      <c r="O1132" s="15"/>
    </row>
    <row r="1133" spans="1:15" ht="21" customHeight="1" x14ac:dyDescent="0.35">
      <c r="A1133" s="631">
        <v>4</v>
      </c>
      <c r="B1133" s="100" t="s">
        <v>4297</v>
      </c>
      <c r="C1133" s="73" t="s">
        <v>3872</v>
      </c>
      <c r="D1133" s="1769"/>
      <c r="E1133" s="52">
        <v>2850</v>
      </c>
      <c r="F1133" s="812">
        <v>1</v>
      </c>
      <c r="G1133" s="6">
        <v>279.51</v>
      </c>
      <c r="H1133" s="6">
        <v>296.52</v>
      </c>
      <c r="I1133" s="20">
        <f t="shared" si="39"/>
        <v>17.009999999999991</v>
      </c>
      <c r="J1133" s="616">
        <v>60000</v>
      </c>
      <c r="K1133" s="703"/>
      <c r="L1133" s="22">
        <f t="shared" si="40"/>
        <v>1020599.9999999994</v>
      </c>
      <c r="M1133" s="22"/>
      <c r="N1133" s="72" t="s">
        <v>51</v>
      </c>
      <c r="O1133" s="15"/>
    </row>
    <row r="1134" spans="1:15" ht="21" customHeight="1" x14ac:dyDescent="0.35">
      <c r="A1134" s="631">
        <v>5</v>
      </c>
      <c r="B1134" s="100" t="s">
        <v>4298</v>
      </c>
      <c r="C1134" s="73" t="s">
        <v>3872</v>
      </c>
      <c r="D1134" s="1769"/>
      <c r="E1134" s="52">
        <v>2851</v>
      </c>
      <c r="F1134" s="812">
        <v>1</v>
      </c>
      <c r="G1134" s="6">
        <v>491.39</v>
      </c>
      <c r="H1134" s="6">
        <v>520.61</v>
      </c>
      <c r="I1134" s="20">
        <f t="shared" si="39"/>
        <v>29.220000000000027</v>
      </c>
      <c r="J1134" s="616">
        <v>60000</v>
      </c>
      <c r="K1134" s="703"/>
      <c r="L1134" s="22">
        <f t="shared" si="40"/>
        <v>1753200.0000000016</v>
      </c>
      <c r="M1134" s="22"/>
      <c r="N1134" s="1960" t="s">
        <v>4698</v>
      </c>
      <c r="O1134" s="15"/>
    </row>
    <row r="1135" spans="1:15" ht="21" customHeight="1" x14ac:dyDescent="0.35">
      <c r="A1135" s="631">
        <v>6</v>
      </c>
      <c r="B1135" s="100" t="s">
        <v>4299</v>
      </c>
      <c r="C1135" s="73" t="s">
        <v>3872</v>
      </c>
      <c r="D1135" s="1769"/>
      <c r="E1135" s="52">
        <v>2784</v>
      </c>
      <c r="F1135" s="812">
        <v>1</v>
      </c>
      <c r="G1135" s="6">
        <v>300.27999999999997</v>
      </c>
      <c r="H1135" s="6">
        <v>318.7</v>
      </c>
      <c r="I1135" s="20">
        <f t="shared" si="39"/>
        <v>18.420000000000016</v>
      </c>
      <c r="J1135" s="616">
        <v>60000</v>
      </c>
      <c r="K1135" s="703"/>
      <c r="L1135" s="22">
        <f t="shared" si="40"/>
        <v>1105200.0000000009</v>
      </c>
      <c r="M1135" s="22"/>
      <c r="N1135" s="72" t="s">
        <v>51</v>
      </c>
      <c r="O1135" s="15"/>
    </row>
    <row r="1136" spans="1:15" ht="21" customHeight="1" x14ac:dyDescent="0.35">
      <c r="A1136" s="631">
        <v>7</v>
      </c>
      <c r="B1136" s="100" t="s">
        <v>1446</v>
      </c>
      <c r="C1136" s="73" t="s">
        <v>3872</v>
      </c>
      <c r="D1136" s="1769"/>
      <c r="E1136" s="52">
        <v>2799</v>
      </c>
      <c r="F1136" s="812">
        <v>1</v>
      </c>
      <c r="G1136" s="6"/>
      <c r="H1136" s="6"/>
      <c r="I1136" s="20">
        <f t="shared" si="39"/>
        <v>0</v>
      </c>
      <c r="J1136" s="616">
        <v>60000</v>
      </c>
      <c r="K1136" s="703"/>
      <c r="L1136" s="22">
        <f t="shared" si="40"/>
        <v>0</v>
      </c>
      <c r="M1136" s="22"/>
      <c r="N1136" s="72" t="s">
        <v>51</v>
      </c>
      <c r="O1136" s="15"/>
    </row>
    <row r="1137" spans="1:15" ht="21" customHeight="1" x14ac:dyDescent="0.35">
      <c r="A1137" s="631">
        <v>8</v>
      </c>
      <c r="B1137" s="100" t="s">
        <v>1446</v>
      </c>
      <c r="C1137" s="73" t="s">
        <v>3872</v>
      </c>
      <c r="D1137" s="1769"/>
      <c r="E1137" s="52">
        <v>2775</v>
      </c>
      <c r="F1137" s="812">
        <v>1</v>
      </c>
      <c r="G1137" s="6"/>
      <c r="H1137" s="6"/>
      <c r="I1137" s="20">
        <f t="shared" si="39"/>
        <v>0</v>
      </c>
      <c r="J1137" s="616">
        <v>60000</v>
      </c>
      <c r="K1137" s="703"/>
      <c r="L1137" s="22">
        <f t="shared" si="40"/>
        <v>0</v>
      </c>
      <c r="M1137" s="22"/>
      <c r="N1137" s="72" t="s">
        <v>51</v>
      </c>
      <c r="O1137" s="15"/>
    </row>
    <row r="1138" spans="1:15" ht="21" customHeight="1" x14ac:dyDescent="0.35">
      <c r="A1138" s="631">
        <v>10</v>
      </c>
      <c r="B1138" s="100" t="s">
        <v>4300</v>
      </c>
      <c r="C1138" s="73" t="s">
        <v>3872</v>
      </c>
      <c r="D1138" s="1769"/>
      <c r="E1138" s="52">
        <v>2836</v>
      </c>
      <c r="F1138" s="812">
        <v>1</v>
      </c>
      <c r="G1138" s="6">
        <v>209.05</v>
      </c>
      <c r="H1138" s="6">
        <v>225.66</v>
      </c>
      <c r="I1138" s="20">
        <f t="shared" si="39"/>
        <v>16.609999999999985</v>
      </c>
      <c r="J1138" s="616">
        <v>60000</v>
      </c>
      <c r="K1138" s="703"/>
      <c r="L1138" s="22">
        <f t="shared" si="40"/>
        <v>996599.99999999907</v>
      </c>
      <c r="M1138" s="22"/>
      <c r="N1138" s="72" t="s">
        <v>51</v>
      </c>
      <c r="O1138" s="15"/>
    </row>
    <row r="1139" spans="1:15" ht="21" customHeight="1" x14ac:dyDescent="0.35">
      <c r="A1139" s="631">
        <v>11</v>
      </c>
      <c r="B1139" s="100" t="s">
        <v>4301</v>
      </c>
      <c r="C1139" s="73" t="s">
        <v>3872</v>
      </c>
      <c r="D1139" s="1769"/>
      <c r="E1139" s="52">
        <v>2835</v>
      </c>
      <c r="F1139" s="812">
        <v>1</v>
      </c>
      <c r="G1139" s="6">
        <v>41.72</v>
      </c>
      <c r="H1139" s="6">
        <v>44.71</v>
      </c>
      <c r="I1139" s="20">
        <f t="shared" si="39"/>
        <v>2.990000000000002</v>
      </c>
      <c r="J1139" s="616">
        <v>60000</v>
      </c>
      <c r="K1139" s="703"/>
      <c r="L1139" s="22">
        <f t="shared" si="40"/>
        <v>179400.00000000012</v>
      </c>
      <c r="M1139" s="22"/>
      <c r="N1139" s="72" t="s">
        <v>51</v>
      </c>
      <c r="O1139" s="15"/>
    </row>
    <row r="1140" spans="1:15" ht="21" customHeight="1" x14ac:dyDescent="0.35">
      <c r="A1140" s="631">
        <v>12</v>
      </c>
      <c r="B1140" s="100" t="s">
        <v>4302</v>
      </c>
      <c r="C1140" s="73" t="s">
        <v>3872</v>
      </c>
      <c r="D1140" s="1769"/>
      <c r="E1140" s="52">
        <v>2853</v>
      </c>
      <c r="F1140" s="812">
        <v>1</v>
      </c>
      <c r="G1140" s="6">
        <v>116.66</v>
      </c>
      <c r="H1140" s="6">
        <v>123.56</v>
      </c>
      <c r="I1140" s="20">
        <f t="shared" si="39"/>
        <v>6.9000000000000057</v>
      </c>
      <c r="J1140" s="616">
        <v>60000</v>
      </c>
      <c r="K1140" s="703"/>
      <c r="L1140" s="22">
        <f t="shared" si="40"/>
        <v>414000.00000000035</v>
      </c>
      <c r="M1140" s="22"/>
      <c r="N1140" s="72" t="s">
        <v>51</v>
      </c>
      <c r="O1140" s="15"/>
    </row>
    <row r="1141" spans="1:15" ht="21" customHeight="1" x14ac:dyDescent="0.35">
      <c r="A1141" s="631">
        <v>13</v>
      </c>
      <c r="B1141" s="100" t="s">
        <v>4303</v>
      </c>
      <c r="C1141" s="73" t="s">
        <v>3872</v>
      </c>
      <c r="D1141" s="1769"/>
      <c r="E1141" s="52">
        <v>2852</v>
      </c>
      <c r="F1141" s="812">
        <v>1</v>
      </c>
      <c r="G1141" s="6">
        <v>179.98</v>
      </c>
      <c r="H1141" s="6">
        <v>179.98</v>
      </c>
      <c r="I1141" s="20">
        <f t="shared" si="39"/>
        <v>0</v>
      </c>
      <c r="J1141" s="616">
        <v>60000</v>
      </c>
      <c r="K1141" s="703"/>
      <c r="L1141" s="22">
        <f t="shared" si="40"/>
        <v>0</v>
      </c>
      <c r="M1141" s="22"/>
      <c r="N1141" s="72" t="s">
        <v>51</v>
      </c>
      <c r="O1141" s="15"/>
    </row>
    <row r="1142" spans="1:15" ht="21" customHeight="1" x14ac:dyDescent="0.35">
      <c r="A1142" s="631">
        <v>14</v>
      </c>
      <c r="B1142" s="100" t="s">
        <v>4304</v>
      </c>
      <c r="C1142" s="73" t="s">
        <v>3872</v>
      </c>
      <c r="D1142" s="1769"/>
      <c r="E1142" s="52">
        <v>2839</v>
      </c>
      <c r="F1142" s="812">
        <v>1</v>
      </c>
      <c r="G1142" s="6">
        <v>367.56</v>
      </c>
      <c r="H1142" s="6">
        <v>390.6</v>
      </c>
      <c r="I1142" s="20">
        <f t="shared" si="39"/>
        <v>23.04000000000002</v>
      </c>
      <c r="J1142" s="616">
        <v>60000</v>
      </c>
      <c r="K1142" s="703"/>
      <c r="L1142" s="22">
        <f t="shared" si="40"/>
        <v>1382400.0000000012</v>
      </c>
      <c r="M1142" s="22"/>
      <c r="N1142" s="72" t="s">
        <v>51</v>
      </c>
      <c r="O1142" s="15"/>
    </row>
    <row r="1143" spans="1:15" ht="21" customHeight="1" x14ac:dyDescent="0.35">
      <c r="A1143" s="631">
        <v>15</v>
      </c>
      <c r="B1143" s="100" t="s">
        <v>4305</v>
      </c>
      <c r="C1143" s="73" t="s">
        <v>3872</v>
      </c>
      <c r="D1143" s="1769"/>
      <c r="E1143" s="52">
        <v>2838</v>
      </c>
      <c r="F1143" s="812">
        <v>1</v>
      </c>
      <c r="G1143" s="6">
        <v>155.84</v>
      </c>
      <c r="H1143" s="6">
        <v>170.27</v>
      </c>
      <c r="I1143" s="20">
        <f t="shared" si="39"/>
        <v>14.430000000000007</v>
      </c>
      <c r="J1143" s="616">
        <v>60000</v>
      </c>
      <c r="K1143" s="703"/>
      <c r="L1143" s="22">
        <f t="shared" si="40"/>
        <v>865800.00000000047</v>
      </c>
      <c r="M1143" s="22"/>
      <c r="N1143" s="72" t="s">
        <v>51</v>
      </c>
      <c r="O1143" s="15"/>
    </row>
    <row r="1144" spans="1:15" ht="21" customHeight="1" x14ac:dyDescent="0.35">
      <c r="A1144" s="631">
        <v>16</v>
      </c>
      <c r="B1144" s="100" t="s">
        <v>1446</v>
      </c>
      <c r="C1144" s="73" t="s">
        <v>3872</v>
      </c>
      <c r="D1144" s="1769"/>
      <c r="E1144" s="52">
        <v>2772</v>
      </c>
      <c r="F1144" s="812">
        <v>1</v>
      </c>
      <c r="G1144" s="6"/>
      <c r="H1144" s="6"/>
      <c r="I1144" s="20">
        <f t="shared" si="39"/>
        <v>0</v>
      </c>
      <c r="J1144" s="616">
        <v>60000</v>
      </c>
      <c r="K1144" s="703"/>
      <c r="L1144" s="22">
        <f t="shared" si="40"/>
        <v>0</v>
      </c>
      <c r="M1144" s="22"/>
      <c r="N1144" s="72" t="s">
        <v>51</v>
      </c>
      <c r="O1144" s="15"/>
    </row>
    <row r="1145" spans="1:15" ht="21" customHeight="1" x14ac:dyDescent="0.35">
      <c r="A1145" s="631">
        <v>17</v>
      </c>
      <c r="B1145" s="100" t="s">
        <v>4306</v>
      </c>
      <c r="C1145" s="73" t="s">
        <v>3872</v>
      </c>
      <c r="D1145" s="1769"/>
      <c r="E1145" s="52">
        <v>2843</v>
      </c>
      <c r="F1145" s="812">
        <v>1</v>
      </c>
      <c r="G1145" s="6">
        <v>296.3</v>
      </c>
      <c r="H1145" s="6">
        <v>314.63</v>
      </c>
      <c r="I1145" s="20">
        <f t="shared" si="39"/>
        <v>18.329999999999984</v>
      </c>
      <c r="J1145" s="616">
        <v>60000</v>
      </c>
      <c r="K1145" s="703"/>
      <c r="L1145" s="22">
        <f t="shared" si="40"/>
        <v>1099799.9999999991</v>
      </c>
      <c r="M1145" s="22"/>
      <c r="N1145" s="72" t="s">
        <v>51</v>
      </c>
      <c r="O1145" s="15"/>
    </row>
    <row r="1146" spans="1:15" ht="21" customHeight="1" x14ac:dyDescent="0.35">
      <c r="A1146" s="631">
        <v>18</v>
      </c>
      <c r="B1146" s="101" t="s">
        <v>4178</v>
      </c>
      <c r="C1146" s="73" t="s">
        <v>3872</v>
      </c>
      <c r="D1146" s="1769"/>
      <c r="E1146" s="52">
        <v>2764</v>
      </c>
      <c r="F1146" s="812">
        <v>1</v>
      </c>
      <c r="G1146" s="6">
        <v>90.83</v>
      </c>
      <c r="H1146" s="6">
        <v>97.95</v>
      </c>
      <c r="I1146" s="20">
        <f t="shared" si="39"/>
        <v>7.1200000000000045</v>
      </c>
      <c r="J1146" s="616">
        <v>60000</v>
      </c>
      <c r="K1146" s="703"/>
      <c r="L1146" s="22">
        <f t="shared" si="40"/>
        <v>427200.00000000029</v>
      </c>
      <c r="M1146" s="22"/>
      <c r="N1146" s="72" t="s">
        <v>51</v>
      </c>
      <c r="O1146" s="15"/>
    </row>
    <row r="1147" spans="1:15" ht="21" customHeight="1" x14ac:dyDescent="0.35">
      <c r="A1147" s="631">
        <v>19</v>
      </c>
      <c r="B1147" s="100" t="s">
        <v>4307</v>
      </c>
      <c r="C1147" s="73" t="s">
        <v>3872</v>
      </c>
      <c r="D1147" s="1769"/>
      <c r="E1147" s="52">
        <v>2763</v>
      </c>
      <c r="F1147" s="812">
        <v>1</v>
      </c>
      <c r="G1147" s="6">
        <v>233.1</v>
      </c>
      <c r="H1147" s="6">
        <v>250.49</v>
      </c>
      <c r="I1147" s="20">
        <f t="shared" si="39"/>
        <v>17.390000000000015</v>
      </c>
      <c r="J1147" s="616">
        <v>60000</v>
      </c>
      <c r="K1147" s="703"/>
      <c r="L1147" s="22">
        <f t="shared" si="40"/>
        <v>1043400.0000000009</v>
      </c>
      <c r="M1147" s="22"/>
      <c r="N1147" s="72" t="s">
        <v>50</v>
      </c>
      <c r="O1147" s="15"/>
    </row>
    <row r="1148" spans="1:15" ht="20" x14ac:dyDescent="0.35">
      <c r="A1148" s="636"/>
      <c r="B1148" s="96"/>
      <c r="C1148" s="90"/>
      <c r="D1148" s="96"/>
      <c r="E1148" s="90"/>
      <c r="F1148" s="813"/>
      <c r="G1148" s="38"/>
      <c r="H1148" s="38"/>
      <c r="I1148" s="38"/>
      <c r="J1148" s="96" t="s">
        <v>30</v>
      </c>
      <c r="K1148" s="708">
        <f>K1130</f>
        <v>11692799.999999993</v>
      </c>
      <c r="L1148" s="43">
        <f>SUM(L1132:L1147)</f>
        <v>11650800.000000004</v>
      </c>
      <c r="M1148" s="43">
        <f>SUM(M1132:M1147)</f>
        <v>0</v>
      </c>
      <c r="N1148" s="84">
        <f>(M1148-L1148)/L1148*100</f>
        <v>-100</v>
      </c>
      <c r="O1148" s="13"/>
    </row>
    <row r="1149" spans="1:15" x14ac:dyDescent="0.35">
      <c r="D1149" s="2013"/>
      <c r="K1149" s="34"/>
    </row>
    <row r="1150" spans="1:15" ht="15" x14ac:dyDescent="0.35">
      <c r="A1150" s="620"/>
      <c r="B1150" s="635"/>
      <c r="C1150" s="632"/>
      <c r="D1150" s="1900"/>
      <c r="G1150" s="2092" t="s">
        <v>1099</v>
      </c>
      <c r="H1150" s="2092"/>
      <c r="I1150" s="2092"/>
      <c r="J1150" s="677" t="s">
        <v>14</v>
      </c>
      <c r="K1150" s="702"/>
      <c r="L1150" s="620"/>
      <c r="M1150" s="620"/>
      <c r="N1150" s="632"/>
      <c r="O1150" s="620"/>
    </row>
    <row r="1151" spans="1:15" ht="15.5" x14ac:dyDescent="0.35">
      <c r="A1151" s="620"/>
      <c r="B1151" s="635" t="s">
        <v>237</v>
      </c>
      <c r="C1151" s="632"/>
      <c r="D1151" s="1900"/>
      <c r="G1151" s="2082" t="s">
        <v>232</v>
      </c>
      <c r="H1151" s="2082"/>
      <c r="I1151" s="2082"/>
      <c r="J1151" s="643" t="e">
        <f>M1138+M1142+M1144+M1145+M1146+#REF!+#REF!+#REF!+#REF!</f>
        <v>#REF!</v>
      </c>
      <c r="K1151" s="702"/>
      <c r="L1151" s="620"/>
      <c r="M1151" s="620"/>
      <c r="N1151" s="632"/>
      <c r="O1151" s="620" t="s">
        <v>237</v>
      </c>
    </row>
    <row r="1152" spans="1:15" ht="15.5" x14ac:dyDescent="0.35">
      <c r="A1152" s="620"/>
      <c r="B1152" s="635"/>
      <c r="C1152" s="632"/>
      <c r="D1152" s="1900"/>
      <c r="G1152" s="2082" t="s">
        <v>233</v>
      </c>
      <c r="H1152" s="2082"/>
      <c r="I1152" s="2082"/>
      <c r="J1152" s="643" t="e">
        <f>M1133+M1134+M1135+M1139+M1140+M1141+#REF!+#REF!+#REF!</f>
        <v>#REF!</v>
      </c>
      <c r="K1152" s="702"/>
      <c r="L1152" s="620"/>
      <c r="M1152" s="620"/>
      <c r="N1152" s="632"/>
      <c r="O1152" s="620"/>
    </row>
    <row r="1153" spans="1:15" ht="15.5" x14ac:dyDescent="0.35">
      <c r="A1153" s="620"/>
      <c r="B1153" s="635"/>
      <c r="C1153" s="632"/>
      <c r="D1153" s="1900"/>
      <c r="G1153" s="2082" t="s">
        <v>234</v>
      </c>
      <c r="H1153" s="2082"/>
      <c r="I1153" s="2082"/>
      <c r="J1153" s="643" t="e">
        <f>#REF!</f>
        <v>#REF!</v>
      </c>
      <c r="K1153" s="702"/>
      <c r="L1153" s="620"/>
      <c r="M1153" s="620"/>
      <c r="N1153" s="632"/>
      <c r="O1153" s="620"/>
    </row>
    <row r="1154" spans="1:15" ht="16" thickBot="1" x14ac:dyDescent="0.4">
      <c r="A1154" s="620"/>
      <c r="B1154" s="635"/>
      <c r="C1154" s="632"/>
      <c r="D1154" s="1900"/>
      <c r="G1154" s="2082" t="s">
        <v>235</v>
      </c>
      <c r="H1154" s="2082"/>
      <c r="I1154" s="2082"/>
      <c r="J1154" s="643" t="e">
        <f>M1132+M1136+M1137+M1143+M1147+#REF!+#REF!+#REF!+#REF!</f>
        <v>#REF!</v>
      </c>
      <c r="K1154" s="702"/>
      <c r="L1154" s="620"/>
      <c r="M1154" s="620"/>
      <c r="N1154" s="632"/>
      <c r="O1154" s="620"/>
    </row>
    <row r="1155" spans="1:15" ht="20.5" thickBot="1" x14ac:dyDescent="0.4">
      <c r="A1155" s="620"/>
      <c r="B1155" s="635"/>
      <c r="C1155" s="632"/>
      <c r="D1155" s="1900"/>
      <c r="G1155" s="2083" t="s">
        <v>210</v>
      </c>
      <c r="H1155" s="2083"/>
      <c r="I1155" s="2083"/>
      <c r="J1155" s="714" t="e">
        <f>SUM(J1151:J1154)</f>
        <v>#REF!</v>
      </c>
      <c r="K1155" s="682" t="e">
        <f>J1155-M1148</f>
        <v>#REF!</v>
      </c>
      <c r="L1155" s="620"/>
      <c r="M1155" s="620"/>
      <c r="N1155" s="632"/>
      <c r="O1155" s="620"/>
    </row>
    <row r="1156" spans="1:15" x14ac:dyDescent="0.35">
      <c r="A1156" s="620"/>
      <c r="B1156" s="635"/>
      <c r="C1156" s="632"/>
      <c r="D1156" s="1900"/>
      <c r="E1156" s="632"/>
      <c r="F1156" s="810"/>
      <c r="G1156" s="620"/>
      <c r="H1156" s="620"/>
      <c r="I1156" s="620"/>
      <c r="J1156" s="620"/>
      <c r="K1156" s="702"/>
      <c r="L1156" s="620"/>
      <c r="M1156" s="620"/>
      <c r="N1156" s="632"/>
      <c r="O1156" s="620"/>
    </row>
    <row r="1157" spans="1:15" x14ac:dyDescent="0.35">
      <c r="A1157" s="620"/>
      <c r="B1157" s="635"/>
      <c r="C1157" s="632"/>
      <c r="D1157" s="1900"/>
      <c r="E1157" s="632"/>
      <c r="F1157" s="810"/>
      <c r="G1157" s="620"/>
      <c r="H1157" s="620"/>
      <c r="I1157" s="620"/>
      <c r="J1157" s="620"/>
      <c r="K1157" s="702"/>
      <c r="L1157" s="620"/>
      <c r="M1157" s="620"/>
      <c r="N1157" s="632"/>
      <c r="O1157" s="620"/>
    </row>
    <row r="1158" spans="1:15" x14ac:dyDescent="0.35">
      <c r="A1158" s="620"/>
      <c r="B1158" s="635"/>
      <c r="C1158" s="632"/>
      <c r="D1158" s="1900"/>
      <c r="E1158" s="632"/>
      <c r="F1158" s="810"/>
      <c r="G1158" s="620"/>
      <c r="H1158" s="620"/>
      <c r="I1158" s="620"/>
      <c r="J1158" s="620"/>
      <c r="K1158" s="702"/>
      <c r="L1158" s="620"/>
      <c r="M1158" s="620"/>
      <c r="N1158" s="632"/>
      <c r="O1158" s="620"/>
    </row>
    <row r="1159" spans="1:15" x14ac:dyDescent="0.35">
      <c r="A1159" s="620"/>
      <c r="B1159" s="635"/>
      <c r="C1159" s="632"/>
      <c r="D1159" s="1900"/>
      <c r="E1159" s="632"/>
      <c r="F1159" s="810"/>
      <c r="G1159" s="620"/>
      <c r="H1159" s="620"/>
      <c r="I1159" s="620"/>
      <c r="J1159" s="620"/>
      <c r="K1159" s="702"/>
      <c r="L1159" s="620"/>
      <c r="M1159" s="620"/>
      <c r="N1159" s="632"/>
      <c r="O1159" s="620"/>
    </row>
    <row r="1160" spans="1:15" x14ac:dyDescent="0.35">
      <c r="A1160" s="620"/>
      <c r="B1160" s="635"/>
      <c r="C1160" s="632"/>
      <c r="D1160" s="1900"/>
      <c r="E1160" s="632"/>
      <c r="F1160" s="810"/>
      <c r="G1160" s="620"/>
      <c r="H1160" s="620"/>
      <c r="I1160" s="620"/>
      <c r="J1160" s="620"/>
      <c r="K1160" s="702"/>
      <c r="L1160" s="620"/>
      <c r="M1160" s="620"/>
      <c r="N1160" s="632"/>
      <c r="O1160" s="620"/>
    </row>
    <row r="1161" spans="1:15" x14ac:dyDescent="0.35">
      <c r="A1161" s="620"/>
      <c r="B1161" s="632"/>
      <c r="C1161" s="632"/>
      <c r="D1161" s="1900"/>
      <c r="E1161" s="632"/>
      <c r="F1161" s="810"/>
      <c r="G1161" s="620"/>
      <c r="H1161" s="620"/>
      <c r="I1161" s="620"/>
      <c r="J1161" s="620"/>
      <c r="K1161" s="702"/>
      <c r="L1161" s="620"/>
      <c r="M1161" s="620"/>
      <c r="N1161" s="632"/>
      <c r="O1161" s="620"/>
    </row>
    <row r="1162" spans="1:15" x14ac:dyDescent="0.35">
      <c r="A1162" s="620"/>
      <c r="B1162" s="632"/>
      <c r="C1162" s="632"/>
      <c r="D1162" s="1900"/>
      <c r="E1162" s="632"/>
      <c r="F1162" s="810"/>
      <c r="G1162" s="620"/>
      <c r="H1162" s="620"/>
      <c r="I1162" s="620"/>
      <c r="J1162" s="620"/>
      <c r="K1162" s="702"/>
      <c r="L1162" s="620"/>
      <c r="M1162" s="620"/>
      <c r="N1162" s="632"/>
      <c r="O1162" s="620"/>
    </row>
    <row r="1163" spans="1:15" x14ac:dyDescent="0.35">
      <c r="A1163" s="620"/>
      <c r="B1163" s="635"/>
      <c r="C1163" s="632"/>
      <c r="D1163" s="1900"/>
      <c r="E1163" s="632"/>
      <c r="F1163" s="810"/>
      <c r="G1163" s="620"/>
      <c r="H1163" s="620"/>
      <c r="I1163" s="620"/>
      <c r="J1163" s="620"/>
      <c r="K1163" s="702"/>
      <c r="L1163" s="620"/>
      <c r="M1163" s="620"/>
      <c r="N1163" s="632"/>
      <c r="O1163" s="620"/>
    </row>
    <row r="1164" spans="1:15" x14ac:dyDescent="0.35">
      <c r="A1164" s="620"/>
      <c r="B1164" s="635"/>
      <c r="C1164" s="632"/>
      <c r="D1164" s="1900"/>
      <c r="E1164" s="632"/>
      <c r="F1164" s="810"/>
      <c r="G1164" s="620"/>
      <c r="H1164" s="620"/>
      <c r="I1164" s="620"/>
      <c r="J1164" s="620"/>
      <c r="K1164" s="702"/>
      <c r="L1164" s="620"/>
      <c r="M1164" s="620"/>
      <c r="N1164" s="632"/>
      <c r="O1164" s="620"/>
    </row>
    <row r="1165" spans="1:15" x14ac:dyDescent="0.35">
      <c r="A1165" s="620"/>
      <c r="B1165" s="635"/>
      <c r="C1165" s="632"/>
      <c r="D1165" s="1900"/>
      <c r="E1165" s="632"/>
      <c r="F1165" s="810"/>
      <c r="G1165" s="620"/>
      <c r="H1165" s="620"/>
      <c r="I1165" s="620"/>
      <c r="J1165" s="620"/>
      <c r="K1165" s="702"/>
      <c r="L1165" s="620"/>
      <c r="M1165" s="620"/>
      <c r="N1165" s="632"/>
      <c r="O1165" s="620"/>
    </row>
    <row r="1166" spans="1:15" ht="25" x14ac:dyDescent="0.35">
      <c r="A1166" s="28"/>
      <c r="B1166" s="2152"/>
      <c r="C1166" s="2152"/>
      <c r="D1166" s="2152"/>
      <c r="E1166" s="2152"/>
      <c r="F1166" s="2152"/>
      <c r="G1166" s="2152"/>
      <c r="H1166" s="2152"/>
      <c r="I1166" s="2152"/>
      <c r="J1166" s="2152"/>
      <c r="K1166" s="2152"/>
      <c r="L1166" s="2152"/>
      <c r="M1166" s="2152"/>
      <c r="N1166" s="632"/>
      <c r="O1166" s="620"/>
    </row>
    <row r="1167" spans="1:15" x14ac:dyDescent="0.35">
      <c r="A1167" s="620"/>
      <c r="B1167" s="635"/>
      <c r="C1167" s="632"/>
      <c r="D1167" s="1900"/>
      <c r="E1167" s="632"/>
      <c r="F1167" s="810"/>
      <c r="G1167" s="620"/>
      <c r="H1167" s="620"/>
      <c r="I1167" s="620"/>
      <c r="J1167" s="620"/>
      <c r="K1167" s="702"/>
      <c r="L1167" s="620"/>
      <c r="M1167" s="620"/>
      <c r="N1167" s="632"/>
      <c r="O1167" s="620"/>
    </row>
    <row r="1168" spans="1:15" x14ac:dyDescent="0.35">
      <c r="A1168" s="620"/>
      <c r="B1168" s="635"/>
      <c r="C1168" s="632"/>
      <c r="D1168" s="1900"/>
      <c r="E1168" s="632"/>
      <c r="F1168" s="810"/>
      <c r="G1168" s="620"/>
      <c r="H1168" s="620"/>
      <c r="I1168" s="620"/>
      <c r="J1168" s="620"/>
      <c r="K1168" s="702"/>
      <c r="L1168" s="620"/>
      <c r="M1168" s="620"/>
      <c r="N1168" s="632"/>
      <c r="O1168" s="620"/>
    </row>
    <row r="1169" spans="1:15" ht="25" x14ac:dyDescent="0.35">
      <c r="A1169" s="2095" t="s">
        <v>1525</v>
      </c>
      <c r="B1169" s="2095"/>
      <c r="C1169" s="2095"/>
      <c r="D1169" s="2095"/>
      <c r="E1169" s="2095"/>
      <c r="F1169" s="2095"/>
      <c r="G1169" s="2095"/>
      <c r="H1169" s="2095"/>
      <c r="I1169" s="2095"/>
      <c r="J1169" s="2095"/>
      <c r="K1169" s="2095"/>
      <c r="L1169" s="2095"/>
      <c r="M1169" s="2095"/>
      <c r="N1169" s="2095"/>
      <c r="O1169" s="756" t="e">
        <f>$O$6</f>
        <v>#REF!</v>
      </c>
    </row>
    <row r="1170" spans="1:15" ht="15.5" x14ac:dyDescent="0.35">
      <c r="A1170" s="2096" t="s">
        <v>0</v>
      </c>
      <c r="B1170" s="2098" t="s">
        <v>1</v>
      </c>
      <c r="C1170" s="2100" t="s">
        <v>2</v>
      </c>
      <c r="D1170" s="2101"/>
      <c r="E1170" s="2102"/>
      <c r="F1170" s="2216" t="s">
        <v>3</v>
      </c>
      <c r="G1170" s="2100" t="s">
        <v>4</v>
      </c>
      <c r="H1170" s="2102"/>
      <c r="I1170" s="2085"/>
      <c r="J1170" s="2103" t="s">
        <v>5</v>
      </c>
      <c r="K1170" s="2100" t="s">
        <v>6</v>
      </c>
      <c r="L1170" s="2085"/>
      <c r="M1170" s="97" t="s">
        <v>32</v>
      </c>
      <c r="N1170" s="98"/>
      <c r="O1170" s="2084" t="s">
        <v>7</v>
      </c>
    </row>
    <row r="1171" spans="1:15" ht="15.5" x14ac:dyDescent="0.35">
      <c r="A1171" s="2097"/>
      <c r="B1171" s="2099"/>
      <c r="C1171" s="2086" t="s">
        <v>1108</v>
      </c>
      <c r="D1171" s="2087"/>
      <c r="E1171" s="87" t="s">
        <v>9</v>
      </c>
      <c r="F1171" s="2217"/>
      <c r="G1171" s="2">
        <f>'NORTH-1'!$G$8</f>
        <v>44774</v>
      </c>
      <c r="H1171" s="2">
        <f>'NORTH-1'!$H$8</f>
        <v>44805</v>
      </c>
      <c r="I1171" s="1" t="s">
        <v>10</v>
      </c>
      <c r="J1171" s="2097"/>
      <c r="K1171" s="1" t="s">
        <v>11</v>
      </c>
      <c r="L1171" s="1" t="s">
        <v>12</v>
      </c>
      <c r="M1171" s="617" t="s">
        <v>33</v>
      </c>
      <c r="N1171" s="76" t="s">
        <v>47</v>
      </c>
      <c r="O1171" s="2085"/>
    </row>
    <row r="1172" spans="1:15" ht="15.5" x14ac:dyDescent="0.35">
      <c r="A1172" s="3">
        <v>1</v>
      </c>
      <c r="B1172" s="88">
        <v>2</v>
      </c>
      <c r="C1172" s="2088">
        <v>4</v>
      </c>
      <c r="D1172" s="2089"/>
      <c r="E1172" s="88">
        <v>5</v>
      </c>
      <c r="F1172" s="803">
        <v>7</v>
      </c>
      <c r="G1172" s="3">
        <v>8</v>
      </c>
      <c r="H1172" s="3">
        <v>9</v>
      </c>
      <c r="I1172" s="3" t="s">
        <v>13</v>
      </c>
      <c r="J1172" s="3">
        <v>11</v>
      </c>
      <c r="K1172" s="3" t="s">
        <v>19</v>
      </c>
      <c r="L1172" s="3" t="s">
        <v>20</v>
      </c>
      <c r="M1172" s="3">
        <v>14</v>
      </c>
      <c r="N1172" s="77">
        <v>15</v>
      </c>
      <c r="O1172" s="3">
        <v>16</v>
      </c>
    </row>
    <row r="1173" spans="1:15" ht="15.5" x14ac:dyDescent="0.35">
      <c r="A1173" s="631"/>
      <c r="B1173" s="624" t="s">
        <v>1100</v>
      </c>
      <c r="C1173" s="625"/>
      <c r="D1173" s="695"/>
      <c r="E1173" s="625"/>
      <c r="F1173" s="804"/>
      <c r="G1173" s="625"/>
      <c r="H1173" s="625"/>
      <c r="I1173" s="625"/>
      <c r="J1173" s="625"/>
      <c r="K1173" s="695"/>
      <c r="L1173" s="625"/>
      <c r="M1173" s="626"/>
      <c r="N1173" s="627"/>
      <c r="O1173" s="616"/>
    </row>
    <row r="1174" spans="1:15" ht="15.5" x14ac:dyDescent="0.35">
      <c r="A1174" s="11">
        <v>1</v>
      </c>
      <c r="B1174" s="100" t="s">
        <v>4127</v>
      </c>
      <c r="C1174" s="52" t="s">
        <v>3833</v>
      </c>
      <c r="D1174" s="2105"/>
      <c r="E1174" s="52" t="s">
        <v>4308</v>
      </c>
      <c r="F1174" s="812">
        <v>1</v>
      </c>
      <c r="G1174" s="21">
        <v>4761.6000000000004</v>
      </c>
      <c r="H1174" s="21">
        <v>4761.6000000000004</v>
      </c>
      <c r="I1174" s="21">
        <f>H1174-G1174</f>
        <v>0</v>
      </c>
      <c r="J1174" s="616">
        <v>240000</v>
      </c>
      <c r="K1174" s="696"/>
      <c r="L1174" s="22">
        <f>F1174*I1174*J1174</f>
        <v>0</v>
      </c>
      <c r="M1174" s="22"/>
      <c r="N1174" s="82"/>
      <c r="O1174" s="9"/>
    </row>
    <row r="1175" spans="1:15" ht="15.5" x14ac:dyDescent="0.35">
      <c r="A1175" s="11">
        <v>2</v>
      </c>
      <c r="B1175" s="100" t="s">
        <v>4129</v>
      </c>
      <c r="C1175" s="52" t="s">
        <v>3833</v>
      </c>
      <c r="D1175" s="2106"/>
      <c r="E1175" s="52" t="s">
        <v>4309</v>
      </c>
      <c r="F1175" s="812">
        <v>1</v>
      </c>
      <c r="G1175" s="21">
        <v>4256.7299999999996</v>
      </c>
      <c r="H1175" s="21">
        <v>4261.83</v>
      </c>
      <c r="I1175" s="21">
        <f>H1175-G1175</f>
        <v>5.1000000000003638</v>
      </c>
      <c r="J1175" s="616">
        <v>240000</v>
      </c>
      <c r="K1175" s="696"/>
      <c r="L1175" s="22">
        <f>F1175*I1175*J1175</f>
        <v>1224000.0000000873</v>
      </c>
      <c r="M1175" s="22"/>
      <c r="N1175" s="82"/>
      <c r="O1175" s="9"/>
    </row>
    <row r="1176" spans="1:15" ht="15.5" x14ac:dyDescent="0.35">
      <c r="A1176" s="631">
        <v>4</v>
      </c>
      <c r="B1176" s="100" t="s">
        <v>4310</v>
      </c>
      <c r="C1176" s="52" t="s">
        <v>3833</v>
      </c>
      <c r="D1176" s="2151"/>
      <c r="E1176" s="52" t="s">
        <v>4311</v>
      </c>
      <c r="F1176" s="812">
        <v>1</v>
      </c>
      <c r="G1176" s="21"/>
      <c r="H1176" s="21"/>
      <c r="I1176" s="21">
        <f>H1176-G1176</f>
        <v>0</v>
      </c>
      <c r="J1176" s="616">
        <v>1000</v>
      </c>
      <c r="K1176" s="696">
        <f>F1176*I1176*J1176</f>
        <v>0</v>
      </c>
      <c r="L1176" s="22"/>
      <c r="M1176" s="22"/>
      <c r="N1176" s="82"/>
      <c r="O1176" s="616"/>
    </row>
    <row r="1177" spans="1:15" ht="15.5" x14ac:dyDescent="0.35">
      <c r="A1177" s="631"/>
      <c r="B1177" s="102"/>
      <c r="C1177" s="91"/>
      <c r="D1177" s="726"/>
      <c r="E1177" s="91"/>
      <c r="F1177" s="814"/>
      <c r="G1177" s="48"/>
      <c r="H1177" s="48"/>
      <c r="I1177" s="48"/>
      <c r="J1177" s="96" t="s">
        <v>30</v>
      </c>
      <c r="K1177" s="706"/>
      <c r="L1177" s="43">
        <f>SUM(L1174:L1176)</f>
        <v>1224000.0000000873</v>
      </c>
      <c r="M1177" s="43">
        <f>SUM(M1174:M1176)</f>
        <v>0</v>
      </c>
      <c r="N1177" s="646"/>
      <c r="O1177" s="616"/>
    </row>
    <row r="1178" spans="1:15" ht="15.5" x14ac:dyDescent="0.35">
      <c r="A1178" s="616"/>
      <c r="B1178" s="624" t="s">
        <v>1526</v>
      </c>
      <c r="C1178" s="625"/>
      <c r="D1178" s="695"/>
      <c r="E1178" s="625"/>
      <c r="F1178" s="804"/>
      <c r="G1178" s="625"/>
      <c r="H1178" s="625"/>
      <c r="I1178" s="625"/>
      <c r="J1178" s="732"/>
      <c r="K1178" s="733"/>
      <c r="L1178" s="734"/>
      <c r="M1178" s="734"/>
      <c r="N1178" s="627"/>
      <c r="O1178" s="12"/>
    </row>
    <row r="1179" spans="1:15" ht="15.5" x14ac:dyDescent="0.35">
      <c r="A1179" s="616"/>
      <c r="B1179" s="100"/>
      <c r="C1179" s="52">
        <v>33</v>
      </c>
      <c r="D1179" s="2105" t="s">
        <v>1084</v>
      </c>
      <c r="E1179" s="52"/>
      <c r="F1179" s="812">
        <v>1</v>
      </c>
      <c r="G1179" s="21"/>
      <c r="H1179" s="21"/>
      <c r="I1179" s="20">
        <f>H1179-G1179</f>
        <v>0</v>
      </c>
      <c r="J1179" s="616"/>
      <c r="K1179" s="696"/>
      <c r="L1179" s="22">
        <f>J1179*I1179*F1179</f>
        <v>0</v>
      </c>
      <c r="M1179" s="22"/>
      <c r="N1179" s="82"/>
      <c r="O1179" s="12"/>
    </row>
    <row r="1180" spans="1:15" ht="15.5" x14ac:dyDescent="0.35">
      <c r="A1180" s="616"/>
      <c r="B1180" s="100"/>
      <c r="C1180" s="52">
        <v>33</v>
      </c>
      <c r="D1180" s="2106"/>
      <c r="E1180" s="52"/>
      <c r="F1180" s="812">
        <v>1</v>
      </c>
      <c r="G1180" s="21"/>
      <c r="H1180" s="21"/>
      <c r="I1180" s="20">
        <f>H1180-G1180</f>
        <v>0</v>
      </c>
      <c r="J1180" s="616"/>
      <c r="K1180" s="696"/>
      <c r="L1180" s="22">
        <f>J1180*I1180*F1180</f>
        <v>0</v>
      </c>
      <c r="M1180" s="22"/>
      <c r="N1180" s="82"/>
      <c r="O1180" s="12"/>
    </row>
    <row r="1181" spans="1:15" ht="15.5" x14ac:dyDescent="0.35">
      <c r="A1181" s="616"/>
      <c r="B1181" s="100"/>
      <c r="C1181" s="52">
        <v>33</v>
      </c>
      <c r="D1181" s="2151"/>
      <c r="E1181" s="52"/>
      <c r="F1181" s="812">
        <v>1</v>
      </c>
      <c r="G1181" s="21"/>
      <c r="H1181" s="21"/>
      <c r="I1181" s="20">
        <f>H1181-G1181</f>
        <v>0</v>
      </c>
      <c r="J1181" s="616"/>
      <c r="K1181" s="696"/>
      <c r="L1181" s="22">
        <f>J1181*I1181*F1181</f>
        <v>0</v>
      </c>
      <c r="M1181" s="22"/>
      <c r="N1181" s="82"/>
      <c r="O1181" s="12"/>
    </row>
    <row r="1182" spans="1:15" ht="15.5" x14ac:dyDescent="0.35">
      <c r="A1182" s="616"/>
      <c r="B1182" s="102"/>
      <c r="C1182" s="91"/>
      <c r="D1182" s="726"/>
      <c r="E1182" s="91"/>
      <c r="F1182" s="814"/>
      <c r="G1182" s="48"/>
      <c r="H1182" s="48"/>
      <c r="I1182" s="36"/>
      <c r="J1182" s="96" t="s">
        <v>30</v>
      </c>
      <c r="K1182" s="706"/>
      <c r="L1182" s="43">
        <f>SUM(L1179:L1181)</f>
        <v>0</v>
      </c>
      <c r="M1182" s="43">
        <f>SUM(M1179:M1181)</f>
        <v>0</v>
      </c>
      <c r="N1182" s="43"/>
      <c r="O1182" s="12"/>
    </row>
    <row r="1183" spans="1:15" ht="15.5" x14ac:dyDescent="0.35">
      <c r="A1183" s="616"/>
      <c r="B1183" s="647" t="s">
        <v>1527</v>
      </c>
      <c r="C1183" s="648"/>
      <c r="D1183" s="700"/>
      <c r="E1183" s="648"/>
      <c r="F1183" s="807"/>
      <c r="G1183" s="648"/>
      <c r="H1183" s="648"/>
      <c r="I1183" s="648"/>
      <c r="J1183" s="648"/>
      <c r="K1183" s="700"/>
      <c r="L1183" s="648"/>
      <c r="M1183" s="651"/>
      <c r="N1183" s="649"/>
      <c r="O1183" s="8"/>
    </row>
    <row r="1184" spans="1:15" ht="15.5" x14ac:dyDescent="0.35">
      <c r="A1184" s="616"/>
      <c r="B1184" s="100" t="s">
        <v>1079</v>
      </c>
      <c r="C1184" s="52">
        <v>132</v>
      </c>
      <c r="D1184" s="2138" t="s">
        <v>1083</v>
      </c>
      <c r="E1184" s="615"/>
      <c r="F1184" s="812"/>
      <c r="G1184" s="5"/>
      <c r="H1184" s="5"/>
      <c r="I1184" s="5"/>
      <c r="J1184" s="616"/>
      <c r="K1184" s="696"/>
      <c r="L1184" s="16">
        <f>J1184*I1184*F1184</f>
        <v>0</v>
      </c>
      <c r="M1184" s="7"/>
      <c r="N1184" s="78"/>
      <c r="O1184" s="616"/>
    </row>
    <row r="1185" spans="1:15" ht="15.5" x14ac:dyDescent="0.35">
      <c r="A1185" s="616"/>
      <c r="B1185" s="100" t="s">
        <v>1078</v>
      </c>
      <c r="C1185" s="52">
        <v>132</v>
      </c>
      <c r="D1185" s="2139"/>
      <c r="E1185" s="615"/>
      <c r="F1185" s="812"/>
      <c r="G1185" s="5"/>
      <c r="H1185" s="5"/>
      <c r="I1185" s="5"/>
      <c r="J1185" s="616"/>
      <c r="K1185" s="696"/>
      <c r="L1185" s="16">
        <f>J1185*I1185*F1185</f>
        <v>0</v>
      </c>
      <c r="M1185" s="16"/>
      <c r="N1185" s="79"/>
      <c r="O1185" s="616"/>
    </row>
    <row r="1186" spans="1:15" ht="15.5" x14ac:dyDescent="0.35">
      <c r="A1186" s="616"/>
      <c r="B1186" s="95"/>
      <c r="C1186" s="89"/>
      <c r="D1186" s="1846"/>
      <c r="E1186" s="89"/>
      <c r="F1186" s="806"/>
      <c r="G1186" s="37"/>
      <c r="H1186" s="37"/>
      <c r="I1186" s="37"/>
      <c r="J1186" s="95" t="s">
        <v>279</v>
      </c>
      <c r="K1186" s="699"/>
      <c r="L1186" s="55">
        <f>SUM(L1184:L1185)</f>
        <v>0</v>
      </c>
      <c r="M1186" s="633"/>
      <c r="N1186" s="634"/>
      <c r="O1186" s="616"/>
    </row>
    <row r="1187" spans="1:15" ht="15.5" x14ac:dyDescent="0.35">
      <c r="A1187" s="616"/>
      <c r="B1187" s="102"/>
      <c r="C1187" s="91"/>
      <c r="D1187" s="726"/>
      <c r="E1187" s="91"/>
      <c r="F1187" s="814"/>
      <c r="G1187" s="48"/>
      <c r="H1187" s="48"/>
      <c r="I1187" s="36"/>
      <c r="J1187" s="96"/>
      <c r="K1187" s="706"/>
      <c r="L1187" s="43"/>
      <c r="M1187" s="43"/>
      <c r="N1187" s="85"/>
      <c r="O1187" s="12"/>
    </row>
    <row r="1188" spans="1:15" ht="15.5" x14ac:dyDescent="0.35">
      <c r="A1188" s="636"/>
      <c r="B1188" s="647" t="s">
        <v>1528</v>
      </c>
      <c r="C1188" s="648"/>
      <c r="D1188" s="700"/>
      <c r="E1188" s="648"/>
      <c r="F1188" s="807"/>
      <c r="G1188" s="648"/>
      <c r="H1188" s="648"/>
      <c r="I1188" s="648"/>
      <c r="J1188" s="50"/>
      <c r="K1188" s="710"/>
      <c r="L1188" s="51"/>
      <c r="M1188" s="51"/>
      <c r="N1188" s="649"/>
      <c r="O1188" s="12"/>
    </row>
    <row r="1189" spans="1:15" ht="15.5" x14ac:dyDescent="0.35">
      <c r="A1189" s="616"/>
      <c r="B1189" s="100"/>
      <c r="C1189" s="52"/>
      <c r="D1189" s="2140" t="s">
        <v>1085</v>
      </c>
      <c r="E1189" s="52"/>
      <c r="F1189" s="812"/>
      <c r="G1189" s="21"/>
      <c r="H1189" s="21"/>
      <c r="I1189" s="21"/>
      <c r="J1189" s="31"/>
      <c r="K1189" s="707"/>
      <c r="L1189" s="22"/>
      <c r="M1189" s="22"/>
      <c r="N1189" s="83"/>
      <c r="O1189" s="12"/>
    </row>
    <row r="1190" spans="1:15" ht="15.5" x14ac:dyDescent="0.35">
      <c r="A1190" s="616"/>
      <c r="B1190" s="100"/>
      <c r="C1190" s="52"/>
      <c r="D1190" s="2157"/>
      <c r="E1190" s="52"/>
      <c r="F1190" s="812"/>
      <c r="G1190" s="21"/>
      <c r="H1190" s="21"/>
      <c r="I1190" s="21"/>
      <c r="J1190" s="31"/>
      <c r="K1190" s="707"/>
      <c r="L1190" s="22"/>
      <c r="M1190" s="22"/>
      <c r="N1190" s="83"/>
      <c r="O1190" s="12"/>
    </row>
    <row r="1191" spans="1:15" ht="15" x14ac:dyDescent="0.35">
      <c r="A1191" s="636"/>
      <c r="B1191" s="96"/>
      <c r="C1191" s="90"/>
      <c r="D1191" s="96"/>
      <c r="E1191" s="90"/>
      <c r="F1191" s="813"/>
      <c r="G1191" s="38"/>
      <c r="H1191" s="38"/>
      <c r="I1191" s="38"/>
      <c r="J1191" s="96" t="s">
        <v>30</v>
      </c>
      <c r="K1191" s="708"/>
      <c r="L1191" s="43">
        <f>SUM(L1189:L1190)</f>
        <v>0</v>
      </c>
      <c r="M1191" s="43">
        <f>SUM(M1189:M1190)</f>
        <v>0</v>
      </c>
      <c r="N1191" s="650" t="e">
        <f>(M1191-L1191)/L1191*100</f>
        <v>#DIV/0!</v>
      </c>
      <c r="O1191" s="12"/>
    </row>
    <row r="1192" spans="1:15" ht="15.5" thickBot="1" x14ac:dyDescent="0.4">
      <c r="A1192" s="702"/>
      <c r="B1192" s="736"/>
      <c r="C1192" s="92"/>
      <c r="D1192" s="736"/>
      <c r="E1192" s="92"/>
      <c r="F1192" s="815"/>
      <c r="G1192" s="737"/>
      <c r="H1192" s="737"/>
      <c r="I1192" s="737"/>
      <c r="J1192" s="736"/>
      <c r="K1192" s="738"/>
      <c r="L1192" s="739"/>
      <c r="M1192" s="739"/>
      <c r="N1192" s="646"/>
      <c r="O1192" s="740"/>
    </row>
    <row r="1193" spans="1:15" ht="15" x14ac:dyDescent="0.35">
      <c r="A1193" s="702"/>
      <c r="B1193" s="2142" t="s">
        <v>1339</v>
      </c>
      <c r="C1193" s="2143"/>
      <c r="D1193" s="683" t="s">
        <v>14</v>
      </c>
      <c r="F1193" s="2144" t="s">
        <v>1350</v>
      </c>
      <c r="G1193" s="2145"/>
      <c r="H1193" s="2146"/>
      <c r="I1193" s="683" t="s">
        <v>14</v>
      </c>
      <c r="J1193" s="620"/>
      <c r="K1193" s="2147" t="s">
        <v>1092</v>
      </c>
      <c r="L1193" s="2148"/>
      <c r="M1193" s="684" t="s">
        <v>14</v>
      </c>
      <c r="N1193" s="646"/>
      <c r="O1193" s="740"/>
    </row>
    <row r="1194" spans="1:15" ht="15" x14ac:dyDescent="0.35">
      <c r="A1194" s="702"/>
      <c r="B1194" s="2122" t="str">
        <f>B1173</f>
        <v>MOGBAZAR 33 KV SIDE</v>
      </c>
      <c r="C1194" s="2123"/>
      <c r="D1194" s="689">
        <f>M1177</f>
        <v>0</v>
      </c>
      <c r="F1194" s="2124" t="s">
        <v>1093</v>
      </c>
      <c r="G1194" s="2125"/>
      <c r="H1194" s="2126"/>
      <c r="I1194" s="685">
        <f>L1186</f>
        <v>0</v>
      </c>
      <c r="J1194" s="620"/>
      <c r="K1194" s="2160" t="str">
        <f>F1195</f>
        <v xml:space="preserve"> ZIGATOLA OLD 33 KV NET IMPORT</v>
      </c>
      <c r="L1194" s="2161"/>
      <c r="M1194" s="687" t="e">
        <f>I1195</f>
        <v>#REF!</v>
      </c>
      <c r="N1194" s="646"/>
      <c r="O1194" s="740"/>
    </row>
    <row r="1195" spans="1:15" ht="15" x14ac:dyDescent="0.35">
      <c r="A1195" s="702"/>
      <c r="B1195" s="2122" t="e">
        <f>#REF!</f>
        <v>#REF!</v>
      </c>
      <c r="C1195" s="2123"/>
      <c r="D1195" s="741" t="e">
        <f>#REF!</f>
        <v>#REF!</v>
      </c>
      <c r="F1195" s="2124" t="s">
        <v>1529</v>
      </c>
      <c r="G1195" s="2125"/>
      <c r="H1195" s="2126"/>
      <c r="I1195" s="685" t="e">
        <f>D1198-I1194</f>
        <v>#REF!</v>
      </c>
      <c r="J1195" s="620"/>
      <c r="K1195" s="2162" t="s">
        <v>1530</v>
      </c>
      <c r="L1195" s="2163"/>
      <c r="M1195" s="685">
        <f>M1230</f>
        <v>0</v>
      </c>
      <c r="N1195" s="646"/>
      <c r="O1195" s="740"/>
    </row>
    <row r="1196" spans="1:15" ht="15" x14ac:dyDescent="0.35">
      <c r="A1196" s="702"/>
      <c r="B1196" s="2122" t="s">
        <v>1117</v>
      </c>
      <c r="C1196" s="2123"/>
      <c r="D1196" s="721"/>
      <c r="F1196" s="2124" t="s">
        <v>1089</v>
      </c>
      <c r="G1196" s="2125"/>
      <c r="H1196" s="2126"/>
      <c r="I1196" s="685" t="e">
        <f>I1194+I1195</f>
        <v>#REF!</v>
      </c>
      <c r="J1196" s="620"/>
      <c r="K1196" s="2127" t="s">
        <v>284</v>
      </c>
      <c r="L1196" s="2128"/>
      <c r="M1196" s="685" t="e">
        <f>M1194-M1195</f>
        <v>#REF!</v>
      </c>
      <c r="N1196" s="646"/>
      <c r="O1196" s="740"/>
    </row>
    <row r="1197" spans="1:15" ht="16" thickBot="1" x14ac:dyDescent="0.4">
      <c r="A1197" s="702"/>
      <c r="B1197" s="2122" t="s">
        <v>1118</v>
      </c>
      <c r="C1197" s="2123"/>
      <c r="D1197" s="722"/>
      <c r="F1197" s="2113" t="s">
        <v>1102</v>
      </c>
      <c r="G1197" s="2114"/>
      <c r="H1197" s="2115"/>
      <c r="I1197" s="690" t="e">
        <f>(D1198-I1196)/I1196</f>
        <v>#REF!</v>
      </c>
      <c r="J1197" s="620"/>
      <c r="K1197" s="2134" t="s">
        <v>285</v>
      </c>
      <c r="L1197" s="2135"/>
      <c r="M1197" s="688" t="e">
        <f>M1196/M1194</f>
        <v>#REF!</v>
      </c>
      <c r="N1197" s="646"/>
      <c r="O1197" s="740"/>
    </row>
    <row r="1198" spans="1:15" ht="15.5" thickBot="1" x14ac:dyDescent="0.4">
      <c r="A1198" s="702"/>
      <c r="B1198" s="2158" t="s">
        <v>1082</v>
      </c>
      <c r="C1198" s="2159"/>
      <c r="D1198" s="686" t="e">
        <f>SUM(D1194:D1196)</f>
        <v>#REF!</v>
      </c>
      <c r="F1198" s="810"/>
      <c r="G1198" s="620"/>
      <c r="H1198" s="620"/>
      <c r="I1198" s="620"/>
      <c r="J1198" s="620"/>
      <c r="K1198" s="702"/>
      <c r="L1198" s="620"/>
      <c r="M1198" s="620"/>
      <c r="N1198" s="646"/>
      <c r="O1198" s="740"/>
    </row>
    <row r="1199" spans="1:15" ht="15" x14ac:dyDescent="0.35">
      <c r="A1199" s="702"/>
      <c r="B1199" s="736"/>
      <c r="C1199" s="92"/>
      <c r="D1199" s="736"/>
      <c r="E1199" s="92"/>
      <c r="F1199" s="815"/>
      <c r="G1199" s="737"/>
      <c r="H1199" s="737"/>
      <c r="I1199" s="737"/>
      <c r="J1199" s="736"/>
      <c r="K1199" s="738"/>
      <c r="L1199" s="739"/>
      <c r="M1199" s="739"/>
      <c r="N1199" s="646"/>
      <c r="O1199" s="740"/>
    </row>
    <row r="1200" spans="1:15" x14ac:dyDescent="0.35">
      <c r="A1200" s="620"/>
      <c r="B1200" s="632"/>
      <c r="C1200" s="620"/>
      <c r="D1200" s="2014"/>
      <c r="E1200" s="620"/>
      <c r="F1200" s="810"/>
      <c r="G1200" s="620"/>
      <c r="H1200" s="620"/>
      <c r="I1200" s="620"/>
      <c r="J1200" s="620"/>
      <c r="K1200" s="702"/>
      <c r="L1200" s="620"/>
      <c r="M1200" s="620"/>
      <c r="N1200" s="620"/>
      <c r="O1200" s="620"/>
    </row>
    <row r="1201" spans="1:15" x14ac:dyDescent="0.35">
      <c r="A1201" s="620"/>
      <c r="B1201" s="632"/>
      <c r="C1201" s="620"/>
      <c r="D1201" s="2014"/>
      <c r="E1201" s="620"/>
      <c r="F1201" s="810"/>
      <c r="G1201" s="620"/>
      <c r="H1201" s="620"/>
      <c r="I1201" s="620"/>
      <c r="J1201" s="620"/>
      <c r="K1201" s="702"/>
      <c r="L1201" s="620"/>
      <c r="M1201" s="620"/>
      <c r="N1201" s="620"/>
      <c r="O1201" s="620"/>
    </row>
    <row r="1202" spans="1:15" ht="25" x14ac:dyDescent="0.35">
      <c r="A1202" s="2095" t="s">
        <v>1177</v>
      </c>
      <c r="B1202" s="2095"/>
      <c r="C1202" s="2095"/>
      <c r="D1202" s="2095"/>
      <c r="E1202" s="2095"/>
      <c r="F1202" s="2095"/>
      <c r="G1202" s="2095"/>
      <c r="H1202" s="2095"/>
      <c r="I1202" s="2095"/>
      <c r="J1202" s="2095"/>
      <c r="K1202" s="2095"/>
      <c r="L1202" s="2095"/>
      <c r="M1202" s="2095"/>
      <c r="N1202" s="2095"/>
      <c r="O1202" s="756" t="e">
        <f>$O$6</f>
        <v>#REF!</v>
      </c>
    </row>
    <row r="1203" spans="1:15" ht="15.5" x14ac:dyDescent="0.35">
      <c r="A1203" s="2096" t="s">
        <v>0</v>
      </c>
      <c r="B1203" s="2098" t="s">
        <v>1</v>
      </c>
      <c r="C1203" s="2100" t="s">
        <v>2</v>
      </c>
      <c r="D1203" s="2101"/>
      <c r="E1203" s="2102"/>
      <c r="F1203" s="2216" t="s">
        <v>3</v>
      </c>
      <c r="G1203" s="2100" t="s">
        <v>4</v>
      </c>
      <c r="H1203" s="2102"/>
      <c r="I1203" s="2085"/>
      <c r="J1203" s="2103" t="s">
        <v>5</v>
      </c>
      <c r="K1203" s="2100" t="s">
        <v>6</v>
      </c>
      <c r="L1203" s="2085"/>
      <c r="M1203" s="97" t="s">
        <v>32</v>
      </c>
      <c r="N1203" s="98"/>
      <c r="O1203" s="2084" t="s">
        <v>7</v>
      </c>
    </row>
    <row r="1204" spans="1:15" ht="15.5" x14ac:dyDescent="0.35">
      <c r="A1204" s="2097"/>
      <c r="B1204" s="2099"/>
      <c r="C1204" s="2086" t="s">
        <v>1108</v>
      </c>
      <c r="D1204" s="2087"/>
      <c r="E1204" s="87" t="s">
        <v>9</v>
      </c>
      <c r="F1204" s="2217"/>
      <c r="G1204" s="2">
        <f>'NORTH-1'!$G$8</f>
        <v>44774</v>
      </c>
      <c r="H1204" s="2">
        <f>'NORTH-1'!$H$8</f>
        <v>44805</v>
      </c>
      <c r="I1204" s="1" t="s">
        <v>10</v>
      </c>
      <c r="J1204" s="2097"/>
      <c r="K1204" s="1" t="s">
        <v>11</v>
      </c>
      <c r="L1204" s="1" t="s">
        <v>12</v>
      </c>
      <c r="M1204" s="617" t="s">
        <v>33</v>
      </c>
      <c r="N1204" s="76" t="s">
        <v>47</v>
      </c>
      <c r="O1204" s="2085"/>
    </row>
    <row r="1205" spans="1:15" ht="15.5" x14ac:dyDescent="0.35">
      <c r="A1205" s="3">
        <v>1</v>
      </c>
      <c r="B1205" s="88">
        <v>2</v>
      </c>
      <c r="C1205" s="2088">
        <v>4</v>
      </c>
      <c r="D1205" s="2089"/>
      <c r="E1205" s="88">
        <v>5</v>
      </c>
      <c r="F1205" s="803">
        <v>7</v>
      </c>
      <c r="G1205" s="3">
        <v>8</v>
      </c>
      <c r="H1205" s="3">
        <v>9</v>
      </c>
      <c r="I1205" s="3" t="s">
        <v>13</v>
      </c>
      <c r="J1205" s="3">
        <v>11</v>
      </c>
      <c r="K1205" s="3" t="s">
        <v>19</v>
      </c>
      <c r="L1205" s="3" t="s">
        <v>20</v>
      </c>
      <c r="M1205" s="3">
        <v>14</v>
      </c>
      <c r="N1205" s="77">
        <v>15</v>
      </c>
      <c r="O1205" s="3">
        <v>16</v>
      </c>
    </row>
    <row r="1206" spans="1:15" ht="15.5" x14ac:dyDescent="0.35">
      <c r="A1206" s="631"/>
      <c r="B1206" s="624" t="s">
        <v>1531</v>
      </c>
      <c r="C1206" s="625"/>
      <c r="D1206" s="695"/>
      <c r="E1206" s="625"/>
      <c r="F1206" s="804"/>
      <c r="G1206" s="625"/>
      <c r="H1206" s="625"/>
      <c r="I1206" s="625"/>
      <c r="J1206" s="625"/>
      <c r="K1206" s="695"/>
      <c r="L1206" s="625"/>
      <c r="M1206" s="626"/>
      <c r="N1206" s="627"/>
      <c r="O1206" s="616"/>
    </row>
    <row r="1207" spans="1:15" ht="15.5" x14ac:dyDescent="0.35">
      <c r="A1207" s="631">
        <v>9</v>
      </c>
      <c r="B1207" s="100" t="s">
        <v>4267</v>
      </c>
      <c r="C1207" s="52" t="s">
        <v>4224</v>
      </c>
      <c r="D1207" s="2105"/>
      <c r="E1207" s="52"/>
      <c r="F1207" s="812">
        <v>1</v>
      </c>
      <c r="G1207" s="21"/>
      <c r="H1207" s="21"/>
      <c r="I1207" s="21">
        <f>H1207-G1207</f>
        <v>0</v>
      </c>
      <c r="J1207" s="616">
        <v>60000</v>
      </c>
      <c r="K1207" s="696">
        <f>F1207*I1207*J1207</f>
        <v>0</v>
      </c>
      <c r="L1207" s="22"/>
      <c r="M1207" s="22"/>
      <c r="N1207" s="82"/>
      <c r="O1207" s="616"/>
    </row>
    <row r="1208" spans="1:15" ht="15.5" x14ac:dyDescent="0.35">
      <c r="A1208" s="631">
        <v>16</v>
      </c>
      <c r="B1208" s="100" t="s">
        <v>4266</v>
      </c>
      <c r="C1208" s="52" t="s">
        <v>4224</v>
      </c>
      <c r="D1208" s="2106"/>
      <c r="E1208" s="52" t="s">
        <v>4312</v>
      </c>
      <c r="F1208" s="812">
        <v>1.25</v>
      </c>
      <c r="G1208" s="21">
        <v>4767.24</v>
      </c>
      <c r="H1208" s="21">
        <v>4772.45</v>
      </c>
      <c r="I1208" s="21">
        <f>H1208-G1208</f>
        <v>5.2100000000000364</v>
      </c>
      <c r="J1208" s="616">
        <v>180000</v>
      </c>
      <c r="K1208" s="696">
        <f>F1208*I1208*J1208</f>
        <v>1172250.0000000081</v>
      </c>
      <c r="L1208" s="22"/>
      <c r="M1208" s="22"/>
      <c r="N1208" s="82"/>
      <c r="O1208" s="616"/>
    </row>
    <row r="1209" spans="1:15" ht="15.5" x14ac:dyDescent="0.35">
      <c r="A1209" s="631">
        <v>17</v>
      </c>
      <c r="B1209" s="100" t="s">
        <v>4265</v>
      </c>
      <c r="C1209" s="52" t="s">
        <v>4224</v>
      </c>
      <c r="D1209" s="2151"/>
      <c r="E1209" s="52" t="s">
        <v>4313</v>
      </c>
      <c r="F1209" s="812">
        <v>1.32</v>
      </c>
      <c r="G1209" s="21">
        <v>1825.3</v>
      </c>
      <c r="H1209" s="21">
        <v>1825.3</v>
      </c>
      <c r="I1209" s="21">
        <f>H1209-G1209</f>
        <v>0</v>
      </c>
      <c r="J1209" s="616">
        <v>180000</v>
      </c>
      <c r="K1209" s="696">
        <f>F1209*I1209*J1209</f>
        <v>0</v>
      </c>
      <c r="L1209" s="22"/>
      <c r="M1209" s="22"/>
      <c r="N1209" s="82"/>
      <c r="O1209" s="616"/>
    </row>
    <row r="1210" spans="1:15" ht="15.5" x14ac:dyDescent="0.35">
      <c r="A1210" s="631"/>
      <c r="B1210" s="102"/>
      <c r="C1210" s="91"/>
      <c r="D1210" s="726"/>
      <c r="E1210" s="91"/>
      <c r="F1210" s="814"/>
      <c r="G1210" s="48"/>
      <c r="H1210" s="48"/>
      <c r="I1210" s="48"/>
      <c r="J1210" s="39" t="s">
        <v>30</v>
      </c>
      <c r="K1210" s="708">
        <f>SUM(K1207:K1209)</f>
        <v>1172250.0000000081</v>
      </c>
      <c r="L1210" s="49"/>
      <c r="M1210" s="43">
        <f>SUM(M1207:M1209)</f>
        <v>0</v>
      </c>
      <c r="N1210" s="85"/>
      <c r="O1210" s="616"/>
    </row>
    <row r="1211" spans="1:15" ht="15.5" x14ac:dyDescent="0.35">
      <c r="A1211" s="631"/>
      <c r="B1211" s="647" t="s">
        <v>1532</v>
      </c>
      <c r="C1211" s="648"/>
      <c r="D1211" s="700"/>
      <c r="E1211" s="648"/>
      <c r="F1211" s="807"/>
      <c r="G1211" s="648"/>
      <c r="H1211" s="648"/>
      <c r="I1211" s="648"/>
      <c r="J1211" s="50"/>
      <c r="K1211" s="710"/>
      <c r="L1211" s="51"/>
      <c r="M1211" s="51"/>
      <c r="N1211" s="649"/>
      <c r="O1211" s="616"/>
    </row>
    <row r="1212" spans="1:15" ht="18.75" customHeight="1" x14ac:dyDescent="0.35">
      <c r="A1212" s="631">
        <v>6</v>
      </c>
      <c r="B1212" s="100" t="s">
        <v>4314</v>
      </c>
      <c r="C1212" s="73" t="s">
        <v>4224</v>
      </c>
      <c r="D1212" s="1768"/>
      <c r="E1212" s="52" t="s">
        <v>4315</v>
      </c>
      <c r="F1212" s="812">
        <v>1</v>
      </c>
      <c r="G1212" s="6">
        <v>419.75</v>
      </c>
      <c r="H1212" s="6">
        <v>419.75</v>
      </c>
      <c r="I1212" s="20">
        <f t="shared" ref="I1212:I1229" si="41">H1212-G1212</f>
        <v>0</v>
      </c>
      <c r="J1212" s="616">
        <v>60000</v>
      </c>
      <c r="K1212" s="703"/>
      <c r="L1212" s="22">
        <f>F1212*I1212*J1212</f>
        <v>0</v>
      </c>
      <c r="M1212" s="22"/>
      <c r="N1212" s="1933" t="s">
        <v>4655</v>
      </c>
      <c r="O1212" s="15"/>
    </row>
    <row r="1213" spans="1:15" ht="18.75" customHeight="1" x14ac:dyDescent="0.35">
      <c r="A1213" s="631"/>
      <c r="B1213" s="100" t="s">
        <v>4316</v>
      </c>
      <c r="C1213" s="73" t="s">
        <v>4224</v>
      </c>
      <c r="D1213" s="1769"/>
      <c r="E1213" s="52" t="s">
        <v>4317</v>
      </c>
      <c r="F1213" s="812">
        <v>1</v>
      </c>
      <c r="G1213" s="6">
        <v>1881260</v>
      </c>
      <c r="H1213" s="6">
        <v>1881260</v>
      </c>
      <c r="I1213" s="20">
        <f t="shared" si="41"/>
        <v>0</v>
      </c>
      <c r="J1213" s="616">
        <v>60</v>
      </c>
      <c r="K1213" s="703"/>
      <c r="L1213" s="22">
        <f>F1213*I1213*J1213</f>
        <v>0</v>
      </c>
      <c r="M1213" s="22"/>
      <c r="N1213" s="72" t="s">
        <v>51</v>
      </c>
      <c r="O1213" s="15"/>
    </row>
    <row r="1214" spans="1:15" ht="18.75" customHeight="1" x14ac:dyDescent="0.35">
      <c r="A1214" s="631">
        <v>7</v>
      </c>
      <c r="B1214" s="100" t="s">
        <v>4306</v>
      </c>
      <c r="C1214" s="73" t="s">
        <v>4224</v>
      </c>
      <c r="D1214" s="1769"/>
      <c r="E1214" s="52"/>
      <c r="F1214" s="812">
        <v>1</v>
      </c>
      <c r="G1214" s="6">
        <v>3016.79</v>
      </c>
      <c r="H1214" s="6">
        <v>3016.79</v>
      </c>
      <c r="I1214" s="20">
        <f t="shared" si="41"/>
        <v>0</v>
      </c>
      <c r="J1214" s="616">
        <v>60000</v>
      </c>
      <c r="K1214" s="703"/>
      <c r="L1214" s="22">
        <f>F1214*I1214*J1214</f>
        <v>0</v>
      </c>
      <c r="M1214" s="22"/>
      <c r="N1214" s="72" t="s">
        <v>51</v>
      </c>
      <c r="O1214" s="15"/>
    </row>
    <row r="1215" spans="1:15" ht="18.75" customHeight="1" x14ac:dyDescent="0.35">
      <c r="A1215" s="631">
        <v>8</v>
      </c>
      <c r="B1215" s="100" t="s">
        <v>4302</v>
      </c>
      <c r="C1215" s="73" t="s">
        <v>4224</v>
      </c>
      <c r="D1215" s="1769"/>
      <c r="E1215" s="52" t="s">
        <v>4318</v>
      </c>
      <c r="F1215" s="812">
        <v>1</v>
      </c>
      <c r="G1215" s="6">
        <v>1269937</v>
      </c>
      <c r="H1215" s="6">
        <v>1269937</v>
      </c>
      <c r="I1215" s="20">
        <f t="shared" si="41"/>
        <v>0</v>
      </c>
      <c r="J1215" s="616">
        <v>60</v>
      </c>
      <c r="K1215" s="703"/>
      <c r="L1215" s="22">
        <f>F1215*I1215*J1215</f>
        <v>0</v>
      </c>
      <c r="M1215" s="22"/>
      <c r="N1215" s="72" t="s">
        <v>51</v>
      </c>
      <c r="O1215" s="15"/>
    </row>
    <row r="1216" spans="1:15" ht="18.75" customHeight="1" x14ac:dyDescent="0.35">
      <c r="A1216" s="631">
        <v>10</v>
      </c>
      <c r="B1216" s="1917" t="s">
        <v>1446</v>
      </c>
      <c r="C1216" s="73" t="s">
        <v>4224</v>
      </c>
      <c r="D1216" s="1769"/>
      <c r="E1216" s="52"/>
      <c r="F1216" s="812">
        <v>1</v>
      </c>
      <c r="G1216" s="6"/>
      <c r="H1216" s="6"/>
      <c r="I1216" s="20">
        <f t="shared" si="41"/>
        <v>0</v>
      </c>
      <c r="J1216" s="616">
        <v>60000</v>
      </c>
      <c r="K1216" s="703"/>
      <c r="L1216" s="22">
        <f t="shared" ref="L1216:L1227" si="42">F1216*I1216*J1216</f>
        <v>0</v>
      </c>
      <c r="M1216" s="22"/>
      <c r="N1216" s="72" t="s">
        <v>51</v>
      </c>
      <c r="O1216" s="15"/>
    </row>
    <row r="1217" spans="1:15" ht="18.75" customHeight="1" x14ac:dyDescent="0.35">
      <c r="A1217" s="631">
        <v>11</v>
      </c>
      <c r="B1217" s="100" t="s">
        <v>4319</v>
      </c>
      <c r="C1217" s="73" t="s">
        <v>4224</v>
      </c>
      <c r="D1217" s="1769"/>
      <c r="E1217" s="52" t="s">
        <v>4320</v>
      </c>
      <c r="F1217" s="812">
        <v>1</v>
      </c>
      <c r="G1217" s="6">
        <v>1038.93</v>
      </c>
      <c r="H1217" s="6">
        <v>1050.29</v>
      </c>
      <c r="I1217" s="20">
        <f t="shared" si="41"/>
        <v>11.3599999999999</v>
      </c>
      <c r="J1217" s="616">
        <v>60000</v>
      </c>
      <c r="K1217" s="703"/>
      <c r="L1217" s="22">
        <f t="shared" si="42"/>
        <v>681599.99999999395</v>
      </c>
      <c r="M1217" s="22"/>
      <c r="N1217" s="72" t="s">
        <v>51</v>
      </c>
      <c r="O1217" s="15"/>
    </row>
    <row r="1218" spans="1:15" ht="18.75" customHeight="1" x14ac:dyDescent="0.35">
      <c r="A1218" s="631">
        <v>12</v>
      </c>
      <c r="B1218" s="100" t="s">
        <v>4321</v>
      </c>
      <c r="C1218" s="73" t="s">
        <v>4224</v>
      </c>
      <c r="D1218" s="1769"/>
      <c r="E1218" s="52" t="s">
        <v>4322</v>
      </c>
      <c r="F1218" s="812">
        <v>1</v>
      </c>
      <c r="G1218" s="6">
        <v>2646.35</v>
      </c>
      <c r="H1218" s="6">
        <v>2646.35</v>
      </c>
      <c r="I1218" s="20">
        <f t="shared" si="41"/>
        <v>0</v>
      </c>
      <c r="J1218" s="616">
        <v>60000</v>
      </c>
      <c r="K1218" s="703"/>
      <c r="L1218" s="22">
        <f t="shared" si="42"/>
        <v>0</v>
      </c>
      <c r="M1218" s="22"/>
      <c r="N1218" s="72" t="s">
        <v>51</v>
      </c>
      <c r="O1218" s="15"/>
    </row>
    <row r="1219" spans="1:15" ht="18.75" customHeight="1" x14ac:dyDescent="0.35">
      <c r="A1219" s="631">
        <v>13</v>
      </c>
      <c r="B1219" s="100" t="s">
        <v>4323</v>
      </c>
      <c r="C1219" s="73" t="s">
        <v>4224</v>
      </c>
      <c r="D1219" s="1769"/>
      <c r="E1219" s="52"/>
      <c r="F1219" s="812">
        <v>1</v>
      </c>
      <c r="G1219" s="6">
        <v>3248.23</v>
      </c>
      <c r="H1219" s="6">
        <v>3248.23</v>
      </c>
      <c r="I1219" s="20">
        <f t="shared" si="41"/>
        <v>0</v>
      </c>
      <c r="J1219" s="616">
        <v>60000</v>
      </c>
      <c r="K1219" s="703"/>
      <c r="L1219" s="22">
        <f t="shared" si="42"/>
        <v>0</v>
      </c>
      <c r="M1219" s="22"/>
      <c r="N1219" s="72" t="s">
        <v>51</v>
      </c>
      <c r="O1219" s="15"/>
    </row>
    <row r="1220" spans="1:15" ht="18.75" customHeight="1" x14ac:dyDescent="0.35">
      <c r="A1220" s="631">
        <v>14</v>
      </c>
      <c r="B1220" s="100" t="s">
        <v>4324</v>
      </c>
      <c r="C1220" s="73" t="s">
        <v>4224</v>
      </c>
      <c r="D1220" s="1769"/>
      <c r="E1220" s="52" t="s">
        <v>4325</v>
      </c>
      <c r="F1220" s="812">
        <v>1</v>
      </c>
      <c r="G1220" s="6">
        <v>3342.82</v>
      </c>
      <c r="H1220" s="6">
        <v>3351.51</v>
      </c>
      <c r="I1220" s="20">
        <f t="shared" si="41"/>
        <v>8.6900000000000546</v>
      </c>
      <c r="J1220" s="616">
        <v>60000</v>
      </c>
      <c r="K1220" s="703"/>
      <c r="L1220" s="22">
        <f t="shared" si="42"/>
        <v>521400.00000000326</v>
      </c>
      <c r="M1220" s="22"/>
      <c r="N1220" s="72" t="s">
        <v>51</v>
      </c>
      <c r="O1220" s="15"/>
    </row>
    <row r="1221" spans="1:15" ht="32.25" customHeight="1" x14ac:dyDescent="0.35">
      <c r="A1221" s="631">
        <v>15</v>
      </c>
      <c r="B1221" s="1932" t="s">
        <v>4657</v>
      </c>
      <c r="C1221" s="73" t="s">
        <v>4224</v>
      </c>
      <c r="D1221" s="1769"/>
      <c r="E1221" s="52" t="s">
        <v>4313</v>
      </c>
      <c r="F1221" s="812">
        <v>1</v>
      </c>
      <c r="G1221" s="6">
        <v>3623.87</v>
      </c>
      <c r="H1221" s="6">
        <v>3624.13</v>
      </c>
      <c r="I1221" s="20">
        <f t="shared" si="41"/>
        <v>0.26000000000021828</v>
      </c>
      <c r="J1221" s="616">
        <v>60000</v>
      </c>
      <c r="K1221" s="703"/>
      <c r="L1221" s="22">
        <f t="shared" si="42"/>
        <v>15600.000000013097</v>
      </c>
      <c r="M1221" s="22"/>
      <c r="N1221" s="72" t="s">
        <v>51</v>
      </c>
      <c r="O1221" s="15"/>
    </row>
    <row r="1222" spans="1:15" ht="18.75" customHeight="1" x14ac:dyDescent="0.35">
      <c r="A1222" s="631">
        <v>18</v>
      </c>
      <c r="B1222" s="100" t="s">
        <v>4326</v>
      </c>
      <c r="C1222" s="73" t="s">
        <v>4224</v>
      </c>
      <c r="D1222" s="1769"/>
      <c r="E1222" s="52" t="s">
        <v>4327</v>
      </c>
      <c r="F1222" s="812">
        <v>1</v>
      </c>
      <c r="G1222" s="6">
        <v>3030.42</v>
      </c>
      <c r="H1222" s="6">
        <v>3030.42</v>
      </c>
      <c r="I1222" s="20">
        <f t="shared" si="41"/>
        <v>0</v>
      </c>
      <c r="J1222" s="616">
        <v>60000</v>
      </c>
      <c r="K1222" s="703"/>
      <c r="L1222" s="22">
        <f t="shared" si="42"/>
        <v>0</v>
      </c>
      <c r="M1222" s="22"/>
      <c r="N1222" s="72" t="s">
        <v>51</v>
      </c>
      <c r="O1222" s="15"/>
    </row>
    <row r="1223" spans="1:15" ht="18.75" customHeight="1" x14ac:dyDescent="0.35">
      <c r="A1223" s="631">
        <v>19</v>
      </c>
      <c r="B1223" s="100" t="s">
        <v>4328</v>
      </c>
      <c r="C1223" s="73" t="s">
        <v>4224</v>
      </c>
      <c r="D1223" s="1769"/>
      <c r="E1223" s="52" t="s">
        <v>4329</v>
      </c>
      <c r="F1223" s="812">
        <v>1</v>
      </c>
      <c r="G1223" s="6">
        <v>3258.12</v>
      </c>
      <c r="H1223" s="6">
        <v>3258.12</v>
      </c>
      <c r="I1223" s="20">
        <f t="shared" si="41"/>
        <v>0</v>
      </c>
      <c r="J1223" s="616">
        <v>60000</v>
      </c>
      <c r="K1223" s="703"/>
      <c r="L1223" s="22">
        <f t="shared" si="42"/>
        <v>0</v>
      </c>
      <c r="M1223" s="22"/>
      <c r="N1223" s="72" t="s">
        <v>51</v>
      </c>
      <c r="O1223" s="15"/>
    </row>
    <row r="1224" spans="1:15" ht="18.75" customHeight="1" x14ac:dyDescent="0.35">
      <c r="A1224" s="631">
        <v>20</v>
      </c>
      <c r="B1224" s="100" t="s">
        <v>4330</v>
      </c>
      <c r="C1224" s="73" t="s">
        <v>4224</v>
      </c>
      <c r="D1224" s="1769"/>
      <c r="E1224" s="52" t="s">
        <v>4331</v>
      </c>
      <c r="F1224" s="812">
        <v>1</v>
      </c>
      <c r="G1224" s="6">
        <v>1018.31</v>
      </c>
      <c r="H1224" s="6">
        <v>1018.31</v>
      </c>
      <c r="I1224" s="20">
        <f t="shared" si="41"/>
        <v>0</v>
      </c>
      <c r="J1224" s="616">
        <v>60000</v>
      </c>
      <c r="K1224" s="703"/>
      <c r="L1224" s="22">
        <f t="shared" si="42"/>
        <v>0</v>
      </c>
      <c r="M1224" s="22"/>
      <c r="N1224" s="72" t="s">
        <v>51</v>
      </c>
      <c r="O1224" s="15"/>
    </row>
    <row r="1225" spans="1:15" ht="18.75" customHeight="1" x14ac:dyDescent="0.35">
      <c r="A1225" s="631">
        <v>21</v>
      </c>
      <c r="B1225" s="1935" t="s">
        <v>4658</v>
      </c>
      <c r="C1225" s="73" t="s">
        <v>4224</v>
      </c>
      <c r="D1225" s="1769"/>
      <c r="E1225" s="52" t="s">
        <v>4332</v>
      </c>
      <c r="F1225" s="812">
        <v>1</v>
      </c>
      <c r="G1225" s="6">
        <v>2400.7600000000002</v>
      </c>
      <c r="H1225" s="6">
        <v>2400.7600000000002</v>
      </c>
      <c r="I1225" s="20">
        <f t="shared" si="41"/>
        <v>0</v>
      </c>
      <c r="J1225" s="616">
        <v>60000</v>
      </c>
      <c r="K1225" s="703"/>
      <c r="L1225" s="22">
        <f t="shared" si="42"/>
        <v>0</v>
      </c>
      <c r="M1225" s="22"/>
      <c r="N1225" s="72" t="s">
        <v>51</v>
      </c>
      <c r="O1225" s="15"/>
    </row>
    <row r="1226" spans="1:15" ht="18.75" customHeight="1" x14ac:dyDescent="0.35">
      <c r="A1226" s="631">
        <v>22</v>
      </c>
      <c r="B1226" s="100" t="s">
        <v>4298</v>
      </c>
      <c r="C1226" s="73" t="s">
        <v>4224</v>
      </c>
      <c r="D1226" s="1769"/>
      <c r="E1226" s="52" t="s">
        <v>4333</v>
      </c>
      <c r="F1226" s="812">
        <v>1</v>
      </c>
      <c r="G1226" s="6">
        <v>25153.3</v>
      </c>
      <c r="H1226" s="6">
        <v>25153.3</v>
      </c>
      <c r="I1226" s="20">
        <f t="shared" si="41"/>
        <v>0</v>
      </c>
      <c r="J1226" s="616">
        <v>60</v>
      </c>
      <c r="K1226" s="703"/>
      <c r="L1226" s="22">
        <f t="shared" si="42"/>
        <v>0</v>
      </c>
      <c r="M1226" s="22"/>
      <c r="N1226" s="1933" t="s">
        <v>4656</v>
      </c>
      <c r="O1226" s="15"/>
    </row>
    <row r="1227" spans="1:15" ht="18.75" customHeight="1" x14ac:dyDescent="0.35">
      <c r="A1227" s="631">
        <v>23</v>
      </c>
      <c r="B1227" s="100" t="s">
        <v>4334</v>
      </c>
      <c r="C1227" s="73" t="s">
        <v>4224</v>
      </c>
      <c r="D1227" s="1769"/>
      <c r="E1227" s="52" t="s">
        <v>4335</v>
      </c>
      <c r="F1227" s="812">
        <v>1</v>
      </c>
      <c r="G1227" s="6">
        <v>2503.2199999999998</v>
      </c>
      <c r="H1227" s="6">
        <v>2503.2199999999998</v>
      </c>
      <c r="I1227" s="20">
        <f t="shared" si="41"/>
        <v>0</v>
      </c>
      <c r="J1227" s="616">
        <v>60000</v>
      </c>
      <c r="K1227" s="703"/>
      <c r="L1227" s="22">
        <f t="shared" si="42"/>
        <v>0</v>
      </c>
      <c r="M1227" s="22"/>
      <c r="N1227" s="72" t="s">
        <v>51</v>
      </c>
      <c r="O1227" s="15"/>
    </row>
    <row r="1228" spans="1:15" ht="18.75" customHeight="1" x14ac:dyDescent="0.35">
      <c r="A1228" s="631">
        <v>24</v>
      </c>
      <c r="B1228" s="100" t="s">
        <v>4336</v>
      </c>
      <c r="C1228" s="73" t="s">
        <v>3867</v>
      </c>
      <c r="D1228" s="1769"/>
      <c r="E1228" s="52">
        <v>243284</v>
      </c>
      <c r="F1228" s="812">
        <v>1</v>
      </c>
      <c r="G1228" s="6">
        <v>82605</v>
      </c>
      <c r="H1228" s="6">
        <v>82605</v>
      </c>
      <c r="I1228" s="20">
        <f t="shared" si="41"/>
        <v>0</v>
      </c>
      <c r="J1228" s="616">
        <v>10</v>
      </c>
      <c r="K1228" s="703"/>
      <c r="L1228" s="22"/>
      <c r="M1228" s="22"/>
      <c r="N1228" s="72" t="s">
        <v>51</v>
      </c>
      <c r="O1228" s="15"/>
    </row>
    <row r="1229" spans="1:15" ht="18.75" customHeight="1" x14ac:dyDescent="0.35">
      <c r="A1229" s="631">
        <v>25</v>
      </c>
      <c r="B1229" s="100" t="s">
        <v>4337</v>
      </c>
      <c r="C1229" s="73" t="s">
        <v>3867</v>
      </c>
      <c r="D1229" s="766"/>
      <c r="E1229" s="52">
        <v>412277</v>
      </c>
      <c r="F1229" s="812">
        <v>1</v>
      </c>
      <c r="G1229" s="6">
        <v>37930</v>
      </c>
      <c r="H1229" s="6">
        <v>38578</v>
      </c>
      <c r="I1229" s="20">
        <f t="shared" si="41"/>
        <v>648</v>
      </c>
      <c r="J1229" s="616">
        <v>10</v>
      </c>
      <c r="K1229" s="703"/>
      <c r="L1229" s="22">
        <v>6480</v>
      </c>
      <c r="M1229" s="22"/>
      <c r="N1229" s="72" t="s">
        <v>51</v>
      </c>
      <c r="O1229" s="15"/>
    </row>
    <row r="1230" spans="1:15" ht="20" x14ac:dyDescent="0.35">
      <c r="A1230" s="636"/>
      <c r="B1230" s="96"/>
      <c r="C1230" s="90"/>
      <c r="D1230" s="96"/>
      <c r="E1230" s="90"/>
      <c r="F1230" s="813"/>
      <c r="G1230" s="38"/>
      <c r="H1230" s="38"/>
      <c r="I1230" s="38"/>
      <c r="J1230" s="53" t="s">
        <v>44</v>
      </c>
      <c r="K1230" s="43">
        <f>K1210</f>
        <v>1172250.0000000081</v>
      </c>
      <c r="L1230" s="43">
        <f>SUM(L1212:L1229)</f>
        <v>1225080.0000000102</v>
      </c>
      <c r="M1230" s="43">
        <f>SUM(M1212:M1229)</f>
        <v>0</v>
      </c>
      <c r="N1230" s="84">
        <f>(M1230-L1230)/L1230*100</f>
        <v>-100</v>
      </c>
      <c r="O1230" s="29"/>
    </row>
    <row r="1232" spans="1:15" ht="15" x14ac:dyDescent="0.35">
      <c r="A1232" s="620"/>
      <c r="B1232" s="635"/>
      <c r="C1232" s="632"/>
      <c r="D1232" s="1900"/>
      <c r="F1232" s="2092" t="s">
        <v>1099</v>
      </c>
      <c r="G1232" s="2092"/>
      <c r="H1232" s="2092"/>
      <c r="I1232" s="677" t="s">
        <v>14</v>
      </c>
      <c r="J1232" s="620"/>
      <c r="K1232" s="702"/>
      <c r="L1232" s="620"/>
      <c r="M1232" s="620"/>
      <c r="N1232" s="632"/>
      <c r="O1232" s="620"/>
    </row>
    <row r="1233" spans="1:15" ht="15.5" x14ac:dyDescent="0.35">
      <c r="A1233" s="620"/>
      <c r="B1233" s="635"/>
      <c r="C1233" s="632"/>
      <c r="D1233" s="1900"/>
      <c r="F1233" s="2153" t="s">
        <v>232</v>
      </c>
      <c r="G1233" s="2154"/>
      <c r="H1233" s="2155"/>
      <c r="I1233" s="643">
        <f>SUM(M1212:M1213,M1223)</f>
        <v>0</v>
      </c>
      <c r="J1233" s="620"/>
      <c r="K1233" s="702"/>
      <c r="L1233" s="620"/>
      <c r="M1233" s="620"/>
      <c r="N1233" s="632"/>
      <c r="O1233" s="620" t="s">
        <v>237</v>
      </c>
    </row>
    <row r="1234" spans="1:15" ht="15.5" x14ac:dyDescent="0.35">
      <c r="A1234" s="620"/>
      <c r="B1234" s="635"/>
      <c r="C1234" s="632"/>
      <c r="D1234" s="1900"/>
      <c r="F1234" s="2153" t="s">
        <v>268</v>
      </c>
      <c r="G1234" s="2154"/>
      <c r="H1234" s="2155"/>
      <c r="I1234" s="643">
        <f>SUM(M1221:M1222,M1224,M1226,M1227,M1229)</f>
        <v>0</v>
      </c>
      <c r="J1234" s="620"/>
      <c r="K1234" s="702"/>
      <c r="L1234" s="620"/>
      <c r="M1234" s="620"/>
      <c r="N1234" s="632"/>
      <c r="O1234" s="620"/>
    </row>
    <row r="1235" spans="1:15" ht="16" thickBot="1" x14ac:dyDescent="0.4">
      <c r="A1235" s="620"/>
      <c r="B1235" s="635"/>
      <c r="C1235" s="632"/>
      <c r="D1235" s="1900"/>
      <c r="F1235" s="2153" t="s">
        <v>269</v>
      </c>
      <c r="G1235" s="2154"/>
      <c r="H1235" s="2155"/>
      <c r="I1235" s="643">
        <f>SUM(M1225,M1228)</f>
        <v>0</v>
      </c>
      <c r="J1235" s="620"/>
      <c r="K1235" s="702"/>
      <c r="L1235" s="620"/>
      <c r="M1235" s="620"/>
      <c r="N1235" s="632"/>
      <c r="O1235" s="620"/>
    </row>
    <row r="1236" spans="1:15" ht="20.5" thickBot="1" x14ac:dyDescent="0.4">
      <c r="A1236" s="620"/>
      <c r="B1236" s="635"/>
      <c r="C1236" s="632"/>
      <c r="D1236" s="1900"/>
      <c r="E1236" s="632"/>
      <c r="F1236" s="2156" t="s">
        <v>210</v>
      </c>
      <c r="G1236" s="2156"/>
      <c r="H1236" s="2156"/>
      <c r="I1236" s="656">
        <f>SUM(I1233:I1235)</f>
        <v>0</v>
      </c>
      <c r="J1236" s="682">
        <f>I1236-M1230</f>
        <v>0</v>
      </c>
      <c r="K1236" s="702"/>
      <c r="L1236" s="620"/>
      <c r="M1236" s="620"/>
      <c r="N1236" s="632"/>
      <c r="O1236" s="620"/>
    </row>
    <row r="1237" spans="1:15" x14ac:dyDescent="0.35">
      <c r="A1237" s="620"/>
      <c r="B1237" s="635"/>
      <c r="C1237" s="632"/>
      <c r="D1237" s="1900"/>
      <c r="E1237" s="632"/>
      <c r="F1237" s="810"/>
      <c r="G1237" s="620"/>
      <c r="H1237" s="620"/>
      <c r="I1237" s="620"/>
      <c r="J1237" s="620"/>
      <c r="K1237" s="702"/>
      <c r="L1237" s="620"/>
      <c r="M1237" s="620"/>
      <c r="N1237" s="632"/>
      <c r="O1237" s="620"/>
    </row>
    <row r="1238" spans="1:15" x14ac:dyDescent="0.35">
      <c r="A1238" s="620"/>
      <c r="B1238" s="635"/>
      <c r="C1238" s="632"/>
      <c r="D1238" s="1900"/>
      <c r="E1238" s="632"/>
      <c r="F1238" s="810"/>
      <c r="G1238" s="620"/>
      <c r="H1238" s="620"/>
      <c r="I1238" s="620"/>
      <c r="J1238" s="620"/>
      <c r="K1238" s="702"/>
      <c r="L1238" s="620"/>
      <c r="M1238" s="620"/>
      <c r="N1238" s="632"/>
      <c r="O1238" s="620"/>
    </row>
    <row r="1239" spans="1:15" x14ac:dyDescent="0.35">
      <c r="A1239" s="620"/>
      <c r="B1239" s="635"/>
      <c r="C1239" s="632"/>
      <c r="D1239" s="1900"/>
      <c r="E1239" s="632"/>
      <c r="F1239" s="810"/>
      <c r="G1239" s="620"/>
      <c r="H1239" s="620"/>
      <c r="I1239" s="620"/>
      <c r="J1239" s="620"/>
      <c r="K1239" s="702"/>
      <c r="L1239" s="620"/>
      <c r="M1239" s="620"/>
      <c r="N1239" s="632"/>
      <c r="O1239" s="620"/>
    </row>
    <row r="1240" spans="1:15" x14ac:dyDescent="0.35">
      <c r="A1240" s="620"/>
      <c r="B1240" s="635"/>
      <c r="C1240" s="632"/>
      <c r="D1240" s="1900"/>
      <c r="E1240" s="632"/>
      <c r="F1240" s="810"/>
      <c r="G1240" s="620"/>
      <c r="H1240" s="620"/>
      <c r="I1240" s="620"/>
      <c r="J1240" s="620"/>
      <c r="K1240" s="702"/>
      <c r="L1240" s="620"/>
      <c r="M1240" s="620"/>
      <c r="N1240" s="632"/>
      <c r="O1240" s="620"/>
    </row>
    <row r="1241" spans="1:15" x14ac:dyDescent="0.35">
      <c r="A1241" s="620"/>
      <c r="B1241" s="635"/>
      <c r="C1241" s="632"/>
      <c r="D1241" s="1900"/>
      <c r="E1241" s="632"/>
      <c r="F1241" s="810"/>
      <c r="G1241" s="620"/>
      <c r="H1241" s="620"/>
      <c r="I1241" s="620"/>
      <c r="J1241" s="620"/>
      <c r="K1241" s="702"/>
      <c r="L1241" s="620"/>
      <c r="M1241" s="620"/>
      <c r="N1241" s="632"/>
      <c r="O1241" s="620"/>
    </row>
    <row r="1242" spans="1:15" x14ac:dyDescent="0.35">
      <c r="A1242" s="620"/>
      <c r="B1242" s="632"/>
      <c r="C1242" s="632"/>
      <c r="D1242" s="1900"/>
      <c r="E1242" s="632"/>
      <c r="F1242" s="810"/>
      <c r="G1242" s="620"/>
      <c r="H1242" s="620"/>
      <c r="I1242" s="620"/>
      <c r="J1242" s="620"/>
      <c r="K1242" s="702"/>
      <c r="L1242" s="620"/>
      <c r="M1242" s="620"/>
      <c r="N1242" s="632"/>
      <c r="O1242" s="620"/>
    </row>
    <row r="1243" spans="1:15" x14ac:dyDescent="0.35">
      <c r="A1243" s="620"/>
      <c r="B1243" s="632"/>
      <c r="C1243" s="632"/>
      <c r="D1243" s="1900"/>
      <c r="E1243" s="632"/>
      <c r="F1243" s="810"/>
      <c r="G1243" s="620"/>
      <c r="H1243" s="620"/>
      <c r="I1243" s="620"/>
      <c r="J1243" s="620"/>
      <c r="K1243" s="702"/>
      <c r="L1243" s="620"/>
      <c r="M1243" s="620"/>
      <c r="N1243" s="632"/>
      <c r="O1243" s="620"/>
    </row>
    <row r="1244" spans="1:15" x14ac:dyDescent="0.35">
      <c r="A1244" s="620"/>
      <c r="B1244" s="635"/>
      <c r="C1244" s="632"/>
      <c r="D1244" s="1900"/>
      <c r="E1244" s="632"/>
      <c r="F1244" s="810"/>
      <c r="G1244" s="620"/>
      <c r="H1244" s="620"/>
      <c r="I1244" s="620"/>
      <c r="J1244" s="620"/>
      <c r="K1244" s="702"/>
      <c r="L1244" s="620"/>
      <c r="M1244" s="620"/>
      <c r="N1244" s="632"/>
      <c r="O1244" s="620"/>
    </row>
    <row r="1245" spans="1:15" x14ac:dyDescent="0.35">
      <c r="A1245" s="620"/>
      <c r="B1245" s="635"/>
      <c r="C1245" s="632"/>
      <c r="D1245" s="1900"/>
      <c r="E1245" s="632"/>
      <c r="F1245" s="810"/>
      <c r="G1245" s="620"/>
      <c r="H1245" s="620"/>
      <c r="I1245" s="620"/>
      <c r="J1245" s="620"/>
      <c r="K1245" s="702"/>
      <c r="L1245" s="620"/>
      <c r="M1245" s="620"/>
      <c r="N1245" s="632"/>
      <c r="O1245" s="620"/>
    </row>
    <row r="1246" spans="1:15" x14ac:dyDescent="0.35">
      <c r="A1246" s="620"/>
      <c r="B1246" s="635"/>
      <c r="C1246" s="632"/>
      <c r="D1246" s="1900"/>
      <c r="E1246" s="632"/>
      <c r="F1246" s="810"/>
      <c r="G1246" s="620"/>
      <c r="H1246" s="620"/>
      <c r="I1246" s="620"/>
      <c r="J1246" s="620"/>
      <c r="K1246" s="702"/>
      <c r="L1246" s="620"/>
      <c r="M1246" s="620"/>
      <c r="N1246" s="632"/>
      <c r="O1246" s="620"/>
    </row>
    <row r="1247" spans="1:15" ht="25" x14ac:dyDescent="0.35">
      <c r="A1247" s="28"/>
      <c r="B1247" s="2152"/>
      <c r="C1247" s="2152"/>
      <c r="D1247" s="2152"/>
      <c r="E1247" s="2152"/>
      <c r="F1247" s="2152"/>
      <c r="G1247" s="2152"/>
      <c r="H1247" s="2152"/>
      <c r="I1247" s="2152"/>
      <c r="J1247" s="2152"/>
      <c r="K1247" s="2152"/>
      <c r="L1247" s="2152"/>
      <c r="M1247" s="2152"/>
      <c r="N1247" s="632"/>
      <c r="O1247" s="620"/>
    </row>
    <row r="1248" spans="1:15" x14ac:dyDescent="0.35">
      <c r="A1248" s="620"/>
      <c r="B1248" s="635"/>
      <c r="C1248" s="632"/>
      <c r="D1248" s="1900"/>
      <c r="E1248" s="632"/>
      <c r="F1248" s="810"/>
      <c r="G1248" s="620"/>
      <c r="H1248" s="620"/>
      <c r="I1248" s="620"/>
      <c r="J1248" s="620"/>
      <c r="K1248" s="702"/>
      <c r="L1248" s="620"/>
      <c r="M1248" s="620"/>
      <c r="N1248" s="632"/>
      <c r="O1248" s="620"/>
    </row>
    <row r="1249" spans="1:15" x14ac:dyDescent="0.35">
      <c r="A1249" s="620"/>
      <c r="B1249" s="635"/>
      <c r="C1249" s="632"/>
      <c r="D1249" s="1900"/>
      <c r="E1249" s="632"/>
      <c r="F1249" s="810"/>
      <c r="G1249" s="620"/>
      <c r="H1249" s="620"/>
      <c r="I1249" s="620"/>
      <c r="J1249" s="620"/>
      <c r="K1249" s="702"/>
      <c r="L1249" s="620"/>
      <c r="M1249" s="620"/>
      <c r="N1249" s="632"/>
      <c r="O1249" s="620"/>
    </row>
    <row r="1250" spans="1:15" ht="25" x14ac:dyDescent="0.35">
      <c r="A1250" s="2095" t="s">
        <v>1533</v>
      </c>
      <c r="B1250" s="2095"/>
      <c r="C1250" s="2095"/>
      <c r="D1250" s="2095"/>
      <c r="E1250" s="2095"/>
      <c r="F1250" s="2095"/>
      <c r="G1250" s="2095"/>
      <c r="H1250" s="2095"/>
      <c r="I1250" s="2095"/>
      <c r="J1250" s="2095"/>
      <c r="K1250" s="2095"/>
      <c r="L1250" s="2095"/>
      <c r="M1250" s="2095"/>
      <c r="N1250" s="2095"/>
      <c r="O1250" s="756" t="e">
        <f>$O$6</f>
        <v>#REF!</v>
      </c>
    </row>
    <row r="1251" spans="1:15" ht="15.5" x14ac:dyDescent="0.35">
      <c r="A1251" s="2096" t="s">
        <v>0</v>
      </c>
      <c r="B1251" s="2098" t="s">
        <v>1</v>
      </c>
      <c r="C1251" s="2100" t="s">
        <v>2</v>
      </c>
      <c r="D1251" s="2101"/>
      <c r="E1251" s="2102"/>
      <c r="F1251" s="2216" t="s">
        <v>3</v>
      </c>
      <c r="G1251" s="2100" t="s">
        <v>4</v>
      </c>
      <c r="H1251" s="2102"/>
      <c r="I1251" s="2085"/>
      <c r="J1251" s="2103" t="s">
        <v>5</v>
      </c>
      <c r="K1251" s="2100" t="s">
        <v>6</v>
      </c>
      <c r="L1251" s="2085"/>
      <c r="M1251" s="97" t="s">
        <v>32</v>
      </c>
      <c r="N1251" s="98"/>
      <c r="O1251" s="2084" t="s">
        <v>7</v>
      </c>
    </row>
    <row r="1252" spans="1:15" ht="15.5" x14ac:dyDescent="0.35">
      <c r="A1252" s="2097"/>
      <c r="B1252" s="2099"/>
      <c r="C1252" s="2086" t="s">
        <v>1108</v>
      </c>
      <c r="D1252" s="2087"/>
      <c r="E1252" s="87" t="s">
        <v>9</v>
      </c>
      <c r="F1252" s="2217"/>
      <c r="G1252" s="2">
        <f>'NORTH-1'!$G$8</f>
        <v>44774</v>
      </c>
      <c r="H1252" s="2">
        <f>'NORTH-1'!$H$8</f>
        <v>44805</v>
      </c>
      <c r="I1252" s="1" t="s">
        <v>10</v>
      </c>
      <c r="J1252" s="2097"/>
      <c r="K1252" s="1" t="s">
        <v>11</v>
      </c>
      <c r="L1252" s="1" t="s">
        <v>12</v>
      </c>
      <c r="M1252" s="617" t="s">
        <v>33</v>
      </c>
      <c r="N1252" s="76" t="s">
        <v>47</v>
      </c>
      <c r="O1252" s="2085"/>
    </row>
    <row r="1253" spans="1:15" ht="15.5" x14ac:dyDescent="0.35">
      <c r="A1253" s="3">
        <v>1</v>
      </c>
      <c r="B1253" s="88">
        <v>2</v>
      </c>
      <c r="C1253" s="2088">
        <v>4</v>
      </c>
      <c r="D1253" s="2089"/>
      <c r="E1253" s="88">
        <v>5</v>
      </c>
      <c r="F1253" s="803">
        <v>7</v>
      </c>
      <c r="G1253" s="3">
        <v>8</v>
      </c>
      <c r="H1253" s="3">
        <v>9</v>
      </c>
      <c r="I1253" s="3" t="s">
        <v>13</v>
      </c>
      <c r="J1253" s="3">
        <v>11</v>
      </c>
      <c r="K1253" s="3" t="s">
        <v>19</v>
      </c>
      <c r="L1253" s="3" t="s">
        <v>20</v>
      </c>
      <c r="M1253" s="3">
        <v>14</v>
      </c>
      <c r="N1253" s="77">
        <v>15</v>
      </c>
      <c r="O1253" s="3">
        <v>16</v>
      </c>
    </row>
    <row r="1254" spans="1:15" ht="15.5" x14ac:dyDescent="0.35">
      <c r="A1254" s="631"/>
      <c r="B1254" s="624" t="s">
        <v>1100</v>
      </c>
      <c r="C1254" s="625"/>
      <c r="D1254" s="695"/>
      <c r="E1254" s="625"/>
      <c r="F1254" s="804"/>
      <c r="G1254" s="625"/>
      <c r="H1254" s="625"/>
      <c r="I1254" s="625"/>
      <c r="J1254" s="625"/>
      <c r="K1254" s="695"/>
      <c r="L1254" s="625"/>
      <c r="M1254" s="626"/>
      <c r="N1254" s="627"/>
      <c r="O1254" s="616"/>
    </row>
    <row r="1255" spans="1:15" ht="15.5" x14ac:dyDescent="0.35">
      <c r="A1255" s="11"/>
      <c r="B1255" s="100" t="s">
        <v>4338</v>
      </c>
      <c r="C1255" s="52" t="s">
        <v>3833</v>
      </c>
      <c r="D1255" s="2105"/>
      <c r="E1255" s="52" t="s">
        <v>4339</v>
      </c>
      <c r="F1255" s="812">
        <v>1</v>
      </c>
      <c r="G1255" s="21">
        <v>89786.86</v>
      </c>
      <c r="H1255" s="21">
        <v>89786.86</v>
      </c>
      <c r="I1255" s="21">
        <f>H1255-G1255</f>
        <v>0</v>
      </c>
      <c r="J1255" s="616">
        <v>1125</v>
      </c>
      <c r="K1255" s="696">
        <f>F1255*I1255*J1255</f>
        <v>0</v>
      </c>
      <c r="L1255" s="22"/>
      <c r="M1255" s="22"/>
      <c r="N1255" s="82"/>
      <c r="O1255" s="9"/>
    </row>
    <row r="1256" spans="1:15" ht="15.5" x14ac:dyDescent="0.35">
      <c r="A1256" s="11">
        <v>1</v>
      </c>
      <c r="B1256" s="100" t="s">
        <v>4340</v>
      </c>
      <c r="C1256" s="52" t="s">
        <v>3833</v>
      </c>
      <c r="D1256" s="2106"/>
      <c r="E1256" s="52" t="s">
        <v>4341</v>
      </c>
      <c r="F1256" s="812">
        <v>1</v>
      </c>
      <c r="G1256" s="21">
        <v>22640.6</v>
      </c>
      <c r="H1256" s="21">
        <v>26031.4</v>
      </c>
      <c r="I1256" s="21">
        <f>H1256-G1256</f>
        <v>3390.8000000000029</v>
      </c>
      <c r="J1256" s="616">
        <v>1125</v>
      </c>
      <c r="K1256" s="696">
        <f>F1256*I1256*J1256</f>
        <v>3814650.0000000033</v>
      </c>
      <c r="L1256" s="22"/>
      <c r="M1256" s="22"/>
      <c r="N1256" s="82"/>
      <c r="O1256" s="9"/>
    </row>
    <row r="1257" spans="1:15" ht="15.5" x14ac:dyDescent="0.35">
      <c r="A1257" s="11">
        <v>2</v>
      </c>
      <c r="B1257" s="100" t="s">
        <v>4342</v>
      </c>
      <c r="C1257" s="52" t="s">
        <v>3833</v>
      </c>
      <c r="D1257" s="2106"/>
      <c r="E1257" s="52" t="s">
        <v>4343</v>
      </c>
      <c r="F1257" s="812">
        <v>1</v>
      </c>
      <c r="G1257" s="21">
        <v>24126.67</v>
      </c>
      <c r="H1257" s="21">
        <v>27391.68</v>
      </c>
      <c r="I1257" s="21">
        <f>H1257-G1257</f>
        <v>3265.010000000002</v>
      </c>
      <c r="J1257" s="616">
        <v>1125</v>
      </c>
      <c r="K1257" s="696">
        <f>F1257*I1257*J1257</f>
        <v>3673136.2500000023</v>
      </c>
      <c r="L1257" s="22"/>
      <c r="M1257" s="22"/>
      <c r="N1257" s="82"/>
      <c r="O1257" s="9"/>
    </row>
    <row r="1258" spans="1:15" ht="15.5" x14ac:dyDescent="0.35">
      <c r="A1258" s="631">
        <v>5</v>
      </c>
      <c r="B1258" s="100" t="s">
        <v>4344</v>
      </c>
      <c r="C1258" s="52" t="s">
        <v>3833</v>
      </c>
      <c r="D1258" s="2151"/>
      <c r="E1258" s="52" t="s">
        <v>4345</v>
      </c>
      <c r="F1258" s="812">
        <v>1</v>
      </c>
      <c r="G1258" s="21">
        <v>73092.3</v>
      </c>
      <c r="H1258" s="21">
        <v>73092.3</v>
      </c>
      <c r="I1258" s="21">
        <f>H1258-G1258</f>
        <v>0</v>
      </c>
      <c r="J1258" s="616">
        <v>1125</v>
      </c>
      <c r="K1258" s="696">
        <f>F1258*I1258*J1258</f>
        <v>0</v>
      </c>
      <c r="L1258" s="22"/>
      <c r="M1258" s="22"/>
      <c r="N1258" s="82"/>
      <c r="O1258" s="616"/>
    </row>
    <row r="1259" spans="1:15" ht="15.5" x14ac:dyDescent="0.35">
      <c r="A1259" s="631"/>
      <c r="B1259" s="102"/>
      <c r="C1259" s="91"/>
      <c r="D1259" s="726"/>
      <c r="E1259" s="91"/>
      <c r="F1259" s="814"/>
      <c r="G1259" s="48"/>
      <c r="H1259" s="48"/>
      <c r="I1259" s="48"/>
      <c r="J1259" s="96" t="s">
        <v>30</v>
      </c>
      <c r="K1259" s="43">
        <f>SUM(K1255:K1258)</f>
        <v>7487786.2500000056</v>
      </c>
      <c r="L1259" s="43">
        <f>SUM(L1255:L1258)</f>
        <v>0</v>
      </c>
      <c r="M1259" s="43">
        <f>SUM(M1255:M1258)</f>
        <v>0</v>
      </c>
      <c r="N1259" s="646"/>
      <c r="O1259" s="616"/>
    </row>
    <row r="1260" spans="1:15" ht="15.5" x14ac:dyDescent="0.35">
      <c r="A1260" s="616"/>
      <c r="B1260" s="624" t="s">
        <v>1534</v>
      </c>
      <c r="C1260" s="625"/>
      <c r="D1260" s="695"/>
      <c r="E1260" s="625"/>
      <c r="F1260" s="804"/>
      <c r="G1260" s="625"/>
      <c r="H1260" s="625"/>
      <c r="I1260" s="625"/>
      <c r="J1260" s="732"/>
      <c r="K1260" s="733"/>
      <c r="L1260" s="734"/>
      <c r="M1260" s="734"/>
      <c r="N1260" s="627"/>
      <c r="O1260" s="12"/>
    </row>
    <row r="1261" spans="1:15" ht="15.5" x14ac:dyDescent="0.35">
      <c r="A1261" s="616"/>
      <c r="B1261" s="100" t="s">
        <v>239</v>
      </c>
      <c r="C1261" s="52">
        <v>33</v>
      </c>
      <c r="D1261" s="2105" t="s">
        <v>1084</v>
      </c>
      <c r="E1261" s="52" t="s">
        <v>257</v>
      </c>
      <c r="F1261" s="812">
        <v>1</v>
      </c>
      <c r="G1261" s="21">
        <v>868220</v>
      </c>
      <c r="H1261" s="21">
        <v>882182</v>
      </c>
      <c r="I1261" s="20">
        <f>H1261-G1261</f>
        <v>13962</v>
      </c>
      <c r="J1261" s="616">
        <v>180</v>
      </c>
      <c r="K1261" s="696"/>
      <c r="L1261" s="22">
        <f>J1261*I1261*F1261</f>
        <v>2513160</v>
      </c>
      <c r="M1261" s="22"/>
      <c r="N1261" s="82"/>
      <c r="O1261" s="12"/>
    </row>
    <row r="1262" spans="1:15" ht="15.5" x14ac:dyDescent="0.35">
      <c r="A1262" s="616"/>
      <c r="B1262" s="100" t="s">
        <v>240</v>
      </c>
      <c r="C1262" s="52">
        <v>33</v>
      </c>
      <c r="D1262" s="2106"/>
      <c r="E1262" s="52" t="s">
        <v>258</v>
      </c>
      <c r="F1262" s="812">
        <v>1</v>
      </c>
      <c r="G1262" s="21">
        <v>775.28</v>
      </c>
      <c r="H1262" s="21">
        <v>788.74</v>
      </c>
      <c r="I1262" s="20">
        <f>H1262-G1262</f>
        <v>13.460000000000036</v>
      </c>
      <c r="J1262" s="616">
        <v>180000</v>
      </c>
      <c r="K1262" s="696"/>
      <c r="L1262" s="22">
        <f>J1262*I1262*F1262</f>
        <v>2422800.0000000065</v>
      </c>
      <c r="M1262" s="22"/>
      <c r="N1262" s="82"/>
      <c r="O1262" s="12"/>
    </row>
    <row r="1263" spans="1:15" ht="15.5" x14ac:dyDescent="0.35">
      <c r="A1263" s="616"/>
      <c r="B1263" s="100" t="s">
        <v>241</v>
      </c>
      <c r="C1263" s="52">
        <v>33</v>
      </c>
      <c r="D1263" s="2151"/>
      <c r="E1263" s="52" t="s">
        <v>259</v>
      </c>
      <c r="F1263" s="812">
        <v>1</v>
      </c>
      <c r="G1263" s="21">
        <v>349.1</v>
      </c>
      <c r="H1263" s="21">
        <v>349.1</v>
      </c>
      <c r="I1263" s="20">
        <f>H1263-G1263</f>
        <v>0</v>
      </c>
      <c r="J1263" s="616">
        <v>180000</v>
      </c>
      <c r="K1263" s="696"/>
      <c r="L1263" s="22">
        <f>J1263*I1263*F1263</f>
        <v>0</v>
      </c>
      <c r="M1263" s="22"/>
      <c r="N1263" s="82"/>
      <c r="O1263" s="12"/>
    </row>
    <row r="1264" spans="1:15" ht="15.5" x14ac:dyDescent="0.35">
      <c r="A1264" s="616"/>
      <c r="B1264" s="102"/>
      <c r="C1264" s="91"/>
      <c r="D1264" s="726"/>
      <c r="E1264" s="91"/>
      <c r="F1264" s="814"/>
      <c r="G1264" s="48"/>
      <c r="H1264" s="48"/>
      <c r="I1264" s="36"/>
      <c r="J1264" s="96" t="s">
        <v>30</v>
      </c>
      <c r="K1264" s="706"/>
      <c r="L1264" s="43">
        <f>SUM(L1261:L1263)</f>
        <v>4935960.0000000065</v>
      </c>
      <c r="M1264" s="43">
        <f>SUM(M1261:M1263)</f>
        <v>0</v>
      </c>
      <c r="N1264" s="85"/>
      <c r="O1264" s="12"/>
    </row>
    <row r="1265" spans="1:15" ht="15.5" x14ac:dyDescent="0.35">
      <c r="A1265" s="616"/>
      <c r="B1265" s="647" t="s">
        <v>1535</v>
      </c>
      <c r="C1265" s="648"/>
      <c r="D1265" s="700"/>
      <c r="E1265" s="648"/>
      <c r="F1265" s="807"/>
      <c r="G1265" s="648"/>
      <c r="H1265" s="648"/>
      <c r="I1265" s="648"/>
      <c r="J1265" s="648"/>
      <c r="K1265" s="700"/>
      <c r="L1265" s="648"/>
      <c r="M1265" s="651"/>
      <c r="N1265" s="649"/>
      <c r="O1265" s="8"/>
    </row>
    <row r="1266" spans="1:15" ht="15.5" x14ac:dyDescent="0.35">
      <c r="A1266" s="616"/>
      <c r="B1266" s="100" t="s">
        <v>1079</v>
      </c>
      <c r="C1266" s="52">
        <v>132</v>
      </c>
      <c r="D1266" s="2138" t="s">
        <v>1083</v>
      </c>
      <c r="E1266" s="615"/>
      <c r="F1266" s="812"/>
      <c r="G1266" s="5"/>
      <c r="H1266" s="5"/>
      <c r="I1266" s="5"/>
      <c r="J1266" s="616"/>
      <c r="K1266" s="696"/>
      <c r="L1266" s="16">
        <f>J1266*I1266*F1266</f>
        <v>0</v>
      </c>
      <c r="M1266" s="7"/>
      <c r="N1266" s="78"/>
      <c r="O1266" s="616"/>
    </row>
    <row r="1267" spans="1:15" ht="15.5" x14ac:dyDescent="0.35">
      <c r="A1267" s="616"/>
      <c r="B1267" s="100" t="s">
        <v>1078</v>
      </c>
      <c r="C1267" s="52">
        <v>132</v>
      </c>
      <c r="D1267" s="2139"/>
      <c r="E1267" s="615"/>
      <c r="F1267" s="812"/>
      <c r="G1267" s="5"/>
      <c r="H1267" s="5"/>
      <c r="I1267" s="5"/>
      <c r="J1267" s="616"/>
      <c r="K1267" s="696"/>
      <c r="L1267" s="16">
        <f>J1267*I1267*F1267</f>
        <v>0</v>
      </c>
      <c r="M1267" s="16"/>
      <c r="N1267" s="79"/>
      <c r="O1267" s="616"/>
    </row>
    <row r="1268" spans="1:15" ht="15.5" x14ac:dyDescent="0.35">
      <c r="A1268" s="616"/>
      <c r="B1268" s="95"/>
      <c r="C1268" s="89"/>
      <c r="D1268" s="1846"/>
      <c r="E1268" s="89"/>
      <c r="F1268" s="806"/>
      <c r="G1268" s="37"/>
      <c r="H1268" s="37"/>
      <c r="I1268" s="37"/>
      <c r="J1268" s="95" t="s">
        <v>279</v>
      </c>
      <c r="K1268" s="699"/>
      <c r="L1268" s="55">
        <f>SUM(L1266:L1267)</f>
        <v>0</v>
      </c>
      <c r="M1268" s="633"/>
      <c r="N1268" s="634"/>
      <c r="O1268" s="616"/>
    </row>
    <row r="1269" spans="1:15" ht="15.5" x14ac:dyDescent="0.35">
      <c r="A1269" s="616"/>
      <c r="B1269" s="102"/>
      <c r="C1269" s="91"/>
      <c r="D1269" s="726"/>
      <c r="E1269" s="91"/>
      <c r="F1269" s="814"/>
      <c r="G1269" s="48"/>
      <c r="H1269" s="48"/>
      <c r="I1269" s="36"/>
      <c r="J1269" s="96"/>
      <c r="K1269" s="706"/>
      <c r="L1269" s="43"/>
      <c r="M1269" s="43"/>
      <c r="N1269" s="85"/>
      <c r="O1269" s="12"/>
    </row>
    <row r="1270" spans="1:15" ht="15.5" x14ac:dyDescent="0.35">
      <c r="A1270" s="636"/>
      <c r="B1270" s="647" t="s">
        <v>1536</v>
      </c>
      <c r="C1270" s="648"/>
      <c r="D1270" s="700"/>
      <c r="E1270" s="648"/>
      <c r="F1270" s="807"/>
      <c r="G1270" s="648"/>
      <c r="H1270" s="648"/>
      <c r="I1270" s="648"/>
      <c r="J1270" s="50"/>
      <c r="K1270" s="710"/>
      <c r="L1270" s="51"/>
      <c r="M1270" s="51"/>
      <c r="N1270" s="649"/>
      <c r="O1270" s="12"/>
    </row>
    <row r="1271" spans="1:15" ht="15.5" x14ac:dyDescent="0.35">
      <c r="A1271" s="616">
        <v>1</v>
      </c>
      <c r="B1271" s="100" t="s">
        <v>4025</v>
      </c>
      <c r="C1271" s="52" t="s">
        <v>3833</v>
      </c>
      <c r="D1271" s="2140"/>
      <c r="E1271" s="52" t="s">
        <v>4346</v>
      </c>
      <c r="F1271" s="812">
        <v>1</v>
      </c>
      <c r="G1271" s="21">
        <v>27004.16</v>
      </c>
      <c r="H1271" s="21">
        <v>30833.98</v>
      </c>
      <c r="I1271" s="21">
        <f>H1271-G1271</f>
        <v>3829.8199999999997</v>
      </c>
      <c r="J1271" s="31">
        <v>1000</v>
      </c>
      <c r="K1271" s="707"/>
      <c r="L1271" s="22">
        <f>F1271*I1271*J1271</f>
        <v>3829819.9999999995</v>
      </c>
      <c r="M1271" s="22"/>
      <c r="N1271" s="83"/>
      <c r="O1271" s="12"/>
    </row>
    <row r="1272" spans="1:15" ht="15.5" x14ac:dyDescent="0.35">
      <c r="A1272" s="616">
        <v>3</v>
      </c>
      <c r="B1272" s="100" t="s">
        <v>4347</v>
      </c>
      <c r="C1272" s="52" t="s">
        <v>3833</v>
      </c>
      <c r="D1272" s="2141"/>
      <c r="E1272" s="52" t="s">
        <v>4034</v>
      </c>
      <c r="F1272" s="812">
        <v>1</v>
      </c>
      <c r="G1272" s="21"/>
      <c r="H1272" s="21"/>
      <c r="I1272" s="21"/>
      <c r="J1272" s="31">
        <v>1000</v>
      </c>
      <c r="K1272" s="707"/>
      <c r="L1272" s="22">
        <f>F1272*I1272*J1272</f>
        <v>0</v>
      </c>
      <c r="M1272" s="22"/>
      <c r="N1272" s="83"/>
      <c r="O1272" s="12"/>
    </row>
    <row r="1273" spans="1:15" ht="15.5" x14ac:dyDescent="0.35">
      <c r="A1273" s="616">
        <v>4</v>
      </c>
      <c r="B1273" s="100" t="s">
        <v>4027</v>
      </c>
      <c r="C1273" s="52" t="s">
        <v>3833</v>
      </c>
      <c r="D1273" s="2157"/>
      <c r="E1273" s="52" t="s">
        <v>4348</v>
      </c>
      <c r="F1273" s="812">
        <v>1</v>
      </c>
      <c r="G1273" s="21">
        <v>9694.2199999999993</v>
      </c>
      <c r="H1273" s="21">
        <v>13378.67</v>
      </c>
      <c r="I1273" s="21">
        <f>H1273-G1273</f>
        <v>3684.4500000000007</v>
      </c>
      <c r="J1273" s="31">
        <v>1000</v>
      </c>
      <c r="K1273" s="707"/>
      <c r="L1273" s="22">
        <f>F1273*I1273*J1273</f>
        <v>3684450.0000000009</v>
      </c>
      <c r="M1273" s="22"/>
      <c r="N1273" s="83"/>
      <c r="O1273" s="12"/>
    </row>
    <row r="1274" spans="1:15" ht="15" x14ac:dyDescent="0.35">
      <c r="A1274" s="636"/>
      <c r="B1274" s="96"/>
      <c r="C1274" s="90"/>
      <c r="D1274" s="96"/>
      <c r="E1274" s="90"/>
      <c r="F1274" s="813"/>
      <c r="G1274" s="38"/>
      <c r="H1274" s="38"/>
      <c r="I1274" s="38"/>
      <c r="J1274" s="96" t="s">
        <v>30</v>
      </c>
      <c r="K1274" s="708"/>
      <c r="L1274" s="43">
        <f>SUM(L1271:L1273)</f>
        <v>7514270</v>
      </c>
      <c r="M1274" s="43">
        <f>SUM(M1271:M1273)</f>
        <v>0</v>
      </c>
      <c r="N1274" s="650">
        <f>(M1274-L1274)/L1274*100</f>
        <v>-100</v>
      </c>
      <c r="O1274" s="12"/>
    </row>
    <row r="1275" spans="1:15" ht="15.5" thickBot="1" x14ac:dyDescent="0.4">
      <c r="A1275" s="702"/>
      <c r="B1275" s="736"/>
      <c r="C1275" s="92"/>
      <c r="D1275" s="736"/>
      <c r="E1275" s="92"/>
      <c r="F1275" s="815"/>
      <c r="G1275" s="737"/>
      <c r="H1275" s="737"/>
      <c r="I1275" s="737"/>
      <c r="J1275" s="736"/>
      <c r="K1275" s="738"/>
      <c r="L1275" s="739"/>
      <c r="M1275" s="739"/>
      <c r="N1275" s="646"/>
      <c r="O1275" s="740"/>
    </row>
    <row r="1276" spans="1:15" ht="15" x14ac:dyDescent="0.35">
      <c r="A1276" s="702"/>
      <c r="B1276" s="2142" t="s">
        <v>1339</v>
      </c>
      <c r="C1276" s="2143"/>
      <c r="D1276" s="683" t="s">
        <v>14</v>
      </c>
      <c r="F1276" s="2144" t="s">
        <v>1350</v>
      </c>
      <c r="G1276" s="2145"/>
      <c r="H1276" s="2146"/>
      <c r="I1276" s="683" t="s">
        <v>14</v>
      </c>
      <c r="J1276" s="620"/>
      <c r="K1276" s="2147" t="s">
        <v>1092</v>
      </c>
      <c r="L1276" s="2148"/>
      <c r="M1276" s="684" t="s">
        <v>14</v>
      </c>
      <c r="N1276" s="646"/>
      <c r="O1276" s="740"/>
    </row>
    <row r="1277" spans="1:15" ht="15" x14ac:dyDescent="0.35">
      <c r="A1277" s="702"/>
      <c r="B1277" s="2122" t="str">
        <f>B1254</f>
        <v>MOGBAZAR 33 KV SIDE</v>
      </c>
      <c r="C1277" s="2123"/>
      <c r="D1277" s="689">
        <f>M1259</f>
        <v>0</v>
      </c>
      <c r="F1277" s="2124" t="s">
        <v>1093</v>
      </c>
      <c r="G1277" s="2125"/>
      <c r="H1277" s="2126"/>
      <c r="I1277" s="685">
        <f>L1268</f>
        <v>0</v>
      </c>
      <c r="J1277" s="620"/>
      <c r="K1277" s="2160" t="str">
        <f>F1278</f>
        <v>DHAKA UDDYAN 33 KV NET IMPORT</v>
      </c>
      <c r="L1277" s="2161"/>
      <c r="M1277" s="687" t="e">
        <f>I1278</f>
        <v>#REF!</v>
      </c>
      <c r="N1277" s="646"/>
      <c r="O1277" s="740"/>
    </row>
    <row r="1278" spans="1:15" ht="15" x14ac:dyDescent="0.35">
      <c r="A1278" s="702"/>
      <c r="B1278" s="2122" t="e">
        <f>#REF!</f>
        <v>#REF!</v>
      </c>
      <c r="C1278" s="2123"/>
      <c r="D1278" s="741" t="e">
        <f>#REF!</f>
        <v>#REF!</v>
      </c>
      <c r="F1278" s="2124" t="s">
        <v>1537</v>
      </c>
      <c r="G1278" s="2125"/>
      <c r="H1278" s="2126"/>
      <c r="I1278" s="685" t="e">
        <f>D1281-I1277</f>
        <v>#REF!</v>
      </c>
      <c r="J1278" s="620"/>
      <c r="K1278" s="2162" t="s">
        <v>1538</v>
      </c>
      <c r="L1278" s="2163"/>
      <c r="M1278" s="685">
        <f>M1312</f>
        <v>0</v>
      </c>
      <c r="N1278" s="646"/>
      <c r="O1278" s="740"/>
    </row>
    <row r="1279" spans="1:15" ht="15" x14ac:dyDescent="0.35">
      <c r="A1279" s="702"/>
      <c r="B1279" s="2122" t="s">
        <v>1117</v>
      </c>
      <c r="C1279" s="2123"/>
      <c r="D1279" s="721"/>
      <c r="F1279" s="2124" t="s">
        <v>1089</v>
      </c>
      <c r="G1279" s="2125"/>
      <c r="H1279" s="2126"/>
      <c r="I1279" s="685" t="e">
        <f>I1277+I1278</f>
        <v>#REF!</v>
      </c>
      <c r="J1279" s="620"/>
      <c r="K1279" s="2127" t="s">
        <v>284</v>
      </c>
      <c r="L1279" s="2128"/>
      <c r="M1279" s="685" t="e">
        <f>M1277-M1278</f>
        <v>#REF!</v>
      </c>
      <c r="N1279" s="646"/>
      <c r="O1279" s="740"/>
    </row>
    <row r="1280" spans="1:15" ht="16" thickBot="1" x14ac:dyDescent="0.4">
      <c r="A1280" s="702"/>
      <c r="B1280" s="2122" t="s">
        <v>1118</v>
      </c>
      <c r="C1280" s="2123"/>
      <c r="D1280" s="722"/>
      <c r="F1280" s="2113" t="s">
        <v>1102</v>
      </c>
      <c r="G1280" s="2114"/>
      <c r="H1280" s="2115"/>
      <c r="I1280" s="690" t="e">
        <f>(D1281-I1279)/I1279</f>
        <v>#REF!</v>
      </c>
      <c r="J1280" s="620"/>
      <c r="K1280" s="2134" t="s">
        <v>285</v>
      </c>
      <c r="L1280" s="2135"/>
      <c r="M1280" s="688" t="e">
        <f>M1279/M1277</f>
        <v>#REF!</v>
      </c>
      <c r="N1280" s="646"/>
      <c r="O1280" s="740"/>
    </row>
    <row r="1281" spans="1:15" ht="15.5" thickBot="1" x14ac:dyDescent="0.4">
      <c r="A1281" s="702"/>
      <c r="B1281" s="2158" t="s">
        <v>1082</v>
      </c>
      <c r="C1281" s="2159"/>
      <c r="D1281" s="686" t="e">
        <f>SUM(D1277:D1279)</f>
        <v>#REF!</v>
      </c>
      <c r="F1281" s="810"/>
      <c r="G1281" s="620"/>
      <c r="H1281" s="620"/>
      <c r="I1281" s="620"/>
      <c r="J1281" s="620"/>
      <c r="K1281" s="702"/>
      <c r="L1281" s="620"/>
      <c r="M1281" s="620"/>
      <c r="N1281" s="646"/>
      <c r="O1281" s="740"/>
    </row>
    <row r="1282" spans="1:15" ht="15" x14ac:dyDescent="0.35">
      <c r="A1282" s="702"/>
      <c r="B1282" s="736"/>
      <c r="C1282" s="92"/>
      <c r="D1282" s="736"/>
      <c r="E1282" s="92"/>
      <c r="F1282" s="815"/>
      <c r="G1282" s="737"/>
      <c r="H1282" s="737"/>
      <c r="I1282" s="737"/>
      <c r="J1282" s="736"/>
      <c r="K1282" s="738"/>
      <c r="L1282" s="739"/>
      <c r="M1282" s="739"/>
      <c r="N1282" s="646"/>
      <c r="O1282" s="740"/>
    </row>
    <row r="1283" spans="1:15" x14ac:dyDescent="0.35">
      <c r="A1283" s="620"/>
      <c r="B1283" s="632"/>
      <c r="C1283" s="620"/>
      <c r="D1283" s="2014"/>
      <c r="E1283" s="620"/>
      <c r="F1283" s="810"/>
      <c r="G1283" s="620"/>
      <c r="H1283" s="620"/>
      <c r="I1283" s="620"/>
      <c r="J1283" s="620"/>
      <c r="K1283" s="702"/>
      <c r="L1283" s="620"/>
      <c r="M1283" s="620"/>
      <c r="N1283" s="620"/>
      <c r="O1283" s="620"/>
    </row>
    <row r="1284" spans="1:15" x14ac:dyDescent="0.35">
      <c r="A1284" s="620"/>
      <c r="B1284" s="632"/>
      <c r="C1284" s="620"/>
      <c r="D1284" s="2014"/>
      <c r="E1284" s="620"/>
      <c r="F1284" s="810"/>
      <c r="G1284" s="620"/>
      <c r="H1284" s="620"/>
      <c r="I1284" s="620"/>
      <c r="J1284" s="620"/>
      <c r="K1284" s="702"/>
      <c r="L1284" s="620"/>
      <c r="M1284" s="620"/>
      <c r="N1284" s="620"/>
      <c r="O1284" s="620"/>
    </row>
    <row r="1285" spans="1:15" ht="25" x14ac:dyDescent="0.35">
      <c r="A1285" s="2095" t="s">
        <v>1178</v>
      </c>
      <c r="B1285" s="2095"/>
      <c r="C1285" s="2095"/>
      <c r="D1285" s="2095"/>
      <c r="E1285" s="2095"/>
      <c r="F1285" s="2095"/>
      <c r="G1285" s="2095"/>
      <c r="H1285" s="2095"/>
      <c r="I1285" s="2095"/>
      <c r="J1285" s="2095"/>
      <c r="K1285" s="2095"/>
      <c r="L1285" s="2095"/>
      <c r="M1285" s="2095"/>
      <c r="N1285" s="2095"/>
      <c r="O1285" s="756" t="e">
        <f>$O$6</f>
        <v>#REF!</v>
      </c>
    </row>
    <row r="1286" spans="1:15" ht="15.5" x14ac:dyDescent="0.35">
      <c r="A1286" s="2096" t="s">
        <v>0</v>
      </c>
      <c r="B1286" s="2098" t="s">
        <v>1</v>
      </c>
      <c r="C1286" s="2100" t="s">
        <v>2</v>
      </c>
      <c r="D1286" s="2101"/>
      <c r="E1286" s="2102"/>
      <c r="F1286" s="2216" t="s">
        <v>3</v>
      </c>
      <c r="G1286" s="2100" t="s">
        <v>4</v>
      </c>
      <c r="H1286" s="2102"/>
      <c r="I1286" s="2085"/>
      <c r="J1286" s="2103" t="s">
        <v>5</v>
      </c>
      <c r="K1286" s="2100" t="s">
        <v>6</v>
      </c>
      <c r="L1286" s="2085"/>
      <c r="M1286" s="97" t="s">
        <v>32</v>
      </c>
      <c r="N1286" s="98"/>
      <c r="O1286" s="2084" t="s">
        <v>7</v>
      </c>
    </row>
    <row r="1287" spans="1:15" ht="15.5" x14ac:dyDescent="0.35">
      <c r="A1287" s="2097"/>
      <c r="B1287" s="2099"/>
      <c r="C1287" s="2086" t="s">
        <v>1108</v>
      </c>
      <c r="D1287" s="2087"/>
      <c r="E1287" s="87" t="s">
        <v>9</v>
      </c>
      <c r="F1287" s="2217"/>
      <c r="G1287" s="2">
        <f>'NORTH-1'!$G$8</f>
        <v>44774</v>
      </c>
      <c r="H1287" s="2">
        <f>'NORTH-1'!$H$8</f>
        <v>44805</v>
      </c>
      <c r="I1287" s="1" t="s">
        <v>10</v>
      </c>
      <c r="J1287" s="2097"/>
      <c r="K1287" s="1" t="s">
        <v>11</v>
      </c>
      <c r="L1287" s="1" t="s">
        <v>12</v>
      </c>
      <c r="M1287" s="617" t="s">
        <v>33</v>
      </c>
      <c r="N1287" s="76" t="s">
        <v>47</v>
      </c>
      <c r="O1287" s="2085"/>
    </row>
    <row r="1288" spans="1:15" ht="15.5" x14ac:dyDescent="0.35">
      <c r="A1288" s="3">
        <v>1</v>
      </c>
      <c r="B1288" s="88">
        <v>2</v>
      </c>
      <c r="C1288" s="2088">
        <v>4</v>
      </c>
      <c r="D1288" s="2089"/>
      <c r="E1288" s="88">
        <v>5</v>
      </c>
      <c r="F1288" s="803">
        <v>7</v>
      </c>
      <c r="G1288" s="3">
        <v>8</v>
      </c>
      <c r="H1288" s="3">
        <v>9</v>
      </c>
      <c r="I1288" s="3" t="s">
        <v>13</v>
      </c>
      <c r="J1288" s="3">
        <v>11</v>
      </c>
      <c r="K1288" s="3" t="s">
        <v>19</v>
      </c>
      <c r="L1288" s="3" t="s">
        <v>20</v>
      </c>
      <c r="M1288" s="3">
        <v>14</v>
      </c>
      <c r="N1288" s="77">
        <v>15</v>
      </c>
      <c r="O1288" s="3">
        <v>16</v>
      </c>
    </row>
    <row r="1289" spans="1:15" ht="15.5" x14ac:dyDescent="0.35">
      <c r="A1289" s="631"/>
      <c r="B1289" s="624" t="s">
        <v>1539</v>
      </c>
      <c r="C1289" s="625"/>
      <c r="D1289" s="695"/>
      <c r="E1289" s="625"/>
      <c r="F1289" s="804"/>
      <c r="G1289" s="625"/>
      <c r="H1289" s="625"/>
      <c r="I1289" s="625"/>
      <c r="J1289" s="625"/>
      <c r="K1289" s="695"/>
      <c r="L1289" s="625"/>
      <c r="M1289" s="626"/>
      <c r="N1289" s="627"/>
      <c r="O1289" s="616"/>
    </row>
    <row r="1290" spans="1:15" ht="15.5" x14ac:dyDescent="0.35">
      <c r="A1290" s="631">
        <v>14</v>
      </c>
      <c r="B1290" s="100" t="s">
        <v>4029</v>
      </c>
      <c r="C1290" s="52" t="s">
        <v>3872</v>
      </c>
      <c r="D1290" s="2105"/>
      <c r="E1290" s="52" t="s">
        <v>4349</v>
      </c>
      <c r="F1290" s="812">
        <v>1</v>
      </c>
      <c r="G1290" s="21">
        <v>26182.240000000002</v>
      </c>
      <c r="H1290" s="21">
        <v>29992.1</v>
      </c>
      <c r="I1290" s="21">
        <f>H1290-G1290</f>
        <v>3809.8599999999969</v>
      </c>
      <c r="J1290" s="616">
        <v>1000</v>
      </c>
      <c r="K1290" s="696">
        <f>F1290*I1290*J1290</f>
        <v>3809859.9999999967</v>
      </c>
      <c r="L1290" s="22"/>
      <c r="M1290" s="22"/>
      <c r="N1290" s="82"/>
      <c r="O1290" s="616"/>
    </row>
    <row r="1291" spans="1:15" ht="15.5" x14ac:dyDescent="0.35">
      <c r="A1291" s="631">
        <v>15</v>
      </c>
      <c r="B1291" s="100" t="s">
        <v>4030</v>
      </c>
      <c r="C1291" s="52" t="s">
        <v>3872</v>
      </c>
      <c r="D1291" s="2151"/>
      <c r="E1291" s="52" t="s">
        <v>4350</v>
      </c>
      <c r="F1291" s="812">
        <v>1</v>
      </c>
      <c r="G1291" s="21">
        <v>9208.76</v>
      </c>
      <c r="H1291" s="21">
        <v>12879.26</v>
      </c>
      <c r="I1291" s="21">
        <f>H1291-G1291</f>
        <v>3670.5</v>
      </c>
      <c r="J1291" s="616">
        <v>1000</v>
      </c>
      <c r="K1291" s="696">
        <f>F1291*I1291*J1291</f>
        <v>3670500</v>
      </c>
      <c r="L1291" s="22"/>
      <c r="M1291" s="22"/>
      <c r="N1291" s="82"/>
      <c r="O1291" s="616"/>
    </row>
    <row r="1292" spans="1:15" ht="15.5" x14ac:dyDescent="0.35">
      <c r="A1292" s="631"/>
      <c r="B1292" s="102"/>
      <c r="C1292" s="91"/>
      <c r="D1292" s="726"/>
      <c r="E1292" s="91"/>
      <c r="F1292" s="814"/>
      <c r="G1292" s="48"/>
      <c r="H1292" s="48"/>
      <c r="I1292" s="48"/>
      <c r="J1292" s="39" t="s">
        <v>30</v>
      </c>
      <c r="K1292" s="43">
        <f>SUM(K1290:K1291)</f>
        <v>7480359.9999999963</v>
      </c>
      <c r="L1292" s="49"/>
      <c r="M1292" s="43">
        <f>SUM(M1290:M1291)</f>
        <v>0</v>
      </c>
      <c r="N1292" s="85"/>
      <c r="O1292" s="616"/>
    </row>
    <row r="1293" spans="1:15" ht="15.5" x14ac:dyDescent="0.35">
      <c r="A1293" s="631"/>
      <c r="B1293" s="647" t="s">
        <v>1539</v>
      </c>
      <c r="C1293" s="648"/>
      <c r="D1293" s="700"/>
      <c r="E1293" s="648"/>
      <c r="F1293" s="807"/>
      <c r="G1293" s="648"/>
      <c r="H1293" s="648"/>
      <c r="I1293" s="648"/>
      <c r="J1293" s="50"/>
      <c r="K1293" s="710"/>
      <c r="L1293" s="51"/>
      <c r="M1293" s="51"/>
      <c r="N1293" s="649"/>
      <c r="O1293" s="616"/>
    </row>
    <row r="1294" spans="1:15" ht="20.25" customHeight="1" x14ac:dyDescent="0.35">
      <c r="A1294" s="631">
        <v>7</v>
      </c>
      <c r="B1294" s="100" t="s">
        <v>1446</v>
      </c>
      <c r="C1294" s="73" t="s">
        <v>3872</v>
      </c>
      <c r="D1294" s="1768"/>
      <c r="E1294" s="52" t="s">
        <v>4351</v>
      </c>
      <c r="F1294" s="812">
        <v>1</v>
      </c>
      <c r="G1294" s="6"/>
      <c r="H1294" s="6"/>
      <c r="I1294" s="20">
        <f t="shared" ref="I1294:I1311" si="43">H1294-G1294</f>
        <v>0</v>
      </c>
      <c r="J1294" s="616">
        <v>1000</v>
      </c>
      <c r="K1294" s="703"/>
      <c r="L1294" s="22">
        <f t="shared" ref="L1294:L1309" si="44">F1294*I1294*J1294</f>
        <v>0</v>
      </c>
      <c r="M1294" s="22"/>
      <c r="N1294" s="72" t="s">
        <v>119</v>
      </c>
      <c r="O1294" s="15"/>
    </row>
    <row r="1295" spans="1:15" ht="20.25" customHeight="1" x14ac:dyDescent="0.35">
      <c r="A1295" s="631"/>
      <c r="B1295" s="100" t="s">
        <v>4352</v>
      </c>
      <c r="C1295" s="73" t="s">
        <v>3872</v>
      </c>
      <c r="D1295" s="1769"/>
      <c r="E1295" s="52" t="s">
        <v>4353</v>
      </c>
      <c r="F1295" s="812">
        <v>1</v>
      </c>
      <c r="G1295" s="6">
        <v>46429.84</v>
      </c>
      <c r="H1295" s="6">
        <v>46734.94</v>
      </c>
      <c r="I1295" s="20">
        <f t="shared" si="43"/>
        <v>305.10000000000582</v>
      </c>
      <c r="J1295" s="616">
        <v>1000</v>
      </c>
      <c r="K1295" s="703"/>
      <c r="L1295" s="22">
        <f t="shared" si="44"/>
        <v>305100.00000000582</v>
      </c>
      <c r="M1295" s="22"/>
      <c r="N1295" s="72" t="s">
        <v>119</v>
      </c>
      <c r="O1295" s="15"/>
    </row>
    <row r="1296" spans="1:15" ht="20.25" customHeight="1" x14ac:dyDescent="0.35">
      <c r="A1296" s="631">
        <v>8</v>
      </c>
      <c r="B1296" s="100" t="s">
        <v>4354</v>
      </c>
      <c r="C1296" s="73" t="s">
        <v>3872</v>
      </c>
      <c r="D1296" s="1769"/>
      <c r="E1296" s="52" t="s">
        <v>4355</v>
      </c>
      <c r="F1296" s="812">
        <v>1</v>
      </c>
      <c r="G1296" s="6">
        <v>5572.66</v>
      </c>
      <c r="H1296" s="6">
        <v>6720.46</v>
      </c>
      <c r="I1296" s="20">
        <f t="shared" si="43"/>
        <v>1147.8000000000002</v>
      </c>
      <c r="J1296" s="616">
        <v>1000</v>
      </c>
      <c r="K1296" s="703"/>
      <c r="L1296" s="22">
        <f t="shared" si="44"/>
        <v>1147800.0000000002</v>
      </c>
      <c r="M1296" s="22"/>
      <c r="N1296" s="72" t="s">
        <v>119</v>
      </c>
      <c r="O1296" s="15"/>
    </row>
    <row r="1297" spans="1:15" ht="20.25" customHeight="1" x14ac:dyDescent="0.35">
      <c r="A1297" s="631">
        <v>9</v>
      </c>
      <c r="B1297" s="100" t="s">
        <v>4356</v>
      </c>
      <c r="C1297" s="73" t="s">
        <v>3872</v>
      </c>
      <c r="D1297" s="1769"/>
      <c r="E1297" s="52" t="s">
        <v>4357</v>
      </c>
      <c r="F1297" s="812">
        <v>1</v>
      </c>
      <c r="G1297" s="6">
        <v>21956.34</v>
      </c>
      <c r="H1297" s="6">
        <v>22434.23</v>
      </c>
      <c r="I1297" s="20">
        <f t="shared" si="43"/>
        <v>477.88999999999942</v>
      </c>
      <c r="J1297" s="616">
        <v>1000</v>
      </c>
      <c r="K1297" s="703"/>
      <c r="L1297" s="22">
        <f t="shared" si="44"/>
        <v>477889.99999999942</v>
      </c>
      <c r="M1297" s="22"/>
      <c r="N1297" s="72" t="s">
        <v>119</v>
      </c>
      <c r="O1297" s="15"/>
    </row>
    <row r="1298" spans="1:15" ht="20.25" customHeight="1" x14ac:dyDescent="0.35">
      <c r="A1298" s="631">
        <v>10</v>
      </c>
      <c r="B1298" s="100" t="s">
        <v>4358</v>
      </c>
      <c r="C1298" s="73" t="s">
        <v>3872</v>
      </c>
      <c r="D1298" s="1769"/>
      <c r="E1298" s="52" t="s">
        <v>4359</v>
      </c>
      <c r="F1298" s="812">
        <v>1</v>
      </c>
      <c r="G1298" s="6">
        <v>29930.2</v>
      </c>
      <c r="H1298" s="6">
        <v>30410.9</v>
      </c>
      <c r="I1298" s="20">
        <f t="shared" si="43"/>
        <v>480.70000000000073</v>
      </c>
      <c r="J1298" s="616">
        <v>1000</v>
      </c>
      <c r="K1298" s="703"/>
      <c r="L1298" s="22">
        <f t="shared" si="44"/>
        <v>480700.0000000007</v>
      </c>
      <c r="M1298" s="22"/>
      <c r="N1298" s="72" t="s">
        <v>119</v>
      </c>
      <c r="O1298" s="15"/>
    </row>
    <row r="1299" spans="1:15" ht="20.25" customHeight="1" x14ac:dyDescent="0.35">
      <c r="A1299" s="631">
        <v>11</v>
      </c>
      <c r="B1299" s="100" t="s">
        <v>4360</v>
      </c>
      <c r="C1299" s="73" t="s">
        <v>3872</v>
      </c>
      <c r="D1299" s="1769"/>
      <c r="E1299" s="52" t="s">
        <v>4361</v>
      </c>
      <c r="F1299" s="812">
        <v>1</v>
      </c>
      <c r="G1299" s="6"/>
      <c r="H1299" s="6"/>
      <c r="I1299" s="20">
        <f t="shared" si="43"/>
        <v>0</v>
      </c>
      <c r="J1299" s="616">
        <v>1000</v>
      </c>
      <c r="K1299" s="703"/>
      <c r="L1299" s="22">
        <f t="shared" si="44"/>
        <v>0</v>
      </c>
      <c r="M1299" s="22"/>
      <c r="N1299" s="72" t="s">
        <v>119</v>
      </c>
      <c r="O1299" s="15"/>
    </row>
    <row r="1300" spans="1:15" ht="20.25" customHeight="1" x14ac:dyDescent="0.35">
      <c r="A1300" s="631">
        <v>12</v>
      </c>
      <c r="B1300" s="100" t="s">
        <v>4362</v>
      </c>
      <c r="C1300" s="73" t="s">
        <v>3872</v>
      </c>
      <c r="D1300" s="1769"/>
      <c r="E1300" s="52" t="s">
        <v>4363</v>
      </c>
      <c r="F1300" s="812">
        <v>1</v>
      </c>
      <c r="G1300" s="6">
        <v>13134.86</v>
      </c>
      <c r="H1300" s="6">
        <v>14530.46</v>
      </c>
      <c r="I1300" s="20">
        <f t="shared" si="43"/>
        <v>1395.5999999999985</v>
      </c>
      <c r="J1300" s="616">
        <v>1000</v>
      </c>
      <c r="K1300" s="703"/>
      <c r="L1300" s="22">
        <f t="shared" si="44"/>
        <v>1395599.9999999986</v>
      </c>
      <c r="M1300" s="22"/>
      <c r="N1300" s="72" t="s">
        <v>119</v>
      </c>
      <c r="O1300" s="15"/>
    </row>
    <row r="1301" spans="1:15" ht="20.25" customHeight="1" x14ac:dyDescent="0.35">
      <c r="A1301" s="631">
        <v>13</v>
      </c>
      <c r="B1301" s="100" t="s">
        <v>1446</v>
      </c>
      <c r="C1301" s="73" t="s">
        <v>3872</v>
      </c>
      <c r="D1301" s="1769"/>
      <c r="E1301" s="52" t="s">
        <v>4364</v>
      </c>
      <c r="F1301" s="812">
        <v>1</v>
      </c>
      <c r="G1301" s="6"/>
      <c r="H1301" s="6"/>
      <c r="I1301" s="20">
        <f t="shared" si="43"/>
        <v>0</v>
      </c>
      <c r="J1301" s="616">
        <v>1000</v>
      </c>
      <c r="K1301" s="703"/>
      <c r="L1301" s="22">
        <f t="shared" si="44"/>
        <v>0</v>
      </c>
      <c r="M1301" s="22"/>
      <c r="N1301" s="72" t="s">
        <v>119</v>
      </c>
      <c r="O1301" s="15"/>
    </row>
    <row r="1302" spans="1:15" ht="20.25" customHeight="1" x14ac:dyDescent="0.35">
      <c r="A1302" s="631">
        <v>16</v>
      </c>
      <c r="B1302" s="100" t="s">
        <v>1446</v>
      </c>
      <c r="C1302" s="73" t="s">
        <v>3872</v>
      </c>
      <c r="D1302" s="1769"/>
      <c r="E1302" s="52" t="s">
        <v>4365</v>
      </c>
      <c r="F1302" s="812">
        <v>1</v>
      </c>
      <c r="G1302" s="6"/>
      <c r="H1302" s="6"/>
      <c r="I1302" s="20">
        <f t="shared" si="43"/>
        <v>0</v>
      </c>
      <c r="J1302" s="616">
        <v>1000</v>
      </c>
      <c r="K1302" s="703"/>
      <c r="L1302" s="22">
        <f t="shared" si="44"/>
        <v>0</v>
      </c>
      <c r="M1302" s="22"/>
      <c r="N1302" s="72" t="s">
        <v>119</v>
      </c>
      <c r="O1302" s="15"/>
    </row>
    <row r="1303" spans="1:15" ht="20.25" customHeight="1" x14ac:dyDescent="0.35">
      <c r="A1303" s="631">
        <v>17</v>
      </c>
      <c r="B1303" s="100" t="s">
        <v>1446</v>
      </c>
      <c r="C1303" s="73" t="s">
        <v>3872</v>
      </c>
      <c r="D1303" s="1769"/>
      <c r="E1303" s="52" t="s">
        <v>4366</v>
      </c>
      <c r="F1303" s="812">
        <v>1</v>
      </c>
      <c r="G1303" s="6"/>
      <c r="H1303" s="6"/>
      <c r="I1303" s="20">
        <f t="shared" si="43"/>
        <v>0</v>
      </c>
      <c r="J1303" s="616">
        <v>1000</v>
      </c>
      <c r="K1303" s="703"/>
      <c r="L1303" s="22">
        <f t="shared" si="44"/>
        <v>0</v>
      </c>
      <c r="M1303" s="22"/>
      <c r="N1303" s="72" t="s">
        <v>119</v>
      </c>
      <c r="O1303" s="15"/>
    </row>
    <row r="1304" spans="1:15" ht="20.25" customHeight="1" x14ac:dyDescent="0.35">
      <c r="A1304" s="631">
        <v>18</v>
      </c>
      <c r="B1304" s="100" t="s">
        <v>4367</v>
      </c>
      <c r="C1304" s="73" t="s">
        <v>3872</v>
      </c>
      <c r="D1304" s="1769"/>
      <c r="E1304" s="52" t="s">
        <v>4368</v>
      </c>
      <c r="F1304" s="812">
        <v>1</v>
      </c>
      <c r="G1304" s="6">
        <v>25820.65</v>
      </c>
      <c r="H1304" s="6">
        <v>26385.67</v>
      </c>
      <c r="I1304" s="20">
        <f t="shared" si="43"/>
        <v>565.0199999999968</v>
      </c>
      <c r="J1304" s="616">
        <v>1000</v>
      </c>
      <c r="K1304" s="703"/>
      <c r="L1304" s="22">
        <f t="shared" si="44"/>
        <v>565019.99999999674</v>
      </c>
      <c r="M1304" s="22"/>
      <c r="N1304" s="72" t="s">
        <v>107</v>
      </c>
      <c r="O1304" s="15"/>
    </row>
    <row r="1305" spans="1:15" ht="20.25" customHeight="1" x14ac:dyDescent="0.35">
      <c r="A1305" s="631">
        <v>19</v>
      </c>
      <c r="B1305" s="100" t="s">
        <v>4369</v>
      </c>
      <c r="C1305" s="73" t="s">
        <v>3872</v>
      </c>
      <c r="D1305" s="1769"/>
      <c r="E1305" s="52" t="s">
        <v>4370</v>
      </c>
      <c r="F1305" s="812">
        <v>1</v>
      </c>
      <c r="G1305" s="6">
        <v>2736.1</v>
      </c>
      <c r="H1305" s="6">
        <v>3028</v>
      </c>
      <c r="I1305" s="20">
        <f t="shared" si="43"/>
        <v>291.90000000000009</v>
      </c>
      <c r="J1305" s="616">
        <v>1000</v>
      </c>
      <c r="K1305" s="703"/>
      <c r="L1305" s="22">
        <f t="shared" si="44"/>
        <v>291900.00000000012</v>
      </c>
      <c r="M1305" s="22"/>
      <c r="N1305" s="72" t="s">
        <v>119</v>
      </c>
      <c r="O1305" s="15"/>
    </row>
    <row r="1306" spans="1:15" ht="20.25" customHeight="1" x14ac:dyDescent="0.35">
      <c r="A1306" s="631">
        <v>20</v>
      </c>
      <c r="B1306" s="100" t="s">
        <v>4371</v>
      </c>
      <c r="C1306" s="73" t="s">
        <v>3872</v>
      </c>
      <c r="D1306" s="1769"/>
      <c r="E1306" s="52" t="s">
        <v>4372</v>
      </c>
      <c r="F1306" s="812">
        <v>1</v>
      </c>
      <c r="G1306" s="6">
        <v>2171.2600000000002</v>
      </c>
      <c r="H1306" s="6">
        <v>2384.02</v>
      </c>
      <c r="I1306" s="20">
        <f t="shared" si="43"/>
        <v>212.75999999999976</v>
      </c>
      <c r="J1306" s="616">
        <v>1000</v>
      </c>
      <c r="K1306" s="703"/>
      <c r="L1306" s="22">
        <f t="shared" si="44"/>
        <v>212759.99999999977</v>
      </c>
      <c r="M1306" s="22"/>
      <c r="N1306" s="72" t="s">
        <v>119</v>
      </c>
      <c r="O1306" s="15"/>
    </row>
    <row r="1307" spans="1:15" ht="20.25" customHeight="1" x14ac:dyDescent="0.35">
      <c r="A1307" s="631">
        <v>21</v>
      </c>
      <c r="B1307" s="100" t="s">
        <v>4373</v>
      </c>
      <c r="C1307" s="73" t="s">
        <v>3872</v>
      </c>
      <c r="D1307" s="1769"/>
      <c r="E1307" s="52" t="s">
        <v>4374</v>
      </c>
      <c r="F1307" s="812">
        <v>1</v>
      </c>
      <c r="G1307" s="6">
        <v>68136.759999999995</v>
      </c>
      <c r="H1307" s="6">
        <v>69586.149999999994</v>
      </c>
      <c r="I1307" s="20">
        <f t="shared" si="43"/>
        <v>1449.3899999999994</v>
      </c>
      <c r="J1307" s="616">
        <v>1000</v>
      </c>
      <c r="K1307" s="703"/>
      <c r="L1307" s="22">
        <f t="shared" si="44"/>
        <v>1449389.9999999995</v>
      </c>
      <c r="M1307" s="22"/>
      <c r="N1307" s="72" t="s">
        <v>107</v>
      </c>
      <c r="O1307" s="15"/>
    </row>
    <row r="1308" spans="1:15" ht="20.25" customHeight="1" x14ac:dyDescent="0.35">
      <c r="A1308" s="631">
        <v>22</v>
      </c>
      <c r="B1308" s="100" t="s">
        <v>4375</v>
      </c>
      <c r="C1308" s="73" t="s">
        <v>3872</v>
      </c>
      <c r="D1308" s="1769"/>
      <c r="E1308" s="52" t="s">
        <v>4376</v>
      </c>
      <c r="F1308" s="812">
        <v>1</v>
      </c>
      <c r="G1308" s="6">
        <v>6099.05</v>
      </c>
      <c r="H1308" s="6">
        <v>6996.19</v>
      </c>
      <c r="I1308" s="20">
        <f t="shared" si="43"/>
        <v>897.13999999999942</v>
      </c>
      <c r="J1308" s="616">
        <v>1000</v>
      </c>
      <c r="K1308" s="703"/>
      <c r="L1308" s="22">
        <f t="shared" si="44"/>
        <v>897139.99999999942</v>
      </c>
      <c r="M1308" s="22"/>
      <c r="N1308" s="72" t="s">
        <v>119</v>
      </c>
      <c r="O1308" s="15"/>
    </row>
    <row r="1309" spans="1:15" ht="20.25" customHeight="1" x14ac:dyDescent="0.35">
      <c r="A1309" s="631">
        <v>23</v>
      </c>
      <c r="B1309" s="100" t="s">
        <v>4377</v>
      </c>
      <c r="C1309" s="73" t="s">
        <v>3872</v>
      </c>
      <c r="D1309" s="1769"/>
      <c r="E1309" s="52" t="s">
        <v>4378</v>
      </c>
      <c r="F1309" s="812">
        <v>1</v>
      </c>
      <c r="G1309" s="6">
        <v>4804.99</v>
      </c>
      <c r="H1309" s="6">
        <v>5058.3599999999997</v>
      </c>
      <c r="I1309" s="20">
        <f t="shared" si="43"/>
        <v>253.36999999999989</v>
      </c>
      <c r="J1309" s="616">
        <v>1000</v>
      </c>
      <c r="K1309" s="703"/>
      <c r="L1309" s="22">
        <f t="shared" si="44"/>
        <v>253369.99999999988</v>
      </c>
      <c r="M1309" s="22"/>
      <c r="N1309" s="72" t="s">
        <v>107</v>
      </c>
      <c r="O1309" s="15"/>
    </row>
    <row r="1310" spans="1:15" ht="20.25" customHeight="1" x14ac:dyDescent="0.35">
      <c r="A1310" s="631">
        <v>24</v>
      </c>
      <c r="B1310" s="100" t="s">
        <v>3984</v>
      </c>
      <c r="C1310" s="73" t="s">
        <v>3867</v>
      </c>
      <c r="D1310" s="1769"/>
      <c r="E1310" s="52" t="s">
        <v>4379</v>
      </c>
      <c r="F1310" s="812">
        <v>1</v>
      </c>
      <c r="G1310" s="6">
        <v>1571.64</v>
      </c>
      <c r="H1310" s="6">
        <v>1595.71</v>
      </c>
      <c r="I1310" s="20">
        <f t="shared" si="43"/>
        <v>24.069999999999936</v>
      </c>
      <c r="J1310" s="616">
        <v>100</v>
      </c>
      <c r="K1310" s="703"/>
      <c r="L1310" s="22">
        <v>2406.9999999999936</v>
      </c>
      <c r="M1310" s="22"/>
      <c r="N1310" s="72" t="s">
        <v>119</v>
      </c>
      <c r="O1310" s="15"/>
    </row>
    <row r="1311" spans="1:15" ht="20.25" customHeight="1" x14ac:dyDescent="0.35">
      <c r="A1311" s="631">
        <v>25</v>
      </c>
      <c r="B1311" s="100" t="s">
        <v>3985</v>
      </c>
      <c r="C1311" s="73" t="s">
        <v>3867</v>
      </c>
      <c r="D1311" s="766"/>
      <c r="E1311" s="52" t="s">
        <v>4380</v>
      </c>
      <c r="F1311" s="812">
        <v>1</v>
      </c>
      <c r="G1311" s="6">
        <v>227.66</v>
      </c>
      <c r="H1311" s="6">
        <v>227.66</v>
      </c>
      <c r="I1311" s="20">
        <f t="shared" si="43"/>
        <v>0</v>
      </c>
      <c r="J1311" s="616">
        <v>100</v>
      </c>
      <c r="K1311" s="703"/>
      <c r="L1311" s="22"/>
      <c r="M1311" s="22"/>
      <c r="N1311" s="72" t="s">
        <v>119</v>
      </c>
      <c r="O1311" s="15"/>
    </row>
    <row r="1312" spans="1:15" ht="20" x14ac:dyDescent="0.35">
      <c r="A1312" s="636"/>
      <c r="B1312" s="96"/>
      <c r="C1312" s="90"/>
      <c r="D1312" s="96"/>
      <c r="E1312" s="90"/>
      <c r="F1312" s="813"/>
      <c r="G1312" s="38"/>
      <c r="H1312" s="38"/>
      <c r="I1312" s="38"/>
      <c r="J1312" s="53" t="s">
        <v>44</v>
      </c>
      <c r="K1312" s="43">
        <f>K1292</f>
        <v>7480359.9999999963</v>
      </c>
      <c r="L1312" s="43">
        <f>SUM(L1294:L1311)</f>
        <v>7479077.0000000009</v>
      </c>
      <c r="M1312" s="43">
        <f>SUM(M1294:M1311)</f>
        <v>0</v>
      </c>
      <c r="N1312" s="84">
        <f>(M1312-L1312)/L1312*100</f>
        <v>-100</v>
      </c>
      <c r="O1312" s="29"/>
    </row>
    <row r="1314" spans="1:15" ht="15" x14ac:dyDescent="0.35">
      <c r="A1314" s="620"/>
      <c r="B1314" s="635"/>
      <c r="C1314" s="632"/>
      <c r="D1314" s="1900"/>
      <c r="F1314" s="2092" t="s">
        <v>1099</v>
      </c>
      <c r="G1314" s="2092"/>
      <c r="H1314" s="2092"/>
      <c r="I1314" s="677" t="s">
        <v>14</v>
      </c>
      <c r="J1314" s="620"/>
      <c r="K1314" s="702"/>
      <c r="L1314" s="620"/>
      <c r="M1314" s="620"/>
      <c r="N1314" s="632"/>
      <c r="O1314" s="620"/>
    </row>
    <row r="1315" spans="1:15" ht="15.5" x14ac:dyDescent="0.35">
      <c r="A1315" s="620"/>
      <c r="B1315" s="635"/>
      <c r="C1315" s="632"/>
      <c r="D1315" s="1900"/>
      <c r="F1315" s="2153" t="s">
        <v>232</v>
      </c>
      <c r="G1315" s="2154"/>
      <c r="H1315" s="2155"/>
      <c r="I1315" s="643">
        <f>SUM(M1294:M1295,M1305)</f>
        <v>0</v>
      </c>
      <c r="J1315" s="620"/>
      <c r="K1315" s="702"/>
      <c r="L1315" s="620"/>
      <c r="M1315" s="620"/>
      <c r="N1315" s="632"/>
      <c r="O1315" s="620" t="s">
        <v>237</v>
      </c>
    </row>
    <row r="1316" spans="1:15" ht="15.5" x14ac:dyDescent="0.35">
      <c r="A1316" s="620"/>
      <c r="B1316" s="635"/>
      <c r="C1316" s="632"/>
      <c r="D1316" s="1900"/>
      <c r="F1316" s="2153" t="s">
        <v>268</v>
      </c>
      <c r="G1316" s="2154"/>
      <c r="H1316" s="2155"/>
      <c r="I1316" s="643">
        <f>SUM(M1296:M1297,M1306,M1308,M1309,M1311)</f>
        <v>0</v>
      </c>
      <c r="J1316" s="620"/>
      <c r="K1316" s="702"/>
      <c r="L1316" s="620"/>
      <c r="M1316" s="620"/>
      <c r="N1316" s="632"/>
      <c r="O1316" s="620"/>
    </row>
    <row r="1317" spans="1:15" ht="16" thickBot="1" x14ac:dyDescent="0.4">
      <c r="A1317" s="620"/>
      <c r="B1317" s="635"/>
      <c r="C1317" s="632"/>
      <c r="D1317" s="1900"/>
      <c r="F1317" s="2153" t="s">
        <v>269</v>
      </c>
      <c r="G1317" s="2154"/>
      <c r="H1317" s="2155"/>
      <c r="I1317" s="643">
        <f>SUM(M1307,M1310)</f>
        <v>0</v>
      </c>
      <c r="J1317" s="620"/>
      <c r="K1317" s="702"/>
      <c r="L1317" s="620"/>
      <c r="M1317" s="620"/>
      <c r="N1317" s="632"/>
      <c r="O1317" s="620"/>
    </row>
    <row r="1318" spans="1:15" ht="20.5" thickBot="1" x14ac:dyDescent="0.4">
      <c r="A1318" s="620"/>
      <c r="B1318" s="635"/>
      <c r="C1318" s="632"/>
      <c r="D1318" s="1900"/>
      <c r="E1318" s="632"/>
      <c r="F1318" s="2156" t="s">
        <v>210</v>
      </c>
      <c r="G1318" s="2156"/>
      <c r="H1318" s="2156"/>
      <c r="I1318" s="656">
        <f>SUM(I1315:I1317)</f>
        <v>0</v>
      </c>
      <c r="J1318" s="682">
        <f>I1318-M1312</f>
        <v>0</v>
      </c>
      <c r="K1318" s="702"/>
      <c r="L1318" s="620"/>
      <c r="M1318" s="620"/>
      <c r="N1318" s="632"/>
      <c r="O1318" s="620"/>
    </row>
    <row r="1330" spans="1:15" x14ac:dyDescent="0.35">
      <c r="A1330" s="620"/>
      <c r="B1330" s="635"/>
      <c r="C1330" s="632"/>
      <c r="D1330" s="1900"/>
      <c r="E1330" s="632"/>
      <c r="F1330" s="810"/>
      <c r="G1330" s="620"/>
      <c r="H1330" s="620"/>
      <c r="I1330" s="620"/>
      <c r="J1330" s="620"/>
      <c r="K1330" s="702"/>
      <c r="L1330" s="620"/>
      <c r="M1330" s="620"/>
      <c r="N1330" s="632"/>
      <c r="O1330" s="620"/>
    </row>
    <row r="1331" spans="1:15" x14ac:dyDescent="0.35">
      <c r="A1331" s="620"/>
      <c r="B1331" s="635"/>
      <c r="C1331" s="632"/>
      <c r="D1331" s="1900"/>
      <c r="E1331" s="632"/>
      <c r="F1331" s="810"/>
      <c r="G1331" s="620"/>
      <c r="H1331" s="620"/>
      <c r="I1331" s="620"/>
      <c r="J1331" s="620"/>
      <c r="K1331" s="702"/>
      <c r="L1331" s="620"/>
      <c r="M1331" s="620"/>
      <c r="N1331" s="632"/>
      <c r="O1331" s="620"/>
    </row>
    <row r="1332" spans="1:15" ht="25" x14ac:dyDescent="0.35">
      <c r="A1332" s="46"/>
      <c r="B1332" s="2152"/>
      <c r="C1332" s="2152"/>
      <c r="D1332" s="2152"/>
      <c r="E1332" s="2152"/>
      <c r="F1332" s="2152"/>
      <c r="G1332" s="2152"/>
      <c r="H1332" s="2152"/>
      <c r="I1332" s="2152"/>
      <c r="J1332" s="2152"/>
      <c r="K1332" s="2152"/>
      <c r="L1332" s="2152"/>
      <c r="M1332" s="2152"/>
      <c r="N1332" s="75"/>
      <c r="O1332" s="28"/>
    </row>
    <row r="1333" spans="1:15" x14ac:dyDescent="0.35">
      <c r="A1333" s="620"/>
      <c r="B1333" s="635"/>
      <c r="C1333" s="632"/>
      <c r="D1333" s="1900"/>
      <c r="E1333" s="632"/>
      <c r="F1333" s="810"/>
      <c r="G1333" s="620"/>
      <c r="H1333" s="620"/>
      <c r="I1333" s="620"/>
      <c r="J1333" s="620"/>
      <c r="K1333" s="702"/>
      <c r="L1333" s="620"/>
      <c r="M1333" s="620"/>
      <c r="N1333" s="632"/>
      <c r="O1333" s="620"/>
    </row>
    <row r="1334" spans="1:15" x14ac:dyDescent="0.35">
      <c r="A1334" s="620"/>
      <c r="B1334" s="635"/>
      <c r="C1334" s="632"/>
      <c r="D1334" s="1900"/>
      <c r="E1334" s="632"/>
      <c r="F1334" s="810"/>
      <c r="G1334" s="620"/>
      <c r="H1334" s="620"/>
      <c r="I1334" s="620"/>
      <c r="J1334" s="620"/>
      <c r="K1334" s="702"/>
      <c r="L1334" s="620"/>
      <c r="M1334" s="620"/>
      <c r="N1334" s="632"/>
      <c r="O1334" s="620"/>
    </row>
    <row r="1335" spans="1:15" ht="25" x14ac:dyDescent="0.35">
      <c r="A1335" s="2095" t="s">
        <v>1540</v>
      </c>
      <c r="B1335" s="2095"/>
      <c r="C1335" s="2095"/>
      <c r="D1335" s="2095"/>
      <c r="E1335" s="2095"/>
      <c r="F1335" s="2095"/>
      <c r="G1335" s="2095"/>
      <c r="H1335" s="2095"/>
      <c r="I1335" s="2095"/>
      <c r="J1335" s="2095"/>
      <c r="K1335" s="2095"/>
      <c r="L1335" s="2095"/>
      <c r="M1335" s="2095"/>
      <c r="N1335" s="2095"/>
      <c r="O1335" s="756" t="e">
        <f>#REF!</f>
        <v>#REF!</v>
      </c>
    </row>
    <row r="1336" spans="1:15" ht="15.5" x14ac:dyDescent="0.35">
      <c r="A1336" s="2096" t="s">
        <v>0</v>
      </c>
      <c r="B1336" s="2098" t="s">
        <v>1</v>
      </c>
      <c r="C1336" s="2100" t="s">
        <v>2</v>
      </c>
      <c r="D1336" s="2101"/>
      <c r="E1336" s="2102"/>
      <c r="F1336" s="2216" t="s">
        <v>3</v>
      </c>
      <c r="G1336" s="2100" t="s">
        <v>4</v>
      </c>
      <c r="H1336" s="2102"/>
      <c r="I1336" s="2085"/>
      <c r="J1336" s="2103" t="s">
        <v>5</v>
      </c>
      <c r="K1336" s="2100" t="s">
        <v>6</v>
      </c>
      <c r="L1336" s="2102"/>
      <c r="M1336" s="97" t="s">
        <v>1088</v>
      </c>
      <c r="N1336" s="98"/>
      <c r="O1336" s="2084" t="s">
        <v>7</v>
      </c>
    </row>
    <row r="1337" spans="1:15" ht="15.5" x14ac:dyDescent="0.35">
      <c r="A1337" s="2097"/>
      <c r="B1337" s="2099"/>
      <c r="C1337" s="2086" t="s">
        <v>1108</v>
      </c>
      <c r="D1337" s="2087"/>
      <c r="E1337" s="87" t="s">
        <v>9</v>
      </c>
      <c r="F1337" s="2217"/>
      <c r="G1337" s="2">
        <f>'NORTH-1'!$G$8</f>
        <v>44774</v>
      </c>
      <c r="H1337" s="2">
        <f>'NORTH-1'!$H$8</f>
        <v>44805</v>
      </c>
      <c r="I1337" s="1" t="s">
        <v>10</v>
      </c>
      <c r="J1337" s="2097"/>
      <c r="K1337" s="1" t="s">
        <v>11</v>
      </c>
      <c r="L1337" s="1" t="s">
        <v>12</v>
      </c>
      <c r="M1337" s="617" t="s">
        <v>33</v>
      </c>
      <c r="N1337" s="76" t="s">
        <v>47</v>
      </c>
      <c r="O1337" s="2085"/>
    </row>
    <row r="1338" spans="1:15" ht="15.5" x14ac:dyDescent="0.35">
      <c r="A1338" s="3">
        <v>1</v>
      </c>
      <c r="B1338" s="88">
        <v>2</v>
      </c>
      <c r="C1338" s="2088">
        <v>4</v>
      </c>
      <c r="D1338" s="2089"/>
      <c r="E1338" s="88">
        <v>5</v>
      </c>
      <c r="F1338" s="803">
        <v>7</v>
      </c>
      <c r="G1338" s="3">
        <v>8</v>
      </c>
      <c r="H1338" s="3">
        <v>9</v>
      </c>
      <c r="I1338" s="3" t="s">
        <v>13</v>
      </c>
      <c r="J1338" s="3">
        <v>11</v>
      </c>
      <c r="K1338" s="3" t="s">
        <v>19</v>
      </c>
      <c r="L1338" s="3" t="s">
        <v>20</v>
      </c>
      <c r="M1338" s="3">
        <v>14</v>
      </c>
      <c r="N1338" s="77">
        <v>15</v>
      </c>
      <c r="O1338" s="3">
        <v>16</v>
      </c>
    </row>
    <row r="1339" spans="1:15" ht="15.5" x14ac:dyDescent="0.35">
      <c r="A1339" s="11"/>
      <c r="B1339" s="624" t="s">
        <v>1449</v>
      </c>
      <c r="C1339" s="625"/>
      <c r="D1339" s="695"/>
      <c r="E1339" s="667"/>
      <c r="F1339" s="804"/>
      <c r="G1339" s="625"/>
      <c r="H1339" s="625"/>
      <c r="I1339" s="625"/>
      <c r="J1339" s="625"/>
      <c r="K1339" s="695"/>
      <c r="L1339" s="625"/>
      <c r="M1339" s="626"/>
      <c r="N1339" s="627"/>
      <c r="O1339" s="8"/>
    </row>
    <row r="1340" spans="1:15" ht="15.5" x14ac:dyDescent="0.35">
      <c r="A1340" s="631"/>
      <c r="B1340" s="100" t="s">
        <v>1053</v>
      </c>
      <c r="C1340" s="52">
        <v>132</v>
      </c>
      <c r="D1340" s="2105" t="s">
        <v>698</v>
      </c>
      <c r="E1340" s="619"/>
      <c r="F1340" s="812">
        <v>1</v>
      </c>
      <c r="G1340" s="5">
        <f>'PDB Bill AMR'!J149</f>
        <v>2872.366</v>
      </c>
      <c r="H1340" s="5">
        <f>'PDB Bill AMR'!K149</f>
        <v>2897.1030000000001</v>
      </c>
      <c r="I1340" s="5">
        <f>'PDB Bill AMR'!L149</f>
        <v>24.73700000000008</v>
      </c>
      <c r="J1340" s="616">
        <f>'PDB Bill AMR'!I149</f>
        <v>750000</v>
      </c>
      <c r="K1340" s="696">
        <f>J1340*I1340*F1340</f>
        <v>18552750.00000006</v>
      </c>
      <c r="L1340" s="7"/>
      <c r="M1340" s="7"/>
      <c r="N1340" s="78"/>
      <c r="O1340" s="616"/>
    </row>
    <row r="1341" spans="1:15" ht="15.5" x14ac:dyDescent="0.35">
      <c r="A1341" s="631"/>
      <c r="B1341" s="100" t="s">
        <v>1451</v>
      </c>
      <c r="C1341" s="52">
        <v>132</v>
      </c>
      <c r="D1341" s="2106"/>
      <c r="E1341" s="619"/>
      <c r="F1341" s="812">
        <v>1</v>
      </c>
      <c r="G1341" s="5">
        <f>'PDB Bill AMR'!J150</f>
        <v>2508.335</v>
      </c>
      <c r="H1341" s="5">
        <f>'PDB Bill AMR'!K150</f>
        <v>2532.9459999999999</v>
      </c>
      <c r="I1341" s="5">
        <f>'PDB Bill AMR'!L150</f>
        <v>24.610999999999876</v>
      </c>
      <c r="J1341" s="616">
        <f>'PDB Bill AMR'!I150</f>
        <v>750000</v>
      </c>
      <c r="K1341" s="696">
        <f>J1341*I1341*F1341</f>
        <v>18458249.999999907</v>
      </c>
      <c r="L1341" s="16"/>
      <c r="M1341" s="16"/>
      <c r="N1341" s="79"/>
      <c r="O1341" s="616"/>
    </row>
    <row r="1342" spans="1:15" ht="15.5" x14ac:dyDescent="0.35">
      <c r="A1342" s="631"/>
      <c r="B1342" s="100" t="s">
        <v>1452</v>
      </c>
      <c r="C1342" s="52">
        <v>132</v>
      </c>
      <c r="D1342" s="2106"/>
      <c r="E1342" s="615"/>
      <c r="F1342" s="812">
        <v>1</v>
      </c>
      <c r="G1342" s="5">
        <f>'PDB Bill AMR'!J141</f>
        <v>4138.26</v>
      </c>
      <c r="H1342" s="5">
        <f>'PDB Bill AMR'!K141</f>
        <v>4143.2049999999999</v>
      </c>
      <c r="I1342" s="5">
        <f>'PDB Bill AMR'!L141</f>
        <v>4.944999999999709</v>
      </c>
      <c r="J1342" s="616">
        <f>'PDB Bill AMR'!$I$141</f>
        <v>180000</v>
      </c>
      <c r="K1342" s="696">
        <f>J1342*I1342*F1342</f>
        <v>890099.99999994761</v>
      </c>
      <c r="L1342" s="7"/>
      <c r="M1342" s="7"/>
      <c r="N1342" s="78"/>
      <c r="O1342" s="616"/>
    </row>
    <row r="1343" spans="1:15" ht="15.5" x14ac:dyDescent="0.35">
      <c r="A1343" s="631"/>
      <c r="B1343" s="95"/>
      <c r="C1343" s="89"/>
      <c r="D1343" s="1846"/>
      <c r="E1343" s="89"/>
      <c r="F1343" s="806"/>
      <c r="G1343" s="37"/>
      <c r="H1343" s="37"/>
      <c r="I1343" s="2136" t="s">
        <v>236</v>
      </c>
      <c r="J1343" s="2137"/>
      <c r="K1343" s="698">
        <f>SUM(K1340:K1342)</f>
        <v>37901099.999999918</v>
      </c>
      <c r="L1343" s="94">
        <f>SUM(L1340:L1342)</f>
        <v>0</v>
      </c>
      <c r="M1343" s="18"/>
      <c r="N1343" s="81"/>
      <c r="O1343" s="616"/>
    </row>
    <row r="1344" spans="1:15" ht="15.5" x14ac:dyDescent="0.35">
      <c r="A1344" s="631"/>
      <c r="B1344" s="95"/>
      <c r="C1344" s="89"/>
      <c r="D1344" s="1846"/>
      <c r="E1344" s="89"/>
      <c r="F1344" s="806"/>
      <c r="G1344" s="37"/>
      <c r="H1344" s="37"/>
      <c r="I1344" s="665"/>
      <c r="J1344" s="665" t="s">
        <v>31</v>
      </c>
      <c r="K1344" s="699">
        <f>K1343-L1343</f>
        <v>37901099.999999918</v>
      </c>
      <c r="L1344" s="40"/>
      <c r="M1344" s="41">
        <f>K1344</f>
        <v>37901099.999999918</v>
      </c>
      <c r="N1344" s="632"/>
      <c r="O1344" s="616"/>
    </row>
    <row r="1345" spans="1:15" ht="15.5" x14ac:dyDescent="0.35">
      <c r="A1345" s="631"/>
      <c r="B1345" s="624" t="s">
        <v>1450</v>
      </c>
      <c r="C1345" s="625"/>
      <c r="D1345" s="695"/>
      <c r="E1345" s="625"/>
      <c r="F1345" s="804"/>
      <c r="G1345" s="625"/>
      <c r="H1345" s="625"/>
      <c r="I1345" s="625"/>
      <c r="J1345" s="625"/>
      <c r="K1345" s="695"/>
      <c r="L1345" s="625"/>
      <c r="M1345" s="626"/>
      <c r="N1345" s="627"/>
      <c r="O1345" s="616"/>
    </row>
    <row r="1346" spans="1:15" ht="15.5" x14ac:dyDescent="0.35">
      <c r="A1346" s="631"/>
      <c r="B1346" s="100" t="s">
        <v>1453</v>
      </c>
      <c r="C1346" s="52">
        <v>132</v>
      </c>
      <c r="D1346" s="2105" t="s">
        <v>1084</v>
      </c>
      <c r="E1346" s="619"/>
      <c r="F1346" s="812">
        <v>1</v>
      </c>
      <c r="G1346" s="5"/>
      <c r="H1346" s="5"/>
      <c r="I1346" s="5">
        <f>H1346-G1346</f>
        <v>0</v>
      </c>
      <c r="J1346" s="616"/>
      <c r="K1346" s="696"/>
      <c r="L1346" s="16"/>
      <c r="M1346" s="16"/>
      <c r="N1346" s="79"/>
      <c r="O1346" s="616"/>
    </row>
    <row r="1347" spans="1:15" ht="15.5" x14ac:dyDescent="0.35">
      <c r="A1347" s="631"/>
      <c r="B1347" s="100" t="s">
        <v>1454</v>
      </c>
      <c r="C1347" s="52">
        <v>132</v>
      </c>
      <c r="D1347" s="2106"/>
      <c r="E1347" s="619"/>
      <c r="F1347" s="812">
        <v>1</v>
      </c>
      <c r="G1347" s="5"/>
      <c r="H1347" s="5"/>
      <c r="I1347" s="5">
        <f>H1347-G1347</f>
        <v>0</v>
      </c>
      <c r="J1347" s="616"/>
      <c r="K1347" s="696"/>
      <c r="L1347" s="16"/>
      <c r="M1347" s="16"/>
      <c r="N1347" s="79"/>
      <c r="O1347" s="616"/>
    </row>
    <row r="1348" spans="1:15" ht="15.5" x14ac:dyDescent="0.35">
      <c r="A1348" s="631"/>
      <c r="B1348" s="100" t="s">
        <v>1455</v>
      </c>
      <c r="C1348" s="52">
        <v>132</v>
      </c>
      <c r="D1348" s="2106"/>
      <c r="E1348" s="615"/>
      <c r="F1348" s="812">
        <v>1</v>
      </c>
      <c r="G1348" s="5"/>
      <c r="H1348" s="5"/>
      <c r="I1348" s="5">
        <f>H1348-G1348</f>
        <v>0</v>
      </c>
      <c r="J1348" s="616"/>
      <c r="K1348" s="696"/>
      <c r="L1348" s="16"/>
      <c r="M1348" s="16"/>
      <c r="N1348" s="79"/>
      <c r="O1348" s="616"/>
    </row>
    <row r="1349" spans="1:15" ht="15.5" x14ac:dyDescent="0.35">
      <c r="A1349" s="631"/>
      <c r="B1349" s="95"/>
      <c r="C1349" s="89"/>
      <c r="D1349" s="1846"/>
      <c r="E1349" s="89"/>
      <c r="F1349" s="806"/>
      <c r="G1349" s="37"/>
      <c r="H1349" s="37"/>
      <c r="I1349" s="2136" t="s">
        <v>303</v>
      </c>
      <c r="J1349" s="2137"/>
      <c r="K1349" s="698"/>
      <c r="L1349" s="94"/>
      <c r="M1349" s="18"/>
      <c r="N1349" s="81"/>
      <c r="O1349" s="633"/>
    </row>
    <row r="1350" spans="1:15" ht="15.5" x14ac:dyDescent="0.35">
      <c r="A1350" s="631"/>
      <c r="B1350" s="95"/>
      <c r="C1350" s="89"/>
      <c r="D1350" s="1846"/>
      <c r="E1350" s="89"/>
      <c r="F1350" s="806"/>
      <c r="G1350" s="37"/>
      <c r="H1350" s="37"/>
      <c r="I1350" s="2136" t="s">
        <v>31</v>
      </c>
      <c r="J1350" s="2137"/>
      <c r="K1350" s="55">
        <f>K1349-L1349</f>
        <v>0</v>
      </c>
      <c r="L1350" s="55">
        <f>K1350</f>
        <v>0</v>
      </c>
      <c r="M1350" s="42"/>
      <c r="N1350" s="634"/>
      <c r="O1350" s="633"/>
    </row>
    <row r="1351" spans="1:15" ht="15.5" x14ac:dyDescent="0.35">
      <c r="A1351" s="11"/>
      <c r="B1351" s="647" t="s">
        <v>1447</v>
      </c>
      <c r="C1351" s="648"/>
      <c r="D1351" s="700"/>
      <c r="E1351" s="648"/>
      <c r="F1351" s="807"/>
      <c r="G1351" s="648"/>
      <c r="H1351" s="648"/>
      <c r="I1351" s="648"/>
      <c r="J1351" s="648"/>
      <c r="K1351" s="700"/>
      <c r="L1351" s="648"/>
      <c r="M1351" s="651"/>
      <c r="N1351" s="649"/>
      <c r="O1351" s="8"/>
    </row>
    <row r="1352" spans="1:15" ht="15.5" x14ac:dyDescent="0.35">
      <c r="A1352" s="631"/>
      <c r="B1352" s="100" t="s">
        <v>1079</v>
      </c>
      <c r="C1352" s="52">
        <v>132</v>
      </c>
      <c r="D1352" s="2138" t="s">
        <v>1083</v>
      </c>
      <c r="E1352" s="615"/>
      <c r="F1352" s="812"/>
      <c r="G1352" s="5"/>
      <c r="H1352" s="5"/>
      <c r="I1352" s="5"/>
      <c r="J1352" s="616"/>
      <c r="K1352" s="696"/>
      <c r="L1352" s="16">
        <f>J1352*I1352*F1352</f>
        <v>0</v>
      </c>
      <c r="M1352" s="7"/>
      <c r="N1352" s="78"/>
      <c r="O1352" s="616"/>
    </row>
    <row r="1353" spans="1:15" ht="15.5" x14ac:dyDescent="0.35">
      <c r="A1353" s="631"/>
      <c r="B1353" s="100" t="s">
        <v>1078</v>
      </c>
      <c r="C1353" s="52">
        <v>132</v>
      </c>
      <c r="D1353" s="2139"/>
      <c r="E1353" s="615"/>
      <c r="F1353" s="812"/>
      <c r="G1353" s="5"/>
      <c r="H1353" s="5"/>
      <c r="I1353" s="5"/>
      <c r="J1353" s="616"/>
      <c r="K1353" s="696"/>
      <c r="L1353" s="16">
        <f>J1353*I1353*F1353</f>
        <v>0</v>
      </c>
      <c r="M1353" s="16"/>
      <c r="N1353" s="79"/>
      <c r="O1353" s="616"/>
    </row>
    <row r="1354" spans="1:15" ht="15.5" x14ac:dyDescent="0.35">
      <c r="A1354" s="631"/>
      <c r="B1354" s="95"/>
      <c r="C1354" s="89"/>
      <c r="D1354" s="1846"/>
      <c r="E1354" s="89"/>
      <c r="F1354" s="806"/>
      <c r="G1354" s="37"/>
      <c r="H1354" s="37"/>
      <c r="I1354" s="37"/>
      <c r="J1354" s="95" t="s">
        <v>279</v>
      </c>
      <c r="K1354" s="699"/>
      <c r="L1354" s="55">
        <f>SUM(L1352:L1353)</f>
        <v>0</v>
      </c>
      <c r="M1354" s="633"/>
      <c r="N1354" s="634"/>
      <c r="O1354" s="616"/>
    </row>
    <row r="1355" spans="1:15" ht="15.5" x14ac:dyDescent="0.35">
      <c r="A1355" s="11"/>
      <c r="B1355" s="647" t="s">
        <v>1448</v>
      </c>
      <c r="C1355" s="648"/>
      <c r="D1355" s="700"/>
      <c r="E1355" s="648"/>
      <c r="F1355" s="807"/>
      <c r="G1355" s="648"/>
      <c r="H1355" s="648"/>
      <c r="I1355" s="648"/>
      <c r="J1355" s="648"/>
      <c r="K1355" s="700"/>
      <c r="L1355" s="648"/>
      <c r="M1355" s="651"/>
      <c r="N1355" s="649"/>
      <c r="O1355" s="8"/>
    </row>
    <row r="1356" spans="1:15" ht="15.5" x14ac:dyDescent="0.35">
      <c r="A1356" s="11">
        <v>1</v>
      </c>
      <c r="B1356" s="100" t="s">
        <v>4381</v>
      </c>
      <c r="C1356" s="661" t="s">
        <v>3816</v>
      </c>
      <c r="D1356" s="1920"/>
      <c r="E1356" s="674">
        <v>50148567</v>
      </c>
      <c r="F1356" s="812">
        <v>1</v>
      </c>
      <c r="G1356" s="21"/>
      <c r="H1356" s="21"/>
      <c r="I1356" s="20">
        <f>H1356-G1356</f>
        <v>0</v>
      </c>
      <c r="J1356" s="616">
        <v>2400000</v>
      </c>
      <c r="K1356" s="696"/>
      <c r="L1356" s="22">
        <f>F1356*I1356*J1356</f>
        <v>0</v>
      </c>
      <c r="M1356" s="22"/>
      <c r="N1356" s="82"/>
      <c r="O1356" s="9"/>
    </row>
    <row r="1357" spans="1:15" ht="15.5" x14ac:dyDescent="0.35">
      <c r="A1357" s="631">
        <v>2</v>
      </c>
      <c r="B1357" s="100" t="s">
        <v>4382</v>
      </c>
      <c r="C1357" s="661" t="s">
        <v>3816</v>
      </c>
      <c r="D1357" s="1920"/>
      <c r="E1357" s="674">
        <v>50148568</v>
      </c>
      <c r="F1357" s="812">
        <v>1</v>
      </c>
      <c r="G1357" s="21"/>
      <c r="H1357" s="21"/>
      <c r="I1357" s="20">
        <f>H1357-G1357</f>
        <v>0</v>
      </c>
      <c r="J1357" s="616">
        <v>2400000</v>
      </c>
      <c r="K1357" s="696"/>
      <c r="L1357" s="22">
        <f>F1357*I1357*J1357</f>
        <v>0</v>
      </c>
      <c r="M1357" s="22"/>
      <c r="N1357" s="82"/>
      <c r="O1357" s="616"/>
    </row>
    <row r="1358" spans="1:15" ht="15.5" x14ac:dyDescent="0.35">
      <c r="A1358" s="631"/>
      <c r="B1358" s="100" t="s">
        <v>1077</v>
      </c>
      <c r="C1358" s="52">
        <v>132</v>
      </c>
      <c r="D1358" s="1925"/>
      <c r="E1358" s="58"/>
      <c r="F1358" s="816"/>
      <c r="G1358" s="60"/>
      <c r="H1358" s="60"/>
      <c r="I1358" s="60"/>
      <c r="J1358" s="58"/>
      <c r="K1358" s="4"/>
      <c r="L1358" s="16">
        <f>J1358*I1358*F1358</f>
        <v>0</v>
      </c>
      <c r="M1358" s="16"/>
      <c r="N1358" s="78"/>
      <c r="O1358" s="616"/>
    </row>
    <row r="1359" spans="1:15" ht="15.5" x14ac:dyDescent="0.35">
      <c r="A1359" s="631"/>
      <c r="B1359" s="95"/>
      <c r="C1359" s="89"/>
      <c r="D1359" s="1846"/>
      <c r="E1359" s="65"/>
      <c r="F1359" s="808"/>
      <c r="G1359" s="65"/>
      <c r="H1359" s="65"/>
      <c r="I1359" s="65"/>
      <c r="J1359" s="95" t="s">
        <v>30</v>
      </c>
      <c r="K1359" s="701"/>
      <c r="L1359" s="55">
        <f>K1350-L1354</f>
        <v>0</v>
      </c>
      <c r="M1359" s="55"/>
      <c r="N1359" s="78"/>
      <c r="O1359" s="616"/>
    </row>
    <row r="1360" spans="1:15" ht="15" thickBot="1" x14ac:dyDescent="0.4">
      <c r="A1360" s="620"/>
      <c r="B1360" s="635"/>
      <c r="C1360" s="632"/>
      <c r="D1360" s="1900"/>
      <c r="K1360" s="702"/>
      <c r="L1360" s="620"/>
      <c r="M1360" s="620"/>
      <c r="N1360" s="632"/>
      <c r="O1360" s="620"/>
    </row>
    <row r="1361" spans="1:15" s="620" customFormat="1" x14ac:dyDescent="0.35">
      <c r="B1361" s="2142" t="s">
        <v>1090</v>
      </c>
      <c r="C1361" s="2143"/>
      <c r="D1361" s="683" t="s">
        <v>14</v>
      </c>
      <c r="E1361"/>
      <c r="F1361" s="2144" t="s">
        <v>1091</v>
      </c>
      <c r="G1361" s="2145"/>
      <c r="H1361" s="2146"/>
      <c r="I1361" s="683" t="s">
        <v>14</v>
      </c>
      <c r="K1361" s="2147" t="s">
        <v>1092</v>
      </c>
      <c r="L1361" s="2148"/>
      <c r="M1361" s="684" t="s">
        <v>14</v>
      </c>
      <c r="N1361" s="632"/>
    </row>
    <row r="1362" spans="1:15" s="620" customFormat="1" x14ac:dyDescent="0.35">
      <c r="B1362" s="2122" t="str">
        <f>B1339</f>
        <v xml:space="preserve"> 33 KV SIDE (TARIFF POINT)</v>
      </c>
      <c r="C1362" s="2123"/>
      <c r="D1362" s="689">
        <f>K1344</f>
        <v>37901099.999999918</v>
      </c>
      <c r="E1362"/>
      <c r="F1362" s="2124" t="s">
        <v>1093</v>
      </c>
      <c r="G1362" s="2125"/>
      <c r="H1362" s="2126"/>
      <c r="I1362" s="689">
        <f>L1354</f>
        <v>0</v>
      </c>
      <c r="K1362" s="2129" t="s">
        <v>4625</v>
      </c>
      <c r="L1362" s="2130"/>
      <c r="M1362" s="687">
        <f>I1363</f>
        <v>0</v>
      </c>
      <c r="N1362" s="632"/>
    </row>
    <row r="1363" spans="1:15" s="620" customFormat="1" x14ac:dyDescent="0.35">
      <c r="B1363" s="2122" t="s">
        <v>1116</v>
      </c>
      <c r="C1363" s="2123"/>
      <c r="D1363" s="689"/>
      <c r="E1363"/>
      <c r="F1363" s="2124" t="s">
        <v>4625</v>
      </c>
      <c r="G1363" s="2125"/>
      <c r="H1363" s="2126"/>
      <c r="I1363" s="687">
        <f>L1359</f>
        <v>0</v>
      </c>
      <c r="K1363" s="2127" t="s">
        <v>2455</v>
      </c>
      <c r="L1363" s="2128"/>
      <c r="M1363" s="1908">
        <f>D1367</f>
        <v>0</v>
      </c>
      <c r="N1363" s="632"/>
    </row>
    <row r="1364" spans="1:15" s="620" customFormat="1" x14ac:dyDescent="0.35">
      <c r="B1364" s="2122" t="s">
        <v>1117</v>
      </c>
      <c r="C1364" s="2123"/>
      <c r="D1364" s="689"/>
      <c r="E1364"/>
      <c r="F1364" s="2124" t="s">
        <v>1089</v>
      </c>
      <c r="G1364" s="2125"/>
      <c r="H1364" s="2126"/>
      <c r="I1364" s="689">
        <f>I1362+I1363</f>
        <v>0</v>
      </c>
      <c r="K1364" s="2129" t="s">
        <v>4622</v>
      </c>
      <c r="L1364" s="2130"/>
      <c r="M1364" s="689">
        <f>M1362-M1363</f>
        <v>0</v>
      </c>
      <c r="N1364" s="632"/>
    </row>
    <row r="1365" spans="1:15" s="620" customFormat="1" ht="15" thickBot="1" x14ac:dyDescent="0.4">
      <c r="B1365" s="2122" t="s">
        <v>1118</v>
      </c>
      <c r="C1365" s="2123"/>
      <c r="D1365" s="722"/>
      <c r="E1365"/>
      <c r="F1365" s="2131" t="s">
        <v>4626</v>
      </c>
      <c r="G1365" s="2132"/>
      <c r="H1365" s="2133"/>
      <c r="I1365" s="689">
        <f>D1366-I1364</f>
        <v>37901099.999999918</v>
      </c>
      <c r="K1365" s="2134" t="s">
        <v>285</v>
      </c>
      <c r="L1365" s="2135"/>
      <c r="M1365" s="1903" t="e">
        <f>M1364/M1362</f>
        <v>#DIV/0!</v>
      </c>
      <c r="N1365" s="632"/>
    </row>
    <row r="1366" spans="1:15" s="620" customFormat="1" ht="15" thickBot="1" x14ac:dyDescent="0.4">
      <c r="B1366" s="2109" t="s">
        <v>4620</v>
      </c>
      <c r="C1366" s="2110"/>
      <c r="D1366" s="1435">
        <f>SUM(D1362:D1365)</f>
        <v>37901099.999999918</v>
      </c>
      <c r="E1366"/>
      <c r="F1366" s="2113" t="s">
        <v>2454</v>
      </c>
      <c r="G1366" s="2114"/>
      <c r="H1366" s="2115"/>
      <c r="I1366" s="1904" t="e">
        <f>I1365/I1364</f>
        <v>#DIV/0!</v>
      </c>
      <c r="K1366" s="702"/>
      <c r="N1366" s="632"/>
    </row>
    <row r="1367" spans="1:15" s="620" customFormat="1" x14ac:dyDescent="0.35">
      <c r="B1367" s="2116" t="s">
        <v>4624</v>
      </c>
      <c r="C1367" s="2117"/>
      <c r="D1367" s="2011">
        <f>K1380</f>
        <v>0</v>
      </c>
      <c r="E1367"/>
      <c r="F1367" s="791"/>
      <c r="G1367"/>
      <c r="H1367"/>
      <c r="I1367"/>
      <c r="J1367"/>
      <c r="K1367" s="702"/>
      <c r="N1367" s="632"/>
    </row>
    <row r="1368" spans="1:15" s="620" customFormat="1" x14ac:dyDescent="0.35">
      <c r="B1368" s="2118" t="s">
        <v>4627</v>
      </c>
      <c r="C1368" s="2119"/>
      <c r="D1368" s="741">
        <f>D1366-D1367</f>
        <v>37901099.999999918</v>
      </c>
      <c r="E1368"/>
      <c r="F1368" s="791"/>
      <c r="G1368"/>
      <c r="H1368"/>
      <c r="I1368"/>
      <c r="J1368"/>
      <c r="K1368" s="702"/>
      <c r="N1368" s="632"/>
    </row>
    <row r="1369" spans="1:15" s="620" customFormat="1" ht="15" thickBot="1" x14ac:dyDescent="0.4">
      <c r="B1369" s="2120" t="str">
        <f>K1365</f>
        <v>LOSS % IN =&gt;</v>
      </c>
      <c r="C1369" s="2121"/>
      <c r="D1369" s="2012">
        <f>D1368/D1362</f>
        <v>1</v>
      </c>
      <c r="E1369"/>
      <c r="F1369" s="791"/>
      <c r="G1369" s="678"/>
      <c r="H1369" s="678"/>
      <c r="I1369" s="678"/>
      <c r="J1369" s="679"/>
      <c r="K1369" s="702"/>
      <c r="N1369" s="632"/>
    </row>
    <row r="1370" spans="1:15" x14ac:dyDescent="0.35">
      <c r="A1370" s="620"/>
      <c r="B1370" s="635"/>
      <c r="C1370" s="632"/>
      <c r="D1370" s="1900"/>
      <c r="G1370" s="678"/>
      <c r="H1370" s="678"/>
      <c r="I1370" s="678"/>
      <c r="J1370" s="679"/>
      <c r="K1370" s="702"/>
      <c r="L1370" s="620"/>
      <c r="M1370" s="620"/>
      <c r="N1370" s="632"/>
      <c r="O1370" s="620"/>
    </row>
    <row r="1371" spans="1:15" x14ac:dyDescent="0.35">
      <c r="A1371" s="620"/>
      <c r="B1371" s="635"/>
      <c r="C1371" s="632"/>
      <c r="D1371" s="1900"/>
      <c r="G1371" s="678"/>
      <c r="H1371" s="678"/>
      <c r="I1371" s="678"/>
      <c r="J1371" s="679"/>
      <c r="K1371" s="702"/>
      <c r="L1371" s="620"/>
      <c r="M1371" s="620"/>
      <c r="N1371" s="632"/>
      <c r="O1371" s="620"/>
    </row>
    <row r="1372" spans="1:15" x14ac:dyDescent="0.35">
      <c r="A1372" s="620"/>
      <c r="B1372" s="635"/>
      <c r="C1372" s="632"/>
      <c r="D1372" s="1900"/>
      <c r="E1372" s="632"/>
      <c r="F1372" s="810"/>
      <c r="G1372" s="620"/>
      <c r="H1372" s="620"/>
      <c r="I1372" s="620"/>
      <c r="J1372" s="620"/>
      <c r="K1372" s="702"/>
      <c r="L1372" s="620"/>
      <c r="M1372" s="620"/>
      <c r="N1372" s="632"/>
      <c r="O1372" s="620"/>
    </row>
    <row r="1373" spans="1:15" ht="25" x14ac:dyDescent="0.35">
      <c r="A1373" s="2095" t="s">
        <v>1179</v>
      </c>
      <c r="B1373" s="2095"/>
      <c r="C1373" s="2095"/>
      <c r="D1373" s="2095"/>
      <c r="E1373" s="2095"/>
      <c r="F1373" s="2095"/>
      <c r="G1373" s="2095"/>
      <c r="H1373" s="2095"/>
      <c r="I1373" s="2095"/>
      <c r="J1373" s="2095"/>
      <c r="K1373" s="2095"/>
      <c r="L1373" s="2095"/>
      <c r="M1373" s="2095"/>
      <c r="N1373" s="2095"/>
      <c r="O1373" s="756" t="e">
        <f>$O$6</f>
        <v>#REF!</v>
      </c>
    </row>
    <row r="1374" spans="1:15" ht="15.5" x14ac:dyDescent="0.35">
      <c r="A1374" s="2096" t="s">
        <v>0</v>
      </c>
      <c r="B1374" s="2098" t="s">
        <v>1</v>
      </c>
      <c r="C1374" s="2100" t="s">
        <v>2</v>
      </c>
      <c r="D1374" s="2101"/>
      <c r="E1374" s="2102"/>
      <c r="F1374" s="2216" t="s">
        <v>3</v>
      </c>
      <c r="G1374" s="2100" t="s">
        <v>4</v>
      </c>
      <c r="H1374" s="2102"/>
      <c r="I1374" s="2085"/>
      <c r="J1374" s="2103" t="s">
        <v>5</v>
      </c>
      <c r="K1374" s="2100" t="s">
        <v>6</v>
      </c>
      <c r="L1374" s="2085"/>
      <c r="M1374" s="97" t="s">
        <v>32</v>
      </c>
      <c r="N1374" s="98"/>
      <c r="O1374" s="2084" t="s">
        <v>7</v>
      </c>
    </row>
    <row r="1375" spans="1:15" ht="15.5" x14ac:dyDescent="0.35">
      <c r="A1375" s="2111"/>
      <c r="B1375" s="2112"/>
      <c r="C1375" s="2086" t="s">
        <v>1108</v>
      </c>
      <c r="D1375" s="2087"/>
      <c r="E1375" s="675" t="s">
        <v>9</v>
      </c>
      <c r="F1375" s="2218"/>
      <c r="G1375" s="2">
        <f>'NORTH-1'!$G$8</f>
        <v>44774</v>
      </c>
      <c r="H1375" s="2">
        <f>'NORTH-1'!$H$8</f>
        <v>44805</v>
      </c>
      <c r="I1375" s="676" t="s">
        <v>10</v>
      </c>
      <c r="J1375" s="2111"/>
      <c r="K1375" s="676" t="s">
        <v>11</v>
      </c>
      <c r="L1375" s="676" t="s">
        <v>12</v>
      </c>
      <c r="M1375" s="715" t="s">
        <v>33</v>
      </c>
      <c r="N1375" s="716" t="s">
        <v>47</v>
      </c>
      <c r="O1375" s="2104"/>
    </row>
    <row r="1376" spans="1:15" ht="15.5" x14ac:dyDescent="0.35">
      <c r="A1376" s="717">
        <v>1</v>
      </c>
      <c r="B1376" s="673">
        <v>2</v>
      </c>
      <c r="C1376" s="2088">
        <v>4</v>
      </c>
      <c r="D1376" s="2089"/>
      <c r="E1376" s="673">
        <v>5</v>
      </c>
      <c r="F1376" s="811">
        <v>7</v>
      </c>
      <c r="G1376" s="717">
        <v>8</v>
      </c>
      <c r="H1376" s="717">
        <v>9</v>
      </c>
      <c r="I1376" s="717" t="s">
        <v>13</v>
      </c>
      <c r="J1376" s="717">
        <v>11</v>
      </c>
      <c r="K1376" s="717" t="s">
        <v>19</v>
      </c>
      <c r="L1376" s="717" t="s">
        <v>20</v>
      </c>
      <c r="M1376" s="717">
        <v>14</v>
      </c>
      <c r="N1376" s="673">
        <v>15</v>
      </c>
      <c r="O1376" s="717">
        <v>16</v>
      </c>
    </row>
    <row r="1377" spans="1:15" ht="15.5" x14ac:dyDescent="0.35">
      <c r="A1377" s="11"/>
      <c r="B1377" s="624" t="s">
        <v>1464</v>
      </c>
      <c r="C1377" s="625"/>
      <c r="D1377" s="695"/>
      <c r="E1377" s="625"/>
      <c r="F1377" s="804"/>
      <c r="G1377" s="625"/>
      <c r="H1377" s="625"/>
      <c r="I1377" s="625"/>
      <c r="J1377" s="625"/>
      <c r="K1377" s="695"/>
      <c r="L1377" s="625"/>
      <c r="M1377" s="626"/>
      <c r="N1377" s="627"/>
      <c r="O1377" s="8"/>
    </row>
    <row r="1378" spans="1:15" ht="15.5" x14ac:dyDescent="0.35">
      <c r="A1378" s="631">
        <v>9</v>
      </c>
      <c r="B1378" s="100" t="s">
        <v>4383</v>
      </c>
      <c r="C1378" s="52" t="s">
        <v>3833</v>
      </c>
      <c r="D1378" s="2105"/>
      <c r="E1378" s="52">
        <v>50147586</v>
      </c>
      <c r="F1378" s="812">
        <v>1</v>
      </c>
      <c r="G1378" s="5"/>
      <c r="H1378" s="5"/>
      <c r="I1378" s="5">
        <f>H1378-G1378</f>
        <v>0</v>
      </c>
      <c r="J1378" s="616">
        <v>750000</v>
      </c>
      <c r="K1378" s="696">
        <f>F1378*I1378*J1378</f>
        <v>0</v>
      </c>
      <c r="L1378" s="7"/>
      <c r="M1378" s="7"/>
      <c r="N1378" s="78"/>
      <c r="O1378" s="616"/>
    </row>
    <row r="1379" spans="1:15" ht="15.5" x14ac:dyDescent="0.35">
      <c r="A1379" s="631">
        <v>10</v>
      </c>
      <c r="B1379" s="100" t="s">
        <v>4384</v>
      </c>
      <c r="C1379" s="52" t="s">
        <v>3833</v>
      </c>
      <c r="D1379" s="2106"/>
      <c r="E1379" s="52">
        <v>50148569</v>
      </c>
      <c r="F1379" s="812">
        <v>1</v>
      </c>
      <c r="G1379" s="5"/>
      <c r="H1379" s="5"/>
      <c r="I1379" s="5">
        <f>H1379-G1379</f>
        <v>0</v>
      </c>
      <c r="J1379" s="616">
        <v>750000</v>
      </c>
      <c r="K1379" s="696">
        <f>F1379*I1379*J1379</f>
        <v>0</v>
      </c>
      <c r="L1379" s="7"/>
      <c r="M1379" s="7"/>
      <c r="N1379" s="78"/>
      <c r="O1379" s="616"/>
    </row>
    <row r="1380" spans="1:15" ht="15.5" x14ac:dyDescent="0.35">
      <c r="A1380" s="631"/>
      <c r="B1380" s="100" t="s">
        <v>1074</v>
      </c>
      <c r="C1380" s="52">
        <v>33</v>
      </c>
      <c r="D1380" s="2151"/>
      <c r="E1380" s="52"/>
      <c r="F1380" s="812">
        <v>1</v>
      </c>
      <c r="G1380" s="5"/>
      <c r="H1380" s="5"/>
      <c r="I1380" s="5">
        <f>H1380-G1380</f>
        <v>0</v>
      </c>
      <c r="J1380" s="616"/>
      <c r="K1380" s="696">
        <f>J1380*I1380*F1380</f>
        <v>0</v>
      </c>
      <c r="L1380" s="7"/>
      <c r="M1380" s="7">
        <f>K1380*$M$41/$K$61</f>
        <v>0</v>
      </c>
      <c r="N1380" s="78"/>
      <c r="O1380" s="616"/>
    </row>
    <row r="1381" spans="1:15" ht="15.5" x14ac:dyDescent="0.35">
      <c r="A1381" s="631"/>
      <c r="B1381" s="95"/>
      <c r="C1381" s="89"/>
      <c r="D1381" s="1846"/>
      <c r="E1381" s="89"/>
      <c r="F1381" s="806"/>
      <c r="G1381" s="37"/>
      <c r="H1381" s="37"/>
      <c r="I1381" s="37"/>
      <c r="J1381" s="95" t="s">
        <v>30</v>
      </c>
      <c r="K1381" s="1908">
        <f>SUM(K1378:K1380)</f>
        <v>0</v>
      </c>
      <c r="L1381" s="40"/>
      <c r="M1381" s="40"/>
      <c r="N1381" s="78"/>
      <c r="O1381" s="616"/>
    </row>
    <row r="1382" spans="1:15" ht="15.5" x14ac:dyDescent="0.35">
      <c r="A1382" s="631"/>
      <c r="B1382" s="647" t="s">
        <v>1465</v>
      </c>
      <c r="C1382" s="648"/>
      <c r="D1382" s="700"/>
      <c r="E1382" s="648"/>
      <c r="F1382" s="807"/>
      <c r="G1382" s="648"/>
      <c r="H1382" s="648"/>
      <c r="I1382" s="648"/>
      <c r="J1382" s="648"/>
      <c r="K1382" s="700"/>
      <c r="L1382" s="648"/>
      <c r="M1382" s="651"/>
      <c r="N1382" s="649"/>
      <c r="O1382" s="616"/>
    </row>
    <row r="1383" spans="1:15" ht="15.5" x14ac:dyDescent="0.35">
      <c r="A1383" s="631"/>
      <c r="B1383" s="662" t="s">
        <v>1106</v>
      </c>
      <c r="C1383" s="52"/>
      <c r="D1383" s="1919" t="s">
        <v>1083</v>
      </c>
      <c r="E1383" s="52"/>
      <c r="F1383" s="812"/>
      <c r="G1383" s="5"/>
      <c r="H1383" s="5"/>
      <c r="I1383" s="6"/>
      <c r="J1383" s="616"/>
      <c r="K1383" s="696"/>
      <c r="L1383" s="7"/>
      <c r="M1383" s="7"/>
      <c r="N1383" s="78"/>
      <c r="O1383" s="616"/>
    </row>
    <row r="1384" spans="1:15" ht="15.5" x14ac:dyDescent="0.35">
      <c r="A1384" s="11">
        <v>7</v>
      </c>
      <c r="B1384" s="100" t="s">
        <v>1732</v>
      </c>
      <c r="C1384" s="661" t="s">
        <v>3833</v>
      </c>
      <c r="D1384" s="1920"/>
      <c r="E1384" s="674" t="s">
        <v>3553</v>
      </c>
      <c r="F1384" s="812">
        <v>1</v>
      </c>
      <c r="G1384" s="21"/>
      <c r="H1384" s="21">
        <v>2923</v>
      </c>
      <c r="I1384" s="20">
        <f>H1384-G1384</f>
        <v>2923</v>
      </c>
      <c r="J1384" s="616">
        <v>1000</v>
      </c>
      <c r="K1384" s="696"/>
      <c r="L1384" s="22">
        <f>F1384*I1384*J1384</f>
        <v>2923000</v>
      </c>
      <c r="M1384" s="22"/>
      <c r="N1384" s="82"/>
      <c r="O1384" s="9"/>
    </row>
    <row r="1385" spans="1:15" ht="15.5" x14ac:dyDescent="0.35">
      <c r="A1385" s="631">
        <v>11</v>
      </c>
      <c r="B1385" s="100" t="s">
        <v>1996</v>
      </c>
      <c r="C1385" s="661" t="s">
        <v>3833</v>
      </c>
      <c r="D1385" s="1920"/>
      <c r="E1385" s="674" t="s">
        <v>3553</v>
      </c>
      <c r="F1385" s="812">
        <v>1</v>
      </c>
      <c r="G1385" s="21"/>
      <c r="H1385" s="21">
        <v>3078</v>
      </c>
      <c r="I1385" s="20">
        <f>H1385-G1385</f>
        <v>3078</v>
      </c>
      <c r="J1385" s="616">
        <v>1000</v>
      </c>
      <c r="K1385" s="696"/>
      <c r="L1385" s="22">
        <f>F1385*I1385*J1385</f>
        <v>3078000</v>
      </c>
      <c r="M1385" s="22"/>
      <c r="N1385" s="82"/>
      <c r="O1385" s="616"/>
    </row>
    <row r="1386" spans="1:15" ht="15.5" x14ac:dyDescent="0.35">
      <c r="A1386" s="616"/>
      <c r="B1386" s="662" t="s">
        <v>1107</v>
      </c>
      <c r="C1386" s="89"/>
      <c r="D1386" s="1920"/>
      <c r="E1386" s="89"/>
      <c r="F1386" s="806"/>
      <c r="G1386" s="37"/>
      <c r="H1386" s="37"/>
      <c r="I1386" s="37"/>
      <c r="J1386" s="95" t="s">
        <v>30</v>
      </c>
      <c r="K1386" s="696"/>
      <c r="L1386" s="43">
        <f>SUM(L1384:L1385)</f>
        <v>6001000</v>
      </c>
      <c r="M1386" s="43">
        <f>SUM(M1384:M1385)</f>
        <v>0</v>
      </c>
      <c r="N1386" s="83"/>
      <c r="O1386" s="12"/>
    </row>
    <row r="1387" spans="1:15" ht="15.5" x14ac:dyDescent="0.35">
      <c r="A1387" s="636">
        <v>6</v>
      </c>
      <c r="B1387" s="100" t="s">
        <v>4385</v>
      </c>
      <c r="C1387" s="661" t="s">
        <v>3833</v>
      </c>
      <c r="D1387" s="1920"/>
      <c r="E1387" s="674" t="s">
        <v>4386</v>
      </c>
      <c r="F1387" s="812">
        <v>1</v>
      </c>
      <c r="G1387" s="6"/>
      <c r="H1387" s="6">
        <v>17.153908000000001</v>
      </c>
      <c r="I1387" s="20">
        <f t="shared" ref="I1387:I1392" si="45">H1387-G1387</f>
        <v>17.153908000000001</v>
      </c>
      <c r="J1387" s="616">
        <v>1000</v>
      </c>
      <c r="K1387" s="696"/>
      <c r="L1387" s="22">
        <f t="shared" ref="L1387:L1392" si="46">F1387*I1387*J1387</f>
        <v>17153.908000000003</v>
      </c>
      <c r="M1387" s="22"/>
      <c r="N1387" s="82"/>
      <c r="O1387" s="15"/>
    </row>
    <row r="1388" spans="1:15" ht="15.5" x14ac:dyDescent="0.35">
      <c r="A1388" s="636"/>
      <c r="B1388" s="100" t="s">
        <v>4387</v>
      </c>
      <c r="C1388" s="661" t="s">
        <v>3833</v>
      </c>
      <c r="D1388" s="1920"/>
      <c r="E1388" s="691" t="s">
        <v>4388</v>
      </c>
      <c r="F1388" s="812">
        <v>1</v>
      </c>
      <c r="G1388" s="6"/>
      <c r="H1388" s="6">
        <v>18.123069999999998</v>
      </c>
      <c r="I1388" s="20">
        <f t="shared" si="45"/>
        <v>18.123069999999998</v>
      </c>
      <c r="J1388" s="616">
        <v>1000</v>
      </c>
      <c r="K1388" s="696"/>
      <c r="L1388" s="22">
        <f t="shared" si="46"/>
        <v>18123.07</v>
      </c>
      <c r="M1388" s="22"/>
      <c r="N1388" s="82"/>
      <c r="O1388" s="14"/>
    </row>
    <row r="1389" spans="1:15" ht="15.5" x14ac:dyDescent="0.35">
      <c r="A1389" s="636">
        <v>8</v>
      </c>
      <c r="B1389" s="100" t="s">
        <v>4389</v>
      </c>
      <c r="C1389" s="661" t="s">
        <v>3833</v>
      </c>
      <c r="D1389" s="1920"/>
      <c r="E1389" s="691" t="s">
        <v>3553</v>
      </c>
      <c r="F1389" s="812">
        <v>1</v>
      </c>
      <c r="G1389" s="6"/>
      <c r="H1389" s="6">
        <v>3301</v>
      </c>
      <c r="I1389" s="20">
        <f t="shared" si="45"/>
        <v>3301</v>
      </c>
      <c r="J1389" s="616">
        <v>1000</v>
      </c>
      <c r="K1389" s="696"/>
      <c r="L1389" s="22">
        <f t="shared" si="46"/>
        <v>3301000</v>
      </c>
      <c r="M1389" s="22"/>
      <c r="N1389" s="82"/>
      <c r="O1389" s="14"/>
    </row>
    <row r="1390" spans="1:15" ht="15.5" x14ac:dyDescent="0.35">
      <c r="A1390" s="636">
        <v>12</v>
      </c>
      <c r="B1390" s="100" t="s">
        <v>4390</v>
      </c>
      <c r="C1390" s="661" t="s">
        <v>3833</v>
      </c>
      <c r="D1390" s="1920"/>
      <c r="E1390" s="674" t="s">
        <v>4391</v>
      </c>
      <c r="F1390" s="812">
        <v>1</v>
      </c>
      <c r="G1390" s="6"/>
      <c r="H1390" s="6">
        <v>58.55742</v>
      </c>
      <c r="I1390" s="20">
        <f t="shared" si="45"/>
        <v>58.55742</v>
      </c>
      <c r="J1390" s="616">
        <v>1000</v>
      </c>
      <c r="K1390" s="696"/>
      <c r="L1390" s="22">
        <f t="shared" si="46"/>
        <v>58557.42</v>
      </c>
      <c r="M1390" s="22"/>
      <c r="N1390" s="82"/>
      <c r="O1390" s="14"/>
    </row>
    <row r="1391" spans="1:15" ht="15.5" x14ac:dyDescent="0.35">
      <c r="A1391" s="636">
        <v>13</v>
      </c>
      <c r="B1391" s="100" t="s">
        <v>4392</v>
      </c>
      <c r="C1391" s="661" t="s">
        <v>3833</v>
      </c>
      <c r="D1391" s="1920"/>
      <c r="E1391" s="674" t="s">
        <v>4311</v>
      </c>
      <c r="F1391" s="812">
        <v>1</v>
      </c>
      <c r="G1391" s="6"/>
      <c r="H1391" s="6">
        <v>16.407426999999998</v>
      </c>
      <c r="I1391" s="20">
        <f t="shared" si="45"/>
        <v>16.407426999999998</v>
      </c>
      <c r="J1391" s="616">
        <v>1000</v>
      </c>
      <c r="K1391" s="696"/>
      <c r="L1391" s="22">
        <f t="shared" si="46"/>
        <v>16407.427</v>
      </c>
      <c r="M1391" s="22"/>
      <c r="N1391" s="82"/>
      <c r="O1391" s="14"/>
    </row>
    <row r="1392" spans="1:15" ht="15.5" x14ac:dyDescent="0.35">
      <c r="A1392" s="636">
        <v>14</v>
      </c>
      <c r="B1392" s="100" t="s">
        <v>4393</v>
      </c>
      <c r="C1392" s="661" t="s">
        <v>3833</v>
      </c>
      <c r="D1392" s="1920"/>
      <c r="E1392" s="674" t="s">
        <v>3553</v>
      </c>
      <c r="F1392" s="812">
        <v>1</v>
      </c>
      <c r="G1392" s="6"/>
      <c r="H1392" s="6">
        <v>1426</v>
      </c>
      <c r="I1392" s="20">
        <f t="shared" si="45"/>
        <v>1426</v>
      </c>
      <c r="J1392" s="616">
        <v>1000</v>
      </c>
      <c r="K1392" s="696"/>
      <c r="L1392" s="22">
        <f t="shared" si="46"/>
        <v>1426000</v>
      </c>
      <c r="M1392" s="22"/>
      <c r="N1392" s="82"/>
      <c r="O1392" s="15"/>
    </row>
    <row r="1393" spans="1:15" ht="15.5" x14ac:dyDescent="0.35">
      <c r="A1393" s="636"/>
      <c r="B1393" s="96"/>
      <c r="C1393" s="90"/>
      <c r="D1393" s="96"/>
      <c r="E1393" s="90"/>
      <c r="F1393" s="813"/>
      <c r="G1393" s="38"/>
      <c r="H1393" s="38"/>
      <c r="I1393" s="38"/>
      <c r="J1393" s="95" t="s">
        <v>30</v>
      </c>
      <c r="K1393" s="696"/>
      <c r="L1393" s="43">
        <f>SUM(L1387:L1392)</f>
        <v>4837241.8250000002</v>
      </c>
      <c r="M1393" s="43">
        <f>SUM(M1387:M1392)</f>
        <v>0</v>
      </c>
      <c r="N1393" s="83"/>
      <c r="O1393" s="13"/>
    </row>
    <row r="1394" spans="1:15" ht="20" x14ac:dyDescent="0.35">
      <c r="A1394" s="636"/>
      <c r="B1394" s="96"/>
      <c r="C1394" s="90"/>
      <c r="D1394" s="96"/>
      <c r="E1394" s="90"/>
      <c r="F1394" s="813"/>
      <c r="G1394" s="38"/>
      <c r="H1394" s="38"/>
      <c r="I1394" s="2107" t="s">
        <v>44</v>
      </c>
      <c r="J1394" s="2108"/>
      <c r="K1394" s="40">
        <f>M1381</f>
        <v>0</v>
      </c>
      <c r="L1394" s="44">
        <f>L1386+L1393</f>
        <v>10838241.824999999</v>
      </c>
      <c r="M1394" s="44">
        <f>M1386+M1393</f>
        <v>0</v>
      </c>
      <c r="N1394" s="1908">
        <f>(M1394-L1394)/L1394*100</f>
        <v>-100</v>
      </c>
      <c r="O1394" s="29"/>
    </row>
    <row r="1395" spans="1:15" x14ac:dyDescent="0.35">
      <c r="A1395" s="620"/>
      <c r="B1395" s="635"/>
      <c r="C1395" s="632"/>
      <c r="D1395" s="1900"/>
      <c r="K1395" s="702"/>
      <c r="L1395" s="620"/>
      <c r="M1395" s="620"/>
      <c r="N1395" s="632"/>
      <c r="O1395" s="620"/>
    </row>
    <row r="1396" spans="1:15" ht="15" x14ac:dyDescent="0.35">
      <c r="A1396" s="620"/>
      <c r="D1396" s="2013"/>
      <c r="G1396" s="2092" t="s">
        <v>1096</v>
      </c>
      <c r="H1396" s="2092"/>
      <c r="I1396" s="2092"/>
      <c r="J1396" s="677" t="s">
        <v>14</v>
      </c>
      <c r="K1396" s="69" t="s">
        <v>1098</v>
      </c>
      <c r="L1396" s="620"/>
      <c r="M1396" s="620"/>
      <c r="N1396" s="632"/>
      <c r="O1396" s="620"/>
    </row>
    <row r="1397" spans="1:15" ht="17.5" x14ac:dyDescent="0.35">
      <c r="A1397" s="620"/>
      <c r="D1397" s="2013"/>
      <c r="G1397" s="2093" t="s">
        <v>1071</v>
      </c>
      <c r="H1397" s="2093"/>
      <c r="I1397" s="2093"/>
      <c r="J1397" s="692">
        <f>M1386</f>
        <v>0</v>
      </c>
      <c r="K1397" s="70">
        <v>6.933634163553025</v>
      </c>
      <c r="L1397" s="620"/>
      <c r="M1397" s="620"/>
      <c r="N1397" s="632"/>
      <c r="O1397" s="620"/>
    </row>
    <row r="1398" spans="1:15" ht="17.5" x14ac:dyDescent="0.35">
      <c r="A1398" s="620"/>
      <c r="D1398" s="2013"/>
      <c r="G1398" s="2093" t="s">
        <v>206</v>
      </c>
      <c r="H1398" s="2093"/>
      <c r="I1398" s="2093"/>
      <c r="J1398" s="692">
        <f>M1387+M1388+M1389</f>
        <v>0</v>
      </c>
      <c r="K1398" s="70">
        <v>-0.33769527905653496</v>
      </c>
      <c r="L1398" s="620"/>
      <c r="M1398" s="620"/>
      <c r="N1398" s="632"/>
      <c r="O1398" s="620"/>
    </row>
    <row r="1399" spans="1:15" ht="17.5" x14ac:dyDescent="0.35">
      <c r="A1399" s="620"/>
      <c r="D1399" s="2013"/>
      <c r="G1399" s="2093" t="s">
        <v>207</v>
      </c>
      <c r="H1399" s="2093"/>
      <c r="I1399" s="2093"/>
      <c r="J1399" s="692">
        <f>M1390+M1392</f>
        <v>0</v>
      </c>
      <c r="K1399" s="70"/>
      <c r="L1399" s="620"/>
      <c r="M1399" s="620"/>
      <c r="N1399" s="632"/>
      <c r="O1399" s="620"/>
    </row>
    <row r="1400" spans="1:15" ht="17.5" x14ac:dyDescent="0.35">
      <c r="A1400" s="620"/>
      <c r="B1400" t="s">
        <v>237</v>
      </c>
      <c r="D1400" s="2013"/>
      <c r="G1400" s="2093" t="s">
        <v>208</v>
      </c>
      <c r="H1400" s="2093"/>
      <c r="I1400" s="2093"/>
      <c r="J1400" s="692" t="e">
        <f>#REF!</f>
        <v>#REF!</v>
      </c>
      <c r="K1400" s="70">
        <v>0.58957194954853154</v>
      </c>
      <c r="L1400" s="620"/>
      <c r="M1400" s="620"/>
      <c r="N1400" s="632"/>
      <c r="O1400" s="620"/>
    </row>
    <row r="1401" spans="1:15" ht="17.5" x14ac:dyDescent="0.35">
      <c r="A1401" s="620"/>
      <c r="B1401" s="635"/>
      <c r="C1401" s="632"/>
      <c r="D1401" s="1900"/>
      <c r="G1401" s="2093" t="s">
        <v>209</v>
      </c>
      <c r="H1401" s="2093"/>
      <c r="I1401" s="2093"/>
      <c r="J1401" s="692" t="e">
        <f>#REF!</f>
        <v>#REF!</v>
      </c>
      <c r="K1401" s="70"/>
      <c r="L1401" s="620"/>
      <c r="M1401" s="620"/>
      <c r="N1401" s="632"/>
      <c r="O1401" s="620"/>
    </row>
    <row r="1402" spans="1:15" ht="17.5" x14ac:dyDescent="0.35">
      <c r="A1402" s="620"/>
      <c r="B1402" s="635"/>
      <c r="C1402" s="632"/>
      <c r="D1402" s="1900"/>
      <c r="G1402" s="2093" t="s">
        <v>40</v>
      </c>
      <c r="H1402" s="2093"/>
      <c r="I1402" s="2093"/>
      <c r="J1402" s="692" t="e">
        <f>#REF!+#REF!</f>
        <v>#REF!</v>
      </c>
      <c r="K1402" s="70">
        <v>2.4391608198671739</v>
      </c>
      <c r="L1402" s="620"/>
      <c r="M1402" s="620"/>
      <c r="N1402" s="632"/>
      <c r="O1402" s="620"/>
    </row>
    <row r="1403" spans="1:15" x14ac:dyDescent="0.35">
      <c r="A1403" s="620"/>
      <c r="B1403" s="635"/>
      <c r="C1403" s="632"/>
      <c r="D1403" s="1900"/>
      <c r="G1403" s="2094" t="s">
        <v>42</v>
      </c>
      <c r="H1403" s="2094"/>
      <c r="I1403" s="2094"/>
      <c r="J1403" s="693" t="e">
        <f>#REF!</f>
        <v>#REF!</v>
      </c>
      <c r="K1403" s="694" t="s">
        <v>1097</v>
      </c>
      <c r="L1403" s="620"/>
      <c r="M1403" s="620"/>
      <c r="N1403" s="632"/>
      <c r="O1403" s="620"/>
    </row>
    <row r="1404" spans="1:15" ht="18" thickBot="1" x14ac:dyDescent="0.4">
      <c r="A1404" s="620"/>
      <c r="B1404" s="635"/>
      <c r="C1404" s="632"/>
      <c r="D1404" s="1900"/>
      <c r="E1404" s="632"/>
      <c r="F1404" s="810"/>
      <c r="G1404" s="2093" t="s">
        <v>41</v>
      </c>
      <c r="H1404" s="2093"/>
      <c r="I1404" s="2093"/>
      <c r="J1404" s="692" t="e">
        <f>#REF!</f>
        <v>#REF!</v>
      </c>
      <c r="K1404" s="681">
        <v>1.4463055987403735</v>
      </c>
      <c r="L1404" s="620"/>
      <c r="M1404" s="620"/>
      <c r="N1404" s="632"/>
      <c r="O1404" s="620"/>
    </row>
    <row r="1405" spans="1:15" ht="20.5" thickBot="1" x14ac:dyDescent="0.4">
      <c r="A1405" s="620"/>
      <c r="B1405" s="635"/>
      <c r="C1405" s="632"/>
      <c r="D1405" s="1900"/>
      <c r="E1405" s="632"/>
      <c r="F1405" s="810"/>
      <c r="G1405" s="620"/>
      <c r="H1405" s="620"/>
      <c r="I1405" s="642" t="s">
        <v>210</v>
      </c>
      <c r="J1405" s="680" t="e">
        <f>SUM(J1397:J1404)</f>
        <v>#REF!</v>
      </c>
      <c r="K1405" s="682" t="e">
        <f>J1405-M1394</f>
        <v>#REF!</v>
      </c>
      <c r="L1405" s="620"/>
      <c r="M1405" s="620"/>
      <c r="N1405" s="632"/>
      <c r="O1405" s="620"/>
    </row>
    <row r="1406" spans="1:15" x14ac:dyDescent="0.35">
      <c r="A1406" s="620"/>
      <c r="B1406" s="635"/>
      <c r="C1406" s="632"/>
      <c r="D1406" s="1900"/>
      <c r="E1406" s="632"/>
      <c r="F1406" s="810"/>
      <c r="G1406" s="620"/>
      <c r="H1406" s="620"/>
      <c r="I1406" s="620"/>
      <c r="J1406" s="620"/>
      <c r="K1406" s="702"/>
      <c r="L1406" s="620"/>
      <c r="M1406" s="620"/>
      <c r="N1406" s="632"/>
      <c r="O1406" s="620"/>
    </row>
    <row r="1407" spans="1:15" ht="25" x14ac:dyDescent="0.35">
      <c r="A1407" s="2095" t="s">
        <v>1180</v>
      </c>
      <c r="B1407" s="2095"/>
      <c r="C1407" s="2095"/>
      <c r="D1407" s="2095"/>
      <c r="E1407" s="2095"/>
      <c r="F1407" s="2095"/>
      <c r="G1407" s="2095"/>
      <c r="H1407" s="2095"/>
      <c r="I1407" s="2095"/>
      <c r="J1407" s="2095"/>
      <c r="K1407" s="2095"/>
      <c r="L1407" s="2095"/>
      <c r="M1407" s="2095"/>
      <c r="N1407" s="2095"/>
      <c r="O1407" s="756" t="e">
        <f>$O$6</f>
        <v>#REF!</v>
      </c>
    </row>
    <row r="1408" spans="1:15" ht="15.5" x14ac:dyDescent="0.35">
      <c r="A1408" s="2096" t="s">
        <v>0</v>
      </c>
      <c r="B1408" s="2098" t="s">
        <v>1</v>
      </c>
      <c r="C1408" s="2100" t="s">
        <v>2</v>
      </c>
      <c r="D1408" s="2101"/>
      <c r="E1408" s="2102"/>
      <c r="F1408" s="2216" t="s">
        <v>3</v>
      </c>
      <c r="G1408" s="2100" t="s">
        <v>4</v>
      </c>
      <c r="H1408" s="2102"/>
      <c r="I1408" s="2085"/>
      <c r="J1408" s="2103" t="s">
        <v>5</v>
      </c>
      <c r="K1408" s="2100" t="s">
        <v>6</v>
      </c>
      <c r="L1408" s="2085"/>
      <c r="M1408" s="97" t="s">
        <v>32</v>
      </c>
      <c r="N1408" s="98"/>
      <c r="O1408" s="2084" t="s">
        <v>7</v>
      </c>
    </row>
    <row r="1409" spans="1:15" ht="15.5" x14ac:dyDescent="0.35">
      <c r="A1409" s="2097"/>
      <c r="B1409" s="2099"/>
      <c r="C1409" s="2086" t="s">
        <v>1108</v>
      </c>
      <c r="D1409" s="2087"/>
      <c r="E1409" s="87" t="s">
        <v>9</v>
      </c>
      <c r="F1409" s="2217"/>
      <c r="G1409" s="2">
        <f>'NORTH-1'!$G$8</f>
        <v>44774</v>
      </c>
      <c r="H1409" s="2">
        <f>'NORTH-1'!$H$8</f>
        <v>44805</v>
      </c>
      <c r="I1409" s="1" t="s">
        <v>10</v>
      </c>
      <c r="J1409" s="2097"/>
      <c r="K1409" s="1" t="s">
        <v>11</v>
      </c>
      <c r="L1409" s="1" t="s">
        <v>12</v>
      </c>
      <c r="M1409" s="617" t="s">
        <v>33</v>
      </c>
      <c r="N1409" s="76" t="s">
        <v>47</v>
      </c>
      <c r="O1409" s="2085"/>
    </row>
    <row r="1410" spans="1:15" ht="15.5" x14ac:dyDescent="0.35">
      <c r="A1410" s="3">
        <v>1</v>
      </c>
      <c r="B1410" s="88">
        <v>2</v>
      </c>
      <c r="C1410" s="2088">
        <v>4</v>
      </c>
      <c r="D1410" s="2089"/>
      <c r="E1410" s="88">
        <v>5</v>
      </c>
      <c r="F1410" s="803">
        <v>7</v>
      </c>
      <c r="G1410" s="3">
        <v>8</v>
      </c>
      <c r="H1410" s="3">
        <v>9</v>
      </c>
      <c r="I1410" s="3" t="s">
        <v>13</v>
      </c>
      <c r="J1410" s="3">
        <v>11</v>
      </c>
      <c r="K1410" s="3" t="s">
        <v>19</v>
      </c>
      <c r="L1410" s="3" t="s">
        <v>20</v>
      </c>
      <c r="M1410" s="3">
        <v>14</v>
      </c>
      <c r="N1410" s="77">
        <v>15</v>
      </c>
      <c r="O1410" s="3">
        <v>16</v>
      </c>
    </row>
    <row r="1411" spans="1:15" ht="15" x14ac:dyDescent="0.35">
      <c r="A1411" s="636"/>
      <c r="B1411" s="624" t="s">
        <v>1466</v>
      </c>
      <c r="C1411" s="625"/>
      <c r="D1411" s="695"/>
      <c r="E1411" s="625"/>
      <c r="F1411" s="804"/>
      <c r="G1411" s="625"/>
      <c r="H1411" s="625"/>
      <c r="I1411" s="625"/>
      <c r="J1411" s="625"/>
      <c r="K1411" s="695"/>
      <c r="L1411" s="625"/>
      <c r="M1411" s="626"/>
      <c r="N1411" s="627"/>
      <c r="O1411" s="12"/>
    </row>
    <row r="1412" spans="1:15" ht="31" x14ac:dyDescent="0.35">
      <c r="A1412" s="616">
        <v>23</v>
      </c>
      <c r="B1412" s="100" t="s">
        <v>4265</v>
      </c>
      <c r="C1412" s="73" t="s">
        <v>3872</v>
      </c>
      <c r="D1412" s="2090"/>
      <c r="E1412" s="52" t="s">
        <v>4394</v>
      </c>
      <c r="F1412" s="812">
        <v>1</v>
      </c>
      <c r="G1412" s="5">
        <v>4407.95</v>
      </c>
      <c r="H1412" s="5">
        <v>4442.04</v>
      </c>
      <c r="I1412" s="21">
        <f>H1412-G1412</f>
        <v>34.090000000000146</v>
      </c>
      <c r="J1412" s="616">
        <v>180000</v>
      </c>
      <c r="K1412" s="707">
        <f>F1412*I1412*J1412</f>
        <v>6136200.0000000261</v>
      </c>
      <c r="L1412" s="22"/>
      <c r="M1412" s="22"/>
      <c r="N1412" s="83"/>
      <c r="O1412" s="12"/>
    </row>
    <row r="1413" spans="1:15" ht="31" x14ac:dyDescent="0.35">
      <c r="A1413" s="616">
        <v>24</v>
      </c>
      <c r="B1413" s="100" t="s">
        <v>4266</v>
      </c>
      <c r="C1413" s="73" t="s">
        <v>3872</v>
      </c>
      <c r="D1413" s="2091"/>
      <c r="E1413" s="52" t="s">
        <v>4395</v>
      </c>
      <c r="F1413" s="812">
        <v>1</v>
      </c>
      <c r="G1413" s="5"/>
      <c r="H1413" s="5">
        <v>4525.2700000000004</v>
      </c>
      <c r="I1413" s="21">
        <f>H1413-G1413</f>
        <v>4525.2700000000004</v>
      </c>
      <c r="J1413" s="616">
        <v>180000</v>
      </c>
      <c r="K1413" s="707">
        <f>F1413*I1413*J1413</f>
        <v>814548600.00000012</v>
      </c>
      <c r="L1413" s="22"/>
      <c r="M1413" s="22"/>
      <c r="N1413" s="83"/>
      <c r="O1413" s="12"/>
    </row>
    <row r="1414" spans="1:15" ht="15" x14ac:dyDescent="0.35">
      <c r="A1414" s="636"/>
      <c r="B1414" s="96"/>
      <c r="C1414" s="90"/>
      <c r="D1414" s="96"/>
      <c r="E1414" s="90"/>
      <c r="F1414" s="813"/>
      <c r="G1414" s="38"/>
      <c r="H1414" s="38"/>
      <c r="I1414" s="38"/>
      <c r="J1414" s="96" t="s">
        <v>30</v>
      </c>
      <c r="K1414" s="708">
        <f>SUM(K1412:K1413)</f>
        <v>820684800.00000012</v>
      </c>
      <c r="L1414" s="43"/>
      <c r="M1414" s="43">
        <f>SUM(M1412:M1413)</f>
        <v>0</v>
      </c>
      <c r="N1414" s="83"/>
      <c r="O1414" s="12"/>
    </row>
    <row r="1415" spans="1:15" ht="15.5" x14ac:dyDescent="0.35">
      <c r="A1415" s="631"/>
      <c r="B1415" s="647" t="s">
        <v>1467</v>
      </c>
      <c r="C1415" s="648"/>
      <c r="D1415" s="700"/>
      <c r="E1415" s="648"/>
      <c r="F1415" s="807"/>
      <c r="G1415" s="648"/>
      <c r="H1415" s="648"/>
      <c r="I1415" s="648"/>
      <c r="J1415" s="648"/>
      <c r="K1415" s="700"/>
      <c r="L1415" s="648"/>
      <c r="M1415" s="651"/>
      <c r="N1415" s="649"/>
      <c r="O1415" s="616"/>
    </row>
    <row r="1416" spans="1:15" ht="21" customHeight="1" x14ac:dyDescent="0.35">
      <c r="A1416" s="631">
        <v>16</v>
      </c>
      <c r="B1416" s="781" t="s">
        <v>4396</v>
      </c>
      <c r="C1416" s="73" t="s">
        <v>3872</v>
      </c>
      <c r="D1416" s="1768"/>
      <c r="E1416" s="52" t="s">
        <v>4397</v>
      </c>
      <c r="F1416" s="812">
        <v>1</v>
      </c>
      <c r="G1416" s="6">
        <v>2992.51</v>
      </c>
      <c r="H1416" s="6">
        <v>3003.34</v>
      </c>
      <c r="I1416" s="20">
        <f t="shared" ref="I1416:I1432" si="47">H1416-G1416</f>
        <v>10.829999999999927</v>
      </c>
      <c r="J1416" s="616">
        <v>60000</v>
      </c>
      <c r="K1416" s="703"/>
      <c r="L1416" s="22">
        <f t="shared" ref="L1416:L1432" si="48">F1416*I1416*J1416</f>
        <v>649799.99999999558</v>
      </c>
      <c r="M1416" s="22"/>
      <c r="N1416" s="72" t="s">
        <v>107</v>
      </c>
      <c r="O1416" s="15"/>
    </row>
    <row r="1417" spans="1:15" ht="21" customHeight="1" x14ac:dyDescent="0.35">
      <c r="A1417" s="631">
        <v>16</v>
      </c>
      <c r="B1417" s="781" t="s">
        <v>4398</v>
      </c>
      <c r="C1417" s="73" t="s">
        <v>3872</v>
      </c>
      <c r="D1417" s="1769"/>
      <c r="E1417" s="52" t="s">
        <v>4399</v>
      </c>
      <c r="F1417" s="812">
        <v>1</v>
      </c>
      <c r="G1417" s="6">
        <v>2814.81</v>
      </c>
      <c r="H1417" s="6">
        <v>2826.15</v>
      </c>
      <c r="I1417" s="20">
        <f t="shared" si="47"/>
        <v>11.340000000000146</v>
      </c>
      <c r="J1417" s="616">
        <v>60000</v>
      </c>
      <c r="K1417" s="703"/>
      <c r="L1417" s="22">
        <f t="shared" si="48"/>
        <v>680400.00000000873</v>
      </c>
      <c r="M1417" s="22"/>
      <c r="N1417" s="72" t="s">
        <v>107</v>
      </c>
      <c r="O1417" s="15"/>
    </row>
    <row r="1418" spans="1:15" ht="21" customHeight="1" x14ac:dyDescent="0.35">
      <c r="A1418" s="631">
        <v>17</v>
      </c>
      <c r="B1418" s="1917" t="s">
        <v>4400</v>
      </c>
      <c r="C1418" s="73" t="s">
        <v>3872</v>
      </c>
      <c r="D1418" s="1769"/>
      <c r="E1418" s="52" t="s">
        <v>4401</v>
      </c>
      <c r="F1418" s="812">
        <v>1</v>
      </c>
      <c r="G1418" s="6">
        <v>119.23</v>
      </c>
      <c r="H1418" s="6">
        <v>119.23</v>
      </c>
      <c r="I1418" s="20">
        <f t="shared" si="47"/>
        <v>0</v>
      </c>
      <c r="J1418" s="616">
        <v>60000</v>
      </c>
      <c r="K1418" s="703"/>
      <c r="L1418" s="22">
        <f t="shared" si="48"/>
        <v>0</v>
      </c>
      <c r="M1418" s="22"/>
      <c r="N1418" s="1934" t="s">
        <v>112</v>
      </c>
      <c r="O1418" s="15"/>
    </row>
    <row r="1419" spans="1:15" ht="21" customHeight="1" x14ac:dyDescent="0.35">
      <c r="A1419" s="631">
        <v>18</v>
      </c>
      <c r="B1419" s="781" t="s">
        <v>4402</v>
      </c>
      <c r="C1419" s="73" t="s">
        <v>3872</v>
      </c>
      <c r="D1419" s="1769"/>
      <c r="E1419" s="52" t="s">
        <v>4403</v>
      </c>
      <c r="F1419" s="812">
        <v>1</v>
      </c>
      <c r="G1419" s="6">
        <v>2201.0100000000002</v>
      </c>
      <c r="H1419" s="6">
        <v>2215.6999999999998</v>
      </c>
      <c r="I1419" s="20">
        <f t="shared" si="47"/>
        <v>14.6899999999996</v>
      </c>
      <c r="J1419" s="616">
        <v>60000</v>
      </c>
      <c r="K1419" s="703"/>
      <c r="L1419" s="22">
        <f t="shared" si="48"/>
        <v>881399.99999997602</v>
      </c>
      <c r="M1419" s="22"/>
      <c r="N1419" s="72" t="s">
        <v>107</v>
      </c>
      <c r="O1419" s="15"/>
    </row>
    <row r="1420" spans="1:15" ht="21" customHeight="1" x14ac:dyDescent="0.35">
      <c r="A1420" s="631">
        <v>19</v>
      </c>
      <c r="B1420" s="781" t="s">
        <v>4404</v>
      </c>
      <c r="C1420" s="73" t="s">
        <v>3872</v>
      </c>
      <c r="D1420" s="1769"/>
      <c r="E1420" s="52" t="s">
        <v>4405</v>
      </c>
      <c r="F1420" s="812">
        <v>1</v>
      </c>
      <c r="G1420" s="6">
        <v>1375.9</v>
      </c>
      <c r="H1420" s="6">
        <v>1379.73</v>
      </c>
      <c r="I1420" s="20">
        <f t="shared" si="47"/>
        <v>3.8299999999999272</v>
      </c>
      <c r="J1420" s="616">
        <v>60000</v>
      </c>
      <c r="K1420" s="703"/>
      <c r="L1420" s="22">
        <f t="shared" si="48"/>
        <v>229799.99999999563</v>
      </c>
      <c r="M1420" s="22"/>
      <c r="N1420" s="72" t="s">
        <v>107</v>
      </c>
      <c r="O1420" s="15"/>
    </row>
    <row r="1421" spans="1:15" ht="21" customHeight="1" x14ac:dyDescent="0.35">
      <c r="A1421" s="631">
        <v>20</v>
      </c>
      <c r="B1421" s="1917" t="s">
        <v>4406</v>
      </c>
      <c r="C1421" s="73" t="s">
        <v>3872</v>
      </c>
      <c r="D1421" s="1769"/>
      <c r="E1421" s="52" t="s">
        <v>4407</v>
      </c>
      <c r="F1421" s="812">
        <v>1</v>
      </c>
      <c r="G1421" s="6">
        <v>3778.37</v>
      </c>
      <c r="H1421" s="6">
        <v>3805.74</v>
      </c>
      <c r="I1421" s="20">
        <f t="shared" si="47"/>
        <v>27.369999999999891</v>
      </c>
      <c r="J1421" s="616">
        <v>60000</v>
      </c>
      <c r="K1421" s="703"/>
      <c r="L1421" s="22">
        <f t="shared" si="48"/>
        <v>1642199.9999999935</v>
      </c>
      <c r="M1421" s="22"/>
      <c r="N1421" s="1934" t="s">
        <v>50</v>
      </c>
      <c r="O1421" s="15"/>
    </row>
    <row r="1422" spans="1:15" ht="21" customHeight="1" x14ac:dyDescent="0.35">
      <c r="A1422" s="631">
        <v>21</v>
      </c>
      <c r="B1422" s="781" t="s">
        <v>4408</v>
      </c>
      <c r="C1422" s="73" t="s">
        <v>3872</v>
      </c>
      <c r="D1422" s="1769"/>
      <c r="E1422" s="52" t="s">
        <v>4409</v>
      </c>
      <c r="F1422" s="812">
        <v>1</v>
      </c>
      <c r="G1422" s="6">
        <v>3456.22</v>
      </c>
      <c r="H1422" s="6">
        <v>3468.74</v>
      </c>
      <c r="I1422" s="20">
        <f t="shared" si="47"/>
        <v>12.519999999999982</v>
      </c>
      <c r="J1422" s="616">
        <v>60000</v>
      </c>
      <c r="K1422" s="703"/>
      <c r="L1422" s="22">
        <f t="shared" si="48"/>
        <v>751199.99999999895</v>
      </c>
      <c r="M1422" s="22"/>
      <c r="N1422" s="72" t="s">
        <v>107</v>
      </c>
      <c r="O1422" s="15"/>
    </row>
    <row r="1423" spans="1:15" ht="21" customHeight="1" x14ac:dyDescent="0.35">
      <c r="A1423" s="631">
        <v>22</v>
      </c>
      <c r="B1423" s="1917" t="s">
        <v>4410</v>
      </c>
      <c r="C1423" s="73" t="s">
        <v>3872</v>
      </c>
      <c r="D1423" s="1769"/>
      <c r="E1423" s="52" t="s">
        <v>4411</v>
      </c>
      <c r="F1423" s="812">
        <v>1</v>
      </c>
      <c r="G1423" s="6">
        <v>1670.81</v>
      </c>
      <c r="H1423" s="6">
        <v>1683.49</v>
      </c>
      <c r="I1423" s="20">
        <f t="shared" si="47"/>
        <v>12.680000000000064</v>
      </c>
      <c r="J1423" s="616">
        <v>60000</v>
      </c>
      <c r="K1423" s="703"/>
      <c r="L1423" s="22">
        <f t="shared" si="48"/>
        <v>760800.00000000384</v>
      </c>
      <c r="M1423" s="22"/>
      <c r="N1423" s="1934" t="s">
        <v>112</v>
      </c>
      <c r="O1423" s="15"/>
    </row>
    <row r="1424" spans="1:15" ht="21" customHeight="1" x14ac:dyDescent="0.35">
      <c r="A1424" s="631">
        <v>25</v>
      </c>
      <c r="B1424" s="1917" t="s">
        <v>4412</v>
      </c>
      <c r="C1424" s="73" t="s">
        <v>3872</v>
      </c>
      <c r="D1424" s="1769"/>
      <c r="E1424" s="52" t="s">
        <v>4409</v>
      </c>
      <c r="F1424" s="812">
        <v>1</v>
      </c>
      <c r="G1424" s="6">
        <v>1573.23</v>
      </c>
      <c r="H1424" s="6">
        <v>1593.35</v>
      </c>
      <c r="I1424" s="20">
        <f t="shared" si="47"/>
        <v>20.119999999999891</v>
      </c>
      <c r="J1424" s="616">
        <v>60000</v>
      </c>
      <c r="K1424" s="703"/>
      <c r="L1424" s="22">
        <f t="shared" si="48"/>
        <v>1207199.9999999935</v>
      </c>
      <c r="M1424" s="22"/>
      <c r="N1424" s="1934" t="s">
        <v>50</v>
      </c>
      <c r="O1424" s="15"/>
    </row>
    <row r="1425" spans="1:15" ht="21" customHeight="1" x14ac:dyDescent="0.35">
      <c r="A1425" s="631">
        <v>26</v>
      </c>
      <c r="B1425" s="781" t="s">
        <v>4413</v>
      </c>
      <c r="C1425" s="73" t="s">
        <v>3872</v>
      </c>
      <c r="D1425" s="1769"/>
      <c r="E1425" s="52" t="s">
        <v>4414</v>
      </c>
      <c r="F1425" s="812">
        <v>1</v>
      </c>
      <c r="G1425" s="6">
        <v>2717.57</v>
      </c>
      <c r="H1425" s="6">
        <v>2732.83</v>
      </c>
      <c r="I1425" s="20">
        <f t="shared" si="47"/>
        <v>15.259999999999764</v>
      </c>
      <c r="J1425" s="616">
        <v>60000</v>
      </c>
      <c r="K1425" s="703"/>
      <c r="L1425" s="22">
        <f t="shared" si="48"/>
        <v>915599.9999999858</v>
      </c>
      <c r="M1425" s="22"/>
      <c r="N1425" s="72" t="s">
        <v>107</v>
      </c>
      <c r="O1425" s="15"/>
    </row>
    <row r="1426" spans="1:15" ht="21" customHeight="1" x14ac:dyDescent="0.35">
      <c r="A1426" s="631">
        <v>27</v>
      </c>
      <c r="B1426" s="781" t="s">
        <v>4415</v>
      </c>
      <c r="C1426" s="73" t="s">
        <v>3872</v>
      </c>
      <c r="D1426" s="1769"/>
      <c r="E1426" s="52" t="s">
        <v>4416</v>
      </c>
      <c r="F1426" s="812">
        <v>1</v>
      </c>
      <c r="G1426" s="6">
        <v>3010.85</v>
      </c>
      <c r="H1426" s="6">
        <v>3031.69</v>
      </c>
      <c r="I1426" s="20">
        <f t="shared" si="47"/>
        <v>20.840000000000146</v>
      </c>
      <c r="J1426" s="616">
        <v>60000</v>
      </c>
      <c r="K1426" s="703"/>
      <c r="L1426" s="22">
        <f t="shared" si="48"/>
        <v>1250400.0000000088</v>
      </c>
      <c r="M1426" s="22"/>
      <c r="N1426" s="72" t="s">
        <v>107</v>
      </c>
      <c r="O1426" s="15"/>
    </row>
    <row r="1427" spans="1:15" ht="21" customHeight="1" x14ac:dyDescent="0.35">
      <c r="A1427" s="631">
        <v>28</v>
      </c>
      <c r="B1427" s="1917" t="s">
        <v>4417</v>
      </c>
      <c r="C1427" s="73" t="s">
        <v>3872</v>
      </c>
      <c r="D1427" s="1769"/>
      <c r="E1427" s="52" t="s">
        <v>4418</v>
      </c>
      <c r="F1427" s="812">
        <v>1</v>
      </c>
      <c r="G1427" s="6">
        <v>2662.07</v>
      </c>
      <c r="H1427" s="6">
        <v>2676.27</v>
      </c>
      <c r="I1427" s="20">
        <f t="shared" si="47"/>
        <v>14.199999999999818</v>
      </c>
      <c r="J1427" s="616">
        <v>60000</v>
      </c>
      <c r="K1427" s="703"/>
      <c r="L1427" s="22">
        <f t="shared" si="48"/>
        <v>851999.99999998906</v>
      </c>
      <c r="M1427" s="22"/>
      <c r="N1427" s="1934" t="s">
        <v>112</v>
      </c>
      <c r="O1427" s="15"/>
    </row>
    <row r="1428" spans="1:15" ht="21" customHeight="1" x14ac:dyDescent="0.35">
      <c r="A1428" s="631">
        <v>29</v>
      </c>
      <c r="B1428" s="100" t="s">
        <v>4419</v>
      </c>
      <c r="C1428" s="73" t="s">
        <v>3872</v>
      </c>
      <c r="D1428" s="1769"/>
      <c r="E1428" s="52" t="s">
        <v>4420</v>
      </c>
      <c r="F1428" s="812">
        <v>1</v>
      </c>
      <c r="G1428" s="6"/>
      <c r="H1428" s="6"/>
      <c r="I1428" s="20">
        <f t="shared" si="47"/>
        <v>0</v>
      </c>
      <c r="J1428" s="616">
        <v>60000</v>
      </c>
      <c r="K1428" s="703"/>
      <c r="L1428" s="22">
        <f t="shared" si="48"/>
        <v>0</v>
      </c>
      <c r="M1428" s="22"/>
      <c r="N1428" s="72" t="s">
        <v>107</v>
      </c>
      <c r="O1428" s="15"/>
    </row>
    <row r="1429" spans="1:15" ht="21" customHeight="1" x14ac:dyDescent="0.35">
      <c r="A1429" s="631">
        <v>30</v>
      </c>
      <c r="B1429" s="1917" t="s">
        <v>4421</v>
      </c>
      <c r="C1429" s="73" t="s">
        <v>3872</v>
      </c>
      <c r="D1429" s="1769"/>
      <c r="E1429" s="52" t="s">
        <v>4422</v>
      </c>
      <c r="F1429" s="812">
        <v>1</v>
      </c>
      <c r="G1429" s="6">
        <v>892.26</v>
      </c>
      <c r="H1429" s="6">
        <v>905.94</v>
      </c>
      <c r="I1429" s="20">
        <f t="shared" si="47"/>
        <v>13.680000000000064</v>
      </c>
      <c r="J1429" s="616">
        <v>60000</v>
      </c>
      <c r="K1429" s="703"/>
      <c r="L1429" s="22">
        <f t="shared" si="48"/>
        <v>820800.00000000384</v>
      </c>
      <c r="M1429" s="22"/>
      <c r="N1429" s="1934" t="s">
        <v>50</v>
      </c>
      <c r="O1429" s="15"/>
    </row>
    <row r="1430" spans="1:15" ht="21" customHeight="1" x14ac:dyDescent="0.35">
      <c r="A1430" s="631">
        <v>31</v>
      </c>
      <c r="B1430" s="1932" t="s">
        <v>4423</v>
      </c>
      <c r="C1430" s="73" t="s">
        <v>3872</v>
      </c>
      <c r="D1430" s="1769"/>
      <c r="E1430" s="52" t="s">
        <v>4420</v>
      </c>
      <c r="F1430" s="812">
        <v>1</v>
      </c>
      <c r="G1430" s="6">
        <v>1997.44</v>
      </c>
      <c r="H1430" s="6">
        <v>2007.78</v>
      </c>
      <c r="I1430" s="20">
        <f t="shared" si="47"/>
        <v>10.339999999999918</v>
      </c>
      <c r="J1430" s="616">
        <v>60000</v>
      </c>
      <c r="K1430" s="703"/>
      <c r="L1430" s="22">
        <f t="shared" si="48"/>
        <v>620399.99999999511</v>
      </c>
      <c r="M1430" s="22"/>
      <c r="N1430" s="1934" t="s">
        <v>112</v>
      </c>
      <c r="O1430" s="15"/>
    </row>
    <row r="1431" spans="1:15" ht="21" customHeight="1" x14ac:dyDescent="0.35">
      <c r="A1431" s="631">
        <v>32</v>
      </c>
      <c r="B1431" s="781" t="s">
        <v>4424</v>
      </c>
      <c r="C1431" s="73" t="s">
        <v>3872</v>
      </c>
      <c r="D1431" s="1769"/>
      <c r="E1431" s="52" t="s">
        <v>4425</v>
      </c>
      <c r="F1431" s="812">
        <v>1</v>
      </c>
      <c r="G1431" s="6">
        <v>3744</v>
      </c>
      <c r="H1431" s="6">
        <v>3771.32</v>
      </c>
      <c r="I1431" s="20">
        <f t="shared" si="47"/>
        <v>27.320000000000164</v>
      </c>
      <c r="J1431" s="616">
        <v>60000</v>
      </c>
      <c r="K1431" s="703"/>
      <c r="L1431" s="22">
        <f t="shared" si="48"/>
        <v>1639200.0000000098</v>
      </c>
      <c r="M1431" s="22"/>
      <c r="N1431" s="72" t="s">
        <v>107</v>
      </c>
      <c r="O1431" s="15"/>
    </row>
    <row r="1432" spans="1:15" ht="21" customHeight="1" x14ac:dyDescent="0.35">
      <c r="A1432" s="631">
        <v>33</v>
      </c>
      <c r="B1432" s="781" t="s">
        <v>4162</v>
      </c>
      <c r="C1432" s="73" t="s">
        <v>3867</v>
      </c>
      <c r="D1432" s="1769"/>
      <c r="E1432" s="52" t="s">
        <v>4426</v>
      </c>
      <c r="F1432" s="812">
        <v>1</v>
      </c>
      <c r="G1432" s="6">
        <v>4896.8500000000004</v>
      </c>
      <c r="H1432" s="6">
        <v>4959.53</v>
      </c>
      <c r="I1432" s="20">
        <f t="shared" si="47"/>
        <v>62.679999999999382</v>
      </c>
      <c r="J1432" s="616">
        <v>60</v>
      </c>
      <c r="K1432" s="703"/>
      <c r="L1432" s="22">
        <f t="shared" si="48"/>
        <v>3760.7999999999629</v>
      </c>
      <c r="M1432" s="22"/>
      <c r="N1432" s="72" t="s">
        <v>107</v>
      </c>
      <c r="O1432" s="15"/>
    </row>
    <row r="1433" spans="1:15" ht="20" x14ac:dyDescent="0.35">
      <c r="A1433" s="636"/>
      <c r="B1433" s="96"/>
      <c r="C1433" s="90"/>
      <c r="D1433" s="96"/>
      <c r="E1433" s="90"/>
      <c r="F1433" s="813"/>
      <c r="G1433" s="38"/>
      <c r="H1433" s="38"/>
      <c r="I1433" s="38"/>
      <c r="J1433" s="96" t="s">
        <v>30</v>
      </c>
      <c r="K1433" s="43">
        <f>K1414</f>
        <v>820684800.00000012</v>
      </c>
      <c r="L1433" s="43">
        <f>SUM(L1416:L1432)</f>
        <v>12904960.799999958</v>
      </c>
      <c r="M1433" s="43">
        <f>SUM(M1416:M1432)</f>
        <v>0</v>
      </c>
      <c r="N1433" s="84">
        <f>(M1433-L1433)/L1433*100</f>
        <v>-100</v>
      </c>
      <c r="O1433" s="13"/>
    </row>
    <row r="1434" spans="1:15" x14ac:dyDescent="0.35">
      <c r="D1434" s="2013"/>
      <c r="K1434" s="34"/>
    </row>
    <row r="1435" spans="1:15" ht="15" x14ac:dyDescent="0.35">
      <c r="A1435" s="620"/>
      <c r="B1435" s="635"/>
      <c r="C1435" s="632"/>
      <c r="D1435" s="1900"/>
      <c r="G1435" s="2092" t="s">
        <v>1099</v>
      </c>
      <c r="H1435" s="2092"/>
      <c r="I1435" s="2092"/>
      <c r="J1435" s="677" t="s">
        <v>14</v>
      </c>
      <c r="K1435" s="702"/>
      <c r="L1435" s="620"/>
      <c r="M1435" s="620"/>
      <c r="N1435" s="632"/>
      <c r="O1435" s="620"/>
    </row>
    <row r="1436" spans="1:15" ht="15.5" x14ac:dyDescent="0.35">
      <c r="A1436" s="620"/>
      <c r="B1436" s="635"/>
      <c r="C1436" s="632"/>
      <c r="D1436" s="1900"/>
      <c r="G1436" s="2082" t="s">
        <v>232</v>
      </c>
      <c r="H1436" s="2082"/>
      <c r="I1436" s="2082"/>
      <c r="J1436" s="643" t="e">
        <f>M1422+M1426+M1428+M1429+M1430+#REF!+#REF!+#REF!+#REF!</f>
        <v>#REF!</v>
      </c>
      <c r="K1436" s="702"/>
      <c r="L1436" s="620"/>
      <c r="M1436" s="620"/>
      <c r="N1436" s="632"/>
      <c r="O1436" s="620" t="s">
        <v>237</v>
      </c>
    </row>
    <row r="1437" spans="1:15" ht="15.5" x14ac:dyDescent="0.35">
      <c r="A1437" s="620"/>
      <c r="B1437" s="635"/>
      <c r="C1437" s="632"/>
      <c r="D1437" s="1900"/>
      <c r="G1437" s="2082" t="s">
        <v>233</v>
      </c>
      <c r="H1437" s="2082"/>
      <c r="I1437" s="2082"/>
      <c r="J1437" s="643" t="e">
        <f>M1417+M1418+M1419+M1423+M1424+M1425+#REF!+#REF!+#REF!</f>
        <v>#REF!</v>
      </c>
      <c r="K1437" s="702"/>
      <c r="L1437" s="620"/>
      <c r="M1437" s="620"/>
      <c r="N1437" s="632"/>
      <c r="O1437" s="620"/>
    </row>
    <row r="1438" spans="1:15" ht="15.5" x14ac:dyDescent="0.35">
      <c r="A1438" s="620"/>
      <c r="B1438" s="635"/>
      <c r="C1438" s="632"/>
      <c r="D1438" s="1900"/>
      <c r="G1438" s="2082" t="s">
        <v>234</v>
      </c>
      <c r="H1438" s="2082"/>
      <c r="I1438" s="2082"/>
      <c r="J1438" s="643" t="e">
        <f>#REF!</f>
        <v>#REF!</v>
      </c>
      <c r="K1438" s="702"/>
      <c r="L1438" s="620"/>
      <c r="M1438" s="620"/>
      <c r="N1438" s="632"/>
      <c r="O1438" s="620"/>
    </row>
    <row r="1439" spans="1:15" ht="16" thickBot="1" x14ac:dyDescent="0.4">
      <c r="A1439" s="620"/>
      <c r="B1439" s="635"/>
      <c r="C1439" s="632"/>
      <c r="D1439" s="1900"/>
      <c r="G1439" s="2082" t="s">
        <v>235</v>
      </c>
      <c r="H1439" s="2082"/>
      <c r="I1439" s="2082"/>
      <c r="J1439" s="643" t="e">
        <f>M1416+M1420+M1421+M1427+M1431+M1432+#REF!+#REF!+#REF!</f>
        <v>#REF!</v>
      </c>
      <c r="K1439" s="702"/>
      <c r="L1439" s="620"/>
      <c r="M1439" s="620"/>
      <c r="N1439" s="632"/>
      <c r="O1439" s="620"/>
    </row>
    <row r="1440" spans="1:15" ht="20.5" thickBot="1" x14ac:dyDescent="0.4">
      <c r="A1440" s="620"/>
      <c r="B1440" s="635"/>
      <c r="C1440" s="632"/>
      <c r="D1440" s="1900"/>
      <c r="G1440" s="2083" t="s">
        <v>210</v>
      </c>
      <c r="H1440" s="2083"/>
      <c r="I1440" s="2083"/>
      <c r="J1440" s="714" t="e">
        <f>SUM(J1436:J1439)</f>
        <v>#REF!</v>
      </c>
      <c r="K1440" s="682" t="e">
        <f>J1440-M1433</f>
        <v>#REF!</v>
      </c>
      <c r="L1440" s="620"/>
      <c r="M1440" s="620"/>
      <c r="N1440" s="632"/>
      <c r="O1440" s="620"/>
    </row>
    <row r="1441" spans="1:15" x14ac:dyDescent="0.35">
      <c r="A1441" s="620"/>
      <c r="B1441" s="635"/>
      <c r="C1441" s="632"/>
      <c r="D1441" s="1900"/>
      <c r="E1441" s="632"/>
      <c r="F1441" s="810"/>
      <c r="G1441" s="620"/>
      <c r="H1441" s="620"/>
      <c r="I1441" s="620"/>
      <c r="J1441" s="620"/>
      <c r="K1441" s="702"/>
      <c r="L1441" s="620"/>
      <c r="M1441" s="620"/>
      <c r="N1441" s="632"/>
      <c r="O1441" s="620"/>
    </row>
    <row r="1442" spans="1:15" x14ac:dyDescent="0.35">
      <c r="A1442" s="620"/>
      <c r="B1442" s="635"/>
      <c r="C1442" s="632"/>
      <c r="D1442" s="1900"/>
      <c r="E1442" s="632"/>
      <c r="F1442" s="810"/>
      <c r="G1442" s="620"/>
      <c r="H1442" s="620"/>
      <c r="I1442" s="620"/>
      <c r="J1442" s="620"/>
      <c r="K1442" s="702"/>
      <c r="L1442" s="620"/>
      <c r="M1442" s="620"/>
      <c r="N1442" s="632"/>
      <c r="O1442" s="620"/>
    </row>
    <row r="1443" spans="1:15" x14ac:dyDescent="0.35">
      <c r="A1443" s="620"/>
      <c r="B1443" s="635"/>
      <c r="C1443" s="632"/>
      <c r="D1443" s="1900"/>
      <c r="E1443" s="632"/>
      <c r="F1443" s="810"/>
      <c r="G1443" s="620"/>
      <c r="H1443" s="620"/>
      <c r="I1443" s="620"/>
      <c r="J1443" s="620"/>
      <c r="K1443" s="702"/>
      <c r="L1443" s="620"/>
      <c r="M1443" s="620"/>
      <c r="N1443" s="632"/>
      <c r="O1443" s="620"/>
    </row>
    <row r="1444" spans="1:15" x14ac:dyDescent="0.35">
      <c r="A1444" s="620"/>
      <c r="B1444" s="635"/>
      <c r="C1444" s="632"/>
      <c r="D1444" s="1900"/>
      <c r="E1444" s="632"/>
      <c r="F1444" s="810"/>
      <c r="G1444" s="620"/>
      <c r="H1444" s="620"/>
      <c r="I1444" s="620"/>
      <c r="J1444" s="620"/>
      <c r="K1444" s="702"/>
      <c r="L1444" s="620"/>
      <c r="M1444" s="620"/>
      <c r="N1444" s="632"/>
      <c r="O1444" s="620"/>
    </row>
    <row r="1445" spans="1:15" x14ac:dyDescent="0.35">
      <c r="A1445" s="620"/>
      <c r="B1445" s="635"/>
      <c r="C1445" s="632"/>
      <c r="D1445" s="1900"/>
      <c r="E1445" s="632"/>
      <c r="F1445" s="810"/>
      <c r="G1445" s="620"/>
      <c r="H1445" s="620"/>
      <c r="I1445" s="620"/>
      <c r="J1445" s="620"/>
      <c r="K1445" s="702"/>
      <c r="L1445" s="620"/>
      <c r="M1445" s="620"/>
      <c r="N1445" s="632"/>
      <c r="O1445" s="620"/>
    </row>
    <row r="1446" spans="1:15" x14ac:dyDescent="0.35">
      <c r="A1446" s="620"/>
      <c r="B1446" s="632"/>
      <c r="C1446" s="632"/>
      <c r="D1446" s="1900"/>
      <c r="E1446" s="632"/>
      <c r="F1446" s="810"/>
      <c r="G1446" s="620"/>
      <c r="H1446" s="620"/>
      <c r="I1446" s="620"/>
      <c r="J1446" s="620"/>
      <c r="K1446" s="702"/>
      <c r="L1446" s="620"/>
      <c r="M1446" s="620"/>
      <c r="N1446" s="632"/>
      <c r="O1446" s="620"/>
    </row>
    <row r="1447" spans="1:15" x14ac:dyDescent="0.35">
      <c r="A1447" s="620"/>
      <c r="B1447" s="632"/>
      <c r="C1447" s="632"/>
      <c r="D1447" s="1900"/>
      <c r="E1447" s="632"/>
      <c r="F1447" s="810"/>
      <c r="G1447" s="620"/>
      <c r="H1447" s="620"/>
      <c r="I1447" s="620"/>
      <c r="J1447" s="620"/>
      <c r="K1447" s="702"/>
      <c r="L1447" s="620"/>
      <c r="M1447" s="620"/>
      <c r="N1447" s="632"/>
      <c r="O1447" s="620"/>
    </row>
    <row r="1448" spans="1:15" x14ac:dyDescent="0.35">
      <c r="A1448" s="620"/>
      <c r="B1448" s="635"/>
      <c r="C1448" s="632"/>
      <c r="D1448" s="1900"/>
      <c r="E1448" s="632"/>
      <c r="F1448" s="810"/>
      <c r="G1448" s="620"/>
      <c r="H1448" s="620"/>
      <c r="I1448" s="620"/>
      <c r="J1448" s="620"/>
      <c r="K1448" s="702"/>
      <c r="L1448" s="620"/>
      <c r="M1448" s="620"/>
      <c r="N1448" s="632"/>
      <c r="O1448" s="620"/>
    </row>
    <row r="1449" spans="1:15" x14ac:dyDescent="0.35">
      <c r="A1449" s="620"/>
      <c r="B1449" s="635"/>
      <c r="C1449" s="632"/>
      <c r="D1449" s="1900"/>
      <c r="E1449" s="632"/>
      <c r="F1449" s="810"/>
      <c r="G1449" s="620"/>
      <c r="H1449" s="620"/>
      <c r="I1449" s="620"/>
      <c r="J1449" s="620"/>
      <c r="K1449" s="702"/>
      <c r="L1449" s="620"/>
      <c r="M1449" s="620"/>
      <c r="N1449" s="632"/>
      <c r="O1449" s="620"/>
    </row>
    <row r="1450" spans="1:15" x14ac:dyDescent="0.35">
      <c r="A1450" s="620"/>
      <c r="B1450" s="635"/>
      <c r="C1450" s="632"/>
      <c r="D1450" s="1900"/>
      <c r="E1450" s="632"/>
      <c r="F1450" s="810"/>
      <c r="G1450" s="620"/>
      <c r="H1450" s="620"/>
      <c r="I1450" s="620"/>
      <c r="J1450" s="620"/>
      <c r="K1450" s="702"/>
      <c r="L1450" s="620"/>
      <c r="M1450" s="620"/>
      <c r="N1450" s="632"/>
      <c r="O1450" s="620"/>
    </row>
    <row r="1451" spans="1:15" ht="25" x14ac:dyDescent="0.35">
      <c r="A1451" s="28"/>
      <c r="B1451" s="2152"/>
      <c r="C1451" s="2152"/>
      <c r="D1451" s="2152"/>
      <c r="E1451" s="2152"/>
      <c r="F1451" s="2152"/>
      <c r="G1451" s="2152"/>
      <c r="H1451" s="2152"/>
      <c r="I1451" s="2152"/>
      <c r="J1451" s="2152"/>
      <c r="K1451" s="2152"/>
      <c r="L1451" s="2152"/>
      <c r="M1451" s="2152"/>
      <c r="N1451" s="632"/>
      <c r="O1451" s="620"/>
    </row>
    <row r="1452" spans="1:15" x14ac:dyDescent="0.35">
      <c r="A1452" s="620"/>
      <c r="B1452" s="635"/>
      <c r="C1452" s="632"/>
      <c r="D1452" s="1900"/>
      <c r="E1452" s="632"/>
      <c r="F1452" s="810"/>
      <c r="G1452" s="620"/>
      <c r="H1452" s="620"/>
      <c r="I1452" s="620"/>
      <c r="J1452" s="620"/>
      <c r="K1452" s="702"/>
      <c r="L1452" s="620"/>
      <c r="M1452" s="620"/>
      <c r="N1452" s="632"/>
      <c r="O1452" s="620"/>
    </row>
    <row r="1453" spans="1:15" x14ac:dyDescent="0.35">
      <c r="A1453" s="620"/>
      <c r="B1453" s="635"/>
      <c r="C1453" s="632"/>
      <c r="D1453" s="1900"/>
      <c r="E1453" s="632"/>
      <c r="F1453" s="810"/>
      <c r="G1453" s="620"/>
      <c r="H1453" s="620"/>
      <c r="I1453" s="620"/>
      <c r="J1453" s="620"/>
      <c r="K1453" s="702"/>
      <c r="L1453" s="620"/>
      <c r="M1453" s="620"/>
      <c r="N1453" s="632"/>
      <c r="O1453" s="620"/>
    </row>
    <row r="1454" spans="1:15" ht="25" x14ac:dyDescent="0.35">
      <c r="A1454" s="2095" t="s">
        <v>1541</v>
      </c>
      <c r="B1454" s="2095"/>
      <c r="C1454" s="2095"/>
      <c r="D1454" s="2095"/>
      <c r="E1454" s="2095"/>
      <c r="F1454" s="2095"/>
      <c r="G1454" s="2095"/>
      <c r="H1454" s="2095"/>
      <c r="I1454" s="2095"/>
      <c r="J1454" s="2095"/>
      <c r="K1454" s="2095"/>
      <c r="L1454" s="2095"/>
      <c r="M1454" s="2095"/>
      <c r="N1454" s="2095"/>
      <c r="O1454" s="756" t="e">
        <f>$O$6</f>
        <v>#REF!</v>
      </c>
    </row>
    <row r="1455" spans="1:15" ht="15.5" x14ac:dyDescent="0.35">
      <c r="A1455" s="2096" t="s">
        <v>0</v>
      </c>
      <c r="B1455" s="2098" t="s">
        <v>1</v>
      </c>
      <c r="C1455" s="2100" t="s">
        <v>2</v>
      </c>
      <c r="D1455" s="2101"/>
      <c r="E1455" s="2102"/>
      <c r="F1455" s="2216" t="s">
        <v>3</v>
      </c>
      <c r="G1455" s="2100" t="s">
        <v>4</v>
      </c>
      <c r="H1455" s="2102"/>
      <c r="I1455" s="2085"/>
      <c r="J1455" s="2103" t="s">
        <v>5</v>
      </c>
      <c r="K1455" s="2100" t="s">
        <v>6</v>
      </c>
      <c r="L1455" s="2085"/>
      <c r="M1455" s="97" t="s">
        <v>32</v>
      </c>
      <c r="N1455" s="98"/>
      <c r="O1455" s="2084" t="s">
        <v>7</v>
      </c>
    </row>
    <row r="1456" spans="1:15" ht="15.5" x14ac:dyDescent="0.35">
      <c r="A1456" s="2097"/>
      <c r="B1456" s="2099"/>
      <c r="C1456" s="2086" t="s">
        <v>1108</v>
      </c>
      <c r="D1456" s="2087"/>
      <c r="E1456" s="87" t="s">
        <v>9</v>
      </c>
      <c r="F1456" s="2217"/>
      <c r="G1456" s="2">
        <f>'NORTH-1'!$G$8</f>
        <v>44774</v>
      </c>
      <c r="H1456" s="2">
        <f>'NORTH-1'!$H$8</f>
        <v>44805</v>
      </c>
      <c r="I1456" s="1" t="s">
        <v>10</v>
      </c>
      <c r="J1456" s="2097"/>
      <c r="K1456" s="1" t="s">
        <v>11</v>
      </c>
      <c r="L1456" s="1" t="s">
        <v>12</v>
      </c>
      <c r="M1456" s="617" t="s">
        <v>33</v>
      </c>
      <c r="N1456" s="76" t="s">
        <v>47</v>
      </c>
      <c r="O1456" s="2085"/>
    </row>
    <row r="1457" spans="1:15" ht="15.5" x14ac:dyDescent="0.35">
      <c r="A1457" s="3">
        <v>1</v>
      </c>
      <c r="B1457" s="88">
        <v>2</v>
      </c>
      <c r="C1457" s="2088">
        <v>4</v>
      </c>
      <c r="D1457" s="2089"/>
      <c r="E1457" s="88">
        <v>5</v>
      </c>
      <c r="F1457" s="803">
        <v>7</v>
      </c>
      <c r="G1457" s="3">
        <v>8</v>
      </c>
      <c r="H1457" s="3">
        <v>9</v>
      </c>
      <c r="I1457" s="3" t="s">
        <v>13</v>
      </c>
      <c r="J1457" s="3">
        <v>11</v>
      </c>
      <c r="K1457" s="3" t="s">
        <v>19</v>
      </c>
      <c r="L1457" s="3" t="s">
        <v>20</v>
      </c>
      <c r="M1457" s="3">
        <v>14</v>
      </c>
      <c r="N1457" s="77">
        <v>15</v>
      </c>
      <c r="O1457" s="3">
        <v>16</v>
      </c>
    </row>
    <row r="1458" spans="1:15" ht="15.5" x14ac:dyDescent="0.35">
      <c r="A1458" s="631"/>
      <c r="B1458" s="624" t="s">
        <v>3437</v>
      </c>
      <c r="C1458" s="625"/>
      <c r="D1458" s="695"/>
      <c r="E1458" s="625"/>
      <c r="F1458" s="804"/>
      <c r="G1458" s="625"/>
      <c r="H1458" s="625"/>
      <c r="I1458" s="625"/>
      <c r="J1458" s="625"/>
      <c r="K1458" s="695"/>
      <c r="L1458" s="625"/>
      <c r="M1458" s="626"/>
      <c r="N1458" s="627"/>
      <c r="O1458" s="616"/>
    </row>
    <row r="1459" spans="1:15" ht="15.5" x14ac:dyDescent="0.35">
      <c r="A1459" s="11"/>
      <c r="B1459" s="100" t="s">
        <v>4428</v>
      </c>
      <c r="C1459" s="52" t="s">
        <v>3833</v>
      </c>
      <c r="D1459" s="2105"/>
      <c r="E1459" s="52" t="s">
        <v>4429</v>
      </c>
      <c r="F1459" s="812">
        <v>1</v>
      </c>
      <c r="G1459" s="21"/>
      <c r="H1459" s="21"/>
      <c r="I1459" s="21">
        <f>H1459-G1459</f>
        <v>0</v>
      </c>
      <c r="J1459" s="616">
        <v>6000</v>
      </c>
      <c r="K1459" s="696"/>
      <c r="L1459" s="22">
        <f>F1459*I1459*J1459</f>
        <v>0</v>
      </c>
      <c r="M1459" s="22"/>
      <c r="N1459" s="82"/>
      <c r="O1459" s="9"/>
    </row>
    <row r="1460" spans="1:15" ht="15.5" x14ac:dyDescent="0.35">
      <c r="A1460" s="11">
        <v>1</v>
      </c>
      <c r="B1460" s="100"/>
      <c r="C1460" s="52" t="s">
        <v>3833</v>
      </c>
      <c r="D1460" s="2106"/>
      <c r="E1460" s="52"/>
      <c r="F1460" s="812">
        <v>1</v>
      </c>
      <c r="G1460" s="21"/>
      <c r="H1460" s="21"/>
      <c r="I1460" s="21">
        <f>H1460-G1460</f>
        <v>0</v>
      </c>
      <c r="J1460" s="616">
        <v>180000</v>
      </c>
      <c r="K1460" s="696"/>
      <c r="L1460" s="22">
        <f>F1460*I1460*J1460</f>
        <v>0</v>
      </c>
      <c r="M1460" s="22"/>
      <c r="N1460" s="82"/>
      <c r="O1460" s="9"/>
    </row>
    <row r="1461" spans="1:15" ht="15.5" x14ac:dyDescent="0.35">
      <c r="A1461" s="11">
        <v>1</v>
      </c>
      <c r="B1461" s="100" t="s">
        <v>4430</v>
      </c>
      <c r="C1461" s="52" t="s">
        <v>3833</v>
      </c>
      <c r="D1461" s="2106"/>
      <c r="E1461" s="52" t="s">
        <v>4431</v>
      </c>
      <c r="F1461" s="812">
        <v>1</v>
      </c>
      <c r="G1461" s="21">
        <v>2739.92</v>
      </c>
      <c r="H1461" s="21">
        <v>2758.72</v>
      </c>
      <c r="I1461" s="21">
        <f>H1461-G1461</f>
        <v>18.799999999999727</v>
      </c>
      <c r="J1461" s="616">
        <v>270000</v>
      </c>
      <c r="K1461" s="696">
        <f>F1461*I1461*J1461</f>
        <v>5075999.9999999264</v>
      </c>
      <c r="L1461" s="22"/>
      <c r="M1461" s="22"/>
      <c r="N1461" s="82"/>
      <c r="O1461" s="9"/>
    </row>
    <row r="1462" spans="1:15" ht="15.5" x14ac:dyDescent="0.35">
      <c r="A1462" s="631">
        <v>2</v>
      </c>
      <c r="B1462" s="100" t="s">
        <v>4432</v>
      </c>
      <c r="C1462" s="52" t="s">
        <v>3833</v>
      </c>
      <c r="D1462" s="2151"/>
      <c r="E1462" s="52" t="s">
        <v>256</v>
      </c>
      <c r="F1462" s="812">
        <v>1</v>
      </c>
      <c r="G1462" s="21">
        <v>2638.62</v>
      </c>
      <c r="H1462" s="21">
        <v>2656.62</v>
      </c>
      <c r="I1462" s="21">
        <f>H1462-G1462</f>
        <v>18</v>
      </c>
      <c r="J1462" s="616">
        <v>270000</v>
      </c>
      <c r="K1462" s="696">
        <f>F1462*I1462*J1462</f>
        <v>4860000</v>
      </c>
      <c r="L1462" s="22"/>
      <c r="M1462" s="22"/>
      <c r="N1462" s="82"/>
      <c r="O1462" s="616"/>
    </row>
    <row r="1463" spans="1:15" ht="15.5" x14ac:dyDescent="0.35">
      <c r="A1463" s="631"/>
      <c r="B1463" s="102"/>
      <c r="C1463" s="91"/>
      <c r="D1463" s="726"/>
      <c r="E1463" s="91"/>
      <c r="F1463" s="814"/>
      <c r="G1463" s="48"/>
      <c r="H1463" s="48"/>
      <c r="I1463" s="48"/>
      <c r="J1463" s="96" t="s">
        <v>30</v>
      </c>
      <c r="K1463" s="43">
        <f>SUM(K1459:K1462)</f>
        <v>9935999.9999999255</v>
      </c>
      <c r="L1463" s="43">
        <f>SUM(L1459:L1462)</f>
        <v>0</v>
      </c>
      <c r="M1463" s="43">
        <f>SUM(M1459:M1462)</f>
        <v>0</v>
      </c>
      <c r="N1463" s="646"/>
      <c r="O1463" s="616"/>
    </row>
    <row r="1464" spans="1:15" ht="15.5" x14ac:dyDescent="0.35">
      <c r="A1464" s="616"/>
      <c r="B1464" s="624" t="s">
        <v>1542</v>
      </c>
      <c r="C1464" s="625"/>
      <c r="D1464" s="695"/>
      <c r="E1464" s="625"/>
      <c r="F1464" s="804"/>
      <c r="G1464" s="625"/>
      <c r="H1464" s="625"/>
      <c r="I1464" s="625"/>
      <c r="J1464" s="732"/>
      <c r="K1464" s="733"/>
      <c r="L1464" s="734"/>
      <c r="M1464" s="734"/>
      <c r="N1464" s="627"/>
      <c r="O1464" s="12"/>
    </row>
    <row r="1465" spans="1:15" ht="15.5" x14ac:dyDescent="0.35">
      <c r="A1465" s="616"/>
      <c r="B1465" s="100" t="s">
        <v>239</v>
      </c>
      <c r="C1465" s="52">
        <v>33</v>
      </c>
      <c r="D1465" s="2105" t="s">
        <v>1084</v>
      </c>
      <c r="E1465" s="52" t="s">
        <v>257</v>
      </c>
      <c r="F1465" s="812">
        <v>1</v>
      </c>
      <c r="G1465" s="21">
        <v>868220</v>
      </c>
      <c r="H1465" s="21">
        <v>882182</v>
      </c>
      <c r="I1465" s="20">
        <f>H1465-G1465</f>
        <v>13962</v>
      </c>
      <c r="J1465" s="616">
        <v>180</v>
      </c>
      <c r="K1465" s="696"/>
      <c r="L1465" s="22">
        <f>J1465*I1465*F1465</f>
        <v>2513160</v>
      </c>
      <c r="M1465" s="22"/>
      <c r="N1465" s="82"/>
      <c r="O1465" s="12"/>
    </row>
    <row r="1466" spans="1:15" ht="15.5" x14ac:dyDescent="0.35">
      <c r="A1466" s="616"/>
      <c r="B1466" s="100" t="s">
        <v>240</v>
      </c>
      <c r="C1466" s="52">
        <v>33</v>
      </c>
      <c r="D1466" s="2106"/>
      <c r="E1466" s="52" t="s">
        <v>258</v>
      </c>
      <c r="F1466" s="812">
        <v>1</v>
      </c>
      <c r="G1466" s="21">
        <v>775.28</v>
      </c>
      <c r="H1466" s="21">
        <v>788.74</v>
      </c>
      <c r="I1466" s="20">
        <f>H1466-G1466</f>
        <v>13.460000000000036</v>
      </c>
      <c r="J1466" s="616">
        <v>180000</v>
      </c>
      <c r="K1466" s="696"/>
      <c r="L1466" s="22">
        <f>J1466*I1466*F1466</f>
        <v>2422800.0000000065</v>
      </c>
      <c r="M1466" s="22"/>
      <c r="N1466" s="82"/>
      <c r="O1466" s="12"/>
    </row>
    <row r="1467" spans="1:15" ht="15.5" x14ac:dyDescent="0.35">
      <c r="A1467" s="616"/>
      <c r="B1467" s="100" t="s">
        <v>241</v>
      </c>
      <c r="C1467" s="52">
        <v>33</v>
      </c>
      <c r="D1467" s="2151"/>
      <c r="E1467" s="52" t="s">
        <v>259</v>
      </c>
      <c r="F1467" s="812">
        <v>1</v>
      </c>
      <c r="G1467" s="21">
        <v>349.1</v>
      </c>
      <c r="H1467" s="21">
        <v>349.1</v>
      </c>
      <c r="I1467" s="20">
        <f>H1467-G1467</f>
        <v>0</v>
      </c>
      <c r="J1467" s="616">
        <v>180000</v>
      </c>
      <c r="K1467" s="696"/>
      <c r="L1467" s="22">
        <f>J1467*I1467*F1467</f>
        <v>0</v>
      </c>
      <c r="M1467" s="22"/>
      <c r="N1467" s="82"/>
      <c r="O1467" s="12"/>
    </row>
    <row r="1468" spans="1:15" ht="15.5" x14ac:dyDescent="0.35">
      <c r="A1468" s="616"/>
      <c r="B1468" s="102"/>
      <c r="C1468" s="91"/>
      <c r="D1468" s="726"/>
      <c r="E1468" s="91"/>
      <c r="F1468" s="814"/>
      <c r="G1468" s="48"/>
      <c r="H1468" s="48"/>
      <c r="I1468" s="36"/>
      <c r="J1468" s="96" t="s">
        <v>30</v>
      </c>
      <c r="K1468" s="706"/>
      <c r="L1468" s="43">
        <f>SUM(L1465:L1467)</f>
        <v>4935960.0000000065</v>
      </c>
      <c r="M1468" s="43" t="e">
        <f>M1463+#REF!</f>
        <v>#REF!</v>
      </c>
      <c r="N1468" s="85"/>
      <c r="O1468" s="12"/>
    </row>
    <row r="1469" spans="1:15" ht="15.5" x14ac:dyDescent="0.35">
      <c r="A1469" s="616"/>
      <c r="B1469" s="647" t="s">
        <v>4427</v>
      </c>
      <c r="C1469" s="648"/>
      <c r="D1469" s="700"/>
      <c r="E1469" s="648"/>
      <c r="F1469" s="807"/>
      <c r="G1469" s="648"/>
      <c r="H1469" s="648"/>
      <c r="I1469" s="648"/>
      <c r="J1469" s="648"/>
      <c r="K1469" s="700"/>
      <c r="L1469" s="648"/>
      <c r="M1469" s="651"/>
      <c r="N1469" s="649"/>
      <c r="O1469" s="8"/>
    </row>
    <row r="1470" spans="1:15" ht="15.5" x14ac:dyDescent="0.35">
      <c r="A1470" s="616"/>
      <c r="B1470" s="100" t="s">
        <v>1079</v>
      </c>
      <c r="C1470" s="52">
        <v>132</v>
      </c>
      <c r="D1470" s="2138" t="s">
        <v>1083</v>
      </c>
      <c r="E1470" s="615"/>
      <c r="F1470" s="812"/>
      <c r="G1470" s="5"/>
      <c r="H1470" s="5"/>
      <c r="I1470" s="5"/>
      <c r="J1470" s="616"/>
      <c r="K1470" s="696"/>
      <c r="L1470" s="16">
        <f>J1470*I1470*F1470</f>
        <v>0</v>
      </c>
      <c r="M1470" s="7"/>
      <c r="N1470" s="78"/>
      <c r="O1470" s="616"/>
    </row>
    <row r="1471" spans="1:15" ht="15.5" x14ac:dyDescent="0.35">
      <c r="A1471" s="616"/>
      <c r="B1471" s="100" t="s">
        <v>1078</v>
      </c>
      <c r="C1471" s="52">
        <v>132</v>
      </c>
      <c r="D1471" s="2139"/>
      <c r="E1471" s="615"/>
      <c r="F1471" s="812"/>
      <c r="G1471" s="5"/>
      <c r="H1471" s="5"/>
      <c r="I1471" s="5"/>
      <c r="J1471" s="616"/>
      <c r="K1471" s="696"/>
      <c r="L1471" s="16">
        <f>J1471*I1471*F1471</f>
        <v>0</v>
      </c>
      <c r="M1471" s="16"/>
      <c r="N1471" s="79"/>
      <c r="O1471" s="616"/>
    </row>
    <row r="1472" spans="1:15" ht="15.5" x14ac:dyDescent="0.35">
      <c r="A1472" s="616"/>
      <c r="B1472" s="95"/>
      <c r="C1472" s="89"/>
      <c r="D1472" s="1846"/>
      <c r="E1472" s="89"/>
      <c r="F1472" s="806"/>
      <c r="G1472" s="37"/>
      <c r="H1472" s="37"/>
      <c r="I1472" s="37"/>
      <c r="J1472" s="95" t="s">
        <v>279</v>
      </c>
      <c r="K1472" s="699"/>
      <c r="L1472" s="55">
        <f>SUM(L1470:L1471)</f>
        <v>0</v>
      </c>
      <c r="M1472" s="633"/>
      <c r="N1472" s="634"/>
      <c r="O1472" s="616"/>
    </row>
    <row r="1473" spans="1:15" ht="15.5" x14ac:dyDescent="0.35">
      <c r="A1473" s="616"/>
      <c r="B1473" s="102"/>
      <c r="C1473" s="91"/>
      <c r="D1473" s="726"/>
      <c r="E1473" s="91"/>
      <c r="F1473" s="814"/>
      <c r="G1473" s="48"/>
      <c r="H1473" s="48"/>
      <c r="I1473" s="36"/>
      <c r="J1473" s="96"/>
      <c r="K1473" s="706"/>
      <c r="L1473" s="43"/>
      <c r="M1473" s="43"/>
      <c r="N1473" s="85"/>
      <c r="O1473" s="12"/>
    </row>
    <row r="1474" spans="1:15" ht="15.5" x14ac:dyDescent="0.35">
      <c r="A1474" s="636"/>
      <c r="B1474" s="647" t="s">
        <v>1543</v>
      </c>
      <c r="C1474" s="648"/>
      <c r="D1474" s="700"/>
      <c r="E1474" s="648"/>
      <c r="F1474" s="807"/>
      <c r="G1474" s="648"/>
      <c r="H1474" s="648"/>
      <c r="I1474" s="648"/>
      <c r="J1474" s="50"/>
      <c r="K1474" s="710"/>
      <c r="L1474" s="51"/>
      <c r="M1474" s="51"/>
      <c r="N1474" s="649"/>
      <c r="O1474" s="12"/>
    </row>
    <row r="1475" spans="1:15" ht="15.5" x14ac:dyDescent="0.35">
      <c r="A1475" s="616"/>
      <c r="B1475" s="100" t="s">
        <v>4129</v>
      </c>
      <c r="C1475" s="52" t="s">
        <v>3833</v>
      </c>
      <c r="D1475" s="2140"/>
      <c r="E1475" s="52" t="s">
        <v>255</v>
      </c>
      <c r="F1475" s="812">
        <v>1</v>
      </c>
      <c r="G1475" s="21">
        <v>3922.2</v>
      </c>
      <c r="H1475" s="21">
        <v>3949.17</v>
      </c>
      <c r="I1475" s="21">
        <f>H1475-G1475</f>
        <v>26.970000000000255</v>
      </c>
      <c r="J1475" s="31">
        <v>180000</v>
      </c>
      <c r="K1475" s="707"/>
      <c r="L1475" s="22">
        <f>F1475*I1475*J1475</f>
        <v>4854600.0000000456</v>
      </c>
      <c r="M1475" s="22"/>
      <c r="N1475" s="83"/>
      <c r="O1475" s="12"/>
    </row>
    <row r="1476" spans="1:15" ht="15.5" x14ac:dyDescent="0.35">
      <c r="A1476" s="616">
        <v>3</v>
      </c>
      <c r="B1476" s="100" t="s">
        <v>4433</v>
      </c>
      <c r="C1476" s="52" t="s">
        <v>3833</v>
      </c>
      <c r="D1476" s="2157"/>
      <c r="E1476" s="52">
        <v>86052</v>
      </c>
      <c r="F1476" s="812">
        <v>1</v>
      </c>
      <c r="G1476" s="21">
        <v>4671.1499999999996</v>
      </c>
      <c r="H1476" s="21">
        <v>4700.07</v>
      </c>
      <c r="I1476" s="21">
        <f>H1476-G1476</f>
        <v>28.920000000000073</v>
      </c>
      <c r="J1476" s="31">
        <v>180000</v>
      </c>
      <c r="K1476" s="707"/>
      <c r="L1476" s="22">
        <f>F1476*I1476*J1476</f>
        <v>5205600.000000013</v>
      </c>
      <c r="M1476" s="22"/>
      <c r="N1476" s="83"/>
      <c r="O1476" s="12"/>
    </row>
    <row r="1477" spans="1:15" ht="15" x14ac:dyDescent="0.35">
      <c r="A1477" s="636"/>
      <c r="B1477" s="96"/>
      <c r="C1477" s="90"/>
      <c r="D1477" s="96"/>
      <c r="E1477" s="90"/>
      <c r="F1477" s="813"/>
      <c r="G1477" s="38"/>
      <c r="H1477" s="38"/>
      <c r="I1477" s="38"/>
      <c r="J1477" s="96" t="s">
        <v>30</v>
      </c>
      <c r="K1477" s="708"/>
      <c r="L1477" s="43">
        <f>SUM(L1475:L1476)</f>
        <v>10060200.00000006</v>
      </c>
      <c r="M1477" s="43">
        <f>SUM(M1475:M1476)</f>
        <v>0</v>
      </c>
      <c r="N1477" s="650">
        <f>(M1477-L1477)/L1477*100</f>
        <v>-100</v>
      </c>
      <c r="O1477" s="12"/>
    </row>
    <row r="1478" spans="1:15" ht="15.5" thickBot="1" x14ac:dyDescent="0.4">
      <c r="A1478" s="702"/>
      <c r="B1478" s="736"/>
      <c r="C1478" s="92"/>
      <c r="D1478" s="736"/>
      <c r="E1478" s="92"/>
      <c r="F1478" s="815"/>
      <c r="G1478" s="737"/>
      <c r="H1478" s="737"/>
      <c r="I1478" s="737"/>
      <c r="J1478" s="736"/>
      <c r="K1478" s="738"/>
      <c r="L1478" s="739"/>
      <c r="M1478" s="739"/>
      <c r="N1478" s="646"/>
      <c r="O1478" s="740"/>
    </row>
    <row r="1479" spans="1:15" ht="15" x14ac:dyDescent="0.35">
      <c r="A1479" s="702"/>
      <c r="B1479" s="2142" t="s">
        <v>1339</v>
      </c>
      <c r="C1479" s="2143"/>
      <c r="D1479" s="683" t="s">
        <v>14</v>
      </c>
      <c r="F1479" s="2144" t="s">
        <v>1350</v>
      </c>
      <c r="G1479" s="2145"/>
      <c r="H1479" s="2146"/>
      <c r="I1479" s="683" t="s">
        <v>14</v>
      </c>
      <c r="J1479" s="620"/>
      <c r="K1479" s="2147" t="s">
        <v>1092</v>
      </c>
      <c r="L1479" s="2148"/>
      <c r="M1479" s="684" t="s">
        <v>14</v>
      </c>
      <c r="N1479" s="646"/>
      <c r="O1479" s="740"/>
    </row>
    <row r="1480" spans="1:15" ht="15" x14ac:dyDescent="0.35">
      <c r="A1480" s="702"/>
      <c r="B1480" s="2122" t="str">
        <f>B1458</f>
        <v xml:space="preserve"> 33 KV SIDE</v>
      </c>
      <c r="C1480" s="2123"/>
      <c r="D1480" s="689">
        <f>M1463</f>
        <v>0</v>
      </c>
      <c r="F1480" s="2124" t="s">
        <v>1093</v>
      </c>
      <c r="G1480" s="2125"/>
      <c r="H1480" s="2126"/>
      <c r="I1480" s="685">
        <f>L1472</f>
        <v>0</v>
      </c>
      <c r="J1480" s="620"/>
      <c r="K1480" s="2160" t="str">
        <f>F1481</f>
        <v>JAPAN GERDEN CITY 33 KV NET IMPORT</v>
      </c>
      <c r="L1480" s="2161"/>
      <c r="M1480" s="687">
        <f>I1481</f>
        <v>0</v>
      </c>
      <c r="N1480" s="646"/>
      <c r="O1480" s="740"/>
    </row>
    <row r="1481" spans="1:15" ht="15" x14ac:dyDescent="0.35">
      <c r="A1481" s="702"/>
      <c r="B1481" s="2122" t="s">
        <v>1116</v>
      </c>
      <c r="C1481" s="2123"/>
      <c r="D1481" s="741"/>
      <c r="F1481" s="2124" t="s">
        <v>1544</v>
      </c>
      <c r="G1481" s="2125"/>
      <c r="H1481" s="2126"/>
      <c r="I1481" s="685">
        <f>D1484-I1480</f>
        <v>0</v>
      </c>
      <c r="J1481" s="620"/>
      <c r="K1481" s="2162" t="s">
        <v>1545</v>
      </c>
      <c r="L1481" s="2163"/>
      <c r="M1481" s="685">
        <f>M1509</f>
        <v>0</v>
      </c>
      <c r="N1481" s="646"/>
      <c r="O1481" s="740"/>
    </row>
    <row r="1482" spans="1:15" ht="15" x14ac:dyDescent="0.35">
      <c r="A1482" s="702"/>
      <c r="B1482" s="2122" t="s">
        <v>1117</v>
      </c>
      <c r="C1482" s="2123"/>
      <c r="D1482" s="721"/>
      <c r="F1482" s="2124" t="s">
        <v>1089</v>
      </c>
      <c r="G1482" s="2125"/>
      <c r="H1482" s="2126"/>
      <c r="I1482" s="685">
        <f>I1480+I1481</f>
        <v>0</v>
      </c>
      <c r="J1482" s="620"/>
      <c r="K1482" s="2127" t="s">
        <v>284</v>
      </c>
      <c r="L1482" s="2128"/>
      <c r="M1482" s="685">
        <f>M1480-M1481</f>
        <v>0</v>
      </c>
      <c r="N1482" s="646"/>
      <c r="O1482" s="740"/>
    </row>
    <row r="1483" spans="1:15" ht="16" thickBot="1" x14ac:dyDescent="0.4">
      <c r="A1483" s="702"/>
      <c r="B1483" s="2122" t="s">
        <v>1118</v>
      </c>
      <c r="C1483" s="2123"/>
      <c r="D1483" s="722"/>
      <c r="F1483" s="2113" t="s">
        <v>1546</v>
      </c>
      <c r="G1483" s="2114"/>
      <c r="H1483" s="2115"/>
      <c r="I1483" s="690" t="e">
        <f>(D1484-I1482)/I1482</f>
        <v>#DIV/0!</v>
      </c>
      <c r="J1483" s="620"/>
      <c r="K1483" s="2134" t="s">
        <v>285</v>
      </c>
      <c r="L1483" s="2135"/>
      <c r="M1483" s="688" t="e">
        <f>M1482/M1480</f>
        <v>#DIV/0!</v>
      </c>
      <c r="N1483" s="646"/>
      <c r="O1483" s="740"/>
    </row>
    <row r="1484" spans="1:15" ht="15.5" thickBot="1" x14ac:dyDescent="0.4">
      <c r="A1484" s="702"/>
      <c r="B1484" s="2158" t="s">
        <v>1082</v>
      </c>
      <c r="C1484" s="2159"/>
      <c r="D1484" s="686">
        <f>SUM(D1480:D1482)</f>
        <v>0</v>
      </c>
      <c r="F1484" s="810"/>
      <c r="G1484" s="620"/>
      <c r="H1484" s="620"/>
      <c r="I1484" s="620"/>
      <c r="J1484" s="620"/>
      <c r="K1484" s="702"/>
      <c r="L1484" s="620"/>
      <c r="M1484" s="620"/>
      <c r="N1484" s="646"/>
      <c r="O1484" s="740"/>
    </row>
    <row r="1485" spans="1:15" ht="15" x14ac:dyDescent="0.35">
      <c r="A1485" s="702"/>
      <c r="B1485" s="736"/>
      <c r="C1485" s="92"/>
      <c r="D1485" s="736"/>
      <c r="E1485" s="92"/>
      <c r="F1485" s="815"/>
      <c r="G1485" s="737"/>
      <c r="H1485" s="737"/>
      <c r="I1485" s="737"/>
      <c r="J1485" s="736"/>
      <c r="K1485" s="738"/>
      <c r="L1485" s="739"/>
      <c r="M1485" s="739"/>
      <c r="N1485" s="646"/>
      <c r="O1485" s="740"/>
    </row>
    <row r="1486" spans="1:15" x14ac:dyDescent="0.35">
      <c r="A1486" s="620"/>
      <c r="B1486" s="632"/>
      <c r="C1486" s="620"/>
      <c r="D1486" s="2014"/>
      <c r="E1486" s="620"/>
      <c r="F1486" s="810"/>
      <c r="G1486" s="620"/>
      <c r="H1486" s="620"/>
      <c r="I1486" s="620"/>
      <c r="J1486" s="620"/>
      <c r="K1486" s="702"/>
      <c r="L1486" s="620"/>
      <c r="M1486" s="620"/>
      <c r="N1486" s="620"/>
      <c r="O1486" s="620"/>
    </row>
    <row r="1487" spans="1:15" x14ac:dyDescent="0.35">
      <c r="A1487" s="620"/>
      <c r="B1487" s="632"/>
      <c r="C1487" s="620"/>
      <c r="D1487" s="2014"/>
      <c r="E1487" s="620"/>
      <c r="F1487" s="810"/>
      <c r="G1487" s="620"/>
      <c r="H1487" s="620"/>
      <c r="I1487" s="620"/>
      <c r="J1487" s="620"/>
      <c r="K1487" s="702"/>
      <c r="L1487" s="620"/>
      <c r="M1487" s="620"/>
      <c r="N1487" s="620"/>
      <c r="O1487" s="620"/>
    </row>
    <row r="1488" spans="1:15" ht="25" x14ac:dyDescent="0.35">
      <c r="A1488" s="2095" t="s">
        <v>1181</v>
      </c>
      <c r="B1488" s="2095"/>
      <c r="C1488" s="2095"/>
      <c r="D1488" s="2095"/>
      <c r="E1488" s="2095"/>
      <c r="F1488" s="2095"/>
      <c r="G1488" s="2095"/>
      <c r="H1488" s="2095"/>
      <c r="I1488" s="2095"/>
      <c r="J1488" s="2095"/>
      <c r="K1488" s="2095"/>
      <c r="L1488" s="2095"/>
      <c r="M1488" s="2095"/>
      <c r="N1488" s="2095"/>
      <c r="O1488" s="756" t="e">
        <f>$O$6</f>
        <v>#REF!</v>
      </c>
    </row>
    <row r="1489" spans="1:15" ht="15.5" x14ac:dyDescent="0.35">
      <c r="A1489" s="2096" t="s">
        <v>0</v>
      </c>
      <c r="B1489" s="2098" t="s">
        <v>1</v>
      </c>
      <c r="C1489" s="2100" t="s">
        <v>2</v>
      </c>
      <c r="D1489" s="2101"/>
      <c r="E1489" s="2102"/>
      <c r="F1489" s="2216" t="s">
        <v>3</v>
      </c>
      <c r="G1489" s="2100" t="s">
        <v>4</v>
      </c>
      <c r="H1489" s="2102"/>
      <c r="I1489" s="2085"/>
      <c r="J1489" s="2103" t="s">
        <v>5</v>
      </c>
      <c r="K1489" s="2100" t="s">
        <v>6</v>
      </c>
      <c r="L1489" s="2085"/>
      <c r="M1489" s="97" t="s">
        <v>32</v>
      </c>
      <c r="N1489" s="98"/>
      <c r="O1489" s="2084" t="s">
        <v>7</v>
      </c>
    </row>
    <row r="1490" spans="1:15" ht="15.5" x14ac:dyDescent="0.35">
      <c r="A1490" s="2097"/>
      <c r="B1490" s="2099"/>
      <c r="C1490" s="2086" t="s">
        <v>1108</v>
      </c>
      <c r="D1490" s="2087"/>
      <c r="E1490" s="87" t="s">
        <v>9</v>
      </c>
      <c r="F1490" s="2217"/>
      <c r="G1490" s="2">
        <f>'NORTH-1'!$G$8</f>
        <v>44774</v>
      </c>
      <c r="H1490" s="2">
        <f>'NORTH-1'!$H$8</f>
        <v>44805</v>
      </c>
      <c r="I1490" s="1" t="s">
        <v>10</v>
      </c>
      <c r="J1490" s="2097"/>
      <c r="K1490" s="1" t="s">
        <v>11</v>
      </c>
      <c r="L1490" s="1" t="s">
        <v>12</v>
      </c>
      <c r="M1490" s="617" t="s">
        <v>33</v>
      </c>
      <c r="N1490" s="76" t="s">
        <v>47</v>
      </c>
      <c r="O1490" s="2085"/>
    </row>
    <row r="1491" spans="1:15" ht="15.5" x14ac:dyDescent="0.35">
      <c r="A1491" s="3">
        <v>1</v>
      </c>
      <c r="B1491" s="88">
        <v>2</v>
      </c>
      <c r="C1491" s="2088">
        <v>4</v>
      </c>
      <c r="D1491" s="2089"/>
      <c r="E1491" s="88">
        <v>5</v>
      </c>
      <c r="F1491" s="803">
        <v>7</v>
      </c>
      <c r="G1491" s="3">
        <v>8</v>
      </c>
      <c r="H1491" s="3">
        <v>9</v>
      </c>
      <c r="I1491" s="3" t="s">
        <v>13</v>
      </c>
      <c r="J1491" s="3">
        <v>11</v>
      </c>
      <c r="K1491" s="3" t="s">
        <v>19</v>
      </c>
      <c r="L1491" s="3" t="s">
        <v>20</v>
      </c>
      <c r="M1491" s="3">
        <v>14</v>
      </c>
      <c r="N1491" s="77">
        <v>15</v>
      </c>
      <c r="O1491" s="3">
        <v>16</v>
      </c>
    </row>
    <row r="1492" spans="1:15" ht="15.5" x14ac:dyDescent="0.35">
      <c r="A1492" s="631"/>
      <c r="B1492" s="624" t="s">
        <v>1547</v>
      </c>
      <c r="C1492" s="625"/>
      <c r="D1492" s="695"/>
      <c r="E1492" s="625"/>
      <c r="F1492" s="804"/>
      <c r="G1492" s="625"/>
      <c r="H1492" s="625"/>
      <c r="I1492" s="625"/>
      <c r="J1492" s="625"/>
      <c r="K1492" s="695"/>
      <c r="L1492" s="625"/>
      <c r="M1492" s="626"/>
      <c r="N1492" s="627"/>
      <c r="O1492" s="616"/>
    </row>
    <row r="1493" spans="1:15" ht="15.5" x14ac:dyDescent="0.35">
      <c r="A1493" s="631">
        <v>9</v>
      </c>
      <c r="B1493" s="100" t="s">
        <v>2011</v>
      </c>
      <c r="C1493" s="52" t="s">
        <v>3872</v>
      </c>
      <c r="D1493" s="2105"/>
      <c r="E1493" s="52" t="s">
        <v>253</v>
      </c>
      <c r="F1493" s="812">
        <v>1</v>
      </c>
      <c r="G1493" s="21">
        <v>5269.72</v>
      </c>
      <c r="H1493" s="21">
        <v>5301.71</v>
      </c>
      <c r="I1493" s="21">
        <f>H1493-G1493</f>
        <v>31.989999999999782</v>
      </c>
      <c r="J1493" s="616">
        <v>160000</v>
      </c>
      <c r="K1493" s="696">
        <f>F1493*I1493*J1493</f>
        <v>5118399.9999999646</v>
      </c>
      <c r="L1493" s="22"/>
      <c r="M1493" s="22"/>
      <c r="N1493" s="82"/>
      <c r="O1493" s="616"/>
    </row>
    <row r="1494" spans="1:15" ht="15.5" x14ac:dyDescent="0.35">
      <c r="A1494" s="631">
        <v>10</v>
      </c>
      <c r="B1494" s="100" t="s">
        <v>2013</v>
      </c>
      <c r="C1494" s="52" t="s">
        <v>3872</v>
      </c>
      <c r="D1494" s="2151"/>
      <c r="E1494" s="52" t="s">
        <v>254</v>
      </c>
      <c r="F1494" s="812">
        <v>1</v>
      </c>
      <c r="G1494" s="21">
        <v>4358.21</v>
      </c>
      <c r="H1494" s="21">
        <v>4388.7</v>
      </c>
      <c r="I1494" s="21">
        <f>H1494-G1494</f>
        <v>30.489999999999782</v>
      </c>
      <c r="J1494" s="616">
        <v>160000</v>
      </c>
      <c r="K1494" s="696">
        <f>F1494*I1494*J1494</f>
        <v>4878399.9999999646</v>
      </c>
      <c r="L1494" s="22"/>
      <c r="M1494" s="22"/>
      <c r="N1494" s="82"/>
      <c r="O1494" s="616"/>
    </row>
    <row r="1495" spans="1:15" ht="15.5" x14ac:dyDescent="0.35">
      <c r="A1495" s="631"/>
      <c r="B1495" s="102"/>
      <c r="C1495" s="91"/>
      <c r="D1495" s="726"/>
      <c r="E1495" s="91"/>
      <c r="F1495" s="814"/>
      <c r="G1495" s="48"/>
      <c r="H1495" s="48"/>
      <c r="I1495" s="48"/>
      <c r="J1495" s="39" t="s">
        <v>30</v>
      </c>
      <c r="K1495" s="708">
        <f>SUM(K1493:K1494)</f>
        <v>9996799.9999999292</v>
      </c>
      <c r="L1495" s="49"/>
      <c r="M1495" s="43">
        <f>SUM(M1493:M1494)</f>
        <v>0</v>
      </c>
      <c r="N1495" s="85"/>
      <c r="O1495" s="616"/>
    </row>
    <row r="1496" spans="1:15" ht="15.5" x14ac:dyDescent="0.35">
      <c r="A1496" s="631"/>
      <c r="B1496" s="647" t="s">
        <v>1547</v>
      </c>
      <c r="C1496" s="648"/>
      <c r="D1496" s="700"/>
      <c r="E1496" s="648"/>
      <c r="F1496" s="807"/>
      <c r="G1496" s="648"/>
      <c r="H1496" s="648"/>
      <c r="I1496" s="648"/>
      <c r="J1496" s="50"/>
      <c r="K1496" s="710"/>
      <c r="L1496" s="51"/>
      <c r="M1496" s="51"/>
      <c r="N1496" s="649"/>
      <c r="O1496" s="616"/>
    </row>
    <row r="1497" spans="1:15" ht="22.5" customHeight="1" x14ac:dyDescent="0.35">
      <c r="A1497" s="631">
        <v>5</v>
      </c>
      <c r="B1497" s="100" t="s">
        <v>4434</v>
      </c>
      <c r="C1497" s="73" t="s">
        <v>3872</v>
      </c>
      <c r="D1497" s="2167"/>
      <c r="E1497" s="52" t="s">
        <v>4435</v>
      </c>
      <c r="F1497" s="812">
        <v>1</v>
      </c>
      <c r="G1497" s="6">
        <v>3242.85</v>
      </c>
      <c r="H1497" s="6">
        <v>3242.85</v>
      </c>
      <c r="I1497" s="20">
        <f t="shared" ref="I1497:I1508" si="49">H1497-G1497</f>
        <v>0</v>
      </c>
      <c r="J1497" s="616">
        <v>60000</v>
      </c>
      <c r="K1497" s="703"/>
      <c r="L1497" s="22">
        <f t="shared" ref="L1497:L1506" si="50">F1497*I1497*J1497</f>
        <v>0</v>
      </c>
      <c r="M1497" s="22"/>
      <c r="N1497" s="72" t="s">
        <v>119</v>
      </c>
      <c r="O1497" s="15"/>
    </row>
    <row r="1498" spans="1:15" ht="22.5" customHeight="1" x14ac:dyDescent="0.35">
      <c r="A1498" s="631"/>
      <c r="B1498" s="100" t="s">
        <v>4436</v>
      </c>
      <c r="C1498" s="73" t="s">
        <v>3872</v>
      </c>
      <c r="D1498" s="2168"/>
      <c r="E1498" s="52" t="s">
        <v>260</v>
      </c>
      <c r="F1498" s="812">
        <v>1</v>
      </c>
      <c r="G1498" s="6">
        <v>3176.99</v>
      </c>
      <c r="H1498" s="6">
        <v>3198.16</v>
      </c>
      <c r="I1498" s="20">
        <f t="shared" si="49"/>
        <v>21.170000000000073</v>
      </c>
      <c r="J1498" s="616">
        <v>60000</v>
      </c>
      <c r="K1498" s="703"/>
      <c r="L1498" s="22">
        <f t="shared" si="50"/>
        <v>1270200.0000000044</v>
      </c>
      <c r="M1498" s="22"/>
      <c r="N1498" s="72" t="s">
        <v>112</v>
      </c>
      <c r="O1498" s="15"/>
    </row>
    <row r="1499" spans="1:15" ht="22.5" customHeight="1" x14ac:dyDescent="0.35">
      <c r="A1499" s="631">
        <v>6</v>
      </c>
      <c r="B1499" s="100" t="s">
        <v>4437</v>
      </c>
      <c r="C1499" s="73" t="s">
        <v>3872</v>
      </c>
      <c r="D1499" s="2168"/>
      <c r="E1499" s="52" t="s">
        <v>261</v>
      </c>
      <c r="F1499" s="812">
        <v>1</v>
      </c>
      <c r="G1499" s="6">
        <v>2123.35</v>
      </c>
      <c r="H1499" s="6">
        <v>2143.19</v>
      </c>
      <c r="I1499" s="20">
        <f t="shared" si="49"/>
        <v>19.840000000000146</v>
      </c>
      <c r="J1499" s="616">
        <v>60000</v>
      </c>
      <c r="K1499" s="703"/>
      <c r="L1499" s="22">
        <f t="shared" si="50"/>
        <v>1190400.0000000088</v>
      </c>
      <c r="M1499" s="22"/>
      <c r="N1499" s="72" t="s">
        <v>119</v>
      </c>
      <c r="O1499" s="15"/>
    </row>
    <row r="1500" spans="1:15" ht="22.5" customHeight="1" x14ac:dyDescent="0.35">
      <c r="A1500" s="631">
        <v>7</v>
      </c>
      <c r="B1500" s="100" t="s">
        <v>4400</v>
      </c>
      <c r="C1500" s="73" t="s">
        <v>3872</v>
      </c>
      <c r="D1500" s="2168"/>
      <c r="E1500" s="52" t="s">
        <v>262</v>
      </c>
      <c r="F1500" s="812">
        <v>1</v>
      </c>
      <c r="G1500" s="6">
        <v>1791.66</v>
      </c>
      <c r="H1500" s="6">
        <v>1806.56</v>
      </c>
      <c r="I1500" s="20">
        <f t="shared" si="49"/>
        <v>14.899999999999864</v>
      </c>
      <c r="J1500" s="616">
        <v>60000</v>
      </c>
      <c r="K1500" s="703"/>
      <c r="L1500" s="22">
        <f t="shared" si="50"/>
        <v>893999.99999999185</v>
      </c>
      <c r="M1500" s="22"/>
      <c r="N1500" s="72" t="s">
        <v>112</v>
      </c>
      <c r="O1500" s="15"/>
    </row>
    <row r="1501" spans="1:15" ht="22.5" customHeight="1" x14ac:dyDescent="0.35">
      <c r="A1501" s="631">
        <v>8</v>
      </c>
      <c r="B1501" s="100" t="s">
        <v>4438</v>
      </c>
      <c r="C1501" s="73" t="s">
        <v>3872</v>
      </c>
      <c r="D1501" s="2168"/>
      <c r="E1501" s="52" t="s">
        <v>4439</v>
      </c>
      <c r="F1501" s="812">
        <v>1</v>
      </c>
      <c r="G1501" s="6">
        <v>3750.53</v>
      </c>
      <c r="H1501" s="6">
        <v>3780.06</v>
      </c>
      <c r="I1501" s="20">
        <f t="shared" si="49"/>
        <v>29.529999999999745</v>
      </c>
      <c r="J1501" s="616">
        <v>60000</v>
      </c>
      <c r="K1501" s="703"/>
      <c r="L1501" s="22">
        <f t="shared" si="50"/>
        <v>1771799.9999999846</v>
      </c>
      <c r="M1501" s="22"/>
      <c r="N1501" s="72" t="s">
        <v>119</v>
      </c>
      <c r="O1501" s="15"/>
    </row>
    <row r="1502" spans="1:15" ht="22.5" customHeight="1" x14ac:dyDescent="0.35">
      <c r="A1502" s="631">
        <v>11</v>
      </c>
      <c r="B1502" s="100" t="s">
        <v>4440</v>
      </c>
      <c r="C1502" s="73" t="s">
        <v>3872</v>
      </c>
      <c r="D1502" s="2168"/>
      <c r="E1502" s="52" t="s">
        <v>4441</v>
      </c>
      <c r="F1502" s="812">
        <v>1</v>
      </c>
      <c r="G1502" s="6">
        <v>419.16</v>
      </c>
      <c r="H1502" s="6">
        <v>423.04</v>
      </c>
      <c r="I1502" s="20">
        <f t="shared" si="49"/>
        <v>3.8799999999999955</v>
      </c>
      <c r="J1502" s="616">
        <v>30000</v>
      </c>
      <c r="K1502" s="703"/>
      <c r="L1502" s="22">
        <f t="shared" si="50"/>
        <v>116399.99999999987</v>
      </c>
      <c r="M1502" s="22"/>
      <c r="N1502" s="72" t="s">
        <v>112</v>
      </c>
      <c r="O1502" s="15"/>
    </row>
    <row r="1503" spans="1:15" ht="22.5" customHeight="1" x14ac:dyDescent="0.35">
      <c r="A1503" s="631">
        <v>12</v>
      </c>
      <c r="B1503" s="100" t="s">
        <v>4442</v>
      </c>
      <c r="C1503" s="73" t="s">
        <v>3872</v>
      </c>
      <c r="D1503" s="2168"/>
      <c r="E1503" s="52" t="s">
        <v>263</v>
      </c>
      <c r="F1503" s="812">
        <v>1</v>
      </c>
      <c r="G1503" s="6">
        <v>3593.71</v>
      </c>
      <c r="H1503" s="6">
        <v>3611.04</v>
      </c>
      <c r="I1503" s="20">
        <f t="shared" si="49"/>
        <v>17.329999999999927</v>
      </c>
      <c r="J1503" s="616">
        <v>60000</v>
      </c>
      <c r="K1503" s="703"/>
      <c r="L1503" s="22">
        <f t="shared" si="50"/>
        <v>1039799.9999999956</v>
      </c>
      <c r="M1503" s="22"/>
      <c r="N1503" s="72" t="s">
        <v>119</v>
      </c>
      <c r="O1503" s="15"/>
    </row>
    <row r="1504" spans="1:15" ht="22.5" customHeight="1" x14ac:dyDescent="0.35">
      <c r="A1504" s="631">
        <v>13</v>
      </c>
      <c r="B1504" s="100" t="s">
        <v>4443</v>
      </c>
      <c r="C1504" s="73" t="s">
        <v>3872</v>
      </c>
      <c r="D1504" s="2168"/>
      <c r="E1504" s="52" t="s">
        <v>264</v>
      </c>
      <c r="F1504" s="812">
        <v>1</v>
      </c>
      <c r="G1504" s="6">
        <v>2052.6</v>
      </c>
      <c r="H1504" s="6">
        <v>2062.5300000000002</v>
      </c>
      <c r="I1504" s="20">
        <f t="shared" si="49"/>
        <v>9.930000000000291</v>
      </c>
      <c r="J1504" s="616">
        <v>60000</v>
      </c>
      <c r="K1504" s="703"/>
      <c r="L1504" s="22">
        <f t="shared" si="50"/>
        <v>595800.00000001746</v>
      </c>
      <c r="M1504" s="22"/>
      <c r="N1504" s="72" t="s">
        <v>107</v>
      </c>
      <c r="O1504" s="15"/>
    </row>
    <row r="1505" spans="1:15" ht="22.5" customHeight="1" x14ac:dyDescent="0.35">
      <c r="A1505" s="631">
        <v>14</v>
      </c>
      <c r="B1505" s="100" t="s">
        <v>4444</v>
      </c>
      <c r="C1505" s="73" t="s">
        <v>3872</v>
      </c>
      <c r="D1505" s="2168"/>
      <c r="E1505" s="52" t="s">
        <v>265</v>
      </c>
      <c r="F1505" s="812">
        <v>1</v>
      </c>
      <c r="G1505" s="6">
        <v>3795.22</v>
      </c>
      <c r="H1505" s="6">
        <v>3818.9</v>
      </c>
      <c r="I1505" s="20">
        <f t="shared" si="49"/>
        <v>23.680000000000291</v>
      </c>
      <c r="J1505" s="616">
        <v>60000</v>
      </c>
      <c r="K1505" s="703"/>
      <c r="L1505" s="22">
        <f t="shared" si="50"/>
        <v>1420800.0000000175</v>
      </c>
      <c r="M1505" s="22"/>
      <c r="N1505" s="72" t="s">
        <v>119</v>
      </c>
      <c r="O1505" s="15"/>
    </row>
    <row r="1506" spans="1:15" ht="22.5" customHeight="1" x14ac:dyDescent="0.35">
      <c r="A1506" s="631">
        <v>15</v>
      </c>
      <c r="B1506" s="100" t="s">
        <v>4445</v>
      </c>
      <c r="C1506" s="73" t="s">
        <v>3872</v>
      </c>
      <c r="D1506" s="2168"/>
      <c r="E1506" s="52" t="s">
        <v>4446</v>
      </c>
      <c r="F1506" s="812">
        <v>1</v>
      </c>
      <c r="G1506" s="6">
        <v>1942.02</v>
      </c>
      <c r="H1506" s="6">
        <v>1970.43</v>
      </c>
      <c r="I1506" s="20">
        <f t="shared" si="49"/>
        <v>28.410000000000082</v>
      </c>
      <c r="J1506" s="616">
        <v>60000</v>
      </c>
      <c r="K1506" s="703"/>
      <c r="L1506" s="22">
        <f t="shared" si="50"/>
        <v>1704600.0000000049</v>
      </c>
      <c r="M1506" s="22"/>
      <c r="N1506" s="72" t="s">
        <v>119</v>
      </c>
      <c r="O1506" s="15"/>
    </row>
    <row r="1507" spans="1:15" ht="22.5" customHeight="1" x14ac:dyDescent="0.35">
      <c r="A1507" s="631">
        <v>16</v>
      </c>
      <c r="B1507" s="100" t="s">
        <v>4447</v>
      </c>
      <c r="C1507" s="73" t="s">
        <v>3872</v>
      </c>
      <c r="D1507" s="2168"/>
      <c r="E1507" s="52"/>
      <c r="F1507" s="812">
        <v>1</v>
      </c>
      <c r="G1507" s="6"/>
      <c r="H1507" s="6"/>
      <c r="I1507" s="20">
        <f t="shared" si="49"/>
        <v>0</v>
      </c>
      <c r="J1507" s="616">
        <v>160000</v>
      </c>
      <c r="K1507" s="703">
        <f>F1507*I1507*J1507</f>
        <v>0</v>
      </c>
      <c r="L1507" s="22">
        <f>F1507*I1507*J1507</f>
        <v>0</v>
      </c>
      <c r="M1507" s="22"/>
      <c r="N1507" s="72" t="s">
        <v>119</v>
      </c>
      <c r="O1507" s="15"/>
    </row>
    <row r="1508" spans="1:15" ht="22.5" customHeight="1" x14ac:dyDescent="0.35">
      <c r="A1508" s="631">
        <v>17</v>
      </c>
      <c r="B1508" s="100" t="s">
        <v>4162</v>
      </c>
      <c r="C1508" s="73" t="s">
        <v>3867</v>
      </c>
      <c r="D1508" s="2169"/>
      <c r="E1508" s="52"/>
      <c r="F1508" s="812">
        <v>1</v>
      </c>
      <c r="G1508" s="6">
        <v>617625</v>
      </c>
      <c r="H1508" s="6">
        <v>620025</v>
      </c>
      <c r="I1508" s="20">
        <f t="shared" si="49"/>
        <v>2400</v>
      </c>
      <c r="J1508" s="616">
        <v>1</v>
      </c>
      <c r="K1508" s="703"/>
      <c r="L1508" s="22">
        <f>F1508*I1508*J1508</f>
        <v>2400</v>
      </c>
      <c r="M1508" s="22"/>
      <c r="N1508" s="72" t="s">
        <v>119</v>
      </c>
      <c r="O1508" s="15"/>
    </row>
    <row r="1509" spans="1:15" ht="20" x14ac:dyDescent="0.35">
      <c r="A1509" s="636"/>
      <c r="B1509" s="96"/>
      <c r="C1509" s="90"/>
      <c r="D1509" s="96"/>
      <c r="E1509" s="90"/>
      <c r="F1509" s="813"/>
      <c r="G1509" s="38"/>
      <c r="H1509" s="38"/>
      <c r="I1509" s="38"/>
      <c r="J1509" s="53" t="s">
        <v>44</v>
      </c>
      <c r="K1509" s="43">
        <f>M1495</f>
        <v>0</v>
      </c>
      <c r="L1509" s="43">
        <f>SUM(L1497:L1508)</f>
        <v>10006200.000000024</v>
      </c>
      <c r="M1509" s="43">
        <f>SUM(M1497:M1508)</f>
        <v>0</v>
      </c>
      <c r="N1509" s="84">
        <f>(M1509-L1509)/L1509*100</f>
        <v>-100</v>
      </c>
      <c r="O1509" s="29"/>
    </row>
    <row r="1511" spans="1:15" ht="15" x14ac:dyDescent="0.35">
      <c r="A1511" s="620"/>
      <c r="B1511" s="635"/>
      <c r="C1511" s="632"/>
      <c r="D1511" s="1900"/>
      <c r="F1511" s="2092" t="s">
        <v>1099</v>
      </c>
      <c r="G1511" s="2092"/>
      <c r="H1511" s="2092"/>
      <c r="I1511" s="677" t="s">
        <v>14</v>
      </c>
      <c r="J1511" s="620"/>
      <c r="K1511" s="702"/>
      <c r="L1511" s="620"/>
      <c r="M1511" s="620"/>
      <c r="N1511" s="632"/>
      <c r="O1511" s="620"/>
    </row>
    <row r="1512" spans="1:15" ht="15.5" x14ac:dyDescent="0.35">
      <c r="A1512" s="620"/>
      <c r="B1512" s="635"/>
      <c r="C1512" s="632"/>
      <c r="D1512" s="1900"/>
      <c r="F1512" s="2153" t="s">
        <v>232</v>
      </c>
      <c r="G1512" s="2154"/>
      <c r="H1512" s="2155"/>
      <c r="I1512" s="643">
        <f>SUM(M1497:M1498,M1501)</f>
        <v>0</v>
      </c>
      <c r="J1512" s="620"/>
      <c r="K1512" s="702"/>
      <c r="L1512" s="620"/>
      <c r="M1512" s="620"/>
      <c r="N1512" s="632"/>
      <c r="O1512" s="620" t="s">
        <v>237</v>
      </c>
    </row>
    <row r="1513" spans="1:15" ht="15.5" x14ac:dyDescent="0.35">
      <c r="A1513" s="620"/>
      <c r="B1513" s="635"/>
      <c r="C1513" s="632"/>
      <c r="D1513" s="1900"/>
      <c r="F1513" s="2153" t="s">
        <v>268</v>
      </c>
      <c r="G1513" s="2154"/>
      <c r="H1513" s="2155"/>
      <c r="I1513" s="643">
        <f>SUM(M1499:M1500,M1502,M1504,M1505,M1508)</f>
        <v>0</v>
      </c>
      <c r="J1513" s="620"/>
      <c r="K1513" s="702"/>
      <c r="L1513" s="620"/>
      <c r="M1513" s="620"/>
      <c r="N1513" s="632"/>
      <c r="O1513" s="620"/>
    </row>
    <row r="1514" spans="1:15" ht="16" thickBot="1" x14ac:dyDescent="0.4">
      <c r="A1514" s="620"/>
      <c r="B1514" s="635"/>
      <c r="C1514" s="632"/>
      <c r="D1514" s="1900"/>
      <c r="F1514" s="2153" t="s">
        <v>269</v>
      </c>
      <c r="G1514" s="2154"/>
      <c r="H1514" s="2155"/>
      <c r="I1514" s="643">
        <f>SUM(M1503,M1506)</f>
        <v>0</v>
      </c>
      <c r="J1514" s="620"/>
      <c r="K1514" s="702"/>
      <c r="L1514" s="620"/>
      <c r="M1514" s="620"/>
      <c r="N1514" s="632"/>
      <c r="O1514" s="620"/>
    </row>
    <row r="1515" spans="1:15" ht="20.5" thickBot="1" x14ac:dyDescent="0.4">
      <c r="A1515" s="620"/>
      <c r="B1515" s="635"/>
      <c r="C1515" s="632"/>
      <c r="D1515" s="1900"/>
      <c r="E1515" s="632"/>
      <c r="F1515" s="2156" t="s">
        <v>210</v>
      </c>
      <c r="G1515" s="2156"/>
      <c r="H1515" s="2156"/>
      <c r="I1515" s="656">
        <f>SUM(I1512:I1514)</f>
        <v>0</v>
      </c>
      <c r="J1515" s="682">
        <f>I1515-M1509</f>
        <v>0</v>
      </c>
      <c r="K1515" s="702"/>
      <c r="L1515" s="620"/>
      <c r="M1515" s="620"/>
      <c r="N1515" s="632"/>
      <c r="O1515" s="620"/>
    </row>
    <row r="1527" spans="1:15" x14ac:dyDescent="0.35">
      <c r="A1527" s="620"/>
      <c r="B1527" s="635"/>
      <c r="C1527" s="632"/>
      <c r="D1527" s="1900"/>
      <c r="E1527" s="632"/>
      <c r="F1527" s="810"/>
      <c r="G1527" s="620"/>
      <c r="H1527" s="620"/>
      <c r="I1527" s="620"/>
      <c r="J1527" s="620"/>
      <c r="K1527" s="702"/>
      <c r="L1527" s="620"/>
      <c r="M1527" s="620"/>
      <c r="N1527" s="632"/>
      <c r="O1527" s="620"/>
    </row>
    <row r="1528" spans="1:15" x14ac:dyDescent="0.35">
      <c r="A1528" s="620"/>
      <c r="B1528" s="635"/>
      <c r="C1528" s="632"/>
      <c r="D1528" s="1900"/>
      <c r="E1528" s="632"/>
      <c r="F1528" s="810"/>
      <c r="G1528" s="620"/>
      <c r="H1528" s="620"/>
      <c r="I1528" s="620"/>
      <c r="J1528" s="620"/>
      <c r="K1528" s="702"/>
      <c r="L1528" s="620"/>
      <c r="M1528" s="620"/>
      <c r="N1528" s="632"/>
      <c r="O1528" s="620"/>
    </row>
    <row r="1529" spans="1:15" ht="25" x14ac:dyDescent="0.35">
      <c r="A1529" s="46"/>
      <c r="B1529" s="2152"/>
      <c r="C1529" s="2152"/>
      <c r="D1529" s="2152"/>
      <c r="E1529" s="2152"/>
      <c r="F1529" s="2152"/>
      <c r="G1529" s="2152"/>
      <c r="H1529" s="2152"/>
      <c r="I1529" s="2152"/>
      <c r="J1529" s="2152"/>
      <c r="K1529" s="2152"/>
      <c r="L1529" s="2152"/>
      <c r="M1529" s="2152"/>
      <c r="N1529" s="75"/>
      <c r="O1529" s="28"/>
    </row>
    <row r="1530" spans="1:15" x14ac:dyDescent="0.35">
      <c r="A1530" s="620"/>
      <c r="B1530" s="635"/>
      <c r="C1530" s="632"/>
      <c r="D1530" s="1900"/>
      <c r="E1530" s="632"/>
      <c r="F1530" s="810"/>
      <c r="G1530" s="620"/>
      <c r="H1530" s="620"/>
      <c r="I1530" s="620"/>
      <c r="J1530" s="620"/>
      <c r="K1530" s="702"/>
      <c r="L1530" s="620"/>
      <c r="M1530" s="620"/>
      <c r="N1530" s="632"/>
      <c r="O1530" s="620"/>
    </row>
    <row r="1531" spans="1:15" x14ac:dyDescent="0.35">
      <c r="A1531" s="620"/>
      <c r="B1531" s="635"/>
      <c r="C1531" s="632"/>
      <c r="D1531" s="1900"/>
      <c r="E1531" s="632"/>
      <c r="F1531" s="810"/>
      <c r="G1531" s="620"/>
      <c r="H1531" s="620"/>
      <c r="I1531" s="620"/>
      <c r="J1531" s="620"/>
      <c r="K1531" s="702"/>
      <c r="L1531" s="620"/>
      <c r="M1531" s="620"/>
      <c r="N1531" s="632"/>
      <c r="O1531" s="620"/>
    </row>
    <row r="1532" spans="1:15" ht="25" x14ac:dyDescent="0.35">
      <c r="A1532" s="2095" t="s">
        <v>1548</v>
      </c>
      <c r="B1532" s="2095"/>
      <c r="C1532" s="2095"/>
      <c r="D1532" s="2095"/>
      <c r="E1532" s="2095"/>
      <c r="F1532" s="2095"/>
      <c r="G1532" s="2095"/>
      <c r="H1532" s="2095"/>
      <c r="I1532" s="2095"/>
      <c r="J1532" s="2095"/>
      <c r="K1532" s="2095"/>
      <c r="L1532" s="2095"/>
      <c r="M1532" s="2095"/>
      <c r="N1532" s="2095"/>
      <c r="O1532" s="756" t="e">
        <f>#REF!</f>
        <v>#REF!</v>
      </c>
    </row>
    <row r="1533" spans="1:15" ht="15.5" x14ac:dyDescent="0.35">
      <c r="A1533" s="2096" t="s">
        <v>0</v>
      </c>
      <c r="B1533" s="2098" t="s">
        <v>1</v>
      </c>
      <c r="C1533" s="2100" t="s">
        <v>2</v>
      </c>
      <c r="D1533" s="2101"/>
      <c r="E1533" s="2102"/>
      <c r="F1533" s="2216" t="s">
        <v>3</v>
      </c>
      <c r="G1533" s="2100" t="s">
        <v>4</v>
      </c>
      <c r="H1533" s="2102"/>
      <c r="I1533" s="2085"/>
      <c r="J1533" s="2103" t="s">
        <v>5</v>
      </c>
      <c r="K1533" s="2100" t="s">
        <v>6</v>
      </c>
      <c r="L1533" s="2102"/>
      <c r="M1533" s="97" t="s">
        <v>1088</v>
      </c>
      <c r="N1533" s="98"/>
      <c r="O1533" s="2084" t="s">
        <v>7</v>
      </c>
    </row>
    <row r="1534" spans="1:15" ht="15.5" x14ac:dyDescent="0.35">
      <c r="A1534" s="2097"/>
      <c r="B1534" s="2099"/>
      <c r="C1534" s="2086" t="s">
        <v>1108</v>
      </c>
      <c r="D1534" s="2087"/>
      <c r="E1534" s="87" t="s">
        <v>9</v>
      </c>
      <c r="F1534" s="2217"/>
      <c r="G1534" s="2">
        <f>'NORTH-1'!$G$8</f>
        <v>44774</v>
      </c>
      <c r="H1534" s="2">
        <f>'NORTH-1'!$H$8</f>
        <v>44805</v>
      </c>
      <c r="I1534" s="1" t="s">
        <v>10</v>
      </c>
      <c r="J1534" s="2097"/>
      <c r="K1534" s="1" t="s">
        <v>11</v>
      </c>
      <c r="L1534" s="1" t="s">
        <v>12</v>
      </c>
      <c r="M1534" s="617" t="s">
        <v>33</v>
      </c>
      <c r="N1534" s="76" t="s">
        <v>47</v>
      </c>
      <c r="O1534" s="2085"/>
    </row>
    <row r="1535" spans="1:15" ht="15.5" x14ac:dyDescent="0.35">
      <c r="A1535" s="3">
        <v>1</v>
      </c>
      <c r="B1535" s="88">
        <v>2</v>
      </c>
      <c r="C1535" s="2088">
        <v>4</v>
      </c>
      <c r="D1535" s="2089"/>
      <c r="E1535" s="88">
        <v>5</v>
      </c>
      <c r="F1535" s="803">
        <v>7</v>
      </c>
      <c r="G1535" s="3">
        <v>8</v>
      </c>
      <c r="H1535" s="3">
        <v>9</v>
      </c>
      <c r="I1535" s="3" t="s">
        <v>13</v>
      </c>
      <c r="J1535" s="3">
        <v>11</v>
      </c>
      <c r="K1535" s="3" t="s">
        <v>19</v>
      </c>
      <c r="L1535" s="3" t="s">
        <v>20</v>
      </c>
      <c r="M1535" s="3">
        <v>14</v>
      </c>
      <c r="N1535" s="77">
        <v>15</v>
      </c>
      <c r="O1535" s="3">
        <v>16</v>
      </c>
    </row>
    <row r="1536" spans="1:15" ht="15.5" x14ac:dyDescent="0.35">
      <c r="A1536" s="11"/>
      <c r="B1536" s="624" t="s">
        <v>4064</v>
      </c>
      <c r="C1536" s="625"/>
      <c r="D1536" s="695"/>
      <c r="E1536" s="667"/>
      <c r="F1536" s="804"/>
      <c r="G1536" s="625"/>
      <c r="H1536" s="625"/>
      <c r="I1536" s="625"/>
      <c r="J1536" s="625"/>
      <c r="K1536" s="695"/>
      <c r="L1536" s="625"/>
      <c r="M1536" s="626"/>
      <c r="N1536" s="627"/>
      <c r="O1536" s="8"/>
    </row>
    <row r="1537" spans="1:15" ht="15.5" x14ac:dyDescent="0.35">
      <c r="A1537" s="631">
        <v>1</v>
      </c>
      <c r="B1537" s="100" t="s">
        <v>4448</v>
      </c>
      <c r="C1537" s="52" t="s">
        <v>3811</v>
      </c>
      <c r="D1537" s="2105"/>
      <c r="E1537" s="2149">
        <v>2877</v>
      </c>
      <c r="F1537" s="812">
        <v>1</v>
      </c>
      <c r="G1537" s="5">
        <v>48.29</v>
      </c>
      <c r="H1537" s="5">
        <v>53.69</v>
      </c>
      <c r="I1537" s="5">
        <f>H1537-G1537</f>
        <v>5.3999999999999986</v>
      </c>
      <c r="J1537" s="616">
        <v>1200000</v>
      </c>
      <c r="K1537" s="696">
        <f>F1537*I1537*J1537</f>
        <v>6479999.9999999981</v>
      </c>
      <c r="L1537" s="7"/>
      <c r="M1537" s="7"/>
      <c r="N1537" s="78"/>
      <c r="O1537" s="616"/>
    </row>
    <row r="1538" spans="1:15" ht="15.5" x14ac:dyDescent="0.35">
      <c r="A1538" s="631">
        <v>2</v>
      </c>
      <c r="B1538" s="100" t="s">
        <v>4449</v>
      </c>
      <c r="C1538" s="52" t="s">
        <v>3811</v>
      </c>
      <c r="D1538" s="2106"/>
      <c r="E1538" s="2150">
        <v>2817</v>
      </c>
      <c r="F1538" s="812">
        <v>1</v>
      </c>
      <c r="G1538" s="5">
        <v>234.01</v>
      </c>
      <c r="H1538" s="5">
        <v>235.32</v>
      </c>
      <c r="I1538" s="5">
        <f>H1538-G1538</f>
        <v>1.3100000000000023</v>
      </c>
      <c r="J1538" s="616">
        <v>1200000</v>
      </c>
      <c r="K1538" s="696">
        <f>F1538*I1538*J1538</f>
        <v>1572000.0000000028</v>
      </c>
      <c r="L1538" s="16"/>
      <c r="M1538" s="16"/>
      <c r="N1538" s="79"/>
      <c r="O1538" s="616"/>
    </row>
    <row r="1539" spans="1:15" ht="15.5" x14ac:dyDescent="0.35">
      <c r="A1539" s="631"/>
      <c r="B1539" s="100" t="s">
        <v>4449</v>
      </c>
      <c r="C1539" s="52" t="s">
        <v>3811</v>
      </c>
      <c r="D1539" s="2106"/>
      <c r="E1539" s="2149">
        <v>2817</v>
      </c>
      <c r="F1539" s="812">
        <v>1</v>
      </c>
      <c r="G1539" s="5">
        <v>1.31</v>
      </c>
      <c r="H1539" s="5">
        <v>1.31</v>
      </c>
      <c r="I1539" s="5">
        <f>H1539-G1539</f>
        <v>0</v>
      </c>
      <c r="J1539" s="616">
        <v>1200000</v>
      </c>
      <c r="K1539" s="696"/>
      <c r="L1539" s="7">
        <f>F1539*I1539*J1539</f>
        <v>0</v>
      </c>
      <c r="M1539" s="7"/>
      <c r="N1539" s="78"/>
      <c r="O1539" s="616"/>
    </row>
    <row r="1540" spans="1:15" ht="15.5" x14ac:dyDescent="0.35">
      <c r="A1540" s="631">
        <v>3</v>
      </c>
      <c r="B1540" s="100" t="s">
        <v>4450</v>
      </c>
      <c r="C1540" s="52" t="s">
        <v>3811</v>
      </c>
      <c r="D1540" s="2151"/>
      <c r="E1540" s="2150">
        <v>2811</v>
      </c>
      <c r="F1540" s="812">
        <v>1</v>
      </c>
      <c r="G1540" s="5">
        <v>48.64</v>
      </c>
      <c r="H1540" s="5">
        <v>54.06</v>
      </c>
      <c r="I1540" s="5">
        <f>H1540-G1540</f>
        <v>5.4200000000000017</v>
      </c>
      <c r="J1540" s="616">
        <v>1200000</v>
      </c>
      <c r="K1540" s="697">
        <f>F1540*I1540*J1540</f>
        <v>6504000.0000000019</v>
      </c>
      <c r="L1540" s="17"/>
      <c r="M1540" s="17"/>
      <c r="N1540" s="80"/>
      <c r="O1540" s="616"/>
    </row>
    <row r="1541" spans="1:15" ht="15.5" x14ac:dyDescent="0.35">
      <c r="A1541" s="631"/>
      <c r="B1541" s="95"/>
      <c r="C1541" s="89"/>
      <c r="D1541" s="1846"/>
      <c r="E1541" s="89"/>
      <c r="F1541" s="806"/>
      <c r="G1541" s="37"/>
      <c r="H1541" s="37"/>
      <c r="I1541" s="2136" t="s">
        <v>236</v>
      </c>
      <c r="J1541" s="2137"/>
      <c r="K1541" s="698">
        <f>SUM(K1537:K1540)</f>
        <v>14556000.000000004</v>
      </c>
      <c r="L1541" s="94">
        <f>SUM(L1537:L1540)</f>
        <v>0</v>
      </c>
      <c r="M1541" s="18"/>
      <c r="N1541" s="81"/>
      <c r="O1541" s="616"/>
    </row>
    <row r="1542" spans="1:15" ht="15.5" x14ac:dyDescent="0.35">
      <c r="A1542" s="631"/>
      <c r="B1542" s="95"/>
      <c r="C1542" s="89"/>
      <c r="D1542" s="1846"/>
      <c r="E1542" s="89"/>
      <c r="F1542" s="806"/>
      <c r="G1542" s="37"/>
      <c r="H1542" s="37"/>
      <c r="I1542" s="665"/>
      <c r="J1542" s="665" t="s">
        <v>31</v>
      </c>
      <c r="K1542" s="699">
        <f>K1541-L1541</f>
        <v>14556000.000000004</v>
      </c>
      <c r="L1542" s="40"/>
      <c r="M1542" s="41"/>
      <c r="N1542" s="632"/>
      <c r="O1542" s="616"/>
    </row>
    <row r="1543" spans="1:15" ht="15.5" x14ac:dyDescent="0.35">
      <c r="A1543" s="631"/>
      <c r="B1543" s="624" t="s">
        <v>1549</v>
      </c>
      <c r="C1543" s="625"/>
      <c r="D1543" s="695"/>
      <c r="E1543" s="625"/>
      <c r="F1543" s="804"/>
      <c r="G1543" s="625"/>
      <c r="H1543" s="625"/>
      <c r="I1543" s="625"/>
      <c r="J1543" s="625"/>
      <c r="K1543" s="695"/>
      <c r="L1543" s="625"/>
      <c r="M1543" s="626"/>
      <c r="N1543" s="627"/>
      <c r="O1543" s="616"/>
    </row>
    <row r="1544" spans="1:15" ht="15.5" x14ac:dyDescent="0.35">
      <c r="A1544" s="631"/>
      <c r="B1544" s="100"/>
      <c r="C1544" s="52"/>
      <c r="D1544" s="2105"/>
      <c r="E1544" s="2149"/>
      <c r="F1544" s="812"/>
      <c r="G1544" s="5"/>
      <c r="H1544" s="5"/>
      <c r="I1544" s="5"/>
      <c r="J1544" s="616"/>
      <c r="K1544" s="696"/>
      <c r="L1544" s="16"/>
      <c r="M1544" s="16"/>
      <c r="N1544" s="79"/>
      <c r="O1544" s="616"/>
    </row>
    <row r="1545" spans="1:15" ht="15.5" x14ac:dyDescent="0.35">
      <c r="A1545" s="631"/>
      <c r="B1545" s="100"/>
      <c r="C1545" s="52"/>
      <c r="D1545" s="2106"/>
      <c r="E1545" s="2150"/>
      <c r="F1545" s="812"/>
      <c r="G1545" s="5"/>
      <c r="H1545" s="5"/>
      <c r="I1545" s="5"/>
      <c r="J1545" s="616"/>
      <c r="K1545" s="696"/>
      <c r="L1545" s="16"/>
      <c r="M1545" s="16"/>
      <c r="N1545" s="79"/>
      <c r="O1545" s="616"/>
    </row>
    <row r="1546" spans="1:15" ht="15.5" x14ac:dyDescent="0.35">
      <c r="A1546" s="631"/>
      <c r="B1546" s="100"/>
      <c r="C1546" s="52"/>
      <c r="D1546" s="2106"/>
      <c r="E1546" s="2149"/>
      <c r="F1546" s="812"/>
      <c r="G1546" s="5"/>
      <c r="H1546" s="5"/>
      <c r="I1546" s="5"/>
      <c r="J1546" s="616"/>
      <c r="K1546" s="696"/>
      <c r="L1546" s="16"/>
      <c r="M1546" s="16"/>
      <c r="N1546" s="79"/>
      <c r="O1546" s="616"/>
    </row>
    <row r="1547" spans="1:15" ht="15.5" x14ac:dyDescent="0.35">
      <c r="A1547" s="631"/>
      <c r="B1547" s="100"/>
      <c r="C1547" s="52"/>
      <c r="D1547" s="2151"/>
      <c r="E1547" s="2150"/>
      <c r="F1547" s="812"/>
      <c r="G1547" s="5"/>
      <c r="H1547" s="5"/>
      <c r="I1547" s="5"/>
      <c r="J1547" s="616"/>
      <c r="K1547" s="697"/>
      <c r="L1547" s="17"/>
      <c r="M1547" s="17"/>
      <c r="N1547" s="80"/>
      <c r="O1547" s="616"/>
    </row>
    <row r="1548" spans="1:15" ht="15.5" x14ac:dyDescent="0.35">
      <c r="A1548" s="631"/>
      <c r="B1548" s="95"/>
      <c r="C1548" s="89"/>
      <c r="D1548" s="1846"/>
      <c r="E1548" s="89"/>
      <c r="F1548" s="806"/>
      <c r="G1548" s="37"/>
      <c r="H1548" s="37"/>
      <c r="I1548" s="2136" t="s">
        <v>303</v>
      </c>
      <c r="J1548" s="2137"/>
      <c r="K1548" s="698">
        <f>SUM(K1544:K1547)</f>
        <v>0</v>
      </c>
      <c r="L1548" s="94">
        <f>SUM(L1544:L1547)</f>
        <v>0</v>
      </c>
      <c r="M1548" s="18"/>
      <c r="N1548" s="81"/>
      <c r="O1548" s="633"/>
    </row>
    <row r="1549" spans="1:15" ht="15.5" x14ac:dyDescent="0.35">
      <c r="A1549" s="631"/>
      <c r="B1549" s="95"/>
      <c r="C1549" s="89"/>
      <c r="D1549" s="1846"/>
      <c r="E1549" s="89"/>
      <c r="F1549" s="806"/>
      <c r="G1549" s="37"/>
      <c r="H1549" s="37"/>
      <c r="I1549" s="2136" t="s">
        <v>31</v>
      </c>
      <c r="J1549" s="2137"/>
      <c r="K1549" s="699">
        <f>K1548-L1548</f>
        <v>0</v>
      </c>
      <c r="L1549" s="40"/>
      <c r="M1549" s="42"/>
      <c r="N1549" s="634"/>
      <c r="O1549" s="633"/>
    </row>
    <row r="1550" spans="1:15" ht="15.5" x14ac:dyDescent="0.35">
      <c r="A1550" s="11"/>
      <c r="B1550" s="647" t="s">
        <v>1550</v>
      </c>
      <c r="C1550" s="648"/>
      <c r="D1550" s="700"/>
      <c r="E1550" s="648"/>
      <c r="F1550" s="807"/>
      <c r="G1550" s="648"/>
      <c r="H1550" s="648"/>
      <c r="I1550" s="648"/>
      <c r="J1550" s="648"/>
      <c r="K1550" s="700"/>
      <c r="L1550" s="648"/>
      <c r="M1550" s="651"/>
      <c r="N1550" s="649"/>
      <c r="O1550" s="8"/>
    </row>
    <row r="1551" spans="1:15" ht="15.5" x14ac:dyDescent="0.35">
      <c r="A1551" s="631"/>
      <c r="B1551" s="100" t="s">
        <v>1079</v>
      </c>
      <c r="C1551" s="52">
        <v>132</v>
      </c>
      <c r="D1551" s="2138" t="s">
        <v>1083</v>
      </c>
      <c r="E1551" s="615"/>
      <c r="F1551" s="812"/>
      <c r="G1551" s="5"/>
      <c r="H1551" s="5"/>
      <c r="I1551" s="5"/>
      <c r="J1551" s="616"/>
      <c r="K1551" s="696"/>
      <c r="L1551" s="16">
        <f>J1551*I1551*F1551</f>
        <v>0</v>
      </c>
      <c r="M1551" s="7"/>
      <c r="N1551" s="78"/>
      <c r="O1551" s="616"/>
    </row>
    <row r="1552" spans="1:15" ht="15.5" x14ac:dyDescent="0.35">
      <c r="A1552" s="631"/>
      <c r="B1552" s="100" t="s">
        <v>1078</v>
      </c>
      <c r="C1552" s="52">
        <v>132</v>
      </c>
      <c r="D1552" s="2139"/>
      <c r="E1552" s="615"/>
      <c r="F1552" s="812"/>
      <c r="G1552" s="5"/>
      <c r="H1552" s="5"/>
      <c r="I1552" s="5"/>
      <c r="J1552" s="616"/>
      <c r="K1552" s="696"/>
      <c r="L1552" s="16">
        <f>J1552*I1552*F1552</f>
        <v>0</v>
      </c>
      <c r="M1552" s="16"/>
      <c r="N1552" s="79"/>
      <c r="O1552" s="616"/>
    </row>
    <row r="1553" spans="1:15" ht="15.5" x14ac:dyDescent="0.35">
      <c r="A1553" s="631"/>
      <c r="B1553" s="95"/>
      <c r="C1553" s="89"/>
      <c r="D1553" s="1846"/>
      <c r="E1553" s="89"/>
      <c r="F1553" s="806"/>
      <c r="G1553" s="37"/>
      <c r="H1553" s="37"/>
      <c r="I1553" s="37"/>
      <c r="J1553" s="95" t="s">
        <v>279</v>
      </c>
      <c r="K1553" s="699"/>
      <c r="L1553" s="55">
        <f>SUM(L1551:L1552)</f>
        <v>0</v>
      </c>
      <c r="M1553" s="633"/>
      <c r="N1553" s="634"/>
      <c r="O1553" s="616"/>
    </row>
    <row r="1554" spans="1:15" ht="15.5" x14ac:dyDescent="0.35">
      <c r="A1554" s="11"/>
      <c r="B1554" s="647" t="s">
        <v>1551</v>
      </c>
      <c r="C1554" s="648"/>
      <c r="D1554" s="700"/>
      <c r="E1554" s="648"/>
      <c r="F1554" s="807"/>
      <c r="G1554" s="648"/>
      <c r="H1554" s="648"/>
      <c r="I1554" s="648"/>
      <c r="J1554" s="648"/>
      <c r="K1554" s="700"/>
      <c r="L1554" s="648"/>
      <c r="M1554" s="651"/>
      <c r="N1554" s="649"/>
      <c r="O1554" s="8"/>
    </row>
    <row r="1555" spans="1:15" ht="15.5" x14ac:dyDescent="0.35">
      <c r="A1555" s="616">
        <v>1</v>
      </c>
      <c r="B1555" s="100" t="s">
        <v>3826</v>
      </c>
      <c r="C1555" s="661" t="s">
        <v>3811</v>
      </c>
      <c r="D1555" s="1920"/>
      <c r="E1555" s="674">
        <v>2752</v>
      </c>
      <c r="F1555" s="812">
        <v>1</v>
      </c>
      <c r="G1555" s="21">
        <v>155.57</v>
      </c>
      <c r="H1555" s="21">
        <v>161.03</v>
      </c>
      <c r="I1555" s="21">
        <f>H1555-G1555</f>
        <v>5.460000000000008</v>
      </c>
      <c r="J1555" s="616">
        <v>1200000</v>
      </c>
      <c r="K1555" s="696"/>
      <c r="L1555" s="22">
        <f>F1555*I1555*J1555</f>
        <v>6552000.0000000093</v>
      </c>
      <c r="M1555" s="22"/>
      <c r="N1555" s="82"/>
      <c r="O1555" s="616"/>
    </row>
    <row r="1556" spans="1:15" ht="15.5" x14ac:dyDescent="0.35">
      <c r="A1556" s="616">
        <v>4</v>
      </c>
      <c r="B1556" s="100" t="s">
        <v>3828</v>
      </c>
      <c r="C1556" s="661" t="s">
        <v>3811</v>
      </c>
      <c r="D1556" s="1920"/>
      <c r="E1556" s="674">
        <v>2867</v>
      </c>
      <c r="F1556" s="812">
        <v>1</v>
      </c>
      <c r="G1556" s="21">
        <v>173.68</v>
      </c>
      <c r="H1556" s="21">
        <v>179.03</v>
      </c>
      <c r="I1556" s="21">
        <f>H1556-G1556</f>
        <v>5.3499999999999943</v>
      </c>
      <c r="J1556" s="616">
        <v>1200000</v>
      </c>
      <c r="K1556" s="696"/>
      <c r="L1556" s="22">
        <f>F1556*I1556*J1556</f>
        <v>6419999.9999999935</v>
      </c>
      <c r="M1556" s="22"/>
      <c r="N1556" s="82"/>
      <c r="O1556" s="12"/>
    </row>
    <row r="1557" spans="1:15" ht="15.5" x14ac:dyDescent="0.35">
      <c r="A1557" s="631"/>
      <c r="B1557" s="95"/>
      <c r="C1557" s="89"/>
      <c r="D1557" s="1846"/>
      <c r="E1557" s="65"/>
      <c r="F1557" s="808"/>
      <c r="G1557" s="65"/>
      <c r="H1557" s="65"/>
      <c r="I1557" s="65"/>
      <c r="J1557" s="95" t="s">
        <v>30</v>
      </c>
      <c r="K1557" s="701"/>
      <c r="L1557" s="43">
        <f>SUM(L1555:L1556)</f>
        <v>12972000.000000004</v>
      </c>
      <c r="M1557" s="55"/>
      <c r="N1557" s="78"/>
      <c r="O1557" s="616"/>
    </row>
    <row r="1558" spans="1:15" ht="15" thickBot="1" x14ac:dyDescent="0.4">
      <c r="A1558" s="620"/>
      <c r="B1558" s="635"/>
      <c r="C1558" s="632"/>
      <c r="D1558" s="1900"/>
      <c r="K1558" s="702"/>
      <c r="L1558" s="620"/>
      <c r="M1558" s="620"/>
      <c r="N1558" s="632"/>
      <c r="O1558" s="620"/>
    </row>
    <row r="1559" spans="1:15" s="620" customFormat="1" x14ac:dyDescent="0.35">
      <c r="B1559" s="2142" t="s">
        <v>1090</v>
      </c>
      <c r="C1559" s="2143"/>
      <c r="D1559" s="683" t="s">
        <v>14</v>
      </c>
      <c r="E1559"/>
      <c r="F1559" s="2144" t="s">
        <v>1091</v>
      </c>
      <c r="G1559" s="2145"/>
      <c r="H1559" s="2146"/>
      <c r="I1559" s="683" t="s">
        <v>14</v>
      </c>
      <c r="K1559" s="2147" t="s">
        <v>1092</v>
      </c>
      <c r="L1559" s="2148"/>
      <c r="M1559" s="684" t="s">
        <v>14</v>
      </c>
      <c r="N1559" s="632"/>
    </row>
    <row r="1560" spans="1:15" s="620" customFormat="1" x14ac:dyDescent="0.35">
      <c r="B1560" s="2122" t="str">
        <f>B1536</f>
        <v>132 KV SIDE (TARIFF POINT)</v>
      </c>
      <c r="C1560" s="2123"/>
      <c r="D1560" s="689">
        <f>K1542</f>
        <v>14556000.000000004</v>
      </c>
      <c r="E1560"/>
      <c r="F1560" s="2124" t="s">
        <v>1093</v>
      </c>
      <c r="G1560" s="2125"/>
      <c r="H1560" s="2126"/>
      <c r="I1560" s="689">
        <f>L1553</f>
        <v>0</v>
      </c>
      <c r="K1560" s="2129" t="s">
        <v>4625</v>
      </c>
      <c r="L1560" s="2130"/>
      <c r="M1560" s="687">
        <f>I1561</f>
        <v>12972000.000000004</v>
      </c>
      <c r="N1560" s="632"/>
    </row>
    <row r="1561" spans="1:15" s="620" customFormat="1" x14ac:dyDescent="0.35">
      <c r="B1561" s="2122" t="s">
        <v>1116</v>
      </c>
      <c r="C1561" s="2123"/>
      <c r="D1561" s="689"/>
      <c r="E1561"/>
      <c r="F1561" s="2124" t="s">
        <v>4625</v>
      </c>
      <c r="G1561" s="2125"/>
      <c r="H1561" s="2126"/>
      <c r="I1561" s="687">
        <f>L1557</f>
        <v>12972000.000000004</v>
      </c>
      <c r="K1561" s="2127" t="s">
        <v>2455</v>
      </c>
      <c r="L1561" s="2128"/>
      <c r="M1561" s="1908">
        <f>D1565</f>
        <v>12880799.999999991</v>
      </c>
      <c r="N1561" s="632"/>
    </row>
    <row r="1562" spans="1:15" s="620" customFormat="1" x14ac:dyDescent="0.35">
      <c r="B1562" s="2122" t="s">
        <v>1117</v>
      </c>
      <c r="C1562" s="2123"/>
      <c r="D1562" s="689"/>
      <c r="E1562"/>
      <c r="F1562" s="2124" t="s">
        <v>1089</v>
      </c>
      <c r="G1562" s="2125"/>
      <c r="H1562" s="2126"/>
      <c r="I1562" s="689">
        <f>I1560+I1561</f>
        <v>12972000.000000004</v>
      </c>
      <c r="K1562" s="2129" t="s">
        <v>4622</v>
      </c>
      <c r="L1562" s="2130"/>
      <c r="M1562" s="689">
        <f>M1560-M1561</f>
        <v>91200.000000013039</v>
      </c>
      <c r="N1562" s="632"/>
    </row>
    <row r="1563" spans="1:15" s="620" customFormat="1" ht="15" thickBot="1" x14ac:dyDescent="0.4">
      <c r="B1563" s="2122" t="s">
        <v>1118</v>
      </c>
      <c r="C1563" s="2123"/>
      <c r="D1563" s="722"/>
      <c r="E1563"/>
      <c r="F1563" s="2131" t="s">
        <v>4626</v>
      </c>
      <c r="G1563" s="2132"/>
      <c r="H1563" s="2133"/>
      <c r="I1563" s="689">
        <f>D1564-I1562</f>
        <v>1584000</v>
      </c>
      <c r="K1563" s="2134" t="s">
        <v>285</v>
      </c>
      <c r="L1563" s="2135"/>
      <c r="M1563" s="1903">
        <f>M1562/M1560</f>
        <v>7.0305272895477191E-3</v>
      </c>
      <c r="N1563" s="632"/>
    </row>
    <row r="1564" spans="1:15" s="620" customFormat="1" ht="15" thickBot="1" x14ac:dyDescent="0.4">
      <c r="B1564" s="2109" t="s">
        <v>4620</v>
      </c>
      <c r="C1564" s="2110"/>
      <c r="D1564" s="1435">
        <f>SUM(D1560:D1563)</f>
        <v>14556000.000000004</v>
      </c>
      <c r="E1564"/>
      <c r="F1564" s="2113" t="s">
        <v>2454</v>
      </c>
      <c r="G1564" s="2114"/>
      <c r="H1564" s="2115"/>
      <c r="I1564" s="1904">
        <f>I1563/I1562</f>
        <v>0.12210915818686398</v>
      </c>
      <c r="K1564" s="702"/>
      <c r="N1564" s="632"/>
    </row>
    <row r="1565" spans="1:15" s="620" customFormat="1" x14ac:dyDescent="0.35">
      <c r="B1565" s="2116" t="s">
        <v>4624</v>
      </c>
      <c r="C1565" s="2117"/>
      <c r="D1565" s="2011">
        <f>K1578</f>
        <v>12880799.999999991</v>
      </c>
      <c r="E1565"/>
      <c r="F1565" s="791"/>
      <c r="G1565"/>
      <c r="H1565"/>
      <c r="I1565"/>
      <c r="J1565"/>
      <c r="K1565" s="702"/>
      <c r="N1565" s="632"/>
    </row>
    <row r="1566" spans="1:15" s="620" customFormat="1" x14ac:dyDescent="0.35">
      <c r="B1566" s="2118" t="s">
        <v>4627</v>
      </c>
      <c r="C1566" s="2119"/>
      <c r="D1566" s="741">
        <f>D1564-D1565</f>
        <v>1675200.000000013</v>
      </c>
      <c r="E1566"/>
      <c r="F1566" s="791"/>
      <c r="G1566"/>
      <c r="H1566"/>
      <c r="I1566"/>
      <c r="J1566"/>
      <c r="K1566" s="702"/>
      <c r="N1566" s="632"/>
    </row>
    <row r="1567" spans="1:15" s="620" customFormat="1" ht="15" thickBot="1" x14ac:dyDescent="0.4">
      <c r="B1567" s="2120" t="str">
        <f>K1563</f>
        <v>LOSS % IN =&gt;</v>
      </c>
      <c r="C1567" s="2121"/>
      <c r="D1567" s="2012">
        <f>D1566/D1560</f>
        <v>0.11508656224237515</v>
      </c>
      <c r="E1567"/>
      <c r="F1567" s="791"/>
      <c r="G1567" s="678"/>
      <c r="H1567" s="678"/>
      <c r="I1567" s="678"/>
      <c r="J1567" s="679"/>
      <c r="K1567" s="702"/>
      <c r="N1567" s="632"/>
    </row>
    <row r="1568" spans="1:15" x14ac:dyDescent="0.35">
      <c r="A1568" s="620"/>
      <c r="B1568" s="635"/>
      <c r="C1568" s="632"/>
      <c r="D1568" s="1900"/>
      <c r="G1568" s="678"/>
      <c r="H1568" s="678"/>
      <c r="I1568" s="678"/>
      <c r="J1568" s="679"/>
      <c r="K1568" s="702"/>
      <c r="L1568" s="620"/>
      <c r="M1568" s="620"/>
      <c r="N1568" s="632"/>
      <c r="O1568" s="620"/>
    </row>
    <row r="1569" spans="1:15" x14ac:dyDescent="0.35">
      <c r="A1569" s="620"/>
      <c r="B1569" s="635"/>
      <c r="C1569" s="632"/>
      <c r="D1569" s="1900"/>
      <c r="G1569" s="678"/>
      <c r="H1569" s="678"/>
      <c r="I1569" s="678"/>
      <c r="J1569" s="679"/>
      <c r="K1569" s="702"/>
      <c r="L1569" s="620"/>
      <c r="M1569" s="620"/>
      <c r="N1569" s="632"/>
      <c r="O1569" s="620"/>
    </row>
    <row r="1570" spans="1:15" x14ac:dyDescent="0.35">
      <c r="A1570" s="620"/>
      <c r="B1570" s="635"/>
      <c r="C1570" s="632"/>
      <c r="D1570" s="1900"/>
      <c r="E1570" s="632"/>
      <c r="F1570" s="810"/>
      <c r="G1570" s="620"/>
      <c r="H1570" s="620"/>
      <c r="I1570" s="620"/>
      <c r="J1570" s="620"/>
      <c r="K1570" s="702"/>
      <c r="L1570" s="620"/>
      <c r="M1570" s="620"/>
      <c r="N1570" s="632"/>
      <c r="O1570" s="620"/>
    </row>
    <row r="1571" spans="1:15" ht="25" x14ac:dyDescent="0.35">
      <c r="A1571" s="2095" t="s">
        <v>1182</v>
      </c>
      <c r="B1571" s="2095"/>
      <c r="C1571" s="2095"/>
      <c r="D1571" s="2095"/>
      <c r="E1571" s="2095"/>
      <c r="F1571" s="2095"/>
      <c r="G1571" s="2095"/>
      <c r="H1571" s="2095"/>
      <c r="I1571" s="2095"/>
      <c r="J1571" s="2095"/>
      <c r="K1571" s="2095"/>
      <c r="L1571" s="2095"/>
      <c r="M1571" s="2095"/>
      <c r="N1571" s="2095"/>
      <c r="O1571" s="756" t="e">
        <f>$O$6</f>
        <v>#REF!</v>
      </c>
    </row>
    <row r="1572" spans="1:15" ht="15.5" x14ac:dyDescent="0.35">
      <c r="A1572" s="2096" t="s">
        <v>0</v>
      </c>
      <c r="B1572" s="2098" t="s">
        <v>1</v>
      </c>
      <c r="C1572" s="2100" t="s">
        <v>2</v>
      </c>
      <c r="D1572" s="2101"/>
      <c r="E1572" s="2102"/>
      <c r="F1572" s="2216" t="s">
        <v>3</v>
      </c>
      <c r="G1572" s="2100" t="s">
        <v>4</v>
      </c>
      <c r="H1572" s="2102"/>
      <c r="I1572" s="2085"/>
      <c r="J1572" s="2103" t="s">
        <v>5</v>
      </c>
      <c r="K1572" s="2100" t="s">
        <v>6</v>
      </c>
      <c r="L1572" s="2085"/>
      <c r="M1572" s="97" t="s">
        <v>32</v>
      </c>
      <c r="N1572" s="98"/>
      <c r="O1572" s="2084" t="s">
        <v>7</v>
      </c>
    </row>
    <row r="1573" spans="1:15" ht="15.5" x14ac:dyDescent="0.35">
      <c r="A1573" s="2111"/>
      <c r="B1573" s="2112"/>
      <c r="C1573" s="2086" t="s">
        <v>1108</v>
      </c>
      <c r="D1573" s="2087"/>
      <c r="E1573" s="675" t="s">
        <v>9</v>
      </c>
      <c r="F1573" s="2218"/>
      <c r="G1573" s="2">
        <f>'NORTH-1'!$G$8</f>
        <v>44774</v>
      </c>
      <c r="H1573" s="2">
        <f>'NORTH-1'!$H$8</f>
        <v>44805</v>
      </c>
      <c r="I1573" s="676" t="s">
        <v>10</v>
      </c>
      <c r="J1573" s="2111"/>
      <c r="K1573" s="676" t="s">
        <v>11</v>
      </c>
      <c r="L1573" s="676" t="s">
        <v>12</v>
      </c>
      <c r="M1573" s="715" t="s">
        <v>33</v>
      </c>
      <c r="N1573" s="716" t="s">
        <v>47</v>
      </c>
      <c r="O1573" s="2104"/>
    </row>
    <row r="1574" spans="1:15" ht="15.5" x14ac:dyDescent="0.35">
      <c r="A1574" s="717">
        <v>1</v>
      </c>
      <c r="B1574" s="673">
        <v>2</v>
      </c>
      <c r="C1574" s="2088">
        <v>4</v>
      </c>
      <c r="D1574" s="2089"/>
      <c r="E1574" s="673">
        <v>5</v>
      </c>
      <c r="F1574" s="811">
        <v>7</v>
      </c>
      <c r="G1574" s="717">
        <v>8</v>
      </c>
      <c r="H1574" s="717">
        <v>9</v>
      </c>
      <c r="I1574" s="717" t="s">
        <v>13</v>
      </c>
      <c r="J1574" s="717">
        <v>11</v>
      </c>
      <c r="K1574" s="717" t="s">
        <v>19</v>
      </c>
      <c r="L1574" s="717" t="s">
        <v>20</v>
      </c>
      <c r="M1574" s="717">
        <v>14</v>
      </c>
      <c r="N1574" s="673">
        <v>15</v>
      </c>
      <c r="O1574" s="717">
        <v>16</v>
      </c>
    </row>
    <row r="1575" spans="1:15" ht="15.5" x14ac:dyDescent="0.35">
      <c r="A1575" s="11"/>
      <c r="B1575" s="624" t="s">
        <v>1552</v>
      </c>
      <c r="C1575" s="625"/>
      <c r="D1575" s="695"/>
      <c r="E1575" s="625"/>
      <c r="F1575" s="804"/>
      <c r="G1575" s="625"/>
      <c r="H1575" s="625"/>
      <c r="I1575" s="625"/>
      <c r="J1575" s="625"/>
      <c r="K1575" s="695"/>
      <c r="L1575" s="625"/>
      <c r="M1575" s="626"/>
      <c r="N1575" s="627"/>
      <c r="O1575" s="8"/>
    </row>
    <row r="1576" spans="1:15" ht="15.5" x14ac:dyDescent="0.35">
      <c r="A1576" s="631">
        <v>6</v>
      </c>
      <c r="B1576" s="100" t="s">
        <v>4282</v>
      </c>
      <c r="C1576" s="52" t="s">
        <v>3833</v>
      </c>
      <c r="D1576" s="818"/>
      <c r="E1576" s="52">
        <v>2769</v>
      </c>
      <c r="F1576" s="812">
        <v>1</v>
      </c>
      <c r="G1576" s="5">
        <v>257.62</v>
      </c>
      <c r="H1576" s="5">
        <v>266.66000000000003</v>
      </c>
      <c r="I1576" s="5">
        <f>H1576-G1576</f>
        <v>9.0400000000000205</v>
      </c>
      <c r="J1576" s="616">
        <v>720000</v>
      </c>
      <c r="K1576" s="696">
        <f>F1576*I1576*J1576</f>
        <v>6508800.0000000149</v>
      </c>
      <c r="L1576" s="7"/>
      <c r="M1576" s="7"/>
      <c r="N1576" s="78"/>
      <c r="O1576" s="616"/>
    </row>
    <row r="1577" spans="1:15" ht="15.5" x14ac:dyDescent="0.35">
      <c r="A1577" s="631">
        <v>7</v>
      </c>
      <c r="B1577" s="100" t="s">
        <v>4283</v>
      </c>
      <c r="C1577" s="52" t="s">
        <v>3833</v>
      </c>
      <c r="D1577" s="1918"/>
      <c r="E1577" s="52">
        <v>2830</v>
      </c>
      <c r="F1577" s="812">
        <v>1</v>
      </c>
      <c r="G1577" s="5">
        <v>286.60000000000002</v>
      </c>
      <c r="H1577" s="5">
        <v>295.45</v>
      </c>
      <c r="I1577" s="5">
        <f>H1577-G1577</f>
        <v>8.8499999999999659</v>
      </c>
      <c r="J1577" s="616">
        <v>720000</v>
      </c>
      <c r="K1577" s="696">
        <f>F1577*I1577*J1577</f>
        <v>6371999.9999999758</v>
      </c>
      <c r="L1577" s="7"/>
      <c r="M1577" s="7"/>
      <c r="N1577" s="78"/>
      <c r="O1577" s="616"/>
    </row>
    <row r="1578" spans="1:15" ht="15.5" x14ac:dyDescent="0.35">
      <c r="A1578" s="631"/>
      <c r="B1578" s="95"/>
      <c r="C1578" s="89"/>
      <c r="D1578" s="1846"/>
      <c r="E1578" s="89"/>
      <c r="F1578" s="806"/>
      <c r="G1578" s="37"/>
      <c r="H1578" s="37"/>
      <c r="I1578" s="37"/>
      <c r="J1578" s="95" t="s">
        <v>30</v>
      </c>
      <c r="K1578" s="1908">
        <f>SUM(K1576:K1577)</f>
        <v>12880799.999999991</v>
      </c>
      <c r="L1578" s="40"/>
      <c r="M1578" s="40">
        <f>SUM(M1576:M1577)</f>
        <v>0</v>
      </c>
      <c r="N1578" s="78"/>
      <c r="O1578" s="616"/>
    </row>
    <row r="1579" spans="1:15" ht="15.5" x14ac:dyDescent="0.35">
      <c r="A1579" s="631"/>
      <c r="B1579" s="647" t="s">
        <v>1553</v>
      </c>
      <c r="C1579" s="648"/>
      <c r="D1579" s="700"/>
      <c r="E1579" s="648"/>
      <c r="F1579" s="807"/>
      <c r="G1579" s="648"/>
      <c r="H1579" s="648"/>
      <c r="I1579" s="648"/>
      <c r="J1579" s="648"/>
      <c r="K1579" s="700"/>
      <c r="L1579" s="648"/>
      <c r="M1579" s="651"/>
      <c r="N1579" s="649"/>
      <c r="O1579" s="616"/>
    </row>
    <row r="1580" spans="1:15" ht="15.5" x14ac:dyDescent="0.35">
      <c r="A1580" s="631"/>
      <c r="B1580" s="662" t="s">
        <v>1106</v>
      </c>
      <c r="C1580" s="52"/>
      <c r="D1580" s="1919" t="s">
        <v>1083</v>
      </c>
      <c r="E1580" s="52"/>
      <c r="F1580" s="812"/>
      <c r="G1580" s="5"/>
      <c r="H1580" s="5"/>
      <c r="I1580" s="6"/>
      <c r="J1580" s="616"/>
      <c r="K1580" s="696"/>
      <c r="L1580" s="7"/>
      <c r="M1580" s="7"/>
      <c r="N1580" s="78"/>
      <c r="O1580" s="616"/>
    </row>
    <row r="1581" spans="1:15" ht="15.5" x14ac:dyDescent="0.35">
      <c r="A1581" s="11">
        <v>5</v>
      </c>
      <c r="B1581" s="100" t="s">
        <v>4284</v>
      </c>
      <c r="C1581" s="661" t="s">
        <v>3833</v>
      </c>
      <c r="D1581" s="1920"/>
      <c r="E1581" s="674">
        <v>2751</v>
      </c>
      <c r="F1581" s="812">
        <v>1</v>
      </c>
      <c r="G1581" s="21">
        <v>23.95</v>
      </c>
      <c r="H1581" s="21">
        <v>24.64</v>
      </c>
      <c r="I1581" s="21">
        <f>H1581-G1581</f>
        <v>0.69000000000000128</v>
      </c>
      <c r="J1581" s="616">
        <v>240000</v>
      </c>
      <c r="K1581" s="696"/>
      <c r="L1581" s="22">
        <f>F1581*I1581*J1581</f>
        <v>165600.00000000032</v>
      </c>
      <c r="M1581" s="22"/>
      <c r="N1581" s="82"/>
      <c r="O1581" s="9"/>
    </row>
    <row r="1582" spans="1:15" ht="15.5" x14ac:dyDescent="0.35">
      <c r="A1582" s="631">
        <v>8</v>
      </c>
      <c r="B1582" s="100" t="s">
        <v>4285</v>
      </c>
      <c r="C1582" s="661" t="s">
        <v>3833</v>
      </c>
      <c r="D1582" s="1920"/>
      <c r="E1582" s="674">
        <v>4253</v>
      </c>
      <c r="F1582" s="812">
        <v>1</v>
      </c>
      <c r="G1582" s="21">
        <v>28.28</v>
      </c>
      <c r="H1582" s="21">
        <v>29.77</v>
      </c>
      <c r="I1582" s="21">
        <f>H1582-G1582</f>
        <v>1.4899999999999984</v>
      </c>
      <c r="J1582" s="616">
        <v>240000</v>
      </c>
      <c r="K1582" s="696"/>
      <c r="L1582" s="22">
        <f>F1582*I1582*J1582</f>
        <v>357599.99999999965</v>
      </c>
      <c r="M1582" s="22"/>
      <c r="N1582" s="82"/>
      <c r="O1582" s="616"/>
    </row>
    <row r="1583" spans="1:15" ht="15.5" x14ac:dyDescent="0.35">
      <c r="A1583" s="616">
        <v>13</v>
      </c>
      <c r="B1583" s="100" t="s">
        <v>4286</v>
      </c>
      <c r="C1583" s="661" t="s">
        <v>3833</v>
      </c>
      <c r="D1583" s="1920"/>
      <c r="E1583" s="674">
        <v>2808</v>
      </c>
      <c r="F1583" s="812">
        <v>1</v>
      </c>
      <c r="G1583" s="21">
        <v>6.83</v>
      </c>
      <c r="H1583" s="21">
        <v>7.9</v>
      </c>
      <c r="I1583" s="21">
        <f>H1583-G1583</f>
        <v>1.0700000000000003</v>
      </c>
      <c r="J1583" s="616">
        <v>240000</v>
      </c>
      <c r="K1583" s="696"/>
      <c r="L1583" s="22">
        <f>F1583*I1583*J1583</f>
        <v>256800.00000000006</v>
      </c>
      <c r="M1583" s="22"/>
      <c r="N1583" s="82"/>
      <c r="O1583" s="616"/>
    </row>
    <row r="1584" spans="1:15" ht="15.5" x14ac:dyDescent="0.35">
      <c r="A1584" s="616"/>
      <c r="B1584" s="662" t="s">
        <v>1107</v>
      </c>
      <c r="C1584" s="89"/>
      <c r="D1584" s="1920"/>
      <c r="E1584" s="89"/>
      <c r="F1584" s="806"/>
      <c r="G1584" s="37"/>
      <c r="H1584" s="37"/>
      <c r="I1584" s="37"/>
      <c r="J1584" s="95" t="s">
        <v>30</v>
      </c>
      <c r="K1584" s="696"/>
      <c r="L1584" s="43">
        <f>SUM(L1581:L1583)</f>
        <v>780000</v>
      </c>
      <c r="M1584" s="43">
        <f>SUM(M1581:M1583)</f>
        <v>0</v>
      </c>
      <c r="N1584" s="83"/>
      <c r="O1584" s="12"/>
    </row>
    <row r="1585" spans="1:15" ht="15.5" x14ac:dyDescent="0.35">
      <c r="A1585" s="636">
        <v>2</v>
      </c>
      <c r="B1585" s="100" t="s">
        <v>1446</v>
      </c>
      <c r="C1585" s="661" t="s">
        <v>3833</v>
      </c>
      <c r="D1585" s="1920"/>
      <c r="E1585" s="674">
        <v>2805</v>
      </c>
      <c r="F1585" s="812">
        <v>1</v>
      </c>
      <c r="G1585" s="6"/>
      <c r="H1585" s="6"/>
      <c r="I1585" s="20">
        <f t="shared" ref="I1585:I1594" si="51">H1585-G1585</f>
        <v>0</v>
      </c>
      <c r="J1585" s="616">
        <v>360000</v>
      </c>
      <c r="K1585" s="703"/>
      <c r="L1585" s="22">
        <f>F1585*I1585*J1585</f>
        <v>0</v>
      </c>
      <c r="M1585" s="22"/>
      <c r="N1585" s="82"/>
      <c r="O1585" s="15"/>
    </row>
    <row r="1586" spans="1:15" ht="15.5" x14ac:dyDescent="0.35">
      <c r="A1586" s="636"/>
      <c r="B1586" s="100" t="s">
        <v>4451</v>
      </c>
      <c r="C1586" s="661" t="s">
        <v>3833</v>
      </c>
      <c r="D1586" s="1920"/>
      <c r="E1586" s="691">
        <v>2804</v>
      </c>
      <c r="F1586" s="812">
        <v>1</v>
      </c>
      <c r="G1586" s="6">
        <v>123.48</v>
      </c>
      <c r="H1586" s="6">
        <v>123.49</v>
      </c>
      <c r="I1586" s="20">
        <f t="shared" si="51"/>
        <v>9.9999999999909051E-3</v>
      </c>
      <c r="J1586" s="616">
        <v>360000</v>
      </c>
      <c r="K1586" s="704"/>
      <c r="L1586" s="22">
        <f>F1586*I1586*J1586</f>
        <v>3599.9999999967258</v>
      </c>
      <c r="M1586" s="22"/>
      <c r="N1586" s="82"/>
      <c r="O1586" s="14"/>
    </row>
    <row r="1587" spans="1:15" ht="15.5" x14ac:dyDescent="0.35">
      <c r="A1587" s="636">
        <v>3</v>
      </c>
      <c r="B1587" s="100" t="s">
        <v>4452</v>
      </c>
      <c r="C1587" s="661" t="s">
        <v>3833</v>
      </c>
      <c r="D1587" s="1920"/>
      <c r="E1587" s="691">
        <v>2861</v>
      </c>
      <c r="F1587" s="812">
        <v>1</v>
      </c>
      <c r="G1587" s="6">
        <v>116.75</v>
      </c>
      <c r="H1587" s="6">
        <v>121.15</v>
      </c>
      <c r="I1587" s="20">
        <f t="shared" si="51"/>
        <v>4.4000000000000057</v>
      </c>
      <c r="J1587" s="616">
        <v>360000</v>
      </c>
      <c r="K1587" s="704"/>
      <c r="L1587" s="22">
        <f>F1587*I1587*J1587</f>
        <v>1584000.0000000021</v>
      </c>
      <c r="M1587" s="22"/>
      <c r="N1587" s="82"/>
      <c r="O1587" s="14"/>
    </row>
    <row r="1588" spans="1:15" ht="15.5" x14ac:dyDescent="0.35">
      <c r="A1588" s="636">
        <v>4</v>
      </c>
      <c r="B1588" s="100" t="s">
        <v>4453</v>
      </c>
      <c r="C1588" s="661" t="s">
        <v>3833</v>
      </c>
      <c r="D1588" s="1920"/>
      <c r="E1588" s="674">
        <v>2858</v>
      </c>
      <c r="F1588" s="812">
        <v>1</v>
      </c>
      <c r="G1588" s="6"/>
      <c r="H1588" s="6"/>
      <c r="I1588" s="20">
        <f t="shared" si="51"/>
        <v>0</v>
      </c>
      <c r="J1588" s="616">
        <v>360000</v>
      </c>
      <c r="K1588" s="704"/>
      <c r="L1588" s="22">
        <f>F1588*I1588*J1588</f>
        <v>0</v>
      </c>
      <c r="M1588" s="22"/>
      <c r="N1588" s="82"/>
      <c r="O1588" s="14"/>
    </row>
    <row r="1589" spans="1:15" ht="15.5" x14ac:dyDescent="0.35">
      <c r="A1589" s="636">
        <v>9</v>
      </c>
      <c r="B1589" s="100" t="s">
        <v>4454</v>
      </c>
      <c r="C1589" s="661" t="s">
        <v>3833</v>
      </c>
      <c r="D1589" s="1920"/>
      <c r="E1589" s="674">
        <v>2753</v>
      </c>
      <c r="F1589" s="812">
        <v>1</v>
      </c>
      <c r="G1589" s="6">
        <v>377.12</v>
      </c>
      <c r="H1589" s="6">
        <v>384.25</v>
      </c>
      <c r="I1589" s="20">
        <f t="shared" si="51"/>
        <v>7.1299999999999955</v>
      </c>
      <c r="J1589" s="616">
        <v>360000</v>
      </c>
      <c r="K1589" s="703"/>
      <c r="L1589" s="22">
        <f t="shared" ref="L1589:L1594" si="52">F1589*I1589*J1589</f>
        <v>2566799.9999999981</v>
      </c>
      <c r="M1589" s="22"/>
      <c r="N1589" s="82"/>
      <c r="O1589" s="15"/>
    </row>
    <row r="1590" spans="1:15" ht="15.5" x14ac:dyDescent="0.35">
      <c r="A1590" s="636">
        <v>10</v>
      </c>
      <c r="B1590" s="100" t="s">
        <v>4455</v>
      </c>
      <c r="C1590" s="661" t="s">
        <v>3833</v>
      </c>
      <c r="D1590" s="1920"/>
      <c r="E1590" s="674">
        <v>2803</v>
      </c>
      <c r="F1590" s="812">
        <v>1</v>
      </c>
      <c r="G1590" s="6">
        <v>222.25</v>
      </c>
      <c r="H1590" s="6">
        <v>230.68</v>
      </c>
      <c r="I1590" s="20">
        <f t="shared" si="51"/>
        <v>8.4300000000000068</v>
      </c>
      <c r="J1590" s="616">
        <v>360000</v>
      </c>
      <c r="K1590" s="704"/>
      <c r="L1590" s="22">
        <f t="shared" si="52"/>
        <v>3034800.0000000023</v>
      </c>
      <c r="M1590" s="22"/>
      <c r="N1590" s="82"/>
      <c r="O1590" s="10"/>
    </row>
    <row r="1591" spans="1:15" ht="15.5" x14ac:dyDescent="0.35">
      <c r="A1591" s="636">
        <v>11</v>
      </c>
      <c r="B1591" s="100" t="s">
        <v>4456</v>
      </c>
      <c r="C1591" s="661" t="s">
        <v>3833</v>
      </c>
      <c r="D1591" s="1920"/>
      <c r="E1591" s="674">
        <v>2820</v>
      </c>
      <c r="F1591" s="812">
        <v>1</v>
      </c>
      <c r="G1591" s="6">
        <v>101.67</v>
      </c>
      <c r="H1591" s="6">
        <v>112.98</v>
      </c>
      <c r="I1591" s="20">
        <f t="shared" si="51"/>
        <v>11.310000000000002</v>
      </c>
      <c r="J1591" s="616">
        <v>360000</v>
      </c>
      <c r="K1591" s="703"/>
      <c r="L1591" s="22">
        <f t="shared" si="52"/>
        <v>4071600.0000000009</v>
      </c>
      <c r="M1591" s="22"/>
      <c r="N1591" s="82"/>
      <c r="O1591" s="13"/>
    </row>
    <row r="1592" spans="1:15" ht="15.5" x14ac:dyDescent="0.35">
      <c r="A1592" s="636">
        <v>12</v>
      </c>
      <c r="B1592" s="101" t="s">
        <v>1446</v>
      </c>
      <c r="C1592" s="661" t="s">
        <v>3833</v>
      </c>
      <c r="D1592" s="1920"/>
      <c r="E1592" s="674">
        <v>2806</v>
      </c>
      <c r="F1592" s="812">
        <v>1</v>
      </c>
      <c r="G1592" s="6"/>
      <c r="H1592" s="6"/>
      <c r="I1592" s="20">
        <f t="shared" si="51"/>
        <v>0</v>
      </c>
      <c r="J1592" s="616">
        <v>360000</v>
      </c>
      <c r="K1592" s="705"/>
      <c r="L1592" s="22">
        <f t="shared" si="52"/>
        <v>0</v>
      </c>
      <c r="M1592" s="22"/>
      <c r="N1592" s="82"/>
      <c r="O1592" s="30"/>
    </row>
    <row r="1593" spans="1:15" ht="15.5" x14ac:dyDescent="0.35">
      <c r="A1593" s="636">
        <v>14</v>
      </c>
      <c r="B1593" s="100" t="s">
        <v>3866</v>
      </c>
      <c r="C1593" s="661" t="s">
        <v>3867</v>
      </c>
      <c r="D1593" s="1920"/>
      <c r="E1593" s="674">
        <v>7977</v>
      </c>
      <c r="F1593" s="812">
        <v>1</v>
      </c>
      <c r="G1593" s="6">
        <v>3415</v>
      </c>
      <c r="H1593" s="6">
        <v>3533.08</v>
      </c>
      <c r="I1593" s="20">
        <f t="shared" si="51"/>
        <v>118.07999999999993</v>
      </c>
      <c r="J1593" s="616">
        <v>320</v>
      </c>
      <c r="K1593" s="696"/>
      <c r="L1593" s="22">
        <f t="shared" si="52"/>
        <v>37785.599999999977</v>
      </c>
      <c r="M1593" s="22"/>
      <c r="N1593" s="82"/>
      <c r="O1593" s="616"/>
    </row>
    <row r="1594" spans="1:15" ht="15.5" x14ac:dyDescent="0.35">
      <c r="A1594" s="636">
        <v>15</v>
      </c>
      <c r="B1594" s="101" t="s">
        <v>4295</v>
      </c>
      <c r="C1594" s="661" t="s">
        <v>3867</v>
      </c>
      <c r="D1594" s="1920"/>
      <c r="E1594" s="674"/>
      <c r="F1594" s="812">
        <v>1</v>
      </c>
      <c r="G1594" s="6"/>
      <c r="H1594" s="6"/>
      <c r="I1594" s="20">
        <f t="shared" si="51"/>
        <v>0</v>
      </c>
      <c r="J1594" s="616"/>
      <c r="K1594" s="705"/>
      <c r="L1594" s="22">
        <f t="shared" si="52"/>
        <v>0</v>
      </c>
      <c r="M1594" s="22"/>
      <c r="N1594" s="82"/>
      <c r="O1594" s="13"/>
    </row>
    <row r="1595" spans="1:15" ht="15.5" x14ac:dyDescent="0.35">
      <c r="A1595" s="636"/>
      <c r="B1595" s="96"/>
      <c r="C1595" s="90"/>
      <c r="D1595" s="96"/>
      <c r="E1595" s="90"/>
      <c r="F1595" s="813"/>
      <c r="G1595" s="38"/>
      <c r="H1595" s="38"/>
      <c r="I1595" s="38"/>
      <c r="J1595" s="95" t="s">
        <v>30</v>
      </c>
      <c r="K1595" s="696"/>
      <c r="L1595" s="43">
        <f>SUM(L1585:L1594)</f>
        <v>11298585.6</v>
      </c>
      <c r="M1595" s="43">
        <f>SUM(M1585:M1594)</f>
        <v>0</v>
      </c>
      <c r="N1595" s="83"/>
      <c r="O1595" s="13"/>
    </row>
    <row r="1596" spans="1:15" ht="20" x14ac:dyDescent="0.35">
      <c r="A1596" s="636"/>
      <c r="B1596" s="96"/>
      <c r="C1596" s="90"/>
      <c r="D1596" s="96"/>
      <c r="E1596" s="90"/>
      <c r="F1596" s="813"/>
      <c r="G1596" s="38"/>
      <c r="H1596" s="38"/>
      <c r="I1596" s="2107" t="s">
        <v>44</v>
      </c>
      <c r="J1596" s="2108"/>
      <c r="K1596" s="698">
        <f>K1578</f>
        <v>12880799.999999991</v>
      </c>
      <c r="L1596" s="44">
        <f>L1584+L1595</f>
        <v>12078585.6</v>
      </c>
      <c r="M1596" s="44">
        <f>M1595+M1584</f>
        <v>0</v>
      </c>
      <c r="N1596" s="1908">
        <f>(M1596-L1596)/L1596*100</f>
        <v>-100</v>
      </c>
      <c r="O1596" s="29"/>
    </row>
    <row r="1597" spans="1:15" x14ac:dyDescent="0.35">
      <c r="A1597" s="620"/>
      <c r="B1597" s="635"/>
      <c r="C1597" s="632"/>
      <c r="D1597" s="1900"/>
      <c r="K1597" s="702"/>
      <c r="L1597" s="620"/>
      <c r="M1597" s="620"/>
      <c r="N1597" s="632"/>
      <c r="O1597" s="620"/>
    </row>
    <row r="1598" spans="1:15" ht="15" x14ac:dyDescent="0.35">
      <c r="A1598" s="620"/>
      <c r="D1598" s="2013"/>
      <c r="G1598" s="2092" t="s">
        <v>1096</v>
      </c>
      <c r="H1598" s="2092"/>
      <c r="I1598" s="2092"/>
      <c r="J1598" s="677" t="s">
        <v>14</v>
      </c>
      <c r="K1598" s="69" t="s">
        <v>1098</v>
      </c>
      <c r="L1598" s="620"/>
      <c r="M1598" s="620"/>
      <c r="N1598" s="632"/>
      <c r="O1598" s="620"/>
    </row>
    <row r="1599" spans="1:15" ht="17.5" x14ac:dyDescent="0.35">
      <c r="A1599" s="620"/>
      <c r="D1599" s="2013"/>
      <c r="G1599" s="2093" t="s">
        <v>1071</v>
      </c>
      <c r="H1599" s="2093"/>
      <c r="I1599" s="2093"/>
      <c r="J1599" s="692">
        <f>M1584</f>
        <v>0</v>
      </c>
      <c r="K1599" s="70">
        <v>6.933634163553025</v>
      </c>
      <c r="L1599" s="620"/>
      <c r="M1599" s="620"/>
      <c r="N1599" s="632"/>
      <c r="O1599" s="620"/>
    </row>
    <row r="1600" spans="1:15" ht="17.5" x14ac:dyDescent="0.35">
      <c r="A1600" s="620"/>
      <c r="D1600" s="2013"/>
      <c r="G1600" s="2093" t="s">
        <v>206</v>
      </c>
      <c r="H1600" s="2093"/>
      <c r="I1600" s="2093"/>
      <c r="J1600" s="692">
        <f>M1585+M1586+M1587</f>
        <v>0</v>
      </c>
      <c r="K1600" s="70">
        <v>-0.33769527905653496</v>
      </c>
      <c r="L1600" s="620"/>
      <c r="M1600" s="620"/>
      <c r="N1600" s="632"/>
      <c r="O1600" s="620"/>
    </row>
    <row r="1601" spans="1:15" ht="17.5" x14ac:dyDescent="0.35">
      <c r="A1601" s="620"/>
      <c r="D1601" s="2013"/>
      <c r="G1601" s="2093" t="s">
        <v>207</v>
      </c>
      <c r="H1601" s="2093"/>
      <c r="I1601" s="2093"/>
      <c r="J1601" s="692">
        <f>M1588+M1589</f>
        <v>0</v>
      </c>
      <c r="K1601" s="70"/>
      <c r="L1601" s="620"/>
      <c r="M1601" s="620"/>
      <c r="N1601" s="632"/>
      <c r="O1601" s="620"/>
    </row>
    <row r="1602" spans="1:15" ht="17.5" x14ac:dyDescent="0.35">
      <c r="A1602" s="620"/>
      <c r="D1602" s="2013"/>
      <c r="G1602" s="2093" t="s">
        <v>208</v>
      </c>
      <c r="H1602" s="2093"/>
      <c r="I1602" s="2093"/>
      <c r="J1602" s="692">
        <f>M1590</f>
        <v>0</v>
      </c>
      <c r="K1602" s="70">
        <v>0.58957194954853154</v>
      </c>
      <c r="L1602" s="620"/>
      <c r="M1602" s="620"/>
      <c r="N1602" s="632"/>
      <c r="O1602" s="620"/>
    </row>
    <row r="1603" spans="1:15" ht="17.5" x14ac:dyDescent="0.35">
      <c r="A1603" s="620"/>
      <c r="B1603" s="635"/>
      <c r="C1603" s="632"/>
      <c r="D1603" s="1900"/>
      <c r="G1603" s="2093" t="s">
        <v>209</v>
      </c>
      <c r="H1603" s="2093"/>
      <c r="I1603" s="2093"/>
      <c r="J1603" s="692">
        <f>M1591</f>
        <v>0</v>
      </c>
      <c r="K1603" s="70"/>
      <c r="L1603" s="620"/>
      <c r="M1603" s="620"/>
      <c r="N1603" s="632"/>
      <c r="O1603" s="620"/>
    </row>
    <row r="1604" spans="1:15" ht="17.5" x14ac:dyDescent="0.35">
      <c r="A1604" s="620"/>
      <c r="B1604" s="635"/>
      <c r="C1604" s="632"/>
      <c r="D1604" s="1900"/>
      <c r="G1604" s="2093" t="s">
        <v>40</v>
      </c>
      <c r="H1604" s="2093"/>
      <c r="I1604" s="2093"/>
      <c r="J1604" s="692">
        <f>M1592+M1593</f>
        <v>0</v>
      </c>
      <c r="K1604" s="70">
        <v>2.4391608198671739</v>
      </c>
      <c r="L1604" s="620"/>
      <c r="M1604" s="620"/>
      <c r="N1604" s="632"/>
      <c r="O1604" s="620"/>
    </row>
    <row r="1605" spans="1:15" x14ac:dyDescent="0.35">
      <c r="A1605" s="620"/>
      <c r="B1605" s="635"/>
      <c r="C1605" s="632"/>
      <c r="D1605" s="1900"/>
      <c r="G1605" s="2094" t="s">
        <v>42</v>
      </c>
      <c r="H1605" s="2094"/>
      <c r="I1605" s="2094"/>
      <c r="J1605" s="693">
        <f>M1594</f>
        <v>0</v>
      </c>
      <c r="K1605" s="694" t="s">
        <v>1097</v>
      </c>
      <c r="L1605" s="620"/>
      <c r="M1605" s="620"/>
      <c r="N1605" s="632"/>
      <c r="O1605" s="620"/>
    </row>
    <row r="1606" spans="1:15" ht="18" thickBot="1" x14ac:dyDescent="0.4">
      <c r="A1606" s="620"/>
      <c r="B1606" s="635"/>
      <c r="C1606" s="632"/>
      <c r="D1606" s="1900"/>
      <c r="E1606" s="632"/>
      <c r="F1606" s="810"/>
      <c r="G1606" s="2093" t="s">
        <v>41</v>
      </c>
      <c r="H1606" s="2093"/>
      <c r="I1606" s="2093"/>
      <c r="J1606" s="692" t="e">
        <f>#REF!</f>
        <v>#REF!</v>
      </c>
      <c r="K1606" s="681">
        <v>1.4463055987403735</v>
      </c>
      <c r="L1606" s="620"/>
      <c r="M1606" s="620"/>
      <c r="N1606" s="632"/>
      <c r="O1606" s="620"/>
    </row>
    <row r="1607" spans="1:15" ht="20.5" thickBot="1" x14ac:dyDescent="0.4">
      <c r="A1607" s="620"/>
      <c r="B1607" s="635"/>
      <c r="C1607" s="632"/>
      <c r="D1607" s="1900"/>
      <c r="E1607" s="632"/>
      <c r="F1607" s="810"/>
      <c r="G1607" s="620"/>
      <c r="H1607" s="620"/>
      <c r="I1607" s="642" t="s">
        <v>210</v>
      </c>
      <c r="J1607" s="680" t="e">
        <f>SUM(J1599:J1606)</f>
        <v>#REF!</v>
      </c>
      <c r="K1607" s="682" t="e">
        <f>J1607-M1596</f>
        <v>#REF!</v>
      </c>
      <c r="L1607" s="620"/>
      <c r="M1607" s="620"/>
      <c r="N1607" s="632"/>
      <c r="O1607" s="620"/>
    </row>
    <row r="1608" spans="1:15" x14ac:dyDescent="0.35">
      <c r="A1608" s="620"/>
      <c r="B1608" s="635"/>
      <c r="C1608" s="632"/>
      <c r="D1608" s="1900"/>
      <c r="E1608" s="632"/>
      <c r="F1608" s="810"/>
      <c r="G1608" s="620"/>
      <c r="H1608" s="620"/>
      <c r="I1608" s="620"/>
      <c r="J1608" s="620"/>
      <c r="K1608" s="702"/>
      <c r="L1608" s="620"/>
      <c r="M1608" s="620"/>
      <c r="N1608" s="632"/>
      <c r="O1608" s="620"/>
    </row>
    <row r="1609" spans="1:15" ht="25" x14ac:dyDescent="0.35">
      <c r="A1609" s="2095" t="s">
        <v>1183</v>
      </c>
      <c r="B1609" s="2095"/>
      <c r="C1609" s="2095"/>
      <c r="D1609" s="2095"/>
      <c r="E1609" s="2095"/>
      <c r="F1609" s="2095"/>
      <c r="G1609" s="2095"/>
      <c r="H1609" s="2095"/>
      <c r="I1609" s="2095"/>
      <c r="J1609" s="2095"/>
      <c r="K1609" s="2095"/>
      <c r="L1609" s="2095"/>
      <c r="M1609" s="2095"/>
      <c r="N1609" s="2095"/>
      <c r="O1609" s="756" t="e">
        <f>$O$6</f>
        <v>#REF!</v>
      </c>
    </row>
    <row r="1610" spans="1:15" ht="15.5" x14ac:dyDescent="0.35">
      <c r="A1610" s="2096" t="s">
        <v>0</v>
      </c>
      <c r="B1610" s="2098" t="s">
        <v>1</v>
      </c>
      <c r="C1610" s="2100" t="s">
        <v>2</v>
      </c>
      <c r="D1610" s="2101"/>
      <c r="E1610" s="2102"/>
      <c r="F1610" s="2216" t="s">
        <v>3</v>
      </c>
      <c r="G1610" s="2100" t="s">
        <v>4</v>
      </c>
      <c r="H1610" s="2102"/>
      <c r="I1610" s="2085"/>
      <c r="J1610" s="2103" t="s">
        <v>5</v>
      </c>
      <c r="K1610" s="2100" t="s">
        <v>6</v>
      </c>
      <c r="L1610" s="2085"/>
      <c r="M1610" s="97" t="s">
        <v>32</v>
      </c>
      <c r="N1610" s="98"/>
      <c r="O1610" s="2084" t="s">
        <v>7</v>
      </c>
    </row>
    <row r="1611" spans="1:15" ht="15.5" x14ac:dyDescent="0.35">
      <c r="A1611" s="2097"/>
      <c r="B1611" s="2099"/>
      <c r="C1611" s="2086" t="s">
        <v>1108</v>
      </c>
      <c r="D1611" s="2087"/>
      <c r="E1611" s="87" t="s">
        <v>9</v>
      </c>
      <c r="F1611" s="2217"/>
      <c r="G1611" s="2">
        <f>'NORTH-1'!$G$8</f>
        <v>44774</v>
      </c>
      <c r="H1611" s="2">
        <f>'NORTH-1'!$H$8</f>
        <v>44805</v>
      </c>
      <c r="I1611" s="1" t="s">
        <v>10</v>
      </c>
      <c r="J1611" s="2097"/>
      <c r="K1611" s="1" t="s">
        <v>11</v>
      </c>
      <c r="L1611" s="1" t="s">
        <v>12</v>
      </c>
      <c r="M1611" s="617" t="s">
        <v>33</v>
      </c>
      <c r="N1611" s="76" t="s">
        <v>47</v>
      </c>
      <c r="O1611" s="2085"/>
    </row>
    <row r="1612" spans="1:15" ht="15.5" x14ac:dyDescent="0.35">
      <c r="A1612" s="3">
        <v>1</v>
      </c>
      <c r="B1612" s="88">
        <v>2</v>
      </c>
      <c r="C1612" s="2088">
        <v>4</v>
      </c>
      <c r="D1612" s="2089"/>
      <c r="E1612" s="88">
        <v>5</v>
      </c>
      <c r="F1612" s="803">
        <v>7</v>
      </c>
      <c r="G1612" s="3">
        <v>8</v>
      </c>
      <c r="H1612" s="3">
        <v>9</v>
      </c>
      <c r="I1612" s="3" t="s">
        <v>13</v>
      </c>
      <c r="J1612" s="3">
        <v>11</v>
      </c>
      <c r="K1612" s="3" t="s">
        <v>19</v>
      </c>
      <c r="L1612" s="3" t="s">
        <v>20</v>
      </c>
      <c r="M1612" s="3">
        <v>14</v>
      </c>
      <c r="N1612" s="77">
        <v>15</v>
      </c>
      <c r="O1612" s="3">
        <v>16</v>
      </c>
    </row>
    <row r="1613" spans="1:15" ht="15" x14ac:dyDescent="0.35">
      <c r="A1613" s="636"/>
      <c r="B1613" s="624" t="s">
        <v>1554</v>
      </c>
      <c r="C1613" s="625"/>
      <c r="D1613" s="695"/>
      <c r="E1613" s="625"/>
      <c r="F1613" s="804"/>
      <c r="G1613" s="625"/>
      <c r="H1613" s="625"/>
      <c r="I1613" s="625"/>
      <c r="J1613" s="625"/>
      <c r="K1613" s="695"/>
      <c r="L1613" s="625"/>
      <c r="M1613" s="626"/>
      <c r="N1613" s="627"/>
      <c r="O1613" s="12"/>
    </row>
    <row r="1614" spans="1:15" ht="31" x14ac:dyDescent="0.35">
      <c r="A1614" s="616">
        <v>3</v>
      </c>
      <c r="B1614" s="100" t="s">
        <v>3389</v>
      </c>
      <c r="C1614" s="73" t="s">
        <v>3872</v>
      </c>
      <c r="D1614" s="1922"/>
      <c r="E1614" s="52">
        <v>2762</v>
      </c>
      <c r="F1614" s="812">
        <v>1</v>
      </c>
      <c r="G1614" s="5">
        <v>28.67</v>
      </c>
      <c r="H1614" s="5">
        <v>29.45</v>
      </c>
      <c r="I1614" s="21">
        <f>H1614-G1614</f>
        <v>0.77999999999999758</v>
      </c>
      <c r="J1614" s="616">
        <v>250000</v>
      </c>
      <c r="K1614" s="707">
        <f>F1614*I1614*J1614</f>
        <v>194999.99999999939</v>
      </c>
      <c r="L1614" s="22"/>
      <c r="M1614" s="22"/>
      <c r="N1614" s="83"/>
      <c r="O1614" s="12"/>
    </row>
    <row r="1615" spans="1:15" ht="31" x14ac:dyDescent="0.35">
      <c r="A1615" s="616">
        <v>9</v>
      </c>
      <c r="B1615" s="100" t="s">
        <v>1711</v>
      </c>
      <c r="C1615" s="73" t="s">
        <v>3872</v>
      </c>
      <c r="D1615" s="1923"/>
      <c r="E1615" s="52">
        <v>2771</v>
      </c>
      <c r="F1615" s="812">
        <v>1</v>
      </c>
      <c r="G1615" s="5">
        <v>26.09</v>
      </c>
      <c r="H1615" s="5">
        <v>27.46</v>
      </c>
      <c r="I1615" s="21">
        <f>H1615-G1615</f>
        <v>1.370000000000001</v>
      </c>
      <c r="J1615" s="616">
        <v>250000</v>
      </c>
      <c r="K1615" s="707">
        <f>F1615*I1615*J1615</f>
        <v>342500.00000000023</v>
      </c>
      <c r="L1615" s="22"/>
      <c r="M1615" s="22"/>
      <c r="N1615" s="83"/>
      <c r="O1615" s="12"/>
    </row>
    <row r="1616" spans="1:15" ht="31" x14ac:dyDescent="0.35">
      <c r="A1616" s="616">
        <v>20</v>
      </c>
      <c r="B1616" s="100" t="s">
        <v>3415</v>
      </c>
      <c r="C1616" s="73" t="s">
        <v>3872</v>
      </c>
      <c r="D1616" s="1923"/>
      <c r="E1616" s="52" t="s">
        <v>3903</v>
      </c>
      <c r="F1616" s="812">
        <v>1</v>
      </c>
      <c r="G1616" s="5">
        <v>6.13</v>
      </c>
      <c r="H1616" s="5">
        <v>7.11</v>
      </c>
      <c r="I1616" s="21">
        <f>H1616-G1616</f>
        <v>0.98000000000000043</v>
      </c>
      <c r="J1616" s="616">
        <v>250000</v>
      </c>
      <c r="K1616" s="707">
        <f>F1616*I1616*J1616</f>
        <v>245000.00000000012</v>
      </c>
      <c r="L1616" s="22"/>
      <c r="M1616" s="22"/>
      <c r="N1616" s="83"/>
      <c r="O1616" s="12"/>
    </row>
    <row r="1617" spans="1:15" ht="15" x14ac:dyDescent="0.35">
      <c r="A1617" s="636"/>
      <c r="B1617" s="96"/>
      <c r="C1617" s="90"/>
      <c r="D1617" s="96"/>
      <c r="E1617" s="90"/>
      <c r="F1617" s="813"/>
      <c r="G1617" s="38"/>
      <c r="H1617" s="38"/>
      <c r="I1617" s="38"/>
      <c r="J1617" s="96" t="s">
        <v>30</v>
      </c>
      <c r="K1617" s="708">
        <f>SUM(K1614:K1616)</f>
        <v>782499.99999999977</v>
      </c>
      <c r="L1617" s="43"/>
      <c r="M1617" s="43">
        <f>SUM(M1614:M1616)</f>
        <v>0</v>
      </c>
      <c r="N1617" s="83"/>
      <c r="O1617" s="12"/>
    </row>
    <row r="1618" spans="1:15" ht="15.5" x14ac:dyDescent="0.35">
      <c r="A1618" s="631"/>
      <c r="B1618" s="647" t="s">
        <v>1555</v>
      </c>
      <c r="C1618" s="648"/>
      <c r="D1618" s="700"/>
      <c r="E1618" s="648"/>
      <c r="F1618" s="807"/>
      <c r="G1618" s="648"/>
      <c r="H1618" s="648"/>
      <c r="I1618" s="648"/>
      <c r="J1618" s="648"/>
      <c r="K1618" s="700"/>
      <c r="L1618" s="648"/>
      <c r="M1618" s="651"/>
      <c r="N1618" s="649"/>
      <c r="O1618" s="616"/>
    </row>
    <row r="1619" spans="1:15" ht="17.25" customHeight="1" x14ac:dyDescent="0.35">
      <c r="A1619" s="631"/>
      <c r="B1619" s="100" t="s">
        <v>4457</v>
      </c>
      <c r="C1619" s="73" t="s">
        <v>3872</v>
      </c>
      <c r="D1619" s="1768"/>
      <c r="E1619" s="52">
        <v>2761</v>
      </c>
      <c r="F1619" s="812">
        <v>1</v>
      </c>
      <c r="G1619" s="6">
        <v>33.96</v>
      </c>
      <c r="H1619" s="6">
        <v>35.18</v>
      </c>
      <c r="I1619" s="20">
        <f t="shared" ref="I1619:I1634" si="53">H1619-G1619</f>
        <v>1.2199999999999989</v>
      </c>
      <c r="J1619" s="616">
        <v>60000</v>
      </c>
      <c r="K1619" s="703"/>
      <c r="L1619" s="22">
        <f t="shared" ref="L1619:L1634" si="54">F1619*I1619*J1619</f>
        <v>73199.999999999927</v>
      </c>
      <c r="M1619" s="22"/>
      <c r="N1619" s="72" t="s">
        <v>111</v>
      </c>
      <c r="O1619" s="15"/>
    </row>
    <row r="1620" spans="1:15" ht="17.25" customHeight="1" x14ac:dyDescent="0.35">
      <c r="A1620" s="631">
        <v>4</v>
      </c>
      <c r="B1620" s="100" t="s">
        <v>4458</v>
      </c>
      <c r="C1620" s="73" t="s">
        <v>3872</v>
      </c>
      <c r="D1620" s="1769"/>
      <c r="E1620" s="52">
        <v>2850</v>
      </c>
      <c r="F1620" s="812">
        <v>1</v>
      </c>
      <c r="G1620" s="6">
        <v>84.6</v>
      </c>
      <c r="H1620" s="6">
        <v>86.66</v>
      </c>
      <c r="I1620" s="20">
        <f t="shared" si="53"/>
        <v>2.0600000000000023</v>
      </c>
      <c r="J1620" s="616">
        <v>60000</v>
      </c>
      <c r="K1620" s="703"/>
      <c r="L1620" s="22">
        <f t="shared" si="54"/>
        <v>123600.00000000013</v>
      </c>
      <c r="M1620" s="22"/>
      <c r="N1620" s="72" t="s">
        <v>111</v>
      </c>
      <c r="O1620" s="15"/>
    </row>
    <row r="1621" spans="1:15" ht="17.25" customHeight="1" x14ac:dyDescent="0.35">
      <c r="A1621" s="631">
        <v>5</v>
      </c>
      <c r="B1621" s="100" t="s">
        <v>4459</v>
      </c>
      <c r="C1621" s="73" t="s">
        <v>3872</v>
      </c>
      <c r="D1621" s="1769"/>
      <c r="E1621" s="52">
        <v>2851</v>
      </c>
      <c r="F1621" s="812">
        <v>1</v>
      </c>
      <c r="G1621" s="6">
        <v>0.96</v>
      </c>
      <c r="H1621" s="6">
        <v>0.96</v>
      </c>
      <c r="I1621" s="20">
        <f t="shared" si="53"/>
        <v>0</v>
      </c>
      <c r="J1621" s="616">
        <v>60000</v>
      </c>
      <c r="K1621" s="703"/>
      <c r="L1621" s="22">
        <f t="shared" si="54"/>
        <v>0</v>
      </c>
      <c r="M1621" s="22"/>
      <c r="N1621" s="72" t="s">
        <v>111</v>
      </c>
      <c r="O1621" s="15"/>
    </row>
    <row r="1622" spans="1:15" ht="17.25" customHeight="1" x14ac:dyDescent="0.35">
      <c r="A1622" s="631">
        <v>6</v>
      </c>
      <c r="B1622" s="100" t="s">
        <v>1446</v>
      </c>
      <c r="C1622" s="73" t="s">
        <v>3872</v>
      </c>
      <c r="D1622" s="1769"/>
      <c r="E1622" s="52">
        <v>2784</v>
      </c>
      <c r="F1622" s="812">
        <v>1</v>
      </c>
      <c r="G1622" s="6"/>
      <c r="H1622" s="6"/>
      <c r="I1622" s="20">
        <f t="shared" si="53"/>
        <v>0</v>
      </c>
      <c r="J1622" s="616">
        <v>60000</v>
      </c>
      <c r="K1622" s="703"/>
      <c r="L1622" s="22">
        <f t="shared" si="54"/>
        <v>0</v>
      </c>
      <c r="M1622" s="22"/>
      <c r="N1622" s="72"/>
      <c r="O1622" s="15"/>
    </row>
    <row r="1623" spans="1:15" ht="17.25" customHeight="1" x14ac:dyDescent="0.35">
      <c r="A1623" s="631">
        <v>7</v>
      </c>
      <c r="B1623" s="100" t="s">
        <v>1446</v>
      </c>
      <c r="C1623" s="73" t="s">
        <v>3872</v>
      </c>
      <c r="D1623" s="1769"/>
      <c r="E1623" s="52">
        <v>2799</v>
      </c>
      <c r="F1623" s="812">
        <v>1</v>
      </c>
      <c r="G1623" s="6"/>
      <c r="H1623" s="6"/>
      <c r="I1623" s="20">
        <f t="shared" si="53"/>
        <v>0</v>
      </c>
      <c r="J1623" s="616">
        <v>60000</v>
      </c>
      <c r="K1623" s="703"/>
      <c r="L1623" s="22">
        <f t="shared" si="54"/>
        <v>0</v>
      </c>
      <c r="M1623" s="22"/>
      <c r="N1623" s="72"/>
      <c r="O1623" s="15"/>
    </row>
    <row r="1624" spans="1:15" ht="17.25" customHeight="1" x14ac:dyDescent="0.35">
      <c r="A1624" s="631">
        <v>8</v>
      </c>
      <c r="B1624" s="100" t="s">
        <v>1446</v>
      </c>
      <c r="C1624" s="73" t="s">
        <v>3872</v>
      </c>
      <c r="D1624" s="1769"/>
      <c r="E1624" s="52">
        <v>2775</v>
      </c>
      <c r="F1624" s="812">
        <v>1</v>
      </c>
      <c r="G1624" s="6"/>
      <c r="H1624" s="6"/>
      <c r="I1624" s="20">
        <f t="shared" si="53"/>
        <v>0</v>
      </c>
      <c r="J1624" s="616">
        <v>60000</v>
      </c>
      <c r="K1624" s="703"/>
      <c r="L1624" s="22">
        <f t="shared" si="54"/>
        <v>0</v>
      </c>
      <c r="M1624" s="22"/>
      <c r="N1624" s="72"/>
      <c r="O1624" s="15"/>
    </row>
    <row r="1625" spans="1:15" ht="17.25" customHeight="1" x14ac:dyDescent="0.35">
      <c r="A1625" s="631">
        <v>10</v>
      </c>
      <c r="B1625" s="100" t="s">
        <v>4460</v>
      </c>
      <c r="C1625" s="73" t="s">
        <v>3872</v>
      </c>
      <c r="D1625" s="1769"/>
      <c r="E1625" s="52">
        <v>2836</v>
      </c>
      <c r="F1625" s="812">
        <v>1</v>
      </c>
      <c r="G1625" s="6">
        <v>64.400000000000006</v>
      </c>
      <c r="H1625" s="6">
        <v>66.58</v>
      </c>
      <c r="I1625" s="20">
        <f t="shared" si="53"/>
        <v>2.1799999999999926</v>
      </c>
      <c r="J1625" s="616">
        <v>60000</v>
      </c>
      <c r="K1625" s="703"/>
      <c r="L1625" s="22">
        <f t="shared" si="54"/>
        <v>130799.99999999956</v>
      </c>
      <c r="M1625" s="22"/>
      <c r="N1625" s="72" t="s">
        <v>111</v>
      </c>
      <c r="O1625" s="15"/>
    </row>
    <row r="1626" spans="1:15" ht="17.25" customHeight="1" x14ac:dyDescent="0.35">
      <c r="A1626" s="631">
        <v>11</v>
      </c>
      <c r="B1626" s="100" t="s">
        <v>4461</v>
      </c>
      <c r="C1626" s="73" t="s">
        <v>3872</v>
      </c>
      <c r="D1626" s="1769"/>
      <c r="E1626" s="52">
        <v>2835</v>
      </c>
      <c r="F1626" s="812">
        <v>1</v>
      </c>
      <c r="G1626" s="6">
        <v>19.32</v>
      </c>
      <c r="H1626" s="6">
        <v>21.87</v>
      </c>
      <c r="I1626" s="20">
        <f t="shared" si="53"/>
        <v>2.5500000000000007</v>
      </c>
      <c r="J1626" s="616">
        <v>60000</v>
      </c>
      <c r="K1626" s="703"/>
      <c r="L1626" s="22">
        <f t="shared" si="54"/>
        <v>153000.00000000003</v>
      </c>
      <c r="M1626" s="22"/>
      <c r="N1626" s="72" t="s">
        <v>111</v>
      </c>
      <c r="O1626" s="15"/>
    </row>
    <row r="1627" spans="1:15" ht="17.25" customHeight="1" x14ac:dyDescent="0.35">
      <c r="A1627" s="631">
        <v>12</v>
      </c>
      <c r="B1627" s="100" t="s">
        <v>4462</v>
      </c>
      <c r="C1627" s="73" t="s">
        <v>3872</v>
      </c>
      <c r="D1627" s="1769"/>
      <c r="E1627" s="52">
        <v>2853</v>
      </c>
      <c r="F1627" s="812">
        <v>1</v>
      </c>
      <c r="G1627" s="6">
        <v>24.98</v>
      </c>
      <c r="H1627" s="6">
        <v>25.98</v>
      </c>
      <c r="I1627" s="20">
        <f t="shared" si="53"/>
        <v>1</v>
      </c>
      <c r="J1627" s="616">
        <v>60000</v>
      </c>
      <c r="K1627" s="703"/>
      <c r="L1627" s="22">
        <f t="shared" si="54"/>
        <v>60000</v>
      </c>
      <c r="M1627" s="22"/>
      <c r="N1627" s="72" t="s">
        <v>111</v>
      </c>
      <c r="O1627" s="15"/>
    </row>
    <row r="1628" spans="1:15" ht="17.25" customHeight="1" x14ac:dyDescent="0.35">
      <c r="A1628" s="631">
        <v>13</v>
      </c>
      <c r="B1628" s="100" t="s">
        <v>1446</v>
      </c>
      <c r="C1628" s="73" t="s">
        <v>3872</v>
      </c>
      <c r="D1628" s="1769"/>
      <c r="E1628" s="52">
        <v>2852</v>
      </c>
      <c r="F1628" s="812">
        <v>1</v>
      </c>
      <c r="G1628" s="6"/>
      <c r="H1628" s="6"/>
      <c r="I1628" s="20">
        <f t="shared" si="53"/>
        <v>0</v>
      </c>
      <c r="J1628" s="616">
        <v>60000</v>
      </c>
      <c r="K1628" s="703"/>
      <c r="L1628" s="22">
        <f t="shared" si="54"/>
        <v>0</v>
      </c>
      <c r="M1628" s="22"/>
      <c r="N1628" s="72"/>
      <c r="O1628" s="15"/>
    </row>
    <row r="1629" spans="1:15" ht="17.25" customHeight="1" x14ac:dyDescent="0.35">
      <c r="A1629" s="631">
        <v>14</v>
      </c>
      <c r="B1629" s="100" t="s">
        <v>4463</v>
      </c>
      <c r="C1629" s="73" t="s">
        <v>3872</v>
      </c>
      <c r="D1629" s="1769"/>
      <c r="E1629" s="52">
        <v>2839</v>
      </c>
      <c r="F1629" s="812">
        <v>1</v>
      </c>
      <c r="G1629" s="6"/>
      <c r="H1629" s="6"/>
      <c r="I1629" s="20">
        <f t="shared" si="53"/>
        <v>0</v>
      </c>
      <c r="J1629" s="616">
        <v>60000</v>
      </c>
      <c r="K1629" s="703"/>
      <c r="L1629" s="22">
        <f t="shared" si="54"/>
        <v>0</v>
      </c>
      <c r="M1629" s="22"/>
      <c r="N1629" s="72" t="s">
        <v>111</v>
      </c>
      <c r="O1629" s="15"/>
    </row>
    <row r="1630" spans="1:15" ht="17.25" customHeight="1" x14ac:dyDescent="0.35">
      <c r="A1630" s="631">
        <v>15</v>
      </c>
      <c r="B1630" s="100" t="s">
        <v>1446</v>
      </c>
      <c r="C1630" s="73" t="s">
        <v>3872</v>
      </c>
      <c r="D1630" s="1769"/>
      <c r="E1630" s="52">
        <v>2838</v>
      </c>
      <c r="F1630" s="812">
        <v>1</v>
      </c>
      <c r="G1630" s="6"/>
      <c r="H1630" s="6"/>
      <c r="I1630" s="20">
        <f t="shared" si="53"/>
        <v>0</v>
      </c>
      <c r="J1630" s="616">
        <v>60000</v>
      </c>
      <c r="K1630" s="703"/>
      <c r="L1630" s="22">
        <f t="shared" si="54"/>
        <v>0</v>
      </c>
      <c r="M1630" s="22"/>
      <c r="N1630" s="72"/>
      <c r="O1630" s="15"/>
    </row>
    <row r="1631" spans="1:15" ht="17.25" customHeight="1" x14ac:dyDescent="0.35">
      <c r="A1631" s="631">
        <v>16</v>
      </c>
      <c r="B1631" s="100" t="s">
        <v>4464</v>
      </c>
      <c r="C1631" s="73" t="s">
        <v>3872</v>
      </c>
      <c r="D1631" s="1769"/>
      <c r="E1631" s="52">
        <v>2772</v>
      </c>
      <c r="F1631" s="812">
        <v>1</v>
      </c>
      <c r="G1631" s="6">
        <v>25.66</v>
      </c>
      <c r="H1631" s="6">
        <v>29.75</v>
      </c>
      <c r="I1631" s="20">
        <f t="shared" si="53"/>
        <v>4.09</v>
      </c>
      <c r="J1631" s="616">
        <v>60000</v>
      </c>
      <c r="K1631" s="703"/>
      <c r="L1631" s="22">
        <f t="shared" si="54"/>
        <v>245400</v>
      </c>
      <c r="M1631" s="22"/>
      <c r="N1631" s="72" t="s">
        <v>111</v>
      </c>
      <c r="O1631" s="15"/>
    </row>
    <row r="1632" spans="1:15" ht="17.25" customHeight="1" x14ac:dyDescent="0.35">
      <c r="A1632" s="631">
        <v>17</v>
      </c>
      <c r="B1632" s="100" t="s">
        <v>1446</v>
      </c>
      <c r="C1632" s="73" t="s">
        <v>3872</v>
      </c>
      <c r="D1632" s="1769"/>
      <c r="E1632" s="52">
        <v>2843</v>
      </c>
      <c r="F1632" s="812">
        <v>1</v>
      </c>
      <c r="G1632" s="6"/>
      <c r="H1632" s="6"/>
      <c r="I1632" s="20">
        <f t="shared" si="53"/>
        <v>0</v>
      </c>
      <c r="J1632" s="616">
        <v>60000</v>
      </c>
      <c r="K1632" s="703"/>
      <c r="L1632" s="22">
        <f t="shared" si="54"/>
        <v>0</v>
      </c>
      <c r="M1632" s="22"/>
      <c r="N1632" s="72"/>
      <c r="O1632" s="15"/>
    </row>
    <row r="1633" spans="1:15" ht="17.25" customHeight="1" x14ac:dyDescent="0.35">
      <c r="A1633" s="631">
        <v>18</v>
      </c>
      <c r="B1633" s="101" t="s">
        <v>1446</v>
      </c>
      <c r="C1633" s="73" t="s">
        <v>3872</v>
      </c>
      <c r="D1633" s="1769"/>
      <c r="E1633" s="52">
        <v>2764</v>
      </c>
      <c r="F1633" s="812">
        <v>1</v>
      </c>
      <c r="G1633" s="6"/>
      <c r="H1633" s="6"/>
      <c r="I1633" s="20">
        <f t="shared" si="53"/>
        <v>0</v>
      </c>
      <c r="J1633" s="616">
        <v>60000</v>
      </c>
      <c r="K1633" s="703"/>
      <c r="L1633" s="22">
        <f t="shared" si="54"/>
        <v>0</v>
      </c>
      <c r="M1633" s="22"/>
      <c r="N1633" s="72"/>
      <c r="O1633" s="15"/>
    </row>
    <row r="1634" spans="1:15" ht="17.25" customHeight="1" x14ac:dyDescent="0.35">
      <c r="A1634" s="631">
        <v>19</v>
      </c>
      <c r="B1634" s="100" t="s">
        <v>4465</v>
      </c>
      <c r="C1634" s="73" t="s">
        <v>3872</v>
      </c>
      <c r="D1634" s="1769"/>
      <c r="E1634" s="52">
        <v>2763</v>
      </c>
      <c r="F1634" s="812">
        <v>1</v>
      </c>
      <c r="G1634" s="6"/>
      <c r="H1634" s="6"/>
      <c r="I1634" s="20">
        <f t="shared" si="53"/>
        <v>0</v>
      </c>
      <c r="J1634" s="616">
        <v>60000</v>
      </c>
      <c r="K1634" s="703"/>
      <c r="L1634" s="22">
        <f t="shared" si="54"/>
        <v>0</v>
      </c>
      <c r="M1634" s="22"/>
      <c r="N1634" s="72"/>
      <c r="O1634" s="15"/>
    </row>
    <row r="1635" spans="1:15" ht="20" x14ac:dyDescent="0.35">
      <c r="A1635" s="636"/>
      <c r="B1635" s="96"/>
      <c r="C1635" s="90"/>
      <c r="D1635" s="96"/>
      <c r="E1635" s="90"/>
      <c r="F1635" s="813"/>
      <c r="G1635" s="38"/>
      <c r="H1635" s="38"/>
      <c r="I1635" s="38"/>
      <c r="J1635" s="96" t="s">
        <v>30</v>
      </c>
      <c r="K1635" s="708">
        <f>K1617</f>
        <v>782499.99999999977</v>
      </c>
      <c r="L1635" s="43">
        <f>SUM(L1619:L1634)</f>
        <v>785999.99999999965</v>
      </c>
      <c r="M1635" s="43">
        <f>SUM(M1619:M1634)</f>
        <v>0</v>
      </c>
      <c r="N1635" s="84">
        <f>(M1635-L1635)/L1635*100</f>
        <v>-100</v>
      </c>
      <c r="O1635" s="13"/>
    </row>
    <row r="1636" spans="1:15" x14ac:dyDescent="0.35">
      <c r="D1636" s="2013"/>
      <c r="K1636" s="34"/>
    </row>
    <row r="1637" spans="1:15" ht="15" x14ac:dyDescent="0.35">
      <c r="A1637" s="620"/>
      <c r="B1637" s="635"/>
      <c r="C1637" s="632"/>
      <c r="D1637" s="1900"/>
      <c r="G1637" s="2092" t="s">
        <v>1099</v>
      </c>
      <c r="H1637" s="2092"/>
      <c r="I1637" s="2092"/>
      <c r="J1637" s="677" t="s">
        <v>14</v>
      </c>
      <c r="K1637" s="702"/>
      <c r="L1637" s="620"/>
      <c r="M1637" s="620"/>
      <c r="N1637" s="632"/>
      <c r="O1637" s="620"/>
    </row>
    <row r="1638" spans="1:15" ht="15.5" x14ac:dyDescent="0.35">
      <c r="A1638" s="620"/>
      <c r="B1638" s="635"/>
      <c r="C1638" s="632"/>
      <c r="D1638" s="1900"/>
      <c r="G1638" s="2082" t="s">
        <v>232</v>
      </c>
      <c r="H1638" s="2082"/>
      <c r="I1638" s="2082"/>
      <c r="J1638" s="643" t="e">
        <f>M1625+M1629+M1631+M1632+M1633+#REF!+#REF!+#REF!+#REF!</f>
        <v>#REF!</v>
      </c>
      <c r="K1638" s="702"/>
      <c r="L1638" s="620"/>
      <c r="M1638" s="620"/>
      <c r="N1638" s="632"/>
      <c r="O1638" s="620" t="s">
        <v>237</v>
      </c>
    </row>
    <row r="1639" spans="1:15" ht="15.5" x14ac:dyDescent="0.35">
      <c r="A1639" s="620"/>
      <c r="B1639" s="635"/>
      <c r="C1639" s="632"/>
      <c r="D1639" s="1900"/>
      <c r="G1639" s="2082" t="s">
        <v>233</v>
      </c>
      <c r="H1639" s="2082"/>
      <c r="I1639" s="2082"/>
      <c r="J1639" s="643" t="e">
        <f>M1620+M1621+M1622+M1626+M1627+M1628+#REF!+#REF!+#REF!</f>
        <v>#REF!</v>
      </c>
      <c r="K1639" s="702"/>
      <c r="L1639" s="620"/>
      <c r="M1639" s="620"/>
      <c r="N1639" s="632"/>
      <c r="O1639" s="620"/>
    </row>
    <row r="1640" spans="1:15" ht="15.5" x14ac:dyDescent="0.35">
      <c r="A1640" s="620"/>
      <c r="B1640" s="635"/>
      <c r="C1640" s="632"/>
      <c r="D1640" s="1900"/>
      <c r="G1640" s="2082" t="s">
        <v>234</v>
      </c>
      <c r="H1640" s="2082"/>
      <c r="I1640" s="2082"/>
      <c r="J1640" s="643" t="e">
        <f>#REF!</f>
        <v>#REF!</v>
      </c>
      <c r="K1640" s="702"/>
      <c r="L1640" s="620"/>
      <c r="M1640" s="620"/>
      <c r="N1640" s="632"/>
      <c r="O1640" s="620"/>
    </row>
    <row r="1641" spans="1:15" ht="16" thickBot="1" x14ac:dyDescent="0.4">
      <c r="A1641" s="620"/>
      <c r="B1641" s="635"/>
      <c r="C1641" s="632"/>
      <c r="D1641" s="1900"/>
      <c r="G1641" s="2082" t="s">
        <v>235</v>
      </c>
      <c r="H1641" s="2082"/>
      <c r="I1641" s="2082"/>
      <c r="J1641" s="643" t="e">
        <f>M1619+M1623+M1624+M1630+M1634+#REF!+#REF!+#REF!+#REF!</f>
        <v>#REF!</v>
      </c>
      <c r="K1641" s="702"/>
      <c r="L1641" s="620"/>
      <c r="M1641" s="620"/>
      <c r="N1641" s="632"/>
      <c r="O1641" s="620"/>
    </row>
    <row r="1642" spans="1:15" ht="20.5" thickBot="1" x14ac:dyDescent="0.4">
      <c r="A1642" s="620"/>
      <c r="B1642" s="635"/>
      <c r="C1642" s="632"/>
      <c r="D1642" s="1900"/>
      <c r="G1642" s="2083" t="s">
        <v>210</v>
      </c>
      <c r="H1642" s="2083"/>
      <c r="I1642" s="2083"/>
      <c r="J1642" s="714" t="e">
        <f>SUM(J1638:J1641)</f>
        <v>#REF!</v>
      </c>
      <c r="K1642" s="682" t="e">
        <f>J1642-M1635</f>
        <v>#REF!</v>
      </c>
      <c r="L1642" s="620"/>
      <c r="M1642" s="620"/>
      <c r="N1642" s="632"/>
      <c r="O1642" s="620"/>
    </row>
    <row r="1643" spans="1:15" x14ac:dyDescent="0.35">
      <c r="A1643" s="620"/>
      <c r="B1643" s="635"/>
      <c r="C1643" s="632"/>
      <c r="D1643" s="1900"/>
      <c r="E1643" s="632"/>
      <c r="F1643" s="810"/>
      <c r="G1643" s="620"/>
      <c r="H1643" s="620"/>
      <c r="I1643" s="620"/>
      <c r="J1643" s="620"/>
      <c r="K1643" s="702"/>
      <c r="L1643" s="620"/>
      <c r="M1643" s="620"/>
      <c r="N1643" s="632"/>
      <c r="O1643" s="620"/>
    </row>
    <row r="1644" spans="1:15" x14ac:dyDescent="0.35">
      <c r="A1644" s="620"/>
      <c r="B1644" s="635"/>
      <c r="C1644" s="632"/>
      <c r="D1644" s="1900"/>
      <c r="E1644" s="632"/>
      <c r="F1644" s="810"/>
      <c r="G1644" s="620"/>
      <c r="H1644" s="620"/>
      <c r="I1644" s="620"/>
      <c r="J1644" s="620"/>
      <c r="K1644" s="702"/>
      <c r="L1644" s="620"/>
      <c r="M1644" s="620"/>
      <c r="N1644" s="632"/>
      <c r="O1644" s="620"/>
    </row>
    <row r="1645" spans="1:15" x14ac:dyDescent="0.35">
      <c r="A1645" s="620"/>
      <c r="B1645" s="635"/>
      <c r="C1645" s="632"/>
      <c r="D1645" s="1900"/>
      <c r="E1645" s="632"/>
      <c r="F1645" s="810"/>
      <c r="G1645" s="620"/>
      <c r="H1645" s="620"/>
      <c r="I1645" s="620"/>
      <c r="J1645" s="620"/>
      <c r="K1645" s="702"/>
      <c r="L1645" s="620"/>
      <c r="M1645" s="620"/>
      <c r="N1645" s="632"/>
      <c r="O1645" s="620"/>
    </row>
    <row r="1646" spans="1:15" x14ac:dyDescent="0.35">
      <c r="A1646" s="620"/>
      <c r="B1646" s="635"/>
      <c r="C1646" s="632"/>
      <c r="D1646" s="1900"/>
      <c r="E1646" s="632"/>
      <c r="F1646" s="810"/>
      <c r="G1646" s="620"/>
      <c r="H1646" s="620"/>
      <c r="I1646" s="620"/>
      <c r="J1646" s="620"/>
      <c r="K1646" s="702"/>
      <c r="L1646" s="620"/>
      <c r="M1646" s="620"/>
      <c r="N1646" s="632"/>
      <c r="O1646" s="620"/>
    </row>
    <row r="1647" spans="1:15" x14ac:dyDescent="0.35">
      <c r="A1647" s="620"/>
      <c r="B1647" s="635"/>
      <c r="C1647" s="632"/>
      <c r="D1647" s="1900"/>
      <c r="E1647" s="632"/>
      <c r="F1647" s="810"/>
      <c r="G1647" s="620"/>
      <c r="H1647" s="620"/>
      <c r="I1647" s="620"/>
      <c r="J1647" s="620"/>
      <c r="K1647" s="702"/>
      <c r="L1647" s="620"/>
      <c r="M1647" s="620"/>
      <c r="N1647" s="632"/>
      <c r="O1647" s="620"/>
    </row>
    <row r="1648" spans="1:15" x14ac:dyDescent="0.35">
      <c r="A1648" s="620"/>
      <c r="B1648" s="632"/>
      <c r="C1648" s="632"/>
      <c r="D1648" s="1900"/>
      <c r="E1648" s="632"/>
      <c r="F1648" s="810"/>
      <c r="G1648" s="620"/>
      <c r="H1648" s="620"/>
      <c r="I1648" s="620"/>
      <c r="J1648" s="620"/>
      <c r="K1648" s="702"/>
      <c r="L1648" s="620"/>
      <c r="M1648" s="620"/>
      <c r="N1648" s="632"/>
      <c r="O1648" s="620"/>
    </row>
    <row r="1649" spans="1:15" x14ac:dyDescent="0.35">
      <c r="A1649" s="620"/>
      <c r="B1649" s="632"/>
      <c r="C1649" s="632"/>
      <c r="D1649" s="1900"/>
      <c r="E1649" s="632"/>
      <c r="F1649" s="810"/>
      <c r="G1649" s="620"/>
      <c r="H1649" s="620"/>
      <c r="I1649" s="620"/>
      <c r="J1649" s="620"/>
      <c r="K1649" s="702"/>
      <c r="L1649" s="620"/>
      <c r="M1649" s="620"/>
      <c r="N1649" s="632"/>
      <c r="O1649" s="620"/>
    </row>
    <row r="1650" spans="1:15" x14ac:dyDescent="0.35">
      <c r="A1650" s="620"/>
      <c r="B1650" s="635"/>
      <c r="C1650" s="632"/>
      <c r="D1650" s="1900"/>
      <c r="E1650" s="632"/>
      <c r="F1650" s="810"/>
      <c r="G1650" s="620"/>
      <c r="H1650" s="620"/>
      <c r="I1650" s="620"/>
      <c r="J1650" s="620"/>
      <c r="K1650" s="702"/>
      <c r="L1650" s="620"/>
      <c r="M1650" s="620"/>
      <c r="N1650" s="632"/>
      <c r="O1650" s="620"/>
    </row>
    <row r="1651" spans="1:15" x14ac:dyDescent="0.35">
      <c r="A1651" s="620"/>
      <c r="B1651" s="635"/>
      <c r="C1651" s="632"/>
      <c r="D1651" s="1900"/>
      <c r="E1651" s="632"/>
      <c r="F1651" s="810"/>
      <c r="G1651" s="620"/>
      <c r="H1651" s="620"/>
      <c r="I1651" s="620"/>
      <c r="J1651" s="620"/>
      <c r="K1651" s="702"/>
      <c r="L1651" s="620"/>
      <c r="M1651" s="620"/>
      <c r="N1651" s="632"/>
      <c r="O1651" s="620"/>
    </row>
    <row r="1652" spans="1:15" x14ac:dyDescent="0.35">
      <c r="A1652" s="620"/>
      <c r="B1652" s="635"/>
      <c r="C1652" s="632"/>
      <c r="D1652" s="1900"/>
      <c r="E1652" s="632"/>
      <c r="F1652" s="810"/>
      <c r="G1652" s="620"/>
      <c r="H1652" s="620"/>
      <c r="I1652" s="620"/>
      <c r="J1652" s="620"/>
      <c r="K1652" s="702"/>
      <c r="L1652" s="620"/>
      <c r="M1652" s="620"/>
      <c r="N1652" s="632"/>
      <c r="O1652" s="620"/>
    </row>
    <row r="1653" spans="1:15" ht="25" x14ac:dyDescent="0.35">
      <c r="A1653" s="28"/>
      <c r="B1653" s="2152"/>
      <c r="C1653" s="2152"/>
      <c r="D1653" s="2152"/>
      <c r="E1653" s="2152"/>
      <c r="F1653" s="2152"/>
      <c r="G1653" s="2152"/>
      <c r="H1653" s="2152"/>
      <c r="I1653" s="2152"/>
      <c r="J1653" s="2152"/>
      <c r="K1653" s="2152"/>
      <c r="L1653" s="2152"/>
      <c r="M1653" s="2152"/>
      <c r="N1653" s="632"/>
      <c r="O1653" s="620"/>
    </row>
    <row r="1654" spans="1:15" x14ac:dyDescent="0.35">
      <c r="A1654" s="620"/>
      <c r="B1654" s="635"/>
      <c r="C1654" s="632"/>
      <c r="D1654" s="1900"/>
      <c r="E1654" s="632"/>
      <c r="F1654" s="810"/>
      <c r="G1654" s="620"/>
      <c r="H1654" s="620"/>
      <c r="I1654" s="620"/>
      <c r="J1654" s="620"/>
      <c r="K1654" s="702"/>
      <c r="L1654" s="620"/>
      <c r="M1654" s="620"/>
      <c r="N1654" s="632"/>
      <c r="O1654" s="620"/>
    </row>
    <row r="1655" spans="1:15" x14ac:dyDescent="0.35">
      <c r="A1655" s="620"/>
      <c r="B1655" s="635"/>
      <c r="C1655" s="632"/>
      <c r="D1655" s="1900"/>
      <c r="E1655" s="632"/>
      <c r="F1655" s="810"/>
      <c r="G1655" s="620"/>
      <c r="H1655" s="620"/>
      <c r="I1655" s="620"/>
      <c r="J1655" s="620"/>
      <c r="K1655" s="702"/>
      <c r="L1655" s="620"/>
      <c r="M1655" s="620"/>
      <c r="N1655" s="632"/>
      <c r="O1655" s="620"/>
    </row>
    <row r="1656" spans="1:15" ht="25" x14ac:dyDescent="0.35">
      <c r="A1656" s="2095" t="s">
        <v>1556</v>
      </c>
      <c r="B1656" s="2095"/>
      <c r="C1656" s="2095"/>
      <c r="D1656" s="2095"/>
      <c r="E1656" s="2095"/>
      <c r="F1656" s="2095"/>
      <c r="G1656" s="2095"/>
      <c r="H1656" s="2095"/>
      <c r="I1656" s="2095"/>
      <c r="J1656" s="2095"/>
      <c r="K1656" s="2095"/>
      <c r="L1656" s="2095"/>
      <c r="M1656" s="2095"/>
      <c r="N1656" s="2095"/>
      <c r="O1656" s="756" t="e">
        <f>$O$6</f>
        <v>#REF!</v>
      </c>
    </row>
    <row r="1657" spans="1:15" ht="15.5" x14ac:dyDescent="0.35">
      <c r="A1657" s="2096" t="s">
        <v>0</v>
      </c>
      <c r="B1657" s="2098" t="s">
        <v>1</v>
      </c>
      <c r="C1657" s="2100" t="s">
        <v>2</v>
      </c>
      <c r="D1657" s="2101"/>
      <c r="E1657" s="2102"/>
      <c r="F1657" s="2216" t="s">
        <v>3</v>
      </c>
      <c r="G1657" s="2100" t="s">
        <v>4</v>
      </c>
      <c r="H1657" s="2102"/>
      <c r="I1657" s="2085"/>
      <c r="J1657" s="2103" t="s">
        <v>5</v>
      </c>
      <c r="K1657" s="2100" t="s">
        <v>6</v>
      </c>
      <c r="L1657" s="2085"/>
      <c r="M1657" s="97" t="s">
        <v>32</v>
      </c>
      <c r="N1657" s="98"/>
      <c r="O1657" s="2084" t="s">
        <v>7</v>
      </c>
    </row>
    <row r="1658" spans="1:15" ht="15.5" x14ac:dyDescent="0.35">
      <c r="A1658" s="2097"/>
      <c r="B1658" s="2099"/>
      <c r="C1658" s="2086" t="s">
        <v>1108</v>
      </c>
      <c r="D1658" s="2087"/>
      <c r="E1658" s="87" t="s">
        <v>9</v>
      </c>
      <c r="F1658" s="2217"/>
      <c r="G1658" s="2">
        <f>'NORTH-1'!$G$8</f>
        <v>44774</v>
      </c>
      <c r="H1658" s="2">
        <f>'NORTH-1'!$H$8</f>
        <v>44805</v>
      </c>
      <c r="I1658" s="1" t="s">
        <v>10</v>
      </c>
      <c r="J1658" s="2097"/>
      <c r="K1658" s="1" t="s">
        <v>11</v>
      </c>
      <c r="L1658" s="1" t="s">
        <v>12</v>
      </c>
      <c r="M1658" s="617" t="s">
        <v>33</v>
      </c>
      <c r="N1658" s="76" t="s">
        <v>47</v>
      </c>
      <c r="O1658" s="2085"/>
    </row>
    <row r="1659" spans="1:15" ht="15.5" x14ac:dyDescent="0.35">
      <c r="A1659" s="3">
        <v>1</v>
      </c>
      <c r="B1659" s="88">
        <v>2</v>
      </c>
      <c r="C1659" s="2088">
        <v>4</v>
      </c>
      <c r="D1659" s="2089"/>
      <c r="E1659" s="88">
        <v>5</v>
      </c>
      <c r="F1659" s="803">
        <v>7</v>
      </c>
      <c r="G1659" s="3">
        <v>8</v>
      </c>
      <c r="H1659" s="3">
        <v>9</v>
      </c>
      <c r="I1659" s="3" t="s">
        <v>13</v>
      </c>
      <c r="J1659" s="3">
        <v>11</v>
      </c>
      <c r="K1659" s="3" t="s">
        <v>19</v>
      </c>
      <c r="L1659" s="3" t="s">
        <v>20</v>
      </c>
      <c r="M1659" s="3">
        <v>14</v>
      </c>
      <c r="N1659" s="77">
        <v>15</v>
      </c>
      <c r="O1659" s="3">
        <v>16</v>
      </c>
    </row>
    <row r="1660" spans="1:15" ht="15.5" x14ac:dyDescent="0.35">
      <c r="A1660" s="631"/>
      <c r="B1660" s="624" t="s">
        <v>3437</v>
      </c>
      <c r="C1660" s="625"/>
      <c r="D1660" s="695"/>
      <c r="E1660" s="625"/>
      <c r="F1660" s="804"/>
      <c r="G1660" s="625"/>
      <c r="H1660" s="625"/>
      <c r="I1660" s="625"/>
      <c r="J1660" s="625"/>
      <c r="K1660" s="695"/>
      <c r="L1660" s="625"/>
      <c r="M1660" s="626"/>
      <c r="N1660" s="627"/>
      <c r="O1660" s="616"/>
    </row>
    <row r="1661" spans="1:15" ht="15.5" x14ac:dyDescent="0.35">
      <c r="A1661" s="11"/>
      <c r="B1661" s="100" t="s">
        <v>4466</v>
      </c>
      <c r="C1661" s="52" t="s">
        <v>3833</v>
      </c>
      <c r="D1661" s="818"/>
      <c r="E1661" s="52" t="s">
        <v>4467</v>
      </c>
      <c r="F1661" s="812">
        <v>1</v>
      </c>
      <c r="G1661" s="21">
        <v>30597.09</v>
      </c>
      <c r="H1661" s="21">
        <v>36116.5</v>
      </c>
      <c r="I1661" s="21">
        <f>H1661-G1661</f>
        <v>5519.41</v>
      </c>
      <c r="J1661" s="616">
        <v>270</v>
      </c>
      <c r="K1661" s="696">
        <f>F1661*I1661*J1661</f>
        <v>1490240.7</v>
      </c>
      <c r="L1661" s="22"/>
      <c r="M1661" s="22"/>
      <c r="N1661" s="82"/>
      <c r="O1661" s="9"/>
    </row>
    <row r="1662" spans="1:15" ht="15.5" x14ac:dyDescent="0.35">
      <c r="A1662" s="11">
        <v>1</v>
      </c>
      <c r="B1662" s="100"/>
      <c r="C1662" s="52" t="s">
        <v>3833</v>
      </c>
      <c r="D1662" s="1918"/>
      <c r="E1662" s="52" t="s">
        <v>4467</v>
      </c>
      <c r="F1662" s="812">
        <v>1</v>
      </c>
      <c r="G1662" s="21">
        <v>21215.75</v>
      </c>
      <c r="H1662" s="21">
        <v>21216.15</v>
      </c>
      <c r="I1662" s="21">
        <f>H1662-G1662</f>
        <v>0.40000000000145519</v>
      </c>
      <c r="J1662" s="616">
        <v>270</v>
      </c>
      <c r="K1662" s="696"/>
      <c r="L1662" s="22">
        <f>F1662*I1662*J1662</f>
        <v>108.0000000003929</v>
      </c>
      <c r="M1662" s="22"/>
      <c r="N1662" s="82"/>
      <c r="O1662" s="9"/>
    </row>
    <row r="1663" spans="1:15" ht="15.5" x14ac:dyDescent="0.35">
      <c r="A1663" s="11"/>
      <c r="B1663" s="100" t="s">
        <v>4468</v>
      </c>
      <c r="C1663" s="52" t="s">
        <v>3833</v>
      </c>
      <c r="D1663" s="1918"/>
      <c r="E1663" s="52" t="s">
        <v>4469</v>
      </c>
      <c r="F1663" s="812">
        <v>1</v>
      </c>
      <c r="G1663" s="21">
        <v>2.86</v>
      </c>
      <c r="H1663" s="21">
        <v>2.86</v>
      </c>
      <c r="I1663" s="21">
        <f>H1663-G1663</f>
        <v>0</v>
      </c>
      <c r="J1663" s="616">
        <v>270</v>
      </c>
      <c r="K1663" s="696">
        <f>F1663*I1663*J1663</f>
        <v>0</v>
      </c>
      <c r="L1663" s="22"/>
      <c r="M1663" s="22"/>
      <c r="N1663" s="82"/>
      <c r="O1663" s="9"/>
    </row>
    <row r="1664" spans="1:15" ht="15.5" x14ac:dyDescent="0.35">
      <c r="A1664" s="631">
        <v>4</v>
      </c>
      <c r="B1664" s="100" t="s">
        <v>4470</v>
      </c>
      <c r="C1664" s="52" t="s">
        <v>3833</v>
      </c>
      <c r="D1664" s="1444"/>
      <c r="E1664" s="52" t="s">
        <v>4471</v>
      </c>
      <c r="F1664" s="812">
        <v>1</v>
      </c>
      <c r="G1664" s="21">
        <v>3771.42</v>
      </c>
      <c r="H1664" s="21">
        <v>13364.24</v>
      </c>
      <c r="I1664" s="21">
        <f>H1664-G1664</f>
        <v>9592.82</v>
      </c>
      <c r="J1664" s="616">
        <v>270</v>
      </c>
      <c r="K1664" s="696">
        <f>I1664*J1664*F1664</f>
        <v>2590061.4</v>
      </c>
      <c r="L1664" s="22"/>
      <c r="M1664" s="22"/>
      <c r="N1664" s="82"/>
      <c r="O1664" s="616"/>
    </row>
    <row r="1665" spans="1:15" ht="15.5" x14ac:dyDescent="0.35">
      <c r="A1665" s="631"/>
      <c r="B1665" s="102"/>
      <c r="C1665" s="91"/>
      <c r="D1665" s="726"/>
      <c r="E1665" s="91"/>
      <c r="F1665" s="814"/>
      <c r="G1665" s="48"/>
      <c r="H1665" s="48"/>
      <c r="I1665" s="48"/>
      <c r="J1665" s="96" t="s">
        <v>30</v>
      </c>
      <c r="K1665" s="43">
        <f>SUM(K1661:K1664)</f>
        <v>4080302.0999999996</v>
      </c>
      <c r="L1665" s="43">
        <f>SUM(L1661:L1664)</f>
        <v>108.0000000003929</v>
      </c>
      <c r="M1665" s="43">
        <f>SUM(M1661:M1664)</f>
        <v>0</v>
      </c>
      <c r="N1665" s="646">
        <f>(M1665-L1665)/L1665*100</f>
        <v>-100</v>
      </c>
      <c r="O1665" s="616"/>
    </row>
    <row r="1666" spans="1:15" ht="15.5" x14ac:dyDescent="0.35">
      <c r="A1666" s="616"/>
      <c r="B1666" s="624" t="s">
        <v>1557</v>
      </c>
      <c r="C1666" s="625"/>
      <c r="D1666" s="695"/>
      <c r="E1666" s="625"/>
      <c r="F1666" s="804"/>
      <c r="G1666" s="625"/>
      <c r="H1666" s="625"/>
      <c r="I1666" s="625"/>
      <c r="J1666" s="732"/>
      <c r="K1666" s="733">
        <f>K1665-L1665</f>
        <v>4080194.0999999992</v>
      </c>
      <c r="L1666" s="734"/>
      <c r="M1666" s="734"/>
      <c r="N1666" s="627"/>
      <c r="O1666" s="12"/>
    </row>
    <row r="1667" spans="1:15" ht="15.5" x14ac:dyDescent="0.35">
      <c r="A1667" s="616"/>
      <c r="B1667" s="100"/>
      <c r="C1667" s="52"/>
      <c r="D1667" s="2105"/>
      <c r="E1667" s="52"/>
      <c r="F1667" s="812"/>
      <c r="G1667" s="21"/>
      <c r="H1667" s="21"/>
      <c r="I1667" s="20"/>
      <c r="J1667" s="616"/>
      <c r="K1667" s="696"/>
      <c r="L1667" s="22"/>
      <c r="M1667" s="22"/>
      <c r="N1667" s="82"/>
      <c r="O1667" s="12"/>
    </row>
    <row r="1668" spans="1:15" ht="15.5" x14ac:dyDescent="0.35">
      <c r="A1668" s="616"/>
      <c r="B1668" s="100"/>
      <c r="C1668" s="52"/>
      <c r="D1668" s="2106"/>
      <c r="E1668" s="52"/>
      <c r="F1668" s="812"/>
      <c r="G1668" s="21"/>
      <c r="H1668" s="21"/>
      <c r="I1668" s="20"/>
      <c r="J1668" s="616"/>
      <c r="K1668" s="696"/>
      <c r="L1668" s="22"/>
      <c r="M1668" s="22"/>
      <c r="N1668" s="82"/>
      <c r="O1668" s="12"/>
    </row>
    <row r="1669" spans="1:15" ht="15.5" x14ac:dyDescent="0.35">
      <c r="A1669" s="616"/>
      <c r="B1669" s="100"/>
      <c r="C1669" s="52"/>
      <c r="D1669" s="2151"/>
      <c r="E1669" s="52"/>
      <c r="F1669" s="812"/>
      <c r="G1669" s="21"/>
      <c r="H1669" s="21"/>
      <c r="I1669" s="20"/>
      <c r="J1669" s="616"/>
      <c r="K1669" s="696"/>
      <c r="L1669" s="22"/>
      <c r="M1669" s="22"/>
      <c r="N1669" s="82"/>
      <c r="O1669" s="12"/>
    </row>
    <row r="1670" spans="1:15" ht="15.5" x14ac:dyDescent="0.35">
      <c r="A1670" s="616"/>
      <c r="B1670" s="102"/>
      <c r="C1670" s="91"/>
      <c r="D1670" s="726"/>
      <c r="E1670" s="91"/>
      <c r="F1670" s="814"/>
      <c r="G1670" s="48"/>
      <c r="H1670" s="48"/>
      <c r="I1670" s="36"/>
      <c r="J1670" s="96" t="s">
        <v>30</v>
      </c>
      <c r="K1670" s="706"/>
      <c r="L1670" s="43">
        <f>SUM(L1667:L1669)</f>
        <v>0</v>
      </c>
      <c r="M1670" s="43" t="e">
        <f>M1665+#REF!</f>
        <v>#REF!</v>
      </c>
      <c r="N1670" s="85"/>
      <c r="O1670" s="12"/>
    </row>
    <row r="1671" spans="1:15" ht="15.5" x14ac:dyDescent="0.35">
      <c r="A1671" s="616"/>
      <c r="B1671" s="647" t="s">
        <v>1558</v>
      </c>
      <c r="C1671" s="648"/>
      <c r="D1671" s="700"/>
      <c r="E1671" s="648"/>
      <c r="F1671" s="807"/>
      <c r="G1671" s="648"/>
      <c r="H1671" s="648"/>
      <c r="I1671" s="648"/>
      <c r="J1671" s="648"/>
      <c r="K1671" s="700"/>
      <c r="L1671" s="648"/>
      <c r="M1671" s="651"/>
      <c r="N1671" s="649"/>
      <c r="O1671" s="8"/>
    </row>
    <row r="1672" spans="1:15" ht="15.5" x14ac:dyDescent="0.35">
      <c r="A1672" s="616"/>
      <c r="B1672" s="100" t="s">
        <v>1079</v>
      </c>
      <c r="C1672" s="52">
        <v>132</v>
      </c>
      <c r="D1672" s="2138" t="s">
        <v>1083</v>
      </c>
      <c r="E1672" s="615"/>
      <c r="F1672" s="812"/>
      <c r="G1672" s="5"/>
      <c r="H1672" s="5"/>
      <c r="I1672" s="5"/>
      <c r="J1672" s="616"/>
      <c r="K1672" s="696"/>
      <c r="L1672" s="16">
        <f>J1672*I1672*F1672</f>
        <v>0</v>
      </c>
      <c r="M1672" s="7"/>
      <c r="N1672" s="78"/>
      <c r="O1672" s="616"/>
    </row>
    <row r="1673" spans="1:15" ht="15.5" x14ac:dyDescent="0.35">
      <c r="A1673" s="616"/>
      <c r="B1673" s="100" t="s">
        <v>1078</v>
      </c>
      <c r="C1673" s="52">
        <v>132</v>
      </c>
      <c r="D1673" s="2139"/>
      <c r="E1673" s="615"/>
      <c r="F1673" s="812"/>
      <c r="G1673" s="5"/>
      <c r="H1673" s="5"/>
      <c r="I1673" s="5"/>
      <c r="J1673" s="616"/>
      <c r="K1673" s="696"/>
      <c r="L1673" s="16">
        <f>J1673*I1673*F1673</f>
        <v>0</v>
      </c>
      <c r="M1673" s="16"/>
      <c r="N1673" s="79"/>
      <c r="O1673" s="616"/>
    </row>
    <row r="1674" spans="1:15" ht="15.5" x14ac:dyDescent="0.35">
      <c r="A1674" s="616"/>
      <c r="B1674" s="95"/>
      <c r="C1674" s="89"/>
      <c r="D1674" s="1846"/>
      <c r="E1674" s="89"/>
      <c r="F1674" s="806"/>
      <c r="G1674" s="37"/>
      <c r="H1674" s="37"/>
      <c r="I1674" s="37"/>
      <c r="J1674" s="95" t="s">
        <v>279</v>
      </c>
      <c r="K1674" s="699"/>
      <c r="L1674" s="55">
        <f>SUM(L1672:L1673)</f>
        <v>0</v>
      </c>
      <c r="M1674" s="633"/>
      <c r="N1674" s="634"/>
      <c r="O1674" s="616"/>
    </row>
    <row r="1675" spans="1:15" ht="15.5" x14ac:dyDescent="0.35">
      <c r="A1675" s="616"/>
      <c r="B1675" s="102"/>
      <c r="C1675" s="91"/>
      <c r="D1675" s="726"/>
      <c r="E1675" s="91"/>
      <c r="F1675" s="814"/>
      <c r="G1675" s="48"/>
      <c r="H1675" s="48"/>
      <c r="I1675" s="36"/>
      <c r="J1675" s="96"/>
      <c r="K1675" s="706"/>
      <c r="L1675" s="43"/>
      <c r="M1675" s="43"/>
      <c r="N1675" s="85"/>
      <c r="O1675" s="12"/>
    </row>
    <row r="1676" spans="1:15" ht="15.5" x14ac:dyDescent="0.35">
      <c r="A1676" s="636"/>
      <c r="B1676" s="647" t="s">
        <v>1559</v>
      </c>
      <c r="C1676" s="648"/>
      <c r="D1676" s="700"/>
      <c r="E1676" s="648"/>
      <c r="F1676" s="807"/>
      <c r="G1676" s="648"/>
      <c r="H1676" s="648"/>
      <c r="I1676" s="648"/>
      <c r="J1676" s="50"/>
      <c r="K1676" s="710"/>
      <c r="L1676" s="51"/>
      <c r="M1676" s="51"/>
      <c r="N1676" s="649"/>
      <c r="O1676" s="12"/>
    </row>
    <row r="1677" spans="1:15" ht="15.5" x14ac:dyDescent="0.35">
      <c r="A1677" s="616">
        <v>1</v>
      </c>
      <c r="B1677" s="100" t="s">
        <v>4127</v>
      </c>
      <c r="C1677" s="52" t="s">
        <v>3833</v>
      </c>
      <c r="D1677" s="2140"/>
      <c r="E1677" s="52" t="s">
        <v>4472</v>
      </c>
      <c r="F1677" s="812">
        <v>1</v>
      </c>
      <c r="G1677" s="21">
        <v>20724.55</v>
      </c>
      <c r="H1677" s="21">
        <v>26248.07</v>
      </c>
      <c r="I1677" s="21">
        <f>H1677-G1677</f>
        <v>5523.52</v>
      </c>
      <c r="J1677" s="31">
        <v>270</v>
      </c>
      <c r="K1677" s="707"/>
      <c r="L1677" s="22">
        <f>F1677*I1677*J1677</f>
        <v>1491350.4000000001</v>
      </c>
      <c r="M1677" s="22"/>
      <c r="N1677" s="83"/>
      <c r="O1677" s="12"/>
    </row>
    <row r="1678" spans="1:15" ht="15.5" x14ac:dyDescent="0.35">
      <c r="A1678" s="616">
        <v>3</v>
      </c>
      <c r="B1678" s="100" t="s">
        <v>4129</v>
      </c>
      <c r="C1678" s="52" t="s">
        <v>3833</v>
      </c>
      <c r="D1678" s="2157"/>
      <c r="E1678" s="52" t="s">
        <v>4473</v>
      </c>
      <c r="F1678" s="812">
        <v>1</v>
      </c>
      <c r="G1678" s="21">
        <v>32089.16</v>
      </c>
      <c r="H1678" s="21">
        <v>41669.879999999997</v>
      </c>
      <c r="I1678" s="21">
        <f>H1678-G1678</f>
        <v>9580.7199999999975</v>
      </c>
      <c r="J1678" s="31">
        <v>270</v>
      </c>
      <c r="K1678" s="707"/>
      <c r="L1678" s="22">
        <f>F1678*I1678*J1678</f>
        <v>2586794.3999999994</v>
      </c>
      <c r="M1678" s="22"/>
      <c r="N1678" s="83"/>
      <c r="O1678" s="12"/>
    </row>
    <row r="1679" spans="1:15" ht="15" x14ac:dyDescent="0.35">
      <c r="A1679" s="636"/>
      <c r="B1679" s="96"/>
      <c r="C1679" s="90"/>
      <c r="D1679" s="96"/>
      <c r="E1679" s="90"/>
      <c r="F1679" s="813"/>
      <c r="G1679" s="38"/>
      <c r="H1679" s="38"/>
      <c r="I1679" s="38"/>
      <c r="J1679" s="96" t="s">
        <v>30</v>
      </c>
      <c r="K1679" s="708"/>
      <c r="L1679" s="43">
        <f>SUM(L1677:L1678)</f>
        <v>4078144.8</v>
      </c>
      <c r="M1679" s="43">
        <f>SUM(M1677:M1678)</f>
        <v>0</v>
      </c>
      <c r="N1679" s="650">
        <f>(M1679-L1679)/L1679*100</f>
        <v>-100</v>
      </c>
      <c r="O1679" s="12"/>
    </row>
    <row r="1680" spans="1:15" ht="15.5" thickBot="1" x14ac:dyDescent="0.4">
      <c r="A1680" s="702"/>
      <c r="B1680" s="736"/>
      <c r="C1680" s="92"/>
      <c r="D1680" s="736"/>
      <c r="E1680" s="92"/>
      <c r="F1680" s="815"/>
      <c r="G1680" s="737"/>
      <c r="H1680" s="737"/>
      <c r="I1680" s="737"/>
      <c r="J1680" s="736"/>
      <c r="K1680" s="738"/>
      <c r="L1680" s="739"/>
      <c r="M1680" s="739"/>
      <c r="N1680" s="646"/>
      <c r="O1680" s="740"/>
    </row>
    <row r="1681" spans="1:15" ht="15" x14ac:dyDescent="0.35">
      <c r="A1681" s="702"/>
      <c r="B1681" s="2142" t="s">
        <v>1339</v>
      </c>
      <c r="C1681" s="2143"/>
      <c r="D1681" s="683" t="s">
        <v>14</v>
      </c>
      <c r="F1681" s="2144" t="s">
        <v>1350</v>
      </c>
      <c r="G1681" s="2145"/>
      <c r="H1681" s="2146"/>
      <c r="I1681" s="683" t="s">
        <v>14</v>
      </c>
      <c r="J1681" s="620"/>
      <c r="K1681" s="2147" t="s">
        <v>1092</v>
      </c>
      <c r="L1681" s="2148"/>
      <c r="M1681" s="684" t="s">
        <v>14</v>
      </c>
      <c r="N1681" s="646"/>
      <c r="O1681" s="740"/>
    </row>
    <row r="1682" spans="1:15" ht="15" x14ac:dyDescent="0.35">
      <c r="A1682" s="702"/>
      <c r="B1682" s="2122" t="str">
        <f>B1660</f>
        <v xml:space="preserve"> 33 KV SIDE</v>
      </c>
      <c r="C1682" s="2123"/>
      <c r="D1682" s="689">
        <f>M1665</f>
        <v>0</v>
      </c>
      <c r="F1682" s="2124" t="s">
        <v>1093</v>
      </c>
      <c r="G1682" s="2125"/>
      <c r="H1682" s="2126"/>
      <c r="I1682" s="685">
        <f>L1674</f>
        <v>0</v>
      </c>
      <c r="J1682" s="620"/>
      <c r="K1682" s="2160" t="str">
        <f>F1683</f>
        <v>BIDDYUT BHABAN 33 KV NET IMPORT</v>
      </c>
      <c r="L1682" s="2161"/>
      <c r="M1682" s="687" t="e">
        <f>I1683</f>
        <v>#REF!</v>
      </c>
      <c r="N1682" s="646"/>
      <c r="O1682" s="740"/>
    </row>
    <row r="1683" spans="1:15" ht="15" x14ac:dyDescent="0.35">
      <c r="A1683" s="702"/>
      <c r="B1683" s="2122" t="e">
        <f>#REF!</f>
        <v>#REF!</v>
      </c>
      <c r="C1683" s="2123"/>
      <c r="D1683" s="741" t="e">
        <f>#REF!</f>
        <v>#REF!</v>
      </c>
      <c r="F1683" s="2124" t="s">
        <v>1560</v>
      </c>
      <c r="G1683" s="2125"/>
      <c r="H1683" s="2126"/>
      <c r="I1683" s="685" t="e">
        <f>D1686-I1682</f>
        <v>#REF!</v>
      </c>
      <c r="J1683" s="620"/>
      <c r="K1683" s="2162" t="s">
        <v>1561</v>
      </c>
      <c r="L1683" s="2163"/>
      <c r="M1683" s="685">
        <f>M1709</f>
        <v>0</v>
      </c>
      <c r="N1683" s="646"/>
      <c r="O1683" s="740"/>
    </row>
    <row r="1684" spans="1:15" ht="15" x14ac:dyDescent="0.35">
      <c r="A1684" s="702"/>
      <c r="B1684" s="2122" t="s">
        <v>1117</v>
      </c>
      <c r="C1684" s="2123"/>
      <c r="D1684" s="721"/>
      <c r="F1684" s="2124" t="s">
        <v>1089</v>
      </c>
      <c r="G1684" s="2125"/>
      <c r="H1684" s="2126"/>
      <c r="I1684" s="685" t="e">
        <f>I1682+I1683</f>
        <v>#REF!</v>
      </c>
      <c r="J1684" s="620"/>
      <c r="K1684" s="2127" t="s">
        <v>284</v>
      </c>
      <c r="L1684" s="2128"/>
      <c r="M1684" s="685" t="e">
        <f>M1682-M1683</f>
        <v>#REF!</v>
      </c>
      <c r="N1684" s="646"/>
      <c r="O1684" s="740"/>
    </row>
    <row r="1685" spans="1:15" ht="16" thickBot="1" x14ac:dyDescent="0.4">
      <c r="A1685" s="702"/>
      <c r="B1685" s="2122" t="s">
        <v>1118</v>
      </c>
      <c r="C1685" s="2123"/>
      <c r="D1685" s="722"/>
      <c r="F1685" s="2113" t="s">
        <v>1102</v>
      </c>
      <c r="G1685" s="2114"/>
      <c r="H1685" s="2115"/>
      <c r="I1685" s="690" t="e">
        <f>(D1686-I1684)/I1684</f>
        <v>#REF!</v>
      </c>
      <c r="J1685" s="620"/>
      <c r="K1685" s="2134" t="s">
        <v>285</v>
      </c>
      <c r="L1685" s="2135"/>
      <c r="M1685" s="688" t="e">
        <f>M1684/M1682</f>
        <v>#REF!</v>
      </c>
      <c r="N1685" s="646"/>
      <c r="O1685" s="740"/>
    </row>
    <row r="1686" spans="1:15" ht="15.5" thickBot="1" x14ac:dyDescent="0.4">
      <c r="A1686" s="702"/>
      <c r="B1686" s="2158" t="s">
        <v>1082</v>
      </c>
      <c r="C1686" s="2159"/>
      <c r="D1686" s="686" t="e">
        <f>SUM(D1682:D1684)</f>
        <v>#REF!</v>
      </c>
      <c r="F1686" s="810"/>
      <c r="G1686" s="620"/>
      <c r="H1686" s="620"/>
      <c r="I1686" s="620"/>
      <c r="J1686" s="620"/>
      <c r="K1686" s="702"/>
      <c r="L1686" s="620"/>
      <c r="M1686" s="620"/>
      <c r="N1686" s="646"/>
      <c r="O1686" s="740"/>
    </row>
    <row r="1687" spans="1:15" ht="15" x14ac:dyDescent="0.35">
      <c r="A1687" s="702"/>
      <c r="B1687" s="736"/>
      <c r="C1687" s="92"/>
      <c r="D1687" s="736"/>
      <c r="E1687" s="92"/>
      <c r="F1687" s="815"/>
      <c r="G1687" s="737"/>
      <c r="H1687" s="737"/>
      <c r="I1687" s="737"/>
      <c r="J1687" s="736"/>
      <c r="K1687" s="738"/>
      <c r="L1687" s="739"/>
      <c r="M1687" s="739"/>
      <c r="N1687" s="646"/>
      <c r="O1687" s="740"/>
    </row>
    <row r="1688" spans="1:15" x14ac:dyDescent="0.35">
      <c r="A1688" s="620"/>
      <c r="B1688" s="632"/>
      <c r="C1688" s="620"/>
      <c r="D1688" s="2014"/>
      <c r="E1688" s="620"/>
      <c r="F1688" s="810"/>
      <c r="G1688" s="620"/>
      <c r="H1688" s="620"/>
      <c r="I1688" s="620"/>
      <c r="J1688" s="620"/>
      <c r="K1688" s="702"/>
      <c r="L1688" s="620"/>
      <c r="M1688" s="620"/>
      <c r="N1688" s="620"/>
      <c r="O1688" s="620"/>
    </row>
    <row r="1689" spans="1:15" x14ac:dyDescent="0.35">
      <c r="A1689" s="620"/>
      <c r="B1689" s="632"/>
      <c r="C1689" s="620"/>
      <c r="D1689" s="2014"/>
      <c r="E1689" s="620"/>
      <c r="F1689" s="810"/>
      <c r="G1689" s="620"/>
      <c r="H1689" s="620"/>
      <c r="I1689" s="620"/>
      <c r="J1689" s="620"/>
      <c r="K1689" s="702"/>
      <c r="L1689" s="620"/>
      <c r="M1689" s="620"/>
      <c r="N1689" s="620"/>
      <c r="O1689" s="620"/>
    </row>
    <row r="1690" spans="1:15" ht="25" x14ac:dyDescent="0.35">
      <c r="A1690" s="2095" t="s">
        <v>1184</v>
      </c>
      <c r="B1690" s="2095"/>
      <c r="C1690" s="2095"/>
      <c r="D1690" s="2095"/>
      <c r="E1690" s="2095"/>
      <c r="F1690" s="2095"/>
      <c r="G1690" s="2095"/>
      <c r="H1690" s="2095"/>
      <c r="I1690" s="2095"/>
      <c r="J1690" s="2095"/>
      <c r="K1690" s="2095"/>
      <c r="L1690" s="2095"/>
      <c r="M1690" s="2095"/>
      <c r="N1690" s="2095"/>
      <c r="O1690" s="756" t="e">
        <f>$O$6</f>
        <v>#REF!</v>
      </c>
    </row>
    <row r="1691" spans="1:15" ht="15.5" x14ac:dyDescent="0.35">
      <c r="A1691" s="2096" t="s">
        <v>0</v>
      </c>
      <c r="B1691" s="2098" t="s">
        <v>1</v>
      </c>
      <c r="C1691" s="2100" t="s">
        <v>2</v>
      </c>
      <c r="D1691" s="2101"/>
      <c r="E1691" s="2102"/>
      <c r="F1691" s="2216" t="s">
        <v>3</v>
      </c>
      <c r="G1691" s="2100" t="s">
        <v>4</v>
      </c>
      <c r="H1691" s="2102"/>
      <c r="I1691" s="2085"/>
      <c r="J1691" s="2103" t="s">
        <v>5</v>
      </c>
      <c r="K1691" s="2100" t="s">
        <v>6</v>
      </c>
      <c r="L1691" s="2085"/>
      <c r="M1691" s="97" t="s">
        <v>32</v>
      </c>
      <c r="N1691" s="98"/>
      <c r="O1691" s="2084" t="s">
        <v>7</v>
      </c>
    </row>
    <row r="1692" spans="1:15" ht="15.5" x14ac:dyDescent="0.35">
      <c r="A1692" s="2097"/>
      <c r="B1692" s="2099"/>
      <c r="C1692" s="2086" t="s">
        <v>1108</v>
      </c>
      <c r="D1692" s="2087"/>
      <c r="E1692" s="87" t="s">
        <v>9</v>
      </c>
      <c r="F1692" s="2217"/>
      <c r="G1692" s="2">
        <f>'NORTH-1'!$G$8</f>
        <v>44774</v>
      </c>
      <c r="H1692" s="2">
        <f>'NORTH-1'!$H$8</f>
        <v>44805</v>
      </c>
      <c r="I1692" s="1" t="s">
        <v>10</v>
      </c>
      <c r="J1692" s="2097"/>
      <c r="K1692" s="1" t="s">
        <v>11</v>
      </c>
      <c r="L1692" s="1" t="s">
        <v>12</v>
      </c>
      <c r="M1692" s="617" t="s">
        <v>33</v>
      </c>
      <c r="N1692" s="76" t="s">
        <v>47</v>
      </c>
      <c r="O1692" s="2085"/>
    </row>
    <row r="1693" spans="1:15" ht="15.5" x14ac:dyDescent="0.35">
      <c r="A1693" s="3">
        <v>1</v>
      </c>
      <c r="B1693" s="88">
        <v>2</v>
      </c>
      <c r="C1693" s="2088">
        <v>4</v>
      </c>
      <c r="D1693" s="2089"/>
      <c r="E1693" s="88">
        <v>5</v>
      </c>
      <c r="F1693" s="803">
        <v>7</v>
      </c>
      <c r="G1693" s="3">
        <v>8</v>
      </c>
      <c r="H1693" s="3">
        <v>9</v>
      </c>
      <c r="I1693" s="3" t="s">
        <v>13</v>
      </c>
      <c r="J1693" s="3">
        <v>11</v>
      </c>
      <c r="K1693" s="3" t="s">
        <v>19</v>
      </c>
      <c r="L1693" s="3" t="s">
        <v>20</v>
      </c>
      <c r="M1693" s="3">
        <v>14</v>
      </c>
      <c r="N1693" s="77">
        <v>15</v>
      </c>
      <c r="O1693" s="3">
        <v>16</v>
      </c>
    </row>
    <row r="1694" spans="1:15" ht="15.5" x14ac:dyDescent="0.35">
      <c r="A1694" s="631"/>
      <c r="B1694" s="624" t="s">
        <v>1562</v>
      </c>
      <c r="C1694" s="625"/>
      <c r="D1694" s="695"/>
      <c r="E1694" s="625"/>
      <c r="F1694" s="804"/>
      <c r="G1694" s="625"/>
      <c r="H1694" s="625"/>
      <c r="I1694" s="625"/>
      <c r="J1694" s="625"/>
      <c r="K1694" s="695"/>
      <c r="L1694" s="625"/>
      <c r="M1694" s="626"/>
      <c r="N1694" s="627"/>
      <c r="O1694" s="616"/>
    </row>
    <row r="1695" spans="1:15" ht="15.5" x14ac:dyDescent="0.35">
      <c r="A1695" s="631">
        <v>9</v>
      </c>
      <c r="B1695" s="100" t="s">
        <v>3937</v>
      </c>
      <c r="C1695" s="52" t="s">
        <v>3872</v>
      </c>
      <c r="D1695" s="2105"/>
      <c r="E1695" s="52" t="s">
        <v>4474</v>
      </c>
      <c r="F1695" s="812">
        <v>1</v>
      </c>
      <c r="G1695" s="21">
        <v>94471.73</v>
      </c>
      <c r="H1695" s="21">
        <v>100621.9</v>
      </c>
      <c r="I1695" s="21">
        <f>H1695-G1695</f>
        <v>6150.1699999999983</v>
      </c>
      <c r="J1695" s="616">
        <v>240</v>
      </c>
      <c r="K1695" s="696">
        <f>F1695*I1695*J1695</f>
        <v>1476040.7999999996</v>
      </c>
      <c r="L1695" s="22"/>
      <c r="M1695" s="22"/>
      <c r="N1695" s="82"/>
      <c r="O1695" s="616"/>
    </row>
    <row r="1696" spans="1:15" ht="15.5" x14ac:dyDescent="0.35">
      <c r="A1696" s="631">
        <v>10</v>
      </c>
      <c r="B1696" s="100" t="s">
        <v>3939</v>
      </c>
      <c r="C1696" s="52" t="s">
        <v>3872</v>
      </c>
      <c r="D1696" s="2151"/>
      <c r="E1696" s="52" t="s">
        <v>4475</v>
      </c>
      <c r="F1696" s="812">
        <v>1</v>
      </c>
      <c r="G1696" s="21">
        <v>72116.62</v>
      </c>
      <c r="H1696" s="21">
        <v>82870.2</v>
      </c>
      <c r="I1696" s="21">
        <f>H1696-G1696</f>
        <v>10753.580000000002</v>
      </c>
      <c r="J1696" s="616">
        <v>240</v>
      </c>
      <c r="K1696" s="696">
        <f>F1696*I1696*J1696</f>
        <v>2580859.2000000002</v>
      </c>
      <c r="L1696" s="22"/>
      <c r="M1696" s="22"/>
      <c r="N1696" s="82"/>
      <c r="O1696" s="616"/>
    </row>
    <row r="1697" spans="1:15" ht="15.5" x14ac:dyDescent="0.35">
      <c r="A1697" s="631"/>
      <c r="B1697" s="102"/>
      <c r="C1697" s="91"/>
      <c r="D1697" s="726"/>
      <c r="E1697" s="91"/>
      <c r="F1697" s="814"/>
      <c r="G1697" s="48"/>
      <c r="H1697" s="48"/>
      <c r="I1697" s="48"/>
      <c r="J1697" s="39" t="s">
        <v>30</v>
      </c>
      <c r="K1697" s="708">
        <f>SUM(K1695:K1696)</f>
        <v>4056900</v>
      </c>
      <c r="L1697" s="49"/>
      <c r="M1697" s="43">
        <f>SUM(M1695:M1696)</f>
        <v>0</v>
      </c>
      <c r="N1697" s="85"/>
      <c r="O1697" s="616"/>
    </row>
    <row r="1698" spans="1:15" ht="15.5" x14ac:dyDescent="0.35">
      <c r="A1698" s="631"/>
      <c r="B1698" s="647" t="s">
        <v>1562</v>
      </c>
      <c r="C1698" s="648"/>
      <c r="D1698" s="700"/>
      <c r="E1698" s="648"/>
      <c r="F1698" s="807"/>
      <c r="G1698" s="648"/>
      <c r="H1698" s="648"/>
      <c r="I1698" s="648"/>
      <c r="J1698" s="50"/>
      <c r="K1698" s="710"/>
      <c r="L1698" s="51"/>
      <c r="M1698" s="51"/>
      <c r="N1698" s="649"/>
      <c r="O1698" s="616"/>
    </row>
    <row r="1699" spans="1:15" ht="31" x14ac:dyDescent="0.35">
      <c r="A1699" s="631">
        <v>6</v>
      </c>
      <c r="B1699" s="100" t="s">
        <v>4476</v>
      </c>
      <c r="C1699" s="73" t="s">
        <v>3872</v>
      </c>
      <c r="D1699" s="1768"/>
      <c r="E1699" s="52" t="s">
        <v>4477</v>
      </c>
      <c r="F1699" s="812">
        <v>1</v>
      </c>
      <c r="G1699" s="6">
        <v>18385.53</v>
      </c>
      <c r="H1699" s="6">
        <v>24335.24</v>
      </c>
      <c r="I1699" s="20">
        <f t="shared" ref="I1699:I1708" si="55">H1699-G1699</f>
        <v>5949.7100000000028</v>
      </c>
      <c r="J1699" s="616">
        <v>60</v>
      </c>
      <c r="K1699" s="703"/>
      <c r="L1699" s="22">
        <f>F1699*I1699*J1699</f>
        <v>356982.60000000015</v>
      </c>
      <c r="M1699" s="22"/>
      <c r="N1699" s="72" t="s">
        <v>111</v>
      </c>
      <c r="O1699" s="15"/>
    </row>
    <row r="1700" spans="1:15" ht="31" x14ac:dyDescent="0.35">
      <c r="A1700" s="631"/>
      <c r="B1700" s="100" t="s">
        <v>4478</v>
      </c>
      <c r="C1700" s="73" t="s">
        <v>3872</v>
      </c>
      <c r="D1700" s="1769"/>
      <c r="E1700" s="52" t="s">
        <v>4479</v>
      </c>
      <c r="F1700" s="812">
        <v>1</v>
      </c>
      <c r="G1700" s="6">
        <v>54762.91</v>
      </c>
      <c r="H1700" s="6">
        <v>56181.8</v>
      </c>
      <c r="I1700" s="20">
        <f t="shared" si="55"/>
        <v>1418.8899999999994</v>
      </c>
      <c r="J1700" s="616">
        <v>60</v>
      </c>
      <c r="K1700" s="703"/>
      <c r="L1700" s="22">
        <f>F1700*I1700*J1700</f>
        <v>85133.399999999965</v>
      </c>
      <c r="M1700" s="22"/>
      <c r="N1700" s="72" t="s">
        <v>111</v>
      </c>
      <c r="O1700" s="15"/>
    </row>
    <row r="1701" spans="1:15" ht="31" x14ac:dyDescent="0.35">
      <c r="A1701" s="631">
        <v>7</v>
      </c>
      <c r="B1701" s="100" t="s">
        <v>4480</v>
      </c>
      <c r="C1701" s="73" t="s">
        <v>3872</v>
      </c>
      <c r="D1701" s="1769"/>
      <c r="E1701" s="52" t="s">
        <v>4481</v>
      </c>
      <c r="F1701" s="812">
        <v>1</v>
      </c>
      <c r="G1701" s="6">
        <v>5222.93</v>
      </c>
      <c r="H1701" s="6">
        <v>9539.67</v>
      </c>
      <c r="I1701" s="20">
        <f t="shared" si="55"/>
        <v>4316.74</v>
      </c>
      <c r="J1701" s="616">
        <v>60</v>
      </c>
      <c r="K1701" s="703"/>
      <c r="L1701" s="22">
        <f>F1701*I1701*J1701</f>
        <v>259004.4</v>
      </c>
      <c r="M1701" s="22"/>
      <c r="N1701" s="72" t="s">
        <v>111</v>
      </c>
      <c r="O1701" s="15"/>
    </row>
    <row r="1702" spans="1:15" ht="31" x14ac:dyDescent="0.35">
      <c r="A1702" s="631">
        <v>8</v>
      </c>
      <c r="B1702" s="100" t="s">
        <v>4482</v>
      </c>
      <c r="C1702" s="73" t="s">
        <v>3872</v>
      </c>
      <c r="D1702" s="1769"/>
      <c r="E1702" s="52" t="s">
        <v>4483</v>
      </c>
      <c r="F1702" s="812">
        <v>1</v>
      </c>
      <c r="G1702" s="6">
        <v>88893.31</v>
      </c>
      <c r="H1702" s="6">
        <v>101745.26</v>
      </c>
      <c r="I1702" s="20">
        <f t="shared" si="55"/>
        <v>12851.949999999997</v>
      </c>
      <c r="J1702" s="616">
        <v>60</v>
      </c>
      <c r="K1702" s="703"/>
      <c r="L1702" s="22">
        <f>F1702*I1702*J1702</f>
        <v>771116.99999999977</v>
      </c>
      <c r="M1702" s="22"/>
      <c r="N1702" s="72" t="s">
        <v>111</v>
      </c>
      <c r="O1702" s="15"/>
    </row>
    <row r="1703" spans="1:15" ht="31" x14ac:dyDescent="0.35">
      <c r="A1703" s="631">
        <v>11</v>
      </c>
      <c r="B1703" s="100" t="s">
        <v>4484</v>
      </c>
      <c r="C1703" s="73" t="s">
        <v>3872</v>
      </c>
      <c r="D1703" s="1769"/>
      <c r="E1703" s="52" t="s">
        <v>4485</v>
      </c>
      <c r="F1703" s="812">
        <v>1</v>
      </c>
      <c r="G1703" s="6">
        <v>13859.98</v>
      </c>
      <c r="H1703" s="6">
        <v>21249.03</v>
      </c>
      <c r="I1703" s="20">
        <f t="shared" si="55"/>
        <v>7389.0499999999993</v>
      </c>
      <c r="J1703" s="616">
        <v>60</v>
      </c>
      <c r="K1703" s="703"/>
      <c r="L1703" s="22">
        <f t="shared" ref="L1703:L1708" si="56">F1703*I1703*J1703</f>
        <v>443342.99999999994</v>
      </c>
      <c r="M1703" s="22"/>
      <c r="N1703" s="72" t="s">
        <v>111</v>
      </c>
      <c r="O1703" s="15"/>
    </row>
    <row r="1704" spans="1:15" ht="31" x14ac:dyDescent="0.35">
      <c r="A1704" s="631">
        <v>12</v>
      </c>
      <c r="B1704" s="100" t="s">
        <v>4486</v>
      </c>
      <c r="C1704" s="73" t="s">
        <v>3872</v>
      </c>
      <c r="D1704" s="1769"/>
      <c r="E1704" s="52" t="s">
        <v>4487</v>
      </c>
      <c r="F1704" s="812">
        <v>1</v>
      </c>
      <c r="G1704" s="6">
        <v>3034.16</v>
      </c>
      <c r="H1704" s="6">
        <v>7196.7</v>
      </c>
      <c r="I1704" s="20">
        <f t="shared" si="55"/>
        <v>4162.54</v>
      </c>
      <c r="J1704" s="616">
        <v>60</v>
      </c>
      <c r="K1704" s="703"/>
      <c r="L1704" s="22">
        <f t="shared" si="56"/>
        <v>249752.4</v>
      </c>
      <c r="M1704" s="22"/>
      <c r="N1704" s="72" t="s">
        <v>111</v>
      </c>
      <c r="O1704" s="15"/>
    </row>
    <row r="1705" spans="1:15" ht="31" x14ac:dyDescent="0.35">
      <c r="A1705" s="631">
        <v>13</v>
      </c>
      <c r="B1705" s="100" t="s">
        <v>4488</v>
      </c>
      <c r="C1705" s="73" t="s">
        <v>3872</v>
      </c>
      <c r="D1705" s="1769"/>
      <c r="E1705" s="52" t="s">
        <v>4489</v>
      </c>
      <c r="F1705" s="812">
        <v>1</v>
      </c>
      <c r="G1705" s="6">
        <v>44701.59</v>
      </c>
      <c r="H1705" s="6">
        <v>53156.78</v>
      </c>
      <c r="I1705" s="20">
        <f t="shared" si="55"/>
        <v>8455.1900000000023</v>
      </c>
      <c r="J1705" s="616">
        <v>60</v>
      </c>
      <c r="K1705" s="703"/>
      <c r="L1705" s="22">
        <f t="shared" si="56"/>
        <v>507311.40000000014</v>
      </c>
      <c r="M1705" s="22"/>
      <c r="N1705" s="72" t="s">
        <v>111</v>
      </c>
      <c r="O1705" s="15"/>
    </row>
    <row r="1706" spans="1:15" ht="31" x14ac:dyDescent="0.35">
      <c r="A1706" s="631">
        <v>14</v>
      </c>
      <c r="B1706" s="100" t="s">
        <v>4490</v>
      </c>
      <c r="C1706" s="73" t="s">
        <v>3872</v>
      </c>
      <c r="D1706" s="1769"/>
      <c r="E1706" s="52" t="s">
        <v>4491</v>
      </c>
      <c r="F1706" s="812">
        <v>1</v>
      </c>
      <c r="G1706" s="6">
        <v>12222.78</v>
      </c>
      <c r="H1706" s="6">
        <v>15857.61</v>
      </c>
      <c r="I1706" s="20">
        <f t="shared" si="55"/>
        <v>3634.83</v>
      </c>
      <c r="J1706" s="616">
        <v>60</v>
      </c>
      <c r="K1706" s="703"/>
      <c r="L1706" s="22">
        <f t="shared" si="56"/>
        <v>218089.8</v>
      </c>
      <c r="M1706" s="22"/>
      <c r="N1706" s="72" t="s">
        <v>111</v>
      </c>
      <c r="O1706" s="15"/>
    </row>
    <row r="1707" spans="1:15" ht="31" x14ac:dyDescent="0.35">
      <c r="A1707" s="631">
        <v>15</v>
      </c>
      <c r="B1707" s="100" t="s">
        <v>4492</v>
      </c>
      <c r="C1707" s="73" t="s">
        <v>3872</v>
      </c>
      <c r="D1707" s="1769"/>
      <c r="E1707" s="52" t="s">
        <v>4491</v>
      </c>
      <c r="F1707" s="812">
        <v>1</v>
      </c>
      <c r="G1707" s="6">
        <v>13343.78</v>
      </c>
      <c r="H1707" s="6">
        <v>32619.82</v>
      </c>
      <c r="I1707" s="20">
        <f t="shared" si="55"/>
        <v>19276.04</v>
      </c>
      <c r="J1707" s="616">
        <v>60</v>
      </c>
      <c r="K1707" s="703"/>
      <c r="L1707" s="22">
        <f t="shared" si="56"/>
        <v>1156562.4000000001</v>
      </c>
      <c r="M1707" s="22"/>
      <c r="N1707" s="72" t="s">
        <v>109</v>
      </c>
      <c r="O1707" s="15"/>
    </row>
    <row r="1708" spans="1:15" ht="31" x14ac:dyDescent="0.35">
      <c r="A1708" s="631">
        <v>16</v>
      </c>
      <c r="B1708" s="100" t="s">
        <v>4493</v>
      </c>
      <c r="C1708" s="73" t="s">
        <v>3867</v>
      </c>
      <c r="D1708" s="1769"/>
      <c r="E1708" s="52" t="s">
        <v>4494</v>
      </c>
      <c r="F1708" s="812">
        <v>1</v>
      </c>
      <c r="G1708" s="6">
        <v>299398</v>
      </c>
      <c r="H1708" s="6">
        <v>305146</v>
      </c>
      <c r="I1708" s="20">
        <f t="shared" si="55"/>
        <v>5748</v>
      </c>
      <c r="J1708" s="616">
        <v>1</v>
      </c>
      <c r="K1708" s="703"/>
      <c r="L1708" s="22">
        <f t="shared" si="56"/>
        <v>5748</v>
      </c>
      <c r="M1708" s="22"/>
      <c r="N1708" s="72" t="s">
        <v>111</v>
      </c>
      <c r="O1708" s="15"/>
    </row>
    <row r="1709" spans="1:15" ht="20" x14ac:dyDescent="0.35">
      <c r="A1709" s="636"/>
      <c r="B1709" s="96"/>
      <c r="C1709" s="90"/>
      <c r="D1709" s="96"/>
      <c r="E1709" s="90"/>
      <c r="F1709" s="813"/>
      <c r="G1709" s="38"/>
      <c r="H1709" s="38"/>
      <c r="I1709" s="38"/>
      <c r="J1709" s="53" t="s">
        <v>44</v>
      </c>
      <c r="K1709" s="43">
        <f>K1697</f>
        <v>4056900</v>
      </c>
      <c r="L1709" s="43">
        <f>SUM(L1699:L1708)</f>
        <v>4053044.4000000004</v>
      </c>
      <c r="M1709" s="43">
        <f>SUM(M1699:M1708)</f>
        <v>0</v>
      </c>
      <c r="N1709" s="84">
        <f>(M1709-L1709)/L1709*100</f>
        <v>-100</v>
      </c>
      <c r="O1709" s="29"/>
    </row>
    <row r="1711" spans="1:15" ht="15" x14ac:dyDescent="0.35">
      <c r="A1711" s="620"/>
      <c r="B1711" s="635"/>
      <c r="C1711" s="632"/>
      <c r="D1711" s="1900"/>
      <c r="F1711" s="2092" t="s">
        <v>1099</v>
      </c>
      <c r="G1711" s="2092"/>
      <c r="H1711" s="2092"/>
      <c r="I1711" s="677" t="s">
        <v>14</v>
      </c>
      <c r="J1711" s="620"/>
      <c r="K1711" s="702"/>
      <c r="L1711" s="620"/>
      <c r="M1711" s="620"/>
      <c r="N1711" s="632"/>
      <c r="O1711" s="620"/>
    </row>
    <row r="1712" spans="1:15" ht="15.5" x14ac:dyDescent="0.35">
      <c r="A1712" s="620"/>
      <c r="B1712" s="635"/>
      <c r="C1712" s="632"/>
      <c r="D1712" s="1900"/>
      <c r="F1712" s="2153" t="s">
        <v>232</v>
      </c>
      <c r="G1712" s="2154"/>
      <c r="H1712" s="2155"/>
      <c r="I1712" s="643">
        <f>SUM(M1699:M1700,M1703)</f>
        <v>0</v>
      </c>
      <c r="J1712" s="620"/>
      <c r="K1712" s="702"/>
      <c r="L1712" s="620"/>
      <c r="M1712" s="620"/>
      <c r="N1712" s="632"/>
      <c r="O1712" s="620" t="s">
        <v>237</v>
      </c>
    </row>
    <row r="1713" spans="1:15" ht="15.5" x14ac:dyDescent="0.35">
      <c r="A1713" s="620"/>
      <c r="B1713" s="635"/>
      <c r="C1713" s="632"/>
      <c r="D1713" s="1900"/>
      <c r="F1713" s="2153" t="s">
        <v>268</v>
      </c>
      <c r="G1713" s="2154"/>
      <c r="H1713" s="2155"/>
      <c r="I1713" s="643" t="e">
        <f>SUM(M1701:M1702,M1704,M1706,M1707,#REF!)</f>
        <v>#REF!</v>
      </c>
      <c r="J1713" s="620"/>
      <c r="K1713" s="702"/>
      <c r="L1713" s="620"/>
      <c r="M1713" s="620"/>
      <c r="N1713" s="632"/>
      <c r="O1713" s="620"/>
    </row>
    <row r="1714" spans="1:15" ht="16" thickBot="1" x14ac:dyDescent="0.4">
      <c r="A1714" s="620"/>
      <c r="B1714" s="635"/>
      <c r="C1714" s="632"/>
      <c r="D1714" s="1900"/>
      <c r="F1714" s="2153" t="s">
        <v>269</v>
      </c>
      <c r="G1714" s="2154"/>
      <c r="H1714" s="2155"/>
      <c r="I1714" s="643">
        <f>SUM(M1705,M1708)</f>
        <v>0</v>
      </c>
      <c r="J1714" s="620"/>
      <c r="K1714" s="702"/>
      <c r="L1714" s="620"/>
      <c r="M1714" s="620"/>
      <c r="N1714" s="632"/>
      <c r="O1714" s="620"/>
    </row>
    <row r="1715" spans="1:15" ht="20.5" thickBot="1" x14ac:dyDescent="0.4">
      <c r="A1715" s="620"/>
      <c r="B1715" s="635"/>
      <c r="C1715" s="632"/>
      <c r="D1715" s="1900"/>
      <c r="E1715" s="632"/>
      <c r="F1715" s="2156" t="s">
        <v>210</v>
      </c>
      <c r="G1715" s="2156"/>
      <c r="H1715" s="2156"/>
      <c r="I1715" s="656" t="e">
        <f>SUM(I1712:I1714)</f>
        <v>#REF!</v>
      </c>
      <c r="J1715" s="682" t="e">
        <f>I1715-M1709</f>
        <v>#REF!</v>
      </c>
      <c r="K1715" s="702"/>
      <c r="L1715" s="620"/>
      <c r="M1715" s="620"/>
      <c r="N1715" s="632"/>
      <c r="O1715" s="620"/>
    </row>
    <row r="1716" spans="1:15" x14ac:dyDescent="0.35">
      <c r="A1716" s="620"/>
      <c r="B1716" s="635"/>
      <c r="C1716" s="632"/>
      <c r="D1716" s="1900"/>
      <c r="E1716" s="632"/>
      <c r="F1716" s="810"/>
      <c r="G1716" s="620"/>
      <c r="H1716" s="620"/>
      <c r="I1716" s="620"/>
      <c r="J1716" s="620"/>
      <c r="K1716" s="702"/>
      <c r="L1716" s="620"/>
      <c r="M1716" s="620"/>
      <c r="N1716" s="632"/>
      <c r="O1716" s="620"/>
    </row>
    <row r="1717" spans="1:15" x14ac:dyDescent="0.35">
      <c r="A1717" s="620"/>
      <c r="B1717" s="635"/>
      <c r="C1717" s="632"/>
      <c r="D1717" s="1900"/>
      <c r="E1717" s="632"/>
      <c r="F1717" s="810"/>
      <c r="G1717" s="620"/>
      <c r="H1717" s="620"/>
      <c r="I1717" s="620"/>
      <c r="J1717" s="620"/>
      <c r="K1717" s="702"/>
      <c r="L1717" s="620"/>
      <c r="M1717" s="620"/>
      <c r="N1717" s="632"/>
      <c r="O1717" s="620"/>
    </row>
    <row r="1718" spans="1:15" x14ac:dyDescent="0.35">
      <c r="A1718" s="620"/>
      <c r="B1718" s="635"/>
      <c r="C1718" s="632"/>
      <c r="D1718" s="1900"/>
      <c r="E1718" s="632"/>
      <c r="F1718" s="810"/>
      <c r="G1718" s="620"/>
      <c r="H1718" s="620"/>
      <c r="I1718" s="620"/>
      <c r="J1718" s="620"/>
      <c r="K1718" s="702"/>
      <c r="L1718" s="620"/>
      <c r="M1718" s="620"/>
      <c r="N1718" s="632"/>
      <c r="O1718" s="620"/>
    </row>
    <row r="1719" spans="1:15" x14ac:dyDescent="0.35">
      <c r="A1719" s="620"/>
      <c r="B1719" s="635"/>
      <c r="C1719" s="632"/>
      <c r="D1719" s="1900"/>
      <c r="E1719" s="632"/>
      <c r="F1719" s="810"/>
      <c r="G1719" s="620"/>
      <c r="H1719" s="620"/>
      <c r="I1719" s="620"/>
      <c r="J1719" s="620"/>
      <c r="K1719" s="702"/>
      <c r="L1719" s="620"/>
      <c r="M1719" s="620"/>
      <c r="N1719" s="632"/>
      <c r="O1719" s="620"/>
    </row>
    <row r="1720" spans="1:15" x14ac:dyDescent="0.35">
      <c r="A1720" s="620"/>
      <c r="B1720" s="635"/>
      <c r="C1720" s="632"/>
      <c r="D1720" s="1900"/>
      <c r="E1720" s="632"/>
      <c r="F1720" s="810"/>
      <c r="G1720" s="620"/>
      <c r="H1720" s="620"/>
      <c r="I1720" s="620"/>
      <c r="J1720" s="620"/>
      <c r="K1720" s="702"/>
      <c r="L1720" s="620"/>
      <c r="M1720" s="620"/>
      <c r="N1720" s="632"/>
      <c r="O1720" s="620"/>
    </row>
    <row r="1721" spans="1:15" x14ac:dyDescent="0.35">
      <c r="A1721" s="620"/>
      <c r="B1721" s="632"/>
      <c r="C1721" s="632"/>
      <c r="D1721" s="1900"/>
      <c r="E1721" s="632"/>
      <c r="F1721" s="810"/>
      <c r="G1721" s="620"/>
      <c r="H1721" s="620"/>
      <c r="I1721" s="620"/>
      <c r="J1721" s="620"/>
      <c r="K1721" s="702"/>
      <c r="L1721" s="620"/>
      <c r="M1721" s="620"/>
      <c r="N1721" s="632"/>
      <c r="O1721" s="620"/>
    </row>
    <row r="1722" spans="1:15" x14ac:dyDescent="0.35">
      <c r="A1722" s="620"/>
      <c r="B1722" s="632"/>
      <c r="C1722" s="632"/>
      <c r="D1722" s="1900"/>
      <c r="E1722" s="632"/>
      <c r="F1722" s="810"/>
      <c r="G1722" s="620"/>
      <c r="H1722" s="620"/>
      <c r="I1722" s="620"/>
      <c r="J1722" s="620"/>
      <c r="K1722" s="702"/>
      <c r="L1722" s="620"/>
      <c r="M1722" s="620"/>
      <c r="N1722" s="632"/>
      <c r="O1722" s="620"/>
    </row>
    <row r="1723" spans="1:15" x14ac:dyDescent="0.35">
      <c r="A1723" s="620"/>
      <c r="B1723" s="635"/>
      <c r="C1723" s="632"/>
      <c r="D1723" s="1900"/>
      <c r="E1723" s="632"/>
      <c r="F1723" s="810"/>
      <c r="G1723" s="620"/>
      <c r="H1723" s="620"/>
      <c r="I1723" s="620"/>
      <c r="J1723" s="620"/>
      <c r="K1723" s="702"/>
      <c r="L1723" s="620"/>
      <c r="M1723" s="620"/>
      <c r="N1723" s="632"/>
      <c r="O1723" s="620"/>
    </row>
    <row r="1724" spans="1:15" x14ac:dyDescent="0.35">
      <c r="A1724" s="620"/>
      <c r="B1724" s="635"/>
      <c r="C1724" s="632"/>
      <c r="D1724" s="1900"/>
      <c r="E1724" s="632"/>
      <c r="F1724" s="810"/>
      <c r="G1724" s="620"/>
      <c r="H1724" s="620"/>
      <c r="I1724" s="620"/>
      <c r="J1724" s="620"/>
      <c r="K1724" s="702"/>
      <c r="L1724" s="620"/>
      <c r="M1724" s="620"/>
      <c r="N1724" s="632"/>
      <c r="O1724" s="620"/>
    </row>
    <row r="1725" spans="1:15" x14ac:dyDescent="0.35">
      <c r="A1725" s="620"/>
      <c r="B1725" s="635"/>
      <c r="C1725" s="632"/>
      <c r="D1725" s="1900"/>
      <c r="E1725" s="632"/>
      <c r="F1725" s="810"/>
      <c r="G1725" s="620"/>
      <c r="H1725" s="620"/>
      <c r="I1725" s="620"/>
      <c r="J1725" s="620"/>
      <c r="K1725" s="702"/>
      <c r="L1725" s="620"/>
      <c r="M1725" s="620"/>
      <c r="N1725" s="632"/>
      <c r="O1725" s="620"/>
    </row>
    <row r="1726" spans="1:15" ht="25" x14ac:dyDescent="0.35">
      <c r="A1726" s="28"/>
      <c r="B1726" s="2152"/>
      <c r="C1726" s="2152"/>
      <c r="D1726" s="2152"/>
      <c r="E1726" s="2152"/>
      <c r="F1726" s="2152"/>
      <c r="G1726" s="2152"/>
      <c r="H1726" s="2152"/>
      <c r="I1726" s="2152"/>
      <c r="J1726" s="2152"/>
      <c r="K1726" s="2152"/>
      <c r="L1726" s="2152"/>
      <c r="M1726" s="2152"/>
      <c r="N1726" s="632"/>
      <c r="O1726" s="620"/>
    </row>
    <row r="1727" spans="1:15" x14ac:dyDescent="0.35">
      <c r="A1727" s="620"/>
      <c r="B1727" s="635"/>
      <c r="C1727" s="632"/>
      <c r="D1727" s="1900"/>
      <c r="E1727" s="632"/>
      <c r="F1727" s="810"/>
      <c r="G1727" s="620"/>
      <c r="H1727" s="620"/>
      <c r="I1727" s="620"/>
      <c r="J1727" s="620"/>
      <c r="K1727" s="702"/>
      <c r="L1727" s="620"/>
      <c r="M1727" s="620"/>
      <c r="N1727" s="632"/>
      <c r="O1727" s="620"/>
    </row>
    <row r="1728" spans="1:15" x14ac:dyDescent="0.35">
      <c r="A1728" s="620"/>
      <c r="B1728" s="635"/>
      <c r="C1728" s="632"/>
      <c r="D1728" s="1900"/>
      <c r="E1728" s="632"/>
      <c r="F1728" s="810"/>
      <c r="G1728" s="620"/>
      <c r="H1728" s="620"/>
      <c r="I1728" s="620"/>
      <c r="J1728" s="620"/>
      <c r="K1728" s="702"/>
      <c r="L1728" s="620"/>
      <c r="M1728" s="620"/>
      <c r="N1728" s="632"/>
      <c r="O1728" s="620"/>
    </row>
    <row r="1729" spans="1:15" ht="25" x14ac:dyDescent="0.35">
      <c r="A1729" s="2095" t="s">
        <v>1563</v>
      </c>
      <c r="B1729" s="2095"/>
      <c r="C1729" s="2095"/>
      <c r="D1729" s="2095"/>
      <c r="E1729" s="2095"/>
      <c r="F1729" s="2095"/>
      <c r="G1729" s="2095"/>
      <c r="H1729" s="2095"/>
      <c r="I1729" s="2095"/>
      <c r="J1729" s="2095"/>
      <c r="K1729" s="2095"/>
      <c r="L1729" s="2095"/>
      <c r="M1729" s="2095"/>
      <c r="N1729" s="2095"/>
      <c r="O1729" s="756" t="e">
        <f>$O$6</f>
        <v>#REF!</v>
      </c>
    </row>
    <row r="1730" spans="1:15" ht="15.5" x14ac:dyDescent="0.35">
      <c r="A1730" s="2096" t="s">
        <v>0</v>
      </c>
      <c r="B1730" s="2098" t="s">
        <v>1</v>
      </c>
      <c r="C1730" s="2100" t="s">
        <v>2</v>
      </c>
      <c r="D1730" s="2101"/>
      <c r="E1730" s="2102"/>
      <c r="F1730" s="2216" t="s">
        <v>3</v>
      </c>
      <c r="G1730" s="2100" t="s">
        <v>4</v>
      </c>
      <c r="H1730" s="2102"/>
      <c r="I1730" s="2085"/>
      <c r="J1730" s="2103" t="s">
        <v>5</v>
      </c>
      <c r="K1730" s="2100" t="s">
        <v>6</v>
      </c>
      <c r="L1730" s="2085"/>
      <c r="M1730" s="97" t="s">
        <v>32</v>
      </c>
      <c r="N1730" s="98"/>
      <c r="O1730" s="2084" t="s">
        <v>7</v>
      </c>
    </row>
    <row r="1731" spans="1:15" ht="15.5" x14ac:dyDescent="0.35">
      <c r="A1731" s="2097"/>
      <c r="B1731" s="2099"/>
      <c r="C1731" s="2086" t="s">
        <v>1108</v>
      </c>
      <c r="D1731" s="2087"/>
      <c r="E1731" s="87" t="s">
        <v>9</v>
      </c>
      <c r="F1731" s="2217"/>
      <c r="G1731" s="2">
        <f>'NORTH-1'!$G$8</f>
        <v>44774</v>
      </c>
      <c r="H1731" s="2">
        <f>'NORTH-1'!$H$8</f>
        <v>44805</v>
      </c>
      <c r="I1731" s="1" t="s">
        <v>10</v>
      </c>
      <c r="J1731" s="2097"/>
      <c r="K1731" s="1" t="s">
        <v>11</v>
      </c>
      <c r="L1731" s="1" t="s">
        <v>12</v>
      </c>
      <c r="M1731" s="617" t="s">
        <v>33</v>
      </c>
      <c r="N1731" s="76" t="s">
        <v>47</v>
      </c>
      <c r="O1731" s="2085"/>
    </row>
    <row r="1732" spans="1:15" ht="15.5" x14ac:dyDescent="0.35">
      <c r="A1732" s="3">
        <v>1</v>
      </c>
      <c r="B1732" s="88">
        <v>2</v>
      </c>
      <c r="C1732" s="2088">
        <v>4</v>
      </c>
      <c r="D1732" s="2089"/>
      <c r="E1732" s="88">
        <v>5</v>
      </c>
      <c r="F1732" s="803">
        <v>7</v>
      </c>
      <c r="G1732" s="3">
        <v>8</v>
      </c>
      <c r="H1732" s="3">
        <v>9</v>
      </c>
      <c r="I1732" s="3" t="s">
        <v>13</v>
      </c>
      <c r="J1732" s="3">
        <v>11</v>
      </c>
      <c r="K1732" s="3" t="s">
        <v>19</v>
      </c>
      <c r="L1732" s="3" t="s">
        <v>20</v>
      </c>
      <c r="M1732" s="3">
        <v>14</v>
      </c>
      <c r="N1732" s="77">
        <v>15</v>
      </c>
      <c r="O1732" s="3">
        <v>16</v>
      </c>
    </row>
    <row r="1733" spans="1:15" ht="15.5" x14ac:dyDescent="0.35">
      <c r="A1733" s="631"/>
      <c r="B1733" s="624" t="s">
        <v>3437</v>
      </c>
      <c r="C1733" s="625"/>
      <c r="D1733" s="695"/>
      <c r="E1733" s="625"/>
      <c r="F1733" s="804"/>
      <c r="G1733" s="625"/>
      <c r="H1733" s="625"/>
      <c r="I1733" s="625"/>
      <c r="J1733" s="625"/>
      <c r="K1733" s="695"/>
      <c r="L1733" s="625"/>
      <c r="M1733" s="626"/>
      <c r="N1733" s="627"/>
      <c r="O1733" s="616"/>
    </row>
    <row r="1734" spans="1:15" ht="15.5" x14ac:dyDescent="0.35">
      <c r="A1734" s="11">
        <v>1</v>
      </c>
      <c r="B1734" s="100" t="s">
        <v>4495</v>
      </c>
      <c r="C1734" s="52" t="s">
        <v>3833</v>
      </c>
      <c r="D1734" s="818"/>
      <c r="E1734" s="52" t="s">
        <v>4496</v>
      </c>
      <c r="F1734" s="812">
        <v>1</v>
      </c>
      <c r="G1734" s="21">
        <v>58354020</v>
      </c>
      <c r="H1734" s="21">
        <v>60723540</v>
      </c>
      <c r="I1734" s="21">
        <f>H1734-G1734</f>
        <v>2369520</v>
      </c>
      <c r="J1734" s="616">
        <v>1</v>
      </c>
      <c r="K1734" s="696">
        <f>F1734*I1734*J1734</f>
        <v>2369520</v>
      </c>
      <c r="L1734" s="22"/>
      <c r="M1734" s="22"/>
      <c r="N1734" s="82"/>
      <c r="O1734" s="9"/>
    </row>
    <row r="1735" spans="1:15" ht="15.5" x14ac:dyDescent="0.35">
      <c r="A1735" s="11">
        <v>1</v>
      </c>
      <c r="B1735" s="100" t="s">
        <v>4497</v>
      </c>
      <c r="C1735" s="52" t="s">
        <v>3833</v>
      </c>
      <c r="D1735" s="1918"/>
      <c r="E1735" s="52" t="s">
        <v>4498</v>
      </c>
      <c r="F1735" s="812">
        <v>1</v>
      </c>
      <c r="G1735" s="21">
        <v>85553280</v>
      </c>
      <c r="H1735" s="21">
        <v>85553280</v>
      </c>
      <c r="I1735" s="21">
        <f>H1735-G1735</f>
        <v>0</v>
      </c>
      <c r="J1735" s="616">
        <v>1</v>
      </c>
      <c r="K1735" s="696">
        <f>F1735*I1735*J1735</f>
        <v>0</v>
      </c>
      <c r="L1735" s="22"/>
      <c r="M1735" s="22"/>
      <c r="N1735" s="82"/>
      <c r="O1735" s="9"/>
    </row>
    <row r="1736" spans="1:15" ht="15.5" x14ac:dyDescent="0.35">
      <c r="A1736" s="11">
        <v>3</v>
      </c>
      <c r="B1736" s="100" t="s">
        <v>4499</v>
      </c>
      <c r="C1736" s="52" t="s">
        <v>3833</v>
      </c>
      <c r="D1736" s="1918"/>
      <c r="E1736" s="52" t="s">
        <v>4500</v>
      </c>
      <c r="F1736" s="812">
        <v>1</v>
      </c>
      <c r="G1736" s="21"/>
      <c r="H1736" s="21"/>
      <c r="I1736" s="21">
        <f>H1736-G1736</f>
        <v>0</v>
      </c>
      <c r="J1736" s="616">
        <v>1</v>
      </c>
      <c r="K1736" s="696">
        <f>F1736*I1736*J1736</f>
        <v>0</v>
      </c>
      <c r="L1736" s="22"/>
      <c r="M1736" s="22"/>
      <c r="N1736" s="82"/>
      <c r="O1736" s="9"/>
    </row>
    <row r="1737" spans="1:15" ht="15.5" x14ac:dyDescent="0.35">
      <c r="A1737" s="631">
        <v>4</v>
      </c>
      <c r="B1737" s="100" t="s">
        <v>4501</v>
      </c>
      <c r="C1737" s="52" t="s">
        <v>3833</v>
      </c>
      <c r="D1737" s="1444"/>
      <c r="E1737" s="52" t="s">
        <v>4502</v>
      </c>
      <c r="F1737" s="812">
        <v>1</v>
      </c>
      <c r="G1737" s="21">
        <v>47381488</v>
      </c>
      <c r="H1737" s="21">
        <v>47381488</v>
      </c>
      <c r="I1737" s="21">
        <f>H1737-G1737</f>
        <v>0</v>
      </c>
      <c r="J1737" s="616">
        <v>1</v>
      </c>
      <c r="K1737" s="696">
        <f>F1737*I1737*J1737</f>
        <v>0</v>
      </c>
      <c r="L1737" s="22"/>
      <c r="M1737" s="22"/>
      <c r="N1737" s="82"/>
      <c r="O1737" s="616"/>
    </row>
    <row r="1738" spans="1:15" ht="15.5" x14ac:dyDescent="0.35">
      <c r="A1738" s="631"/>
      <c r="B1738" s="102"/>
      <c r="C1738" s="91"/>
      <c r="D1738" s="726"/>
      <c r="E1738" s="91"/>
      <c r="F1738" s="814"/>
      <c r="G1738" s="48"/>
      <c r="H1738" s="48"/>
      <c r="I1738" s="48"/>
      <c r="J1738" s="96" t="s">
        <v>30</v>
      </c>
      <c r="K1738" s="43">
        <f>SUM(K1734:K1737)</f>
        <v>2369520</v>
      </c>
      <c r="L1738" s="43">
        <f>SUM(L1734:L1737)</f>
        <v>0</v>
      </c>
      <c r="M1738" s="43">
        <f>SUM(M1734:M1737)</f>
        <v>0</v>
      </c>
      <c r="N1738" s="646"/>
      <c r="O1738" s="616"/>
    </row>
    <row r="1739" spans="1:15" ht="15.5" x14ac:dyDescent="0.35">
      <c r="A1739" s="616"/>
      <c r="B1739" s="624" t="s">
        <v>1564</v>
      </c>
      <c r="C1739" s="625"/>
      <c r="D1739" s="695"/>
      <c r="E1739" s="625"/>
      <c r="F1739" s="804"/>
      <c r="G1739" s="625"/>
      <c r="H1739" s="625"/>
      <c r="I1739" s="625"/>
      <c r="J1739" s="732"/>
      <c r="K1739" s="733"/>
      <c r="L1739" s="734"/>
      <c r="M1739" s="734"/>
      <c r="N1739" s="627"/>
      <c r="O1739" s="12"/>
    </row>
    <row r="1740" spans="1:15" ht="15.5" x14ac:dyDescent="0.35">
      <c r="A1740" s="616"/>
      <c r="B1740" s="100"/>
      <c r="C1740" s="52"/>
      <c r="D1740" s="2105"/>
      <c r="E1740" s="52"/>
      <c r="F1740" s="812"/>
      <c r="G1740" s="21"/>
      <c r="H1740" s="21"/>
      <c r="I1740" s="20"/>
      <c r="J1740" s="616"/>
      <c r="K1740" s="696"/>
      <c r="L1740" s="22"/>
      <c r="M1740" s="22"/>
      <c r="N1740" s="82"/>
      <c r="O1740" s="12"/>
    </row>
    <row r="1741" spans="1:15" ht="15.5" x14ac:dyDescent="0.35">
      <c r="A1741" s="616"/>
      <c r="B1741" s="100"/>
      <c r="C1741" s="52"/>
      <c r="D1741" s="2106"/>
      <c r="E1741" s="52"/>
      <c r="F1741" s="812"/>
      <c r="G1741" s="21"/>
      <c r="H1741" s="21"/>
      <c r="I1741" s="20"/>
      <c r="J1741" s="616"/>
      <c r="K1741" s="696"/>
      <c r="L1741" s="22"/>
      <c r="M1741" s="22"/>
      <c r="N1741" s="82"/>
      <c r="O1741" s="12"/>
    </row>
    <row r="1742" spans="1:15" ht="15.5" x14ac:dyDescent="0.35">
      <c r="A1742" s="616"/>
      <c r="B1742" s="100"/>
      <c r="C1742" s="52"/>
      <c r="D1742" s="2151"/>
      <c r="E1742" s="52"/>
      <c r="F1742" s="812"/>
      <c r="G1742" s="21"/>
      <c r="H1742" s="21"/>
      <c r="I1742" s="20"/>
      <c r="J1742" s="616"/>
      <c r="K1742" s="696"/>
      <c r="L1742" s="22"/>
      <c r="M1742" s="22"/>
      <c r="N1742" s="82"/>
      <c r="O1742" s="12"/>
    </row>
    <row r="1743" spans="1:15" ht="15.5" x14ac:dyDescent="0.35">
      <c r="A1743" s="616"/>
      <c r="B1743" s="102"/>
      <c r="C1743" s="91"/>
      <c r="D1743" s="726"/>
      <c r="E1743" s="91"/>
      <c r="F1743" s="814"/>
      <c r="G1743" s="48"/>
      <c r="H1743" s="48"/>
      <c r="I1743" s="36"/>
      <c r="J1743" s="96" t="s">
        <v>30</v>
      </c>
      <c r="K1743" s="43">
        <f>SUM(K1740:K1742)</f>
        <v>0</v>
      </c>
      <c r="L1743" s="43">
        <f>SUM(L1740:L1742)</f>
        <v>0</v>
      </c>
      <c r="M1743" s="43">
        <f>SUM(M1740:M1742)</f>
        <v>0</v>
      </c>
      <c r="N1743" s="85"/>
      <c r="O1743" s="12"/>
    </row>
    <row r="1744" spans="1:15" ht="15.5" x14ac:dyDescent="0.35">
      <c r="A1744" s="616"/>
      <c r="B1744" s="647" t="s">
        <v>1565</v>
      </c>
      <c r="C1744" s="648"/>
      <c r="D1744" s="700"/>
      <c r="E1744" s="648"/>
      <c r="F1744" s="807"/>
      <c r="G1744" s="648"/>
      <c r="H1744" s="648"/>
      <c r="I1744" s="648"/>
      <c r="J1744" s="648"/>
      <c r="K1744" s="700"/>
      <c r="L1744" s="648"/>
      <c r="M1744" s="651"/>
      <c r="N1744" s="649"/>
      <c r="O1744" s="8"/>
    </row>
    <row r="1745" spans="1:15" ht="15.5" x14ac:dyDescent="0.35">
      <c r="A1745" s="616"/>
      <c r="B1745" s="100" t="s">
        <v>1079</v>
      </c>
      <c r="C1745" s="52">
        <v>132</v>
      </c>
      <c r="D1745" s="2138" t="s">
        <v>1083</v>
      </c>
      <c r="E1745" s="615"/>
      <c r="F1745" s="812"/>
      <c r="G1745" s="5"/>
      <c r="H1745" s="5"/>
      <c r="I1745" s="5"/>
      <c r="J1745" s="616"/>
      <c r="K1745" s="696"/>
      <c r="L1745" s="16">
        <f>J1745*I1745*F1745</f>
        <v>0</v>
      </c>
      <c r="M1745" s="7"/>
      <c r="N1745" s="78"/>
      <c r="O1745" s="616"/>
    </row>
    <row r="1746" spans="1:15" ht="15.5" x14ac:dyDescent="0.35">
      <c r="A1746" s="616"/>
      <c r="B1746" s="100" t="s">
        <v>1078</v>
      </c>
      <c r="C1746" s="52">
        <v>132</v>
      </c>
      <c r="D1746" s="2139"/>
      <c r="E1746" s="615"/>
      <c r="F1746" s="812"/>
      <c r="G1746" s="5"/>
      <c r="H1746" s="5"/>
      <c r="I1746" s="5"/>
      <c r="J1746" s="616"/>
      <c r="K1746" s="696"/>
      <c r="L1746" s="16">
        <f>J1746*I1746*F1746</f>
        <v>0</v>
      </c>
      <c r="M1746" s="16"/>
      <c r="N1746" s="79"/>
      <c r="O1746" s="616"/>
    </row>
    <row r="1747" spans="1:15" ht="15.5" x14ac:dyDescent="0.35">
      <c r="A1747" s="616"/>
      <c r="B1747" s="95"/>
      <c r="C1747" s="89"/>
      <c r="D1747" s="1846"/>
      <c r="E1747" s="89"/>
      <c r="F1747" s="806"/>
      <c r="G1747" s="37"/>
      <c r="H1747" s="37"/>
      <c r="I1747" s="37"/>
      <c r="J1747" s="95" t="s">
        <v>279</v>
      </c>
      <c r="K1747" s="699"/>
      <c r="L1747" s="55">
        <f>SUM(L1745:L1746)</f>
        <v>0</v>
      </c>
      <c r="M1747" s="633"/>
      <c r="N1747" s="634"/>
      <c r="O1747" s="616"/>
    </row>
    <row r="1748" spans="1:15" ht="15.5" x14ac:dyDescent="0.35">
      <c r="A1748" s="616"/>
      <c r="B1748" s="102"/>
      <c r="C1748" s="91"/>
      <c r="D1748" s="726"/>
      <c r="E1748" s="91"/>
      <c r="F1748" s="814"/>
      <c r="G1748" s="48"/>
      <c r="H1748" s="48"/>
      <c r="I1748" s="36"/>
      <c r="J1748" s="96"/>
      <c r="K1748" s="706"/>
      <c r="L1748" s="43"/>
      <c r="M1748" s="43"/>
      <c r="N1748" s="85"/>
      <c r="O1748" s="12"/>
    </row>
    <row r="1749" spans="1:15" ht="15.5" x14ac:dyDescent="0.35">
      <c r="A1749" s="636"/>
      <c r="B1749" s="647" t="s">
        <v>1566</v>
      </c>
      <c r="C1749" s="648"/>
      <c r="D1749" s="700"/>
      <c r="E1749" s="648"/>
      <c r="F1749" s="807"/>
      <c r="G1749" s="648"/>
      <c r="H1749" s="648"/>
      <c r="I1749" s="648"/>
      <c r="J1749" s="50"/>
      <c r="K1749" s="710"/>
      <c r="L1749" s="51"/>
      <c r="M1749" s="51"/>
      <c r="N1749" s="649"/>
      <c r="O1749" s="12"/>
    </row>
    <row r="1750" spans="1:15" ht="15.5" x14ac:dyDescent="0.35">
      <c r="A1750" s="616"/>
      <c r="B1750" s="100" t="s">
        <v>4025</v>
      </c>
      <c r="C1750" s="52" t="s">
        <v>3833</v>
      </c>
      <c r="D1750" s="2140"/>
      <c r="E1750" s="52" t="s">
        <v>4503</v>
      </c>
      <c r="F1750" s="812">
        <v>1</v>
      </c>
      <c r="G1750" s="21">
        <v>102275760</v>
      </c>
      <c r="H1750" s="21">
        <v>104646480</v>
      </c>
      <c r="I1750" s="21">
        <f>H1750-G1750</f>
        <v>2370720</v>
      </c>
      <c r="J1750" s="31">
        <v>1</v>
      </c>
      <c r="K1750" s="707"/>
      <c r="L1750" s="22">
        <f>F1750*I1750*J1750</f>
        <v>2370720</v>
      </c>
      <c r="M1750" s="22"/>
      <c r="N1750" s="83"/>
      <c r="O1750" s="12"/>
    </row>
    <row r="1751" spans="1:15" ht="15.5" x14ac:dyDescent="0.35">
      <c r="A1751" s="616">
        <v>2</v>
      </c>
      <c r="B1751" s="100" t="s">
        <v>4027</v>
      </c>
      <c r="C1751" s="52" t="s">
        <v>3833</v>
      </c>
      <c r="D1751" s="2157"/>
      <c r="E1751" s="52" t="s">
        <v>4504</v>
      </c>
      <c r="F1751" s="812">
        <v>1</v>
      </c>
      <c r="G1751" s="21">
        <v>90180720</v>
      </c>
      <c r="H1751" s="21">
        <v>90180720</v>
      </c>
      <c r="I1751" s="21">
        <f>H1751-G1751</f>
        <v>0</v>
      </c>
      <c r="J1751" s="31">
        <v>1</v>
      </c>
      <c r="K1751" s="707"/>
      <c r="L1751" s="22">
        <f>F1751*I1751*J1751</f>
        <v>0</v>
      </c>
      <c r="M1751" s="22"/>
      <c r="N1751" s="83"/>
      <c r="O1751" s="12"/>
    </row>
    <row r="1752" spans="1:15" ht="15" x14ac:dyDescent="0.35">
      <c r="A1752" s="636"/>
      <c r="B1752" s="96"/>
      <c r="C1752" s="90"/>
      <c r="D1752" s="96"/>
      <c r="E1752" s="90"/>
      <c r="F1752" s="813"/>
      <c r="G1752" s="38"/>
      <c r="H1752" s="38"/>
      <c r="I1752" s="38"/>
      <c r="J1752" s="96" t="s">
        <v>30</v>
      </c>
      <c r="K1752" s="708"/>
      <c r="L1752" s="43">
        <f>SUM(L1750:L1751)</f>
        <v>2370720</v>
      </c>
      <c r="M1752" s="43">
        <f>SUM(M1750:M1751)</f>
        <v>0</v>
      </c>
      <c r="N1752" s="650">
        <f>(M1752-L1752)/L1752*100</f>
        <v>-100</v>
      </c>
      <c r="O1752" s="12"/>
    </row>
    <row r="1753" spans="1:15" ht="15.5" thickBot="1" x14ac:dyDescent="0.4">
      <c r="A1753" s="702"/>
      <c r="B1753" s="736"/>
      <c r="C1753" s="92"/>
      <c r="D1753" s="736"/>
      <c r="E1753" s="92"/>
      <c r="F1753" s="815"/>
      <c r="G1753" s="737"/>
      <c r="H1753" s="737"/>
      <c r="I1753" s="737"/>
      <c r="J1753" s="736"/>
      <c r="K1753" s="738"/>
      <c r="L1753" s="739"/>
      <c r="M1753" s="739"/>
      <c r="N1753" s="646"/>
      <c r="O1753" s="740"/>
    </row>
    <row r="1754" spans="1:15" ht="15" x14ac:dyDescent="0.35">
      <c r="A1754" s="702"/>
      <c r="B1754" s="2142" t="s">
        <v>1339</v>
      </c>
      <c r="C1754" s="2143"/>
      <c r="D1754" s="683" t="s">
        <v>14</v>
      </c>
      <c r="F1754" s="2144" t="s">
        <v>1350</v>
      </c>
      <c r="G1754" s="2145"/>
      <c r="H1754" s="2146"/>
      <c r="I1754" s="683" t="s">
        <v>14</v>
      </c>
      <c r="J1754" s="620"/>
      <c r="K1754" s="2147" t="s">
        <v>1092</v>
      </c>
      <c r="L1754" s="2148"/>
      <c r="M1754" s="684" t="s">
        <v>14</v>
      </c>
      <c r="N1754" s="646"/>
      <c r="O1754" s="740"/>
    </row>
    <row r="1755" spans="1:15" ht="15" x14ac:dyDescent="0.35">
      <c r="A1755" s="702"/>
      <c r="B1755" s="2122" t="str">
        <f>B1733</f>
        <v xml:space="preserve"> 33 KV SIDE</v>
      </c>
      <c r="C1755" s="2123"/>
      <c r="D1755" s="689">
        <f>M1738</f>
        <v>0</v>
      </c>
      <c r="F1755" s="2124" t="s">
        <v>1093</v>
      </c>
      <c r="G1755" s="2125"/>
      <c r="H1755" s="2126"/>
      <c r="I1755" s="685">
        <f>L1747</f>
        <v>0</v>
      </c>
      <c r="J1755" s="620"/>
      <c r="K1755" s="2160" t="str">
        <f>F1756</f>
        <v>DMCH 33 KV NET IMPORT</v>
      </c>
      <c r="L1755" s="2161"/>
      <c r="M1755" s="687" t="e">
        <f>I1756</f>
        <v>#REF!</v>
      </c>
      <c r="N1755" s="646"/>
      <c r="O1755" s="740"/>
    </row>
    <row r="1756" spans="1:15" ht="15" x14ac:dyDescent="0.35">
      <c r="A1756" s="702"/>
      <c r="B1756" s="2122" t="e">
        <f>#REF!</f>
        <v>#REF!</v>
      </c>
      <c r="C1756" s="2123"/>
      <c r="D1756" s="741" t="e">
        <f>#REF!</f>
        <v>#REF!</v>
      </c>
      <c r="F1756" s="2124" t="s">
        <v>1567</v>
      </c>
      <c r="G1756" s="2125"/>
      <c r="H1756" s="2126"/>
      <c r="I1756" s="685" t="e">
        <f>D1759-I1755</f>
        <v>#REF!</v>
      </c>
      <c r="J1756" s="620"/>
      <c r="K1756" s="2162" t="s">
        <v>1568</v>
      </c>
      <c r="L1756" s="2163"/>
      <c r="M1756" s="685">
        <f>M1790</f>
        <v>0</v>
      </c>
      <c r="N1756" s="646"/>
      <c r="O1756" s="740"/>
    </row>
    <row r="1757" spans="1:15" ht="15" x14ac:dyDescent="0.35">
      <c r="A1757" s="702"/>
      <c r="B1757" s="2122" t="s">
        <v>1117</v>
      </c>
      <c r="C1757" s="2123"/>
      <c r="D1757" s="721"/>
      <c r="F1757" s="2124" t="s">
        <v>1089</v>
      </c>
      <c r="G1757" s="2125"/>
      <c r="H1757" s="2126"/>
      <c r="I1757" s="685" t="e">
        <f>I1755+I1756</f>
        <v>#REF!</v>
      </c>
      <c r="J1757" s="620"/>
      <c r="K1757" s="2127" t="s">
        <v>284</v>
      </c>
      <c r="L1757" s="2128"/>
      <c r="M1757" s="685" t="e">
        <f>M1755-M1756</f>
        <v>#REF!</v>
      </c>
      <c r="N1757" s="646"/>
      <c r="O1757" s="740"/>
    </row>
    <row r="1758" spans="1:15" ht="16" thickBot="1" x14ac:dyDescent="0.4">
      <c r="A1758" s="702"/>
      <c r="B1758" s="2122" t="s">
        <v>1118</v>
      </c>
      <c r="C1758" s="2123"/>
      <c r="D1758" s="722"/>
      <c r="F1758" s="2113" t="s">
        <v>1102</v>
      </c>
      <c r="G1758" s="2114"/>
      <c r="H1758" s="2115"/>
      <c r="I1758" s="690" t="e">
        <f>(D1759-I1757)/I1757</f>
        <v>#REF!</v>
      </c>
      <c r="J1758" s="620"/>
      <c r="K1758" s="2134" t="s">
        <v>285</v>
      </c>
      <c r="L1758" s="2135"/>
      <c r="M1758" s="688" t="e">
        <f>M1757/M1755</f>
        <v>#REF!</v>
      </c>
      <c r="N1758" s="646"/>
      <c r="O1758" s="740"/>
    </row>
    <row r="1759" spans="1:15" ht="15.5" thickBot="1" x14ac:dyDescent="0.4">
      <c r="A1759" s="702"/>
      <c r="B1759" s="2158" t="s">
        <v>1082</v>
      </c>
      <c r="C1759" s="2159"/>
      <c r="D1759" s="686" t="e">
        <f>SUM(D1755:D1757)</f>
        <v>#REF!</v>
      </c>
      <c r="F1759" s="810"/>
      <c r="G1759" s="620"/>
      <c r="H1759" s="620"/>
      <c r="I1759" s="620"/>
      <c r="J1759" s="620"/>
      <c r="K1759" s="702"/>
      <c r="L1759" s="620"/>
      <c r="M1759" s="620"/>
      <c r="N1759" s="646"/>
      <c r="O1759" s="740"/>
    </row>
    <row r="1760" spans="1:15" ht="15" x14ac:dyDescent="0.35">
      <c r="A1760" s="702"/>
      <c r="B1760" s="736"/>
      <c r="C1760" s="92"/>
      <c r="D1760" s="736"/>
      <c r="E1760" s="92"/>
      <c r="F1760" s="815"/>
      <c r="G1760" s="737"/>
      <c r="H1760" s="737"/>
      <c r="I1760" s="737"/>
      <c r="J1760" s="736"/>
      <c r="K1760" s="738"/>
      <c r="L1760" s="739"/>
      <c r="M1760" s="739"/>
      <c r="N1760" s="646"/>
      <c r="O1760" s="740"/>
    </row>
    <row r="1761" spans="1:15" x14ac:dyDescent="0.35">
      <c r="A1761" s="620"/>
      <c r="B1761" s="632"/>
      <c r="C1761" s="620"/>
      <c r="D1761" s="2014"/>
      <c r="E1761" s="620"/>
      <c r="F1761" s="810"/>
      <c r="G1761" s="620"/>
      <c r="H1761" s="620"/>
      <c r="I1761" s="620"/>
      <c r="J1761" s="620"/>
      <c r="K1761" s="702"/>
      <c r="L1761" s="620"/>
      <c r="M1761" s="620"/>
      <c r="N1761" s="620"/>
      <c r="O1761" s="620"/>
    </row>
    <row r="1762" spans="1:15" x14ac:dyDescent="0.35">
      <c r="A1762" s="620"/>
      <c r="B1762" s="632"/>
      <c r="C1762" s="620"/>
      <c r="D1762" s="2014"/>
      <c r="E1762" s="620"/>
      <c r="F1762" s="810"/>
      <c r="G1762" s="620"/>
      <c r="H1762" s="620"/>
      <c r="I1762" s="620"/>
      <c r="J1762" s="620"/>
      <c r="K1762" s="702"/>
      <c r="L1762" s="620"/>
      <c r="M1762" s="620"/>
      <c r="N1762" s="620"/>
      <c r="O1762" s="620"/>
    </row>
    <row r="1763" spans="1:15" ht="25" x14ac:dyDescent="0.35">
      <c r="A1763" s="2095" t="s">
        <v>1185</v>
      </c>
      <c r="B1763" s="2095"/>
      <c r="C1763" s="2095"/>
      <c r="D1763" s="2095"/>
      <c r="E1763" s="2095"/>
      <c r="F1763" s="2095"/>
      <c r="G1763" s="2095"/>
      <c r="H1763" s="2095"/>
      <c r="I1763" s="2095"/>
      <c r="J1763" s="2095"/>
      <c r="K1763" s="2095"/>
      <c r="L1763" s="2095"/>
      <c r="M1763" s="2095"/>
      <c r="N1763" s="2095"/>
      <c r="O1763" s="756" t="e">
        <f>$O$6</f>
        <v>#REF!</v>
      </c>
    </row>
    <row r="1764" spans="1:15" ht="15.5" x14ac:dyDescent="0.35">
      <c r="A1764" s="2096" t="s">
        <v>0</v>
      </c>
      <c r="B1764" s="2098" t="s">
        <v>1</v>
      </c>
      <c r="C1764" s="2100" t="s">
        <v>2</v>
      </c>
      <c r="D1764" s="2101"/>
      <c r="E1764" s="2102"/>
      <c r="F1764" s="2216" t="s">
        <v>3</v>
      </c>
      <c r="G1764" s="2100" t="s">
        <v>4</v>
      </c>
      <c r="H1764" s="2102"/>
      <c r="I1764" s="2085"/>
      <c r="J1764" s="2103" t="s">
        <v>5</v>
      </c>
      <c r="K1764" s="2100" t="s">
        <v>6</v>
      </c>
      <c r="L1764" s="2085"/>
      <c r="M1764" s="97" t="s">
        <v>32</v>
      </c>
      <c r="N1764" s="98"/>
      <c r="O1764" s="2084" t="s">
        <v>7</v>
      </c>
    </row>
    <row r="1765" spans="1:15" ht="15.5" x14ac:dyDescent="0.35">
      <c r="A1765" s="2097"/>
      <c r="B1765" s="2099"/>
      <c r="C1765" s="2086" t="s">
        <v>1108</v>
      </c>
      <c r="D1765" s="2087"/>
      <c r="E1765" s="87" t="s">
        <v>9</v>
      </c>
      <c r="F1765" s="2217"/>
      <c r="G1765" s="2">
        <f>'NORTH-1'!$G$8</f>
        <v>44774</v>
      </c>
      <c r="H1765" s="2">
        <f>'NORTH-1'!$H$8</f>
        <v>44805</v>
      </c>
      <c r="I1765" s="1" t="s">
        <v>10</v>
      </c>
      <c r="J1765" s="2097"/>
      <c r="K1765" s="1" t="s">
        <v>11</v>
      </c>
      <c r="L1765" s="1" t="s">
        <v>12</v>
      </c>
      <c r="M1765" s="617" t="s">
        <v>33</v>
      </c>
      <c r="N1765" s="76" t="s">
        <v>47</v>
      </c>
      <c r="O1765" s="2085"/>
    </row>
    <row r="1766" spans="1:15" ht="15.5" x14ac:dyDescent="0.35">
      <c r="A1766" s="3">
        <v>1</v>
      </c>
      <c r="B1766" s="88">
        <v>2</v>
      </c>
      <c r="C1766" s="2088">
        <v>4</v>
      </c>
      <c r="D1766" s="2089"/>
      <c r="E1766" s="88">
        <v>5</v>
      </c>
      <c r="F1766" s="803">
        <v>7</v>
      </c>
      <c r="G1766" s="3">
        <v>8</v>
      </c>
      <c r="H1766" s="3">
        <v>9</v>
      </c>
      <c r="I1766" s="3" t="s">
        <v>13</v>
      </c>
      <c r="J1766" s="3">
        <v>11</v>
      </c>
      <c r="K1766" s="3" t="s">
        <v>19</v>
      </c>
      <c r="L1766" s="3" t="s">
        <v>20</v>
      </c>
      <c r="M1766" s="3">
        <v>14</v>
      </c>
      <c r="N1766" s="77">
        <v>15</v>
      </c>
      <c r="O1766" s="3">
        <v>16</v>
      </c>
    </row>
    <row r="1767" spans="1:15" ht="15.5" x14ac:dyDescent="0.35">
      <c r="A1767" s="631"/>
      <c r="B1767" s="624" t="s">
        <v>1569</v>
      </c>
      <c r="C1767" s="625"/>
      <c r="D1767" s="695"/>
      <c r="E1767" s="625"/>
      <c r="F1767" s="804"/>
      <c r="G1767" s="625"/>
      <c r="H1767" s="625"/>
      <c r="I1767" s="625"/>
      <c r="J1767" s="625"/>
      <c r="K1767" s="695"/>
      <c r="L1767" s="625"/>
      <c r="M1767" s="626"/>
      <c r="N1767" s="627"/>
      <c r="O1767" s="616"/>
    </row>
    <row r="1768" spans="1:15" ht="15.5" x14ac:dyDescent="0.35">
      <c r="A1768" s="631">
        <v>13</v>
      </c>
      <c r="B1768" s="100" t="s">
        <v>2102</v>
      </c>
      <c r="C1768" s="52" t="s">
        <v>3872</v>
      </c>
      <c r="D1768" s="2105"/>
      <c r="E1768" s="52" t="s">
        <v>4505</v>
      </c>
      <c r="F1768" s="812">
        <v>1</v>
      </c>
      <c r="G1768" s="21">
        <v>101252648</v>
      </c>
      <c r="H1768" s="21">
        <v>103601248</v>
      </c>
      <c r="I1768" s="21">
        <f>H1768-G1768</f>
        <v>2348600</v>
      </c>
      <c r="J1768" s="616">
        <v>1</v>
      </c>
      <c r="K1768" s="696">
        <f>F1768*I1768*J1768</f>
        <v>2348600</v>
      </c>
      <c r="L1768" s="22"/>
      <c r="M1768" s="22"/>
      <c r="N1768" s="82"/>
      <c r="O1768" s="616"/>
    </row>
    <row r="1769" spans="1:15" ht="15.5" x14ac:dyDescent="0.35">
      <c r="A1769" s="631">
        <v>14</v>
      </c>
      <c r="B1769" s="100" t="s">
        <v>2137</v>
      </c>
      <c r="C1769" s="52" t="s">
        <v>3872</v>
      </c>
      <c r="D1769" s="2151"/>
      <c r="E1769" s="52" t="s">
        <v>4506</v>
      </c>
      <c r="F1769" s="812">
        <v>1</v>
      </c>
      <c r="G1769" s="21">
        <v>123024064</v>
      </c>
      <c r="H1769" s="21">
        <v>126075864</v>
      </c>
      <c r="I1769" s="21">
        <f>H1769-G1769</f>
        <v>3051800</v>
      </c>
      <c r="J1769" s="616">
        <v>1</v>
      </c>
      <c r="K1769" s="696">
        <f>F1769*I1769*J1769</f>
        <v>3051800</v>
      </c>
      <c r="L1769" s="22"/>
      <c r="M1769" s="22"/>
      <c r="N1769" s="82"/>
      <c r="O1769" s="616"/>
    </row>
    <row r="1770" spans="1:15" ht="15.5" x14ac:dyDescent="0.35">
      <c r="A1770" s="631"/>
      <c r="B1770" s="102"/>
      <c r="C1770" s="91"/>
      <c r="D1770" s="726"/>
      <c r="E1770" s="91"/>
      <c r="F1770" s="814"/>
      <c r="G1770" s="48"/>
      <c r="H1770" s="48"/>
      <c r="I1770" s="48"/>
      <c r="J1770" s="39" t="s">
        <v>30</v>
      </c>
      <c r="K1770" s="708">
        <f>SUM(K1768:K1769)</f>
        <v>5400400</v>
      </c>
      <c r="L1770" s="49"/>
      <c r="M1770" s="43">
        <f>SUM(M1768:M1769)</f>
        <v>0</v>
      </c>
      <c r="N1770" s="85"/>
      <c r="O1770" s="616"/>
    </row>
    <row r="1771" spans="1:15" ht="15.5" x14ac:dyDescent="0.35">
      <c r="A1771" s="631"/>
      <c r="B1771" s="647" t="s">
        <v>1569</v>
      </c>
      <c r="C1771" s="648"/>
      <c r="D1771" s="700"/>
      <c r="E1771" s="648"/>
      <c r="F1771" s="807"/>
      <c r="G1771" s="648"/>
      <c r="H1771" s="648"/>
      <c r="I1771" s="648"/>
      <c r="J1771" s="50"/>
      <c r="K1771" s="710"/>
      <c r="L1771" s="51"/>
      <c r="M1771" s="51"/>
      <c r="N1771" s="649"/>
      <c r="O1771" s="616"/>
    </row>
    <row r="1772" spans="1:15" ht="18" customHeight="1" x14ac:dyDescent="0.35">
      <c r="A1772" s="631">
        <v>6</v>
      </c>
      <c r="B1772" s="100" t="s">
        <v>4507</v>
      </c>
      <c r="C1772" s="73" t="s">
        <v>3872</v>
      </c>
      <c r="D1772" s="1768"/>
      <c r="E1772" s="52" t="s">
        <v>4508</v>
      </c>
      <c r="F1772" s="812">
        <v>1</v>
      </c>
      <c r="G1772" s="6">
        <v>5971385.5</v>
      </c>
      <c r="H1772" s="6">
        <v>6084305</v>
      </c>
      <c r="I1772" s="20">
        <f t="shared" ref="I1772:I1789" si="57">H1772-G1772</f>
        <v>112919.5</v>
      </c>
      <c r="J1772" s="616">
        <v>1</v>
      </c>
      <c r="K1772" s="703"/>
      <c r="L1772" s="22">
        <f t="shared" ref="L1772:L1787" si="58">F1772*I1772*J1772</f>
        <v>112919.5</v>
      </c>
      <c r="M1772" s="22"/>
      <c r="N1772" s="72" t="s">
        <v>111</v>
      </c>
      <c r="O1772" s="15"/>
    </row>
    <row r="1773" spans="1:15" ht="18" customHeight="1" x14ac:dyDescent="0.35">
      <c r="A1773" s="631"/>
      <c r="B1773" s="100" t="s">
        <v>4509</v>
      </c>
      <c r="C1773" s="73" t="s">
        <v>3872</v>
      </c>
      <c r="D1773" s="1769"/>
      <c r="E1773" s="52" t="s">
        <v>4510</v>
      </c>
      <c r="F1773" s="812">
        <v>1</v>
      </c>
      <c r="G1773" s="6">
        <v>1970035.2</v>
      </c>
      <c r="H1773" s="6">
        <v>2034035</v>
      </c>
      <c r="I1773" s="20">
        <f t="shared" si="57"/>
        <v>63999.800000000047</v>
      </c>
      <c r="J1773" s="616">
        <v>1</v>
      </c>
      <c r="K1773" s="703"/>
      <c r="L1773" s="22">
        <f t="shared" si="58"/>
        <v>63999.800000000047</v>
      </c>
      <c r="M1773" s="22"/>
      <c r="N1773" s="72" t="s">
        <v>111</v>
      </c>
      <c r="O1773" s="15"/>
    </row>
    <row r="1774" spans="1:15" ht="18" customHeight="1" x14ac:dyDescent="0.35">
      <c r="A1774" s="631">
        <v>7</v>
      </c>
      <c r="B1774" s="100" t="s">
        <v>4511</v>
      </c>
      <c r="C1774" s="73" t="s">
        <v>3872</v>
      </c>
      <c r="D1774" s="1769"/>
      <c r="E1774" s="52" t="s">
        <v>4512</v>
      </c>
      <c r="F1774" s="812">
        <v>1</v>
      </c>
      <c r="G1774" s="6">
        <v>7540301.5</v>
      </c>
      <c r="H1774" s="6">
        <v>7674621.5</v>
      </c>
      <c r="I1774" s="20">
        <f t="shared" si="57"/>
        <v>134320</v>
      </c>
      <c r="J1774" s="616">
        <v>1</v>
      </c>
      <c r="K1774" s="703"/>
      <c r="L1774" s="22">
        <f t="shared" si="58"/>
        <v>134320</v>
      </c>
      <c r="M1774" s="22"/>
      <c r="N1774" s="72" t="s">
        <v>111</v>
      </c>
      <c r="O1774" s="15"/>
    </row>
    <row r="1775" spans="1:15" ht="18" customHeight="1" x14ac:dyDescent="0.35">
      <c r="A1775" s="631">
        <v>8</v>
      </c>
      <c r="B1775" s="100" t="s">
        <v>4513</v>
      </c>
      <c r="C1775" s="73" t="s">
        <v>3872</v>
      </c>
      <c r="D1775" s="1769"/>
      <c r="E1775" s="52" t="s">
        <v>4514</v>
      </c>
      <c r="F1775" s="812">
        <v>1</v>
      </c>
      <c r="G1775" s="6"/>
      <c r="H1775" s="6"/>
      <c r="I1775" s="20">
        <f t="shared" si="57"/>
        <v>0</v>
      </c>
      <c r="J1775" s="616">
        <v>1</v>
      </c>
      <c r="K1775" s="703"/>
      <c r="L1775" s="22">
        <f t="shared" si="58"/>
        <v>0</v>
      </c>
      <c r="M1775" s="22"/>
      <c r="N1775" s="72"/>
      <c r="O1775" s="15"/>
    </row>
    <row r="1776" spans="1:15" ht="18" customHeight="1" x14ac:dyDescent="0.35">
      <c r="A1776" s="631">
        <v>9</v>
      </c>
      <c r="B1776" s="100" t="s">
        <v>4515</v>
      </c>
      <c r="C1776" s="73" t="s">
        <v>3872</v>
      </c>
      <c r="D1776" s="1769"/>
      <c r="E1776" s="52" t="s">
        <v>4516</v>
      </c>
      <c r="F1776" s="812">
        <v>1</v>
      </c>
      <c r="G1776" s="6">
        <v>17341838</v>
      </c>
      <c r="H1776" s="6">
        <v>17840076</v>
      </c>
      <c r="I1776" s="20">
        <f t="shared" si="57"/>
        <v>498238</v>
      </c>
      <c r="J1776" s="616">
        <v>1</v>
      </c>
      <c r="K1776" s="703"/>
      <c r="L1776" s="22">
        <f t="shared" si="58"/>
        <v>498238</v>
      </c>
      <c r="M1776" s="22"/>
      <c r="N1776" s="72" t="s">
        <v>90</v>
      </c>
      <c r="O1776" s="15"/>
    </row>
    <row r="1777" spans="1:15" ht="18" customHeight="1" x14ac:dyDescent="0.35">
      <c r="A1777" s="631">
        <v>10</v>
      </c>
      <c r="B1777" s="100" t="s">
        <v>4517</v>
      </c>
      <c r="C1777" s="73" t="s">
        <v>3872</v>
      </c>
      <c r="D1777" s="1769"/>
      <c r="E1777" s="52" t="s">
        <v>4518</v>
      </c>
      <c r="F1777" s="812">
        <v>1</v>
      </c>
      <c r="G1777" s="6">
        <v>3776230.8</v>
      </c>
      <c r="H1777" s="6">
        <v>3964590.2</v>
      </c>
      <c r="I1777" s="20">
        <f t="shared" si="57"/>
        <v>188359.40000000037</v>
      </c>
      <c r="J1777" s="616">
        <v>1</v>
      </c>
      <c r="K1777" s="703"/>
      <c r="L1777" s="22">
        <f t="shared" si="58"/>
        <v>188359.40000000037</v>
      </c>
      <c r="M1777" s="22"/>
      <c r="N1777" s="72" t="s">
        <v>111</v>
      </c>
      <c r="O1777" s="15"/>
    </row>
    <row r="1778" spans="1:15" ht="18" customHeight="1" x14ac:dyDescent="0.35">
      <c r="A1778" s="631">
        <v>11</v>
      </c>
      <c r="B1778" s="100" t="s">
        <v>4519</v>
      </c>
      <c r="C1778" s="73" t="s">
        <v>3872</v>
      </c>
      <c r="D1778" s="1769"/>
      <c r="E1778" s="52" t="s">
        <v>4520</v>
      </c>
      <c r="F1778" s="812">
        <v>1</v>
      </c>
      <c r="G1778" s="6">
        <v>8854898</v>
      </c>
      <c r="H1778" s="6">
        <v>8896658</v>
      </c>
      <c r="I1778" s="20">
        <f t="shared" si="57"/>
        <v>41760</v>
      </c>
      <c r="J1778" s="616">
        <v>1</v>
      </c>
      <c r="K1778" s="703"/>
      <c r="L1778" s="22">
        <f t="shared" si="58"/>
        <v>41760</v>
      </c>
      <c r="M1778" s="22"/>
      <c r="N1778" s="72" t="s">
        <v>90</v>
      </c>
      <c r="O1778" s="15"/>
    </row>
    <row r="1779" spans="1:15" ht="18" customHeight="1" x14ac:dyDescent="0.35">
      <c r="A1779" s="631">
        <v>12</v>
      </c>
      <c r="B1779" s="100" t="s">
        <v>4521</v>
      </c>
      <c r="C1779" s="73" t="s">
        <v>3872</v>
      </c>
      <c r="D1779" s="1769"/>
      <c r="E1779" s="52" t="s">
        <v>4522</v>
      </c>
      <c r="F1779" s="812">
        <v>1</v>
      </c>
      <c r="G1779" s="6">
        <v>42752856</v>
      </c>
      <c r="H1779" s="6">
        <v>44064092</v>
      </c>
      <c r="I1779" s="20">
        <f t="shared" si="57"/>
        <v>1311236</v>
      </c>
      <c r="J1779" s="616">
        <v>1</v>
      </c>
      <c r="K1779" s="703"/>
      <c r="L1779" s="22">
        <f t="shared" si="58"/>
        <v>1311236</v>
      </c>
      <c r="M1779" s="22"/>
      <c r="N1779" s="72" t="s">
        <v>102</v>
      </c>
      <c r="O1779" s="15"/>
    </row>
    <row r="1780" spans="1:15" ht="18" customHeight="1" x14ac:dyDescent="0.35">
      <c r="A1780" s="631">
        <v>15</v>
      </c>
      <c r="B1780" s="100" t="s">
        <v>4523</v>
      </c>
      <c r="C1780" s="73" t="s">
        <v>3872</v>
      </c>
      <c r="D1780" s="1769"/>
      <c r="E1780" s="52" t="s">
        <v>4524</v>
      </c>
      <c r="F1780" s="812">
        <v>1</v>
      </c>
      <c r="G1780" s="6">
        <v>38953664</v>
      </c>
      <c r="H1780" s="6">
        <v>39677944</v>
      </c>
      <c r="I1780" s="20">
        <f t="shared" si="57"/>
        <v>724280</v>
      </c>
      <c r="J1780" s="616">
        <v>1</v>
      </c>
      <c r="K1780" s="703"/>
      <c r="L1780" s="22">
        <f t="shared" si="58"/>
        <v>724280</v>
      </c>
      <c r="M1780" s="22"/>
      <c r="N1780" s="72" t="s">
        <v>102</v>
      </c>
      <c r="O1780" s="15"/>
    </row>
    <row r="1781" spans="1:15" ht="18" customHeight="1" x14ac:dyDescent="0.35">
      <c r="A1781" s="631">
        <v>16</v>
      </c>
      <c r="B1781" s="100" t="s">
        <v>4525</v>
      </c>
      <c r="C1781" s="73" t="s">
        <v>3872</v>
      </c>
      <c r="D1781" s="1769"/>
      <c r="E1781" s="52" t="s">
        <v>4526</v>
      </c>
      <c r="F1781" s="812">
        <v>1</v>
      </c>
      <c r="G1781" s="6">
        <v>10951453</v>
      </c>
      <c r="H1781" s="6">
        <v>11202453</v>
      </c>
      <c r="I1781" s="20">
        <f t="shared" si="57"/>
        <v>251000</v>
      </c>
      <c r="J1781" s="616">
        <v>1</v>
      </c>
      <c r="K1781" s="703"/>
      <c r="L1781" s="22">
        <f t="shared" si="58"/>
        <v>251000</v>
      </c>
      <c r="M1781" s="22"/>
      <c r="N1781" s="72" t="s">
        <v>90</v>
      </c>
      <c r="O1781" s="15"/>
    </row>
    <row r="1782" spans="1:15" ht="18" customHeight="1" x14ac:dyDescent="0.35">
      <c r="A1782" s="631">
        <v>17</v>
      </c>
      <c r="B1782" s="100" t="s">
        <v>4527</v>
      </c>
      <c r="C1782" s="73" t="s">
        <v>3872</v>
      </c>
      <c r="D1782" s="1769"/>
      <c r="E1782" s="52" t="s">
        <v>4528</v>
      </c>
      <c r="F1782" s="812">
        <v>1</v>
      </c>
      <c r="G1782" s="6">
        <v>13206808</v>
      </c>
      <c r="H1782" s="6">
        <v>13367007</v>
      </c>
      <c r="I1782" s="20">
        <f t="shared" si="57"/>
        <v>160199</v>
      </c>
      <c r="J1782" s="616">
        <v>1</v>
      </c>
      <c r="K1782" s="703"/>
      <c r="L1782" s="22">
        <f t="shared" si="58"/>
        <v>160199</v>
      </c>
      <c r="M1782" s="22"/>
      <c r="N1782" s="72" t="s">
        <v>111</v>
      </c>
      <c r="O1782" s="15"/>
    </row>
    <row r="1783" spans="1:15" ht="18" customHeight="1" x14ac:dyDescent="0.35">
      <c r="A1783" s="631">
        <v>18</v>
      </c>
      <c r="B1783" s="100" t="s">
        <v>4529</v>
      </c>
      <c r="C1783" s="73" t="s">
        <v>3872</v>
      </c>
      <c r="D1783" s="1769"/>
      <c r="E1783" s="52" t="s">
        <v>4530</v>
      </c>
      <c r="F1783" s="812">
        <v>1</v>
      </c>
      <c r="G1783" s="6">
        <v>22554464</v>
      </c>
      <c r="H1783" s="6">
        <v>23311664</v>
      </c>
      <c r="I1783" s="20">
        <f t="shared" si="57"/>
        <v>757200</v>
      </c>
      <c r="J1783" s="616">
        <v>1</v>
      </c>
      <c r="K1783" s="703"/>
      <c r="L1783" s="22">
        <f t="shared" si="58"/>
        <v>757200</v>
      </c>
      <c r="M1783" s="22"/>
      <c r="N1783" s="72" t="s">
        <v>90</v>
      </c>
      <c r="O1783" s="15"/>
    </row>
    <row r="1784" spans="1:15" ht="18" customHeight="1" x14ac:dyDescent="0.35">
      <c r="A1784" s="631">
        <v>19</v>
      </c>
      <c r="B1784" s="100" t="s">
        <v>4531</v>
      </c>
      <c r="C1784" s="73" t="s">
        <v>3872</v>
      </c>
      <c r="D1784" s="1769"/>
      <c r="E1784" s="52" t="s">
        <v>4532</v>
      </c>
      <c r="F1784" s="812">
        <v>1</v>
      </c>
      <c r="G1784" s="6">
        <v>16305480</v>
      </c>
      <c r="H1784" s="6">
        <v>16598879</v>
      </c>
      <c r="I1784" s="20">
        <f t="shared" si="57"/>
        <v>293399</v>
      </c>
      <c r="J1784" s="616">
        <v>1</v>
      </c>
      <c r="K1784" s="703"/>
      <c r="L1784" s="22">
        <f t="shared" si="58"/>
        <v>293399</v>
      </c>
      <c r="M1784" s="22"/>
      <c r="N1784" s="72" t="s">
        <v>90</v>
      </c>
      <c r="O1784" s="15"/>
    </row>
    <row r="1785" spans="1:15" ht="18" customHeight="1" x14ac:dyDescent="0.35">
      <c r="A1785" s="631">
        <v>20</v>
      </c>
      <c r="B1785" s="100" t="s">
        <v>4533</v>
      </c>
      <c r="C1785" s="73" t="s">
        <v>3872</v>
      </c>
      <c r="D1785" s="1769"/>
      <c r="E1785" s="52" t="s">
        <v>4534</v>
      </c>
      <c r="F1785" s="812">
        <v>1</v>
      </c>
      <c r="G1785" s="6">
        <v>9756576</v>
      </c>
      <c r="H1785" s="6">
        <v>9918696</v>
      </c>
      <c r="I1785" s="20">
        <f t="shared" si="57"/>
        <v>162120</v>
      </c>
      <c r="J1785" s="616">
        <v>1</v>
      </c>
      <c r="K1785" s="703"/>
      <c r="L1785" s="22">
        <f t="shared" si="58"/>
        <v>162120</v>
      </c>
      <c r="M1785" s="22"/>
      <c r="N1785" s="72" t="s">
        <v>111</v>
      </c>
      <c r="O1785" s="15"/>
    </row>
    <row r="1786" spans="1:15" ht="18" customHeight="1" x14ac:dyDescent="0.35">
      <c r="A1786" s="631">
        <v>21</v>
      </c>
      <c r="B1786" s="100" t="s">
        <v>4535</v>
      </c>
      <c r="C1786" s="73" t="s">
        <v>3872</v>
      </c>
      <c r="D1786" s="1769"/>
      <c r="E1786" s="52" t="s">
        <v>4536</v>
      </c>
      <c r="F1786" s="812">
        <v>1</v>
      </c>
      <c r="G1786" s="6"/>
      <c r="H1786" s="6"/>
      <c r="I1786" s="20">
        <f t="shared" si="57"/>
        <v>0</v>
      </c>
      <c r="J1786" s="616">
        <v>1</v>
      </c>
      <c r="K1786" s="703"/>
      <c r="L1786" s="22">
        <f t="shared" si="58"/>
        <v>0</v>
      </c>
      <c r="M1786" s="22"/>
      <c r="N1786" s="72"/>
      <c r="O1786" s="15"/>
    </row>
    <row r="1787" spans="1:15" ht="18" customHeight="1" x14ac:dyDescent="0.35">
      <c r="A1787" s="631">
        <v>22</v>
      </c>
      <c r="B1787" s="100" t="s">
        <v>4537</v>
      </c>
      <c r="C1787" s="73" t="s">
        <v>3872</v>
      </c>
      <c r="D1787" s="1769"/>
      <c r="E1787" s="52" t="s">
        <v>4538</v>
      </c>
      <c r="F1787" s="812">
        <v>1</v>
      </c>
      <c r="G1787" s="6">
        <v>16762239</v>
      </c>
      <c r="H1787" s="6">
        <v>17089398</v>
      </c>
      <c r="I1787" s="20">
        <f t="shared" si="57"/>
        <v>327159</v>
      </c>
      <c r="J1787" s="616">
        <v>1</v>
      </c>
      <c r="K1787" s="703"/>
      <c r="L1787" s="22">
        <f t="shared" si="58"/>
        <v>327159</v>
      </c>
      <c r="M1787" s="22"/>
      <c r="N1787" s="72" t="s">
        <v>111</v>
      </c>
      <c r="O1787" s="15"/>
    </row>
    <row r="1788" spans="1:15" ht="18" customHeight="1" x14ac:dyDescent="0.35">
      <c r="A1788" s="631">
        <v>23</v>
      </c>
      <c r="B1788" s="100" t="s">
        <v>3930</v>
      </c>
      <c r="C1788" s="73" t="s">
        <v>3867</v>
      </c>
      <c r="D1788" s="1769"/>
      <c r="E1788" s="52" t="s">
        <v>4539</v>
      </c>
      <c r="F1788" s="812">
        <v>1</v>
      </c>
      <c r="G1788" s="6">
        <v>2180.83</v>
      </c>
      <c r="H1788" s="6">
        <v>2214.25</v>
      </c>
      <c r="I1788" s="20">
        <f t="shared" si="57"/>
        <v>33.420000000000073</v>
      </c>
      <c r="J1788" s="616">
        <v>100</v>
      </c>
      <c r="K1788" s="703"/>
      <c r="L1788" s="22">
        <v>3342.0000000000073</v>
      </c>
      <c r="M1788" s="22"/>
      <c r="N1788" s="72" t="s">
        <v>111</v>
      </c>
      <c r="O1788" s="15"/>
    </row>
    <row r="1789" spans="1:15" ht="18" customHeight="1" x14ac:dyDescent="0.35">
      <c r="A1789" s="631">
        <v>24</v>
      </c>
      <c r="B1789" s="100" t="s">
        <v>3932</v>
      </c>
      <c r="C1789" s="73" t="s">
        <v>3867</v>
      </c>
      <c r="D1789" s="766"/>
      <c r="E1789" s="52" t="s">
        <v>4540</v>
      </c>
      <c r="F1789" s="812">
        <v>1</v>
      </c>
      <c r="G1789" s="6">
        <v>129.69999999999999</v>
      </c>
      <c r="H1789" s="6">
        <v>129.69999999999999</v>
      </c>
      <c r="I1789" s="20">
        <f t="shared" si="57"/>
        <v>0</v>
      </c>
      <c r="J1789" s="616">
        <v>100</v>
      </c>
      <c r="K1789" s="703">
        <f>F1789*I1789*J1789</f>
        <v>0</v>
      </c>
      <c r="L1789" s="22"/>
      <c r="M1789" s="22"/>
      <c r="N1789" s="72" t="s">
        <v>111</v>
      </c>
      <c r="O1789" s="15"/>
    </row>
    <row r="1790" spans="1:15" ht="20" x14ac:dyDescent="0.35">
      <c r="A1790" s="636"/>
      <c r="B1790" s="96"/>
      <c r="C1790" s="90"/>
      <c r="D1790" s="96"/>
      <c r="E1790" s="90"/>
      <c r="F1790" s="813"/>
      <c r="G1790" s="38"/>
      <c r="H1790" s="38"/>
      <c r="I1790" s="38"/>
      <c r="J1790" s="53" t="s">
        <v>44</v>
      </c>
      <c r="K1790" s="43">
        <f>M1770</f>
        <v>0</v>
      </c>
      <c r="L1790" s="43">
        <f>SUM(L1772:L1789)</f>
        <v>5029531.7</v>
      </c>
      <c r="M1790" s="43">
        <f>SUM(M1772:M1789)</f>
        <v>0</v>
      </c>
      <c r="N1790" s="84">
        <f>(M1790-L1790)/L1790*100</f>
        <v>-100</v>
      </c>
      <c r="O1790" s="29"/>
    </row>
    <row r="1792" spans="1:15" ht="15" x14ac:dyDescent="0.35">
      <c r="A1792" s="620"/>
      <c r="B1792" s="635"/>
      <c r="C1792" s="632"/>
      <c r="D1792" s="1900"/>
      <c r="F1792" s="2092" t="s">
        <v>1099</v>
      </c>
      <c r="G1792" s="2092"/>
      <c r="H1792" s="2092"/>
      <c r="I1792" s="677" t="s">
        <v>14</v>
      </c>
      <c r="J1792" s="620"/>
      <c r="K1792" s="702"/>
      <c r="L1792" s="620"/>
      <c r="M1792" s="620"/>
      <c r="N1792" s="632"/>
      <c r="O1792" s="620"/>
    </row>
    <row r="1793" spans="1:15" ht="15.5" x14ac:dyDescent="0.35">
      <c r="A1793" s="620"/>
      <c r="B1793" s="635"/>
      <c r="C1793" s="632"/>
      <c r="D1793" s="1900"/>
      <c r="F1793" s="2153" t="s">
        <v>232</v>
      </c>
      <c r="G1793" s="2154"/>
      <c r="H1793" s="2155"/>
      <c r="I1793" s="643">
        <f>SUM(M1772:M1773,M1783)</f>
        <v>0</v>
      </c>
      <c r="J1793" s="620"/>
      <c r="K1793" s="702"/>
      <c r="L1793" s="620"/>
      <c r="M1793" s="620"/>
      <c r="N1793" s="632"/>
      <c r="O1793" s="620" t="s">
        <v>237</v>
      </c>
    </row>
    <row r="1794" spans="1:15" ht="15.5" x14ac:dyDescent="0.35">
      <c r="A1794" s="620"/>
      <c r="B1794" s="635"/>
      <c r="C1794" s="632"/>
      <c r="D1794" s="1900"/>
      <c r="F1794" s="2153" t="s">
        <v>268</v>
      </c>
      <c r="G1794" s="2154"/>
      <c r="H1794" s="2155"/>
      <c r="I1794" s="643">
        <f>SUM(M1774:M1775,M1784,M1786,M1787,M1789)</f>
        <v>0</v>
      </c>
      <c r="J1794" s="620"/>
      <c r="K1794" s="702"/>
      <c r="L1794" s="620"/>
      <c r="M1794" s="620"/>
      <c r="N1794" s="632"/>
      <c r="O1794" s="620"/>
    </row>
    <row r="1795" spans="1:15" ht="16" thickBot="1" x14ac:dyDescent="0.4">
      <c r="A1795" s="620"/>
      <c r="B1795" s="635"/>
      <c r="C1795" s="632"/>
      <c r="D1795" s="1900"/>
      <c r="F1795" s="2153" t="s">
        <v>269</v>
      </c>
      <c r="G1795" s="2154"/>
      <c r="H1795" s="2155"/>
      <c r="I1795" s="643">
        <f>SUM(M1785,M1788)</f>
        <v>0</v>
      </c>
      <c r="J1795" s="620"/>
      <c r="K1795" s="702"/>
      <c r="L1795" s="620"/>
      <c r="M1795" s="620"/>
      <c r="N1795" s="632"/>
      <c r="O1795" s="620"/>
    </row>
    <row r="1796" spans="1:15" ht="20.5" thickBot="1" x14ac:dyDescent="0.4">
      <c r="A1796" s="620"/>
      <c r="B1796" s="635"/>
      <c r="C1796" s="632"/>
      <c r="D1796" s="1900"/>
      <c r="E1796" s="632"/>
      <c r="F1796" s="2156" t="s">
        <v>210</v>
      </c>
      <c r="G1796" s="2156"/>
      <c r="H1796" s="2156"/>
      <c r="I1796" s="656">
        <f>SUM(I1793:I1795)</f>
        <v>0</v>
      </c>
      <c r="J1796" s="682">
        <f>I1796-M1790</f>
        <v>0</v>
      </c>
      <c r="K1796" s="702"/>
      <c r="L1796" s="620"/>
      <c r="M1796" s="620"/>
      <c r="N1796" s="632"/>
      <c r="O1796" s="620"/>
    </row>
    <row r="1797" spans="1:15" x14ac:dyDescent="0.35">
      <c r="A1797" s="620"/>
      <c r="B1797" s="635"/>
      <c r="C1797" s="632"/>
      <c r="D1797" s="1900"/>
      <c r="E1797" s="632"/>
      <c r="F1797" s="810"/>
      <c r="G1797" s="620"/>
      <c r="H1797" s="620"/>
      <c r="I1797" s="620"/>
      <c r="J1797" s="620"/>
      <c r="K1797" s="702"/>
      <c r="L1797" s="620"/>
      <c r="M1797" s="620"/>
      <c r="N1797" s="632"/>
      <c r="O1797" s="620"/>
    </row>
    <row r="1798" spans="1:15" x14ac:dyDescent="0.35">
      <c r="A1798" s="620"/>
      <c r="B1798" s="635"/>
      <c r="C1798" s="632"/>
      <c r="D1798" s="1900"/>
      <c r="E1798" s="632"/>
      <c r="F1798" s="810"/>
      <c r="G1798" s="620"/>
      <c r="H1798" s="620"/>
      <c r="I1798" s="620"/>
      <c r="J1798" s="620"/>
      <c r="K1798" s="702"/>
      <c r="L1798" s="620"/>
      <c r="M1798" s="620"/>
      <c r="N1798" s="632"/>
      <c r="O1798" s="620"/>
    </row>
    <row r="1799" spans="1:15" x14ac:dyDescent="0.35">
      <c r="A1799" s="620"/>
      <c r="B1799" s="635"/>
      <c r="C1799" s="632"/>
      <c r="D1799" s="1900"/>
      <c r="E1799" s="632"/>
      <c r="F1799" s="810"/>
      <c r="G1799" s="620"/>
      <c r="H1799" s="620"/>
      <c r="I1799" s="620"/>
      <c r="J1799" s="620"/>
      <c r="K1799" s="702"/>
      <c r="L1799" s="620"/>
      <c r="M1799" s="620"/>
      <c r="N1799" s="632"/>
      <c r="O1799" s="620"/>
    </row>
    <row r="1800" spans="1:15" x14ac:dyDescent="0.35">
      <c r="A1800" s="620"/>
      <c r="B1800" s="635"/>
      <c r="C1800" s="632"/>
      <c r="D1800" s="1900"/>
      <c r="E1800" s="632"/>
      <c r="F1800" s="810"/>
      <c r="G1800" s="620"/>
      <c r="H1800" s="620"/>
      <c r="I1800" s="620"/>
      <c r="J1800" s="620"/>
      <c r="K1800" s="702"/>
      <c r="L1800" s="620"/>
      <c r="M1800" s="620"/>
      <c r="N1800" s="632"/>
      <c r="O1800" s="620"/>
    </row>
    <row r="1801" spans="1:15" x14ac:dyDescent="0.35">
      <c r="A1801" s="620"/>
      <c r="B1801" s="635"/>
      <c r="C1801" s="632"/>
      <c r="D1801" s="1900"/>
      <c r="E1801" s="632"/>
      <c r="F1801" s="810"/>
      <c r="G1801" s="620"/>
      <c r="H1801" s="620"/>
      <c r="I1801" s="620"/>
      <c r="J1801" s="620"/>
      <c r="K1801" s="702"/>
      <c r="L1801" s="620"/>
      <c r="M1801" s="620"/>
      <c r="N1801" s="632"/>
      <c r="O1801" s="620"/>
    </row>
    <row r="1802" spans="1:15" x14ac:dyDescent="0.35">
      <c r="A1802" s="620"/>
      <c r="B1802" s="632"/>
      <c r="C1802" s="632"/>
      <c r="D1802" s="1900"/>
      <c r="E1802" s="632"/>
      <c r="F1802" s="810"/>
      <c r="G1802" s="620"/>
      <c r="H1802" s="620"/>
      <c r="I1802" s="620"/>
      <c r="J1802" s="620"/>
      <c r="K1802" s="702"/>
      <c r="L1802" s="620"/>
      <c r="M1802" s="620"/>
      <c r="N1802" s="632"/>
      <c r="O1802" s="620"/>
    </row>
    <row r="1803" spans="1:15" x14ac:dyDescent="0.35">
      <c r="A1803" s="620"/>
      <c r="B1803" s="632"/>
      <c r="C1803" s="632"/>
      <c r="D1803" s="1900"/>
      <c r="E1803" s="632"/>
      <c r="F1803" s="810"/>
      <c r="G1803" s="620"/>
      <c r="H1803" s="620"/>
      <c r="I1803" s="620"/>
      <c r="J1803" s="620"/>
      <c r="K1803" s="702"/>
      <c r="L1803" s="620"/>
      <c r="M1803" s="620"/>
      <c r="N1803" s="632"/>
      <c r="O1803" s="620"/>
    </row>
    <row r="1804" spans="1:15" x14ac:dyDescent="0.35">
      <c r="A1804" s="620"/>
      <c r="B1804" s="635"/>
      <c r="C1804" s="632"/>
      <c r="D1804" s="1900"/>
      <c r="E1804" s="632"/>
      <c r="F1804" s="810"/>
      <c r="G1804" s="620"/>
      <c r="H1804" s="620"/>
      <c r="I1804" s="620"/>
      <c r="J1804" s="620"/>
      <c r="K1804" s="702"/>
      <c r="L1804" s="620"/>
      <c r="M1804" s="620"/>
      <c r="N1804" s="632"/>
      <c r="O1804" s="620"/>
    </row>
    <row r="1805" spans="1:15" x14ac:dyDescent="0.35">
      <c r="A1805" s="620"/>
      <c r="B1805" s="635"/>
      <c r="C1805" s="632"/>
      <c r="D1805" s="1900"/>
      <c r="E1805" s="632"/>
      <c r="F1805" s="810"/>
      <c r="G1805" s="620"/>
      <c r="H1805" s="620"/>
      <c r="I1805" s="620"/>
      <c r="J1805" s="620"/>
      <c r="K1805" s="702"/>
      <c r="L1805" s="620"/>
      <c r="M1805" s="620"/>
      <c r="N1805" s="632"/>
      <c r="O1805" s="620"/>
    </row>
    <row r="1806" spans="1:15" x14ac:dyDescent="0.35">
      <c r="A1806" s="620"/>
      <c r="B1806" s="635"/>
      <c r="C1806" s="632"/>
      <c r="D1806" s="1900"/>
      <c r="E1806" s="632"/>
      <c r="F1806" s="810"/>
      <c r="G1806" s="620"/>
      <c r="H1806" s="620"/>
      <c r="I1806" s="620"/>
      <c r="J1806" s="620"/>
      <c r="K1806" s="702"/>
      <c r="L1806" s="620"/>
      <c r="M1806" s="620"/>
      <c r="N1806" s="632"/>
      <c r="O1806" s="620"/>
    </row>
    <row r="1807" spans="1:15" ht="25" x14ac:dyDescent="0.35">
      <c r="A1807" s="28"/>
      <c r="B1807" s="2152"/>
      <c r="C1807" s="2152"/>
      <c r="D1807" s="2152"/>
      <c r="E1807" s="2152"/>
      <c r="F1807" s="2152"/>
      <c r="G1807" s="2152"/>
      <c r="H1807" s="2152"/>
      <c r="I1807" s="2152"/>
      <c r="J1807" s="2152"/>
      <c r="K1807" s="2152"/>
      <c r="L1807" s="2152"/>
      <c r="M1807" s="2152"/>
      <c r="N1807" s="632"/>
      <c r="O1807" s="620"/>
    </row>
    <row r="1808" spans="1:15" x14ac:dyDescent="0.35">
      <c r="A1808" s="620"/>
      <c r="B1808" s="635"/>
      <c r="C1808" s="632"/>
      <c r="D1808" s="1900"/>
      <c r="E1808" s="632"/>
      <c r="F1808" s="810"/>
      <c r="G1808" s="620"/>
      <c r="H1808" s="620"/>
      <c r="I1808" s="620"/>
      <c r="J1808" s="620"/>
      <c r="K1808" s="702"/>
      <c r="L1808" s="620"/>
      <c r="M1808" s="620"/>
      <c r="N1808" s="632"/>
      <c r="O1808" s="620"/>
    </row>
    <row r="1809" spans="1:15" x14ac:dyDescent="0.35">
      <c r="A1809" s="620"/>
      <c r="B1809" s="635"/>
      <c r="C1809" s="632"/>
      <c r="D1809" s="1900"/>
      <c r="E1809" s="632"/>
      <c r="F1809" s="810"/>
      <c r="G1809" s="620"/>
      <c r="H1809" s="620"/>
      <c r="I1809" s="620"/>
      <c r="J1809" s="620"/>
      <c r="K1809" s="702"/>
      <c r="L1809" s="620"/>
      <c r="M1809" s="620"/>
      <c r="N1809" s="632"/>
      <c r="O1809" s="620"/>
    </row>
    <row r="1810" spans="1:15" ht="25" x14ac:dyDescent="0.35">
      <c r="A1810" s="2095" t="s">
        <v>1570</v>
      </c>
      <c r="B1810" s="2095"/>
      <c r="C1810" s="2095"/>
      <c r="D1810" s="2095"/>
      <c r="E1810" s="2095"/>
      <c r="F1810" s="2095"/>
      <c r="G1810" s="2095"/>
      <c r="H1810" s="2095"/>
      <c r="I1810" s="2095"/>
      <c r="J1810" s="2095"/>
      <c r="K1810" s="2095"/>
      <c r="L1810" s="2095"/>
      <c r="M1810" s="2095"/>
      <c r="N1810" s="2095"/>
      <c r="O1810" s="756" t="e">
        <f>$O$6</f>
        <v>#REF!</v>
      </c>
    </row>
    <row r="1811" spans="1:15" ht="15.5" x14ac:dyDescent="0.35">
      <c r="A1811" s="2096" t="s">
        <v>0</v>
      </c>
      <c r="B1811" s="2098" t="s">
        <v>1</v>
      </c>
      <c r="C1811" s="2100" t="s">
        <v>2</v>
      </c>
      <c r="D1811" s="2101"/>
      <c r="E1811" s="2102"/>
      <c r="F1811" s="2216" t="s">
        <v>3</v>
      </c>
      <c r="G1811" s="2100" t="s">
        <v>4</v>
      </c>
      <c r="H1811" s="2102"/>
      <c r="I1811" s="2085"/>
      <c r="J1811" s="2103" t="s">
        <v>5</v>
      </c>
      <c r="K1811" s="2100" t="s">
        <v>6</v>
      </c>
      <c r="L1811" s="2085"/>
      <c r="M1811" s="97" t="s">
        <v>32</v>
      </c>
      <c r="N1811" s="98"/>
      <c r="O1811" s="2084" t="s">
        <v>7</v>
      </c>
    </row>
    <row r="1812" spans="1:15" ht="15.5" x14ac:dyDescent="0.35">
      <c r="A1812" s="2097"/>
      <c r="B1812" s="2099"/>
      <c r="C1812" s="2086" t="s">
        <v>1108</v>
      </c>
      <c r="D1812" s="2087"/>
      <c r="E1812" s="87" t="s">
        <v>9</v>
      </c>
      <c r="F1812" s="2217"/>
      <c r="G1812" s="2">
        <f>'NORTH-1'!$G$8</f>
        <v>44774</v>
      </c>
      <c r="H1812" s="2">
        <f>'NORTH-1'!$H$8</f>
        <v>44805</v>
      </c>
      <c r="I1812" s="1" t="s">
        <v>10</v>
      </c>
      <c r="J1812" s="2097"/>
      <c r="K1812" s="1" t="s">
        <v>11</v>
      </c>
      <c r="L1812" s="1" t="s">
        <v>12</v>
      </c>
      <c r="M1812" s="617" t="s">
        <v>33</v>
      </c>
      <c r="N1812" s="76" t="s">
        <v>47</v>
      </c>
      <c r="O1812" s="2085"/>
    </row>
    <row r="1813" spans="1:15" ht="15.5" x14ac:dyDescent="0.35">
      <c r="A1813" s="3">
        <v>1</v>
      </c>
      <c r="B1813" s="88">
        <v>2</v>
      </c>
      <c r="C1813" s="2088">
        <v>4</v>
      </c>
      <c r="D1813" s="2089"/>
      <c r="E1813" s="88">
        <v>5</v>
      </c>
      <c r="F1813" s="803">
        <v>7</v>
      </c>
      <c r="G1813" s="3">
        <v>8</v>
      </c>
      <c r="H1813" s="3">
        <v>9</v>
      </c>
      <c r="I1813" s="3" t="s">
        <v>13</v>
      </c>
      <c r="J1813" s="3">
        <v>11</v>
      </c>
      <c r="K1813" s="3" t="s">
        <v>19</v>
      </c>
      <c r="L1813" s="3" t="s">
        <v>20</v>
      </c>
      <c r="M1813" s="3">
        <v>14</v>
      </c>
      <c r="N1813" s="77">
        <v>15</v>
      </c>
      <c r="O1813" s="3">
        <v>16</v>
      </c>
    </row>
    <row r="1814" spans="1:15" ht="15.5" x14ac:dyDescent="0.35">
      <c r="A1814" s="631"/>
      <c r="B1814" s="624" t="s">
        <v>3437</v>
      </c>
      <c r="C1814" s="625"/>
      <c r="D1814" s="695"/>
      <c r="E1814" s="625"/>
      <c r="F1814" s="804"/>
      <c r="G1814" s="625"/>
      <c r="H1814" s="625"/>
      <c r="I1814" s="625"/>
      <c r="J1814" s="625"/>
      <c r="K1814" s="695"/>
      <c r="L1814" s="625"/>
      <c r="M1814" s="626"/>
      <c r="N1814" s="627"/>
      <c r="O1814" s="616"/>
    </row>
    <row r="1815" spans="1:15" ht="15.5" x14ac:dyDescent="0.35">
      <c r="A1815" s="11">
        <v>1</v>
      </c>
      <c r="B1815" s="100" t="s">
        <v>4541</v>
      </c>
      <c r="C1815" s="52" t="s">
        <v>3833</v>
      </c>
      <c r="D1815" s="2105"/>
      <c r="E1815" s="52" t="s">
        <v>4542</v>
      </c>
      <c r="F1815" s="812">
        <v>1</v>
      </c>
      <c r="G1815" s="21">
        <v>64372.7</v>
      </c>
      <c r="H1815" s="21">
        <v>64372.7</v>
      </c>
      <c r="I1815" s="21">
        <f>H1815-G1815</f>
        <v>0</v>
      </c>
      <c r="J1815" s="616">
        <v>1125</v>
      </c>
      <c r="K1815" s="696">
        <f>F1815*I1815*J1815</f>
        <v>0</v>
      </c>
      <c r="L1815" s="22"/>
      <c r="M1815" s="22"/>
      <c r="N1815" s="82"/>
      <c r="O1815" s="9"/>
    </row>
    <row r="1816" spans="1:15" ht="15.5" x14ac:dyDescent="0.35">
      <c r="A1816" s="631">
        <v>2</v>
      </c>
      <c r="B1816" s="100" t="s">
        <v>4543</v>
      </c>
      <c r="C1816" s="52" t="s">
        <v>3833</v>
      </c>
      <c r="D1816" s="2151"/>
      <c r="E1816" s="52" t="s">
        <v>4544</v>
      </c>
      <c r="F1816" s="812">
        <v>1</v>
      </c>
      <c r="G1816" s="21">
        <v>36530.65</v>
      </c>
      <c r="H1816" s="21">
        <v>40600.559999999998</v>
      </c>
      <c r="I1816" s="21">
        <f>H1816-G1816</f>
        <v>4069.9099999999962</v>
      </c>
      <c r="J1816" s="616">
        <v>1125</v>
      </c>
      <c r="K1816" s="696">
        <f>F1816*I1816*J1816</f>
        <v>4578648.7499999953</v>
      </c>
      <c r="L1816" s="22"/>
      <c r="M1816" s="22"/>
      <c r="N1816" s="82"/>
      <c r="O1816" s="616"/>
    </row>
    <row r="1817" spans="1:15" ht="15.5" x14ac:dyDescent="0.35">
      <c r="A1817" s="631"/>
      <c r="B1817" s="102"/>
      <c r="C1817" s="91"/>
      <c r="D1817" s="726"/>
      <c r="E1817" s="91"/>
      <c r="F1817" s="814"/>
      <c r="G1817" s="48"/>
      <c r="H1817" s="48"/>
      <c r="I1817" s="48"/>
      <c r="J1817" s="96" t="s">
        <v>30</v>
      </c>
      <c r="K1817" s="43">
        <f>SUM(K1815:K1816)</f>
        <v>4578648.7499999953</v>
      </c>
      <c r="L1817" s="43">
        <f>SUM(L1815:L1816)</f>
        <v>0</v>
      </c>
      <c r="M1817" s="43">
        <f>SUM(M1815:M1816)</f>
        <v>0</v>
      </c>
      <c r="N1817" s="646"/>
      <c r="O1817" s="616"/>
    </row>
    <row r="1818" spans="1:15" ht="15.5" x14ac:dyDescent="0.35">
      <c r="A1818" s="616"/>
      <c r="B1818" s="624" t="s">
        <v>1571</v>
      </c>
      <c r="C1818" s="625"/>
      <c r="D1818" s="695"/>
      <c r="E1818" s="625"/>
      <c r="F1818" s="804"/>
      <c r="G1818" s="625"/>
      <c r="H1818" s="625"/>
      <c r="I1818" s="625"/>
      <c r="J1818" s="732"/>
      <c r="K1818" s="733"/>
      <c r="L1818" s="734"/>
      <c r="M1818" s="734"/>
      <c r="N1818" s="627"/>
      <c r="O1818" s="12"/>
    </row>
    <row r="1819" spans="1:15" ht="15.5" x14ac:dyDescent="0.35">
      <c r="A1819" s="616"/>
      <c r="B1819" s="100"/>
      <c r="C1819" s="52"/>
      <c r="D1819" s="2105"/>
      <c r="E1819" s="52"/>
      <c r="F1819" s="812"/>
      <c r="G1819" s="21"/>
      <c r="H1819" s="21"/>
      <c r="I1819" s="20"/>
      <c r="J1819" s="616"/>
      <c r="K1819" s="696"/>
      <c r="L1819" s="22"/>
      <c r="M1819" s="22"/>
      <c r="N1819" s="82"/>
      <c r="O1819" s="12"/>
    </row>
    <row r="1820" spans="1:15" ht="15.5" x14ac:dyDescent="0.35">
      <c r="A1820" s="616"/>
      <c r="B1820" s="100"/>
      <c r="C1820" s="52"/>
      <c r="D1820" s="2106"/>
      <c r="E1820" s="52"/>
      <c r="F1820" s="812"/>
      <c r="G1820" s="21"/>
      <c r="H1820" s="21"/>
      <c r="I1820" s="20"/>
      <c r="J1820" s="616"/>
      <c r="K1820" s="696"/>
      <c r="L1820" s="22"/>
      <c r="M1820" s="22"/>
      <c r="N1820" s="82"/>
      <c r="O1820" s="12"/>
    </row>
    <row r="1821" spans="1:15" ht="15.5" x14ac:dyDescent="0.35">
      <c r="A1821" s="616"/>
      <c r="B1821" s="100"/>
      <c r="C1821" s="52"/>
      <c r="D1821" s="2151"/>
      <c r="E1821" s="52"/>
      <c r="F1821" s="812"/>
      <c r="G1821" s="21"/>
      <c r="H1821" s="21"/>
      <c r="I1821" s="20"/>
      <c r="J1821" s="616"/>
      <c r="K1821" s="696"/>
      <c r="L1821" s="22"/>
      <c r="M1821" s="22"/>
      <c r="N1821" s="82"/>
      <c r="O1821" s="12"/>
    </row>
    <row r="1822" spans="1:15" ht="15.5" x14ac:dyDescent="0.35">
      <c r="A1822" s="616"/>
      <c r="B1822" s="102"/>
      <c r="C1822" s="91"/>
      <c r="D1822" s="726"/>
      <c r="E1822" s="91"/>
      <c r="F1822" s="814"/>
      <c r="G1822" s="48"/>
      <c r="H1822" s="48"/>
      <c r="I1822" s="36"/>
      <c r="J1822" s="96" t="s">
        <v>30</v>
      </c>
      <c r="K1822" s="43">
        <f>SUM(K1819:K1821)</f>
        <v>0</v>
      </c>
      <c r="L1822" s="43">
        <f>SUM(L1819:L1821)</f>
        <v>0</v>
      </c>
      <c r="M1822" s="43">
        <f>SUM(M1819:M1821)</f>
        <v>0</v>
      </c>
      <c r="N1822" s="85"/>
      <c r="O1822" s="12"/>
    </row>
    <row r="1823" spans="1:15" ht="15.5" x14ac:dyDescent="0.35">
      <c r="A1823" s="616"/>
      <c r="B1823" s="647" t="s">
        <v>1572</v>
      </c>
      <c r="C1823" s="648"/>
      <c r="D1823" s="700"/>
      <c r="E1823" s="648"/>
      <c r="F1823" s="807"/>
      <c r="G1823" s="648"/>
      <c r="H1823" s="648"/>
      <c r="I1823" s="648"/>
      <c r="J1823" s="648"/>
      <c r="K1823" s="700"/>
      <c r="L1823" s="648"/>
      <c r="M1823" s="651"/>
      <c r="N1823" s="649"/>
      <c r="O1823" s="8"/>
    </row>
    <row r="1824" spans="1:15" ht="15.5" x14ac:dyDescent="0.35">
      <c r="A1824" s="616"/>
      <c r="B1824" s="100" t="s">
        <v>1079</v>
      </c>
      <c r="C1824" s="52">
        <v>132</v>
      </c>
      <c r="D1824" s="2138" t="s">
        <v>1083</v>
      </c>
      <c r="E1824" s="615"/>
      <c r="F1824" s="812"/>
      <c r="G1824" s="5"/>
      <c r="H1824" s="5"/>
      <c r="I1824" s="5"/>
      <c r="J1824" s="616"/>
      <c r="K1824" s="696"/>
      <c r="L1824" s="16">
        <f>J1824*I1824*F1824</f>
        <v>0</v>
      </c>
      <c r="M1824" s="7"/>
      <c r="N1824" s="78"/>
      <c r="O1824" s="616"/>
    </row>
    <row r="1825" spans="1:15" ht="15.5" x14ac:dyDescent="0.35">
      <c r="A1825" s="616"/>
      <c r="B1825" s="100" t="s">
        <v>1078</v>
      </c>
      <c r="C1825" s="52">
        <v>132</v>
      </c>
      <c r="D1825" s="2139"/>
      <c r="E1825" s="615"/>
      <c r="F1825" s="812"/>
      <c r="G1825" s="5"/>
      <c r="H1825" s="5"/>
      <c r="I1825" s="5"/>
      <c r="J1825" s="616"/>
      <c r="K1825" s="696"/>
      <c r="L1825" s="16">
        <f>J1825*I1825*F1825</f>
        <v>0</v>
      </c>
      <c r="M1825" s="16"/>
      <c r="N1825" s="79"/>
      <c r="O1825" s="616"/>
    </row>
    <row r="1826" spans="1:15" ht="15.5" x14ac:dyDescent="0.35">
      <c r="A1826" s="616"/>
      <c r="B1826" s="95"/>
      <c r="C1826" s="89"/>
      <c r="D1826" s="1846"/>
      <c r="E1826" s="89"/>
      <c r="F1826" s="806"/>
      <c r="G1826" s="37"/>
      <c r="H1826" s="37"/>
      <c r="I1826" s="37"/>
      <c r="J1826" s="95" t="s">
        <v>279</v>
      </c>
      <c r="K1826" s="699"/>
      <c r="L1826" s="55">
        <f>SUM(L1824:L1825)</f>
        <v>0</v>
      </c>
      <c r="M1826" s="633"/>
      <c r="N1826" s="634"/>
      <c r="O1826" s="616"/>
    </row>
    <row r="1827" spans="1:15" ht="15.5" x14ac:dyDescent="0.35">
      <c r="A1827" s="616"/>
      <c r="B1827" s="102"/>
      <c r="C1827" s="91"/>
      <c r="D1827" s="726"/>
      <c r="E1827" s="91"/>
      <c r="F1827" s="814"/>
      <c r="G1827" s="48"/>
      <c r="H1827" s="48"/>
      <c r="I1827" s="36"/>
      <c r="J1827" s="96"/>
      <c r="K1827" s="706"/>
      <c r="L1827" s="43"/>
      <c r="M1827" s="43"/>
      <c r="N1827" s="85"/>
      <c r="O1827" s="12"/>
    </row>
    <row r="1828" spans="1:15" ht="15.5" x14ac:dyDescent="0.35">
      <c r="A1828" s="636"/>
      <c r="B1828" s="647" t="s">
        <v>1573</v>
      </c>
      <c r="C1828" s="648"/>
      <c r="D1828" s="700"/>
      <c r="E1828" s="648"/>
      <c r="F1828" s="807"/>
      <c r="G1828" s="648"/>
      <c r="H1828" s="648"/>
      <c r="I1828" s="648"/>
      <c r="J1828" s="50"/>
      <c r="K1828" s="710"/>
      <c r="L1828" s="51"/>
      <c r="M1828" s="51"/>
      <c r="N1828" s="649"/>
      <c r="O1828" s="12"/>
    </row>
    <row r="1829" spans="1:15" ht="15.5" x14ac:dyDescent="0.35">
      <c r="A1829" s="616">
        <v>1</v>
      </c>
      <c r="B1829" s="100" t="s">
        <v>4025</v>
      </c>
      <c r="C1829" s="52" t="s">
        <v>3833</v>
      </c>
      <c r="D1829" s="2140"/>
      <c r="E1829" s="52" t="s">
        <v>4545</v>
      </c>
      <c r="F1829" s="812">
        <v>1</v>
      </c>
      <c r="G1829" s="21">
        <v>64534.9</v>
      </c>
      <c r="H1829" s="21">
        <v>64534.9</v>
      </c>
      <c r="I1829" s="21">
        <f>H1829-G1829</f>
        <v>0</v>
      </c>
      <c r="J1829" s="31">
        <v>1000</v>
      </c>
      <c r="K1829" s="707"/>
      <c r="L1829" s="22">
        <f>F1829*I1829*J1829</f>
        <v>0</v>
      </c>
      <c r="M1829" s="22"/>
      <c r="N1829" s="83"/>
      <c r="O1829" s="12"/>
    </row>
    <row r="1830" spans="1:15" ht="15.5" x14ac:dyDescent="0.35">
      <c r="A1830" s="616">
        <v>3</v>
      </c>
      <c r="B1830" s="100" t="s">
        <v>4027</v>
      </c>
      <c r="C1830" s="52" t="s">
        <v>3833</v>
      </c>
      <c r="D1830" s="2157"/>
      <c r="E1830" s="52" t="s">
        <v>4546</v>
      </c>
      <c r="F1830" s="812">
        <v>1</v>
      </c>
      <c r="G1830" s="21">
        <v>36589.97</v>
      </c>
      <c r="H1830" s="21">
        <v>40669.79</v>
      </c>
      <c r="I1830" s="21">
        <f>H1830-G1830</f>
        <v>4079.8199999999997</v>
      </c>
      <c r="J1830" s="31">
        <v>1000</v>
      </c>
      <c r="K1830" s="707"/>
      <c r="L1830" s="22">
        <f>F1830*I1830*J1830</f>
        <v>4079819.9999999995</v>
      </c>
      <c r="M1830" s="22"/>
      <c r="N1830" s="83"/>
      <c r="O1830" s="12"/>
    </row>
    <row r="1831" spans="1:15" ht="15" x14ac:dyDescent="0.35">
      <c r="A1831" s="636"/>
      <c r="B1831" s="96"/>
      <c r="C1831" s="90"/>
      <c r="D1831" s="96"/>
      <c r="E1831" s="90"/>
      <c r="F1831" s="813"/>
      <c r="G1831" s="38"/>
      <c r="H1831" s="38"/>
      <c r="I1831" s="38"/>
      <c r="J1831" s="96" t="s">
        <v>30</v>
      </c>
      <c r="K1831" s="708"/>
      <c r="L1831" s="43">
        <f>SUM(L1829:L1830)</f>
        <v>4079819.9999999995</v>
      </c>
      <c r="M1831" s="43">
        <f>SUM(M1829:M1830)</f>
        <v>0</v>
      </c>
      <c r="N1831" s="650">
        <f>(M1831-L1831)/L1831*100</f>
        <v>-100</v>
      </c>
      <c r="O1831" s="12"/>
    </row>
    <row r="1832" spans="1:15" ht="15.5" thickBot="1" x14ac:dyDescent="0.4">
      <c r="A1832" s="702"/>
      <c r="B1832" s="736"/>
      <c r="C1832" s="92"/>
      <c r="D1832" s="736"/>
      <c r="E1832" s="92"/>
      <c r="F1832" s="815"/>
      <c r="G1832" s="737"/>
      <c r="H1832" s="737"/>
      <c r="I1832" s="737"/>
      <c r="J1832" s="736"/>
      <c r="K1832" s="738"/>
      <c r="L1832" s="739"/>
      <c r="M1832" s="739"/>
      <c r="N1832" s="646"/>
      <c r="O1832" s="740"/>
    </row>
    <row r="1833" spans="1:15" ht="15" x14ac:dyDescent="0.35">
      <c r="A1833" s="702"/>
      <c r="B1833" s="2142" t="s">
        <v>1339</v>
      </c>
      <c r="C1833" s="2143"/>
      <c r="D1833" s="683" t="s">
        <v>14</v>
      </c>
      <c r="F1833" s="2144" t="s">
        <v>1350</v>
      </c>
      <c r="G1833" s="2145"/>
      <c r="H1833" s="2146"/>
      <c r="I1833" s="683" t="s">
        <v>14</v>
      </c>
      <c r="J1833" s="620"/>
      <c r="K1833" s="2147" t="s">
        <v>1092</v>
      </c>
      <c r="L1833" s="2148"/>
      <c r="M1833" s="684" t="s">
        <v>14</v>
      </c>
      <c r="N1833" s="646"/>
      <c r="O1833" s="740"/>
    </row>
    <row r="1834" spans="1:15" ht="15" x14ac:dyDescent="0.35">
      <c r="A1834" s="702"/>
      <c r="B1834" s="2122" t="str">
        <f>B1814</f>
        <v xml:space="preserve"> 33 KV SIDE</v>
      </c>
      <c r="C1834" s="2123"/>
      <c r="D1834" s="689">
        <f>M1817</f>
        <v>0</v>
      </c>
      <c r="F1834" s="2124" t="s">
        <v>1093</v>
      </c>
      <c r="G1834" s="2125"/>
      <c r="H1834" s="2126"/>
      <c r="I1834" s="685">
        <f>L1826</f>
        <v>0</v>
      </c>
      <c r="J1834" s="620"/>
      <c r="K1834" s="2160" t="str">
        <f>F1835</f>
        <v>BB AVENEU 33 KV NET IMPORT</v>
      </c>
      <c r="L1834" s="2161"/>
      <c r="M1834" s="687" t="e">
        <f>I1835</f>
        <v>#REF!</v>
      </c>
      <c r="N1834" s="646"/>
      <c r="O1834" s="740"/>
    </row>
    <row r="1835" spans="1:15" ht="15" x14ac:dyDescent="0.35">
      <c r="A1835" s="702"/>
      <c r="B1835" s="2122" t="e">
        <f>#REF!</f>
        <v>#REF!</v>
      </c>
      <c r="C1835" s="2123"/>
      <c r="D1835" s="741" t="e">
        <f>#REF!</f>
        <v>#REF!</v>
      </c>
      <c r="F1835" s="2124" t="s">
        <v>1574</v>
      </c>
      <c r="G1835" s="2125"/>
      <c r="H1835" s="2126"/>
      <c r="I1835" s="685" t="e">
        <f>D1838-I1834</f>
        <v>#REF!</v>
      </c>
      <c r="J1835" s="620"/>
      <c r="K1835" s="2162" t="s">
        <v>1575</v>
      </c>
      <c r="L1835" s="2163"/>
      <c r="M1835" s="685">
        <f>M1869</f>
        <v>0</v>
      </c>
      <c r="N1835" s="646"/>
      <c r="O1835" s="740"/>
    </row>
    <row r="1836" spans="1:15" ht="15" x14ac:dyDescent="0.35">
      <c r="A1836" s="702"/>
      <c r="B1836" s="2122" t="s">
        <v>1117</v>
      </c>
      <c r="C1836" s="2123"/>
      <c r="D1836" s="721"/>
      <c r="F1836" s="2124" t="s">
        <v>1089</v>
      </c>
      <c r="G1836" s="2125"/>
      <c r="H1836" s="2126"/>
      <c r="I1836" s="685" t="e">
        <f>I1834+I1835</f>
        <v>#REF!</v>
      </c>
      <c r="J1836" s="620"/>
      <c r="K1836" s="2127" t="s">
        <v>284</v>
      </c>
      <c r="L1836" s="2128"/>
      <c r="M1836" s="685" t="e">
        <f>M1834-M1835</f>
        <v>#REF!</v>
      </c>
      <c r="N1836" s="646"/>
      <c r="O1836" s="740"/>
    </row>
    <row r="1837" spans="1:15" ht="16" thickBot="1" x14ac:dyDescent="0.4">
      <c r="A1837" s="702"/>
      <c r="B1837" s="2122" t="s">
        <v>1118</v>
      </c>
      <c r="C1837" s="2123"/>
      <c r="D1837" s="722"/>
      <c r="F1837" s="2113" t="s">
        <v>1546</v>
      </c>
      <c r="G1837" s="2114"/>
      <c r="H1837" s="2115"/>
      <c r="I1837" s="690" t="e">
        <f>(D1838-I1836)/I1836</f>
        <v>#REF!</v>
      </c>
      <c r="J1837" s="620"/>
      <c r="K1837" s="2134" t="s">
        <v>285</v>
      </c>
      <c r="L1837" s="2135"/>
      <c r="M1837" s="688" t="e">
        <f>M1836/M1834</f>
        <v>#REF!</v>
      </c>
      <c r="N1837" s="646"/>
      <c r="O1837" s="740"/>
    </row>
    <row r="1838" spans="1:15" ht="15.5" thickBot="1" x14ac:dyDescent="0.4">
      <c r="A1838" s="702"/>
      <c r="B1838" s="2158" t="s">
        <v>1082</v>
      </c>
      <c r="C1838" s="2159"/>
      <c r="D1838" s="686" t="e">
        <f>SUM(D1834:D1836)</f>
        <v>#REF!</v>
      </c>
      <c r="F1838" s="810"/>
      <c r="G1838" s="620"/>
      <c r="H1838" s="620"/>
      <c r="I1838" s="620"/>
      <c r="J1838" s="620"/>
      <c r="K1838" s="702"/>
      <c r="L1838" s="620"/>
      <c r="M1838" s="620"/>
      <c r="N1838" s="646"/>
      <c r="O1838" s="740"/>
    </row>
    <row r="1839" spans="1:15" ht="15" x14ac:dyDescent="0.35">
      <c r="A1839" s="702"/>
      <c r="B1839" s="736"/>
      <c r="C1839" s="92"/>
      <c r="D1839" s="736"/>
      <c r="E1839" s="92"/>
      <c r="F1839" s="815"/>
      <c r="G1839" s="737"/>
      <c r="H1839" s="737"/>
      <c r="I1839" s="737"/>
      <c r="J1839" s="736"/>
      <c r="K1839" s="738"/>
      <c r="L1839" s="739"/>
      <c r="M1839" s="739"/>
      <c r="N1839" s="646"/>
      <c r="O1839" s="740"/>
    </row>
    <row r="1840" spans="1:15" x14ac:dyDescent="0.35">
      <c r="A1840" s="620"/>
      <c r="B1840" s="632"/>
      <c r="C1840" s="620"/>
      <c r="D1840" s="2014"/>
      <c r="E1840" s="620"/>
      <c r="F1840" s="810"/>
      <c r="G1840" s="620"/>
      <c r="H1840" s="620"/>
      <c r="I1840" s="620"/>
      <c r="J1840" s="620"/>
      <c r="K1840" s="702"/>
      <c r="L1840" s="620"/>
      <c r="M1840" s="620"/>
      <c r="N1840" s="620"/>
      <c r="O1840" s="620"/>
    </row>
    <row r="1841" spans="1:15" x14ac:dyDescent="0.35">
      <c r="A1841" s="620"/>
      <c r="B1841" s="632"/>
      <c r="C1841" s="620"/>
      <c r="D1841" s="2014"/>
      <c r="E1841" s="620"/>
      <c r="F1841" s="810"/>
      <c r="G1841" s="620"/>
      <c r="H1841" s="620"/>
      <c r="I1841" s="620"/>
      <c r="J1841" s="620"/>
      <c r="K1841" s="702"/>
      <c r="L1841" s="620"/>
      <c r="M1841" s="620"/>
      <c r="N1841" s="620"/>
      <c r="O1841" s="620"/>
    </row>
    <row r="1842" spans="1:15" ht="25" x14ac:dyDescent="0.35">
      <c r="A1842" s="2095" t="s">
        <v>1186</v>
      </c>
      <c r="B1842" s="2095"/>
      <c r="C1842" s="2095"/>
      <c r="D1842" s="2095"/>
      <c r="E1842" s="2095"/>
      <c r="F1842" s="2095"/>
      <c r="G1842" s="2095"/>
      <c r="H1842" s="2095"/>
      <c r="I1842" s="2095"/>
      <c r="J1842" s="2095"/>
      <c r="K1842" s="2095"/>
      <c r="L1842" s="2095"/>
      <c r="M1842" s="2095"/>
      <c r="N1842" s="2095"/>
      <c r="O1842" s="756" t="e">
        <f>$O$6</f>
        <v>#REF!</v>
      </c>
    </row>
    <row r="1843" spans="1:15" ht="15.5" x14ac:dyDescent="0.35">
      <c r="A1843" s="2096" t="s">
        <v>0</v>
      </c>
      <c r="B1843" s="2098" t="s">
        <v>1</v>
      </c>
      <c r="C1843" s="2100" t="s">
        <v>2</v>
      </c>
      <c r="D1843" s="2101"/>
      <c r="E1843" s="2102"/>
      <c r="F1843" s="2216" t="s">
        <v>3</v>
      </c>
      <c r="G1843" s="2100" t="s">
        <v>4</v>
      </c>
      <c r="H1843" s="2102"/>
      <c r="I1843" s="2085"/>
      <c r="J1843" s="2103" t="s">
        <v>5</v>
      </c>
      <c r="K1843" s="2100" t="s">
        <v>6</v>
      </c>
      <c r="L1843" s="2085"/>
      <c r="M1843" s="97" t="s">
        <v>32</v>
      </c>
      <c r="N1843" s="98"/>
      <c r="O1843" s="2084" t="s">
        <v>7</v>
      </c>
    </row>
    <row r="1844" spans="1:15" ht="15.5" x14ac:dyDescent="0.35">
      <c r="A1844" s="2097"/>
      <c r="B1844" s="2099"/>
      <c r="C1844" s="2086" t="s">
        <v>1108</v>
      </c>
      <c r="D1844" s="2087"/>
      <c r="E1844" s="87" t="s">
        <v>9</v>
      </c>
      <c r="F1844" s="2217"/>
      <c r="G1844" s="2">
        <f>'NORTH-1'!$G$8</f>
        <v>44774</v>
      </c>
      <c r="H1844" s="2">
        <f>'NORTH-1'!$H$8</f>
        <v>44805</v>
      </c>
      <c r="I1844" s="1" t="s">
        <v>10</v>
      </c>
      <c r="J1844" s="2097"/>
      <c r="K1844" s="1" t="s">
        <v>11</v>
      </c>
      <c r="L1844" s="1" t="s">
        <v>12</v>
      </c>
      <c r="M1844" s="617" t="s">
        <v>33</v>
      </c>
      <c r="N1844" s="76" t="s">
        <v>47</v>
      </c>
      <c r="O1844" s="2085"/>
    </row>
    <row r="1845" spans="1:15" ht="15.5" x14ac:dyDescent="0.35">
      <c r="A1845" s="3">
        <v>1</v>
      </c>
      <c r="B1845" s="88">
        <v>2</v>
      </c>
      <c r="C1845" s="2088">
        <v>4</v>
      </c>
      <c r="D1845" s="2089"/>
      <c r="E1845" s="88">
        <v>5</v>
      </c>
      <c r="F1845" s="803">
        <v>7</v>
      </c>
      <c r="G1845" s="3">
        <v>8</v>
      </c>
      <c r="H1845" s="3">
        <v>9</v>
      </c>
      <c r="I1845" s="3" t="s">
        <v>13</v>
      </c>
      <c r="J1845" s="3">
        <v>11</v>
      </c>
      <c r="K1845" s="3" t="s">
        <v>19</v>
      </c>
      <c r="L1845" s="3" t="s">
        <v>20</v>
      </c>
      <c r="M1845" s="3">
        <v>14</v>
      </c>
      <c r="N1845" s="77">
        <v>15</v>
      </c>
      <c r="O1845" s="3">
        <v>16</v>
      </c>
    </row>
    <row r="1846" spans="1:15" ht="15.5" x14ac:dyDescent="0.35">
      <c r="A1846" s="631"/>
      <c r="B1846" s="624" t="s">
        <v>1576</v>
      </c>
      <c r="C1846" s="625"/>
      <c r="D1846" s="695"/>
      <c r="E1846" s="625"/>
      <c r="F1846" s="804"/>
      <c r="G1846" s="625"/>
      <c r="H1846" s="625"/>
      <c r="I1846" s="625"/>
      <c r="J1846" s="625"/>
      <c r="K1846" s="695"/>
      <c r="L1846" s="625"/>
      <c r="M1846" s="626"/>
      <c r="N1846" s="627"/>
      <c r="O1846" s="616"/>
    </row>
    <row r="1847" spans="1:15" ht="15.5" x14ac:dyDescent="0.35">
      <c r="A1847" s="631">
        <v>13</v>
      </c>
      <c r="B1847" s="100" t="s">
        <v>4029</v>
      </c>
      <c r="C1847" s="52" t="s">
        <v>3872</v>
      </c>
      <c r="D1847" s="2105"/>
      <c r="E1847" s="52" t="s">
        <v>4547</v>
      </c>
      <c r="F1847" s="812">
        <v>1</v>
      </c>
      <c r="G1847" s="21">
        <v>64191.6</v>
      </c>
      <c r="H1847" s="21">
        <v>64191.6</v>
      </c>
      <c r="I1847" s="21">
        <f>H1847-G1847</f>
        <v>0</v>
      </c>
      <c r="J1847" s="616">
        <v>1000</v>
      </c>
      <c r="K1847" s="696">
        <f>F1847*I1847*J1847</f>
        <v>0</v>
      </c>
      <c r="L1847" s="22"/>
      <c r="M1847" s="22"/>
      <c r="N1847" s="82"/>
      <c r="O1847" s="616"/>
    </row>
    <row r="1848" spans="1:15" ht="15.5" x14ac:dyDescent="0.35">
      <c r="A1848" s="631">
        <v>14</v>
      </c>
      <c r="B1848" s="100" t="s">
        <v>4030</v>
      </c>
      <c r="C1848" s="52" t="s">
        <v>3872</v>
      </c>
      <c r="D1848" s="2151"/>
      <c r="E1848" s="52" t="s">
        <v>4548</v>
      </c>
      <c r="F1848" s="812">
        <v>1</v>
      </c>
      <c r="G1848" s="21">
        <v>36208.910000000003</v>
      </c>
      <c r="H1848" s="21">
        <v>40266.800000000003</v>
      </c>
      <c r="I1848" s="21">
        <f>H1848-G1848</f>
        <v>4057.8899999999994</v>
      </c>
      <c r="J1848" s="616">
        <v>1000</v>
      </c>
      <c r="K1848" s="696">
        <f>F1848*I1848*J1848</f>
        <v>4057889.9999999995</v>
      </c>
      <c r="L1848" s="22"/>
      <c r="M1848" s="22"/>
      <c r="N1848" s="82"/>
      <c r="O1848" s="616"/>
    </row>
    <row r="1849" spans="1:15" ht="15.5" x14ac:dyDescent="0.35">
      <c r="A1849" s="631"/>
      <c r="B1849" s="102"/>
      <c r="C1849" s="91"/>
      <c r="D1849" s="726"/>
      <c r="E1849" s="91"/>
      <c r="F1849" s="814"/>
      <c r="G1849" s="48"/>
      <c r="H1849" s="48"/>
      <c r="I1849" s="48"/>
      <c r="J1849" s="39" t="s">
        <v>30</v>
      </c>
      <c r="K1849" s="43">
        <f>SUM(K1847:K1848)</f>
        <v>4057889.9999999995</v>
      </c>
      <c r="L1849" s="49"/>
      <c r="M1849" s="43">
        <f>SUM(M1847:M1848)</f>
        <v>0</v>
      </c>
      <c r="N1849" s="85"/>
      <c r="O1849" s="616"/>
    </row>
    <row r="1850" spans="1:15" ht="15.5" x14ac:dyDescent="0.35">
      <c r="A1850" s="631"/>
      <c r="B1850" s="647" t="s">
        <v>1576</v>
      </c>
      <c r="C1850" s="648"/>
      <c r="D1850" s="700"/>
      <c r="E1850" s="648"/>
      <c r="F1850" s="807"/>
      <c r="G1850" s="648"/>
      <c r="H1850" s="648"/>
      <c r="I1850" s="648"/>
      <c r="J1850" s="50"/>
      <c r="K1850" s="710"/>
      <c r="L1850" s="51"/>
      <c r="M1850" s="51"/>
      <c r="N1850" s="649"/>
      <c r="O1850" s="616"/>
    </row>
    <row r="1851" spans="1:15" ht="18.75" customHeight="1" x14ac:dyDescent="0.35">
      <c r="A1851" s="631">
        <v>6</v>
      </c>
      <c r="B1851" s="100" t="s">
        <v>4549</v>
      </c>
      <c r="C1851" s="73" t="s">
        <v>3872</v>
      </c>
      <c r="D1851" s="1768"/>
      <c r="E1851" s="52" t="s">
        <v>4550</v>
      </c>
      <c r="F1851" s="812">
        <v>1</v>
      </c>
      <c r="G1851" s="6">
        <v>2212.79</v>
      </c>
      <c r="H1851" s="6">
        <v>2327.67</v>
      </c>
      <c r="I1851" s="20">
        <f t="shared" ref="I1851:I1868" si="59">H1851-G1851</f>
        <v>114.88000000000011</v>
      </c>
      <c r="J1851" s="616">
        <v>1000</v>
      </c>
      <c r="K1851" s="703"/>
      <c r="L1851" s="22">
        <f t="shared" ref="L1851:L1868" si="60">F1851*I1851*J1851</f>
        <v>114880.00000000012</v>
      </c>
      <c r="M1851" s="22"/>
      <c r="N1851" s="72" t="s">
        <v>111</v>
      </c>
      <c r="O1851" s="15"/>
    </row>
    <row r="1852" spans="1:15" ht="18.75" customHeight="1" x14ac:dyDescent="0.35">
      <c r="A1852" s="631"/>
      <c r="B1852" s="100" t="s">
        <v>4551</v>
      </c>
      <c r="C1852" s="73" t="s">
        <v>3872</v>
      </c>
      <c r="D1852" s="1769"/>
      <c r="E1852" s="52" t="s">
        <v>4552</v>
      </c>
      <c r="F1852" s="812">
        <v>1</v>
      </c>
      <c r="G1852" s="6">
        <v>13495.12</v>
      </c>
      <c r="H1852" s="6">
        <v>13967.35</v>
      </c>
      <c r="I1852" s="20">
        <f t="shared" si="59"/>
        <v>472.22999999999956</v>
      </c>
      <c r="J1852" s="616">
        <v>1000</v>
      </c>
      <c r="K1852" s="703"/>
      <c r="L1852" s="22">
        <f t="shared" si="60"/>
        <v>472229.99999999953</v>
      </c>
      <c r="M1852" s="22"/>
      <c r="N1852" s="72" t="s">
        <v>97</v>
      </c>
      <c r="O1852" s="15"/>
    </row>
    <row r="1853" spans="1:15" ht="18.75" customHeight="1" x14ac:dyDescent="0.35">
      <c r="A1853" s="631">
        <v>7</v>
      </c>
      <c r="B1853" s="100" t="s">
        <v>4553</v>
      </c>
      <c r="C1853" s="73" t="s">
        <v>3872</v>
      </c>
      <c r="D1853" s="1769"/>
      <c r="E1853" s="52" t="s">
        <v>4554</v>
      </c>
      <c r="F1853" s="812">
        <v>1</v>
      </c>
      <c r="G1853" s="6">
        <v>8828.52</v>
      </c>
      <c r="H1853" s="6">
        <v>9311.5300000000007</v>
      </c>
      <c r="I1853" s="20">
        <f t="shared" si="59"/>
        <v>483.01000000000022</v>
      </c>
      <c r="J1853" s="616">
        <v>1000</v>
      </c>
      <c r="K1853" s="703"/>
      <c r="L1853" s="22">
        <f t="shared" si="60"/>
        <v>483010.00000000023</v>
      </c>
      <c r="M1853" s="22"/>
      <c r="N1853" s="72" t="s">
        <v>111</v>
      </c>
      <c r="O1853" s="15"/>
    </row>
    <row r="1854" spans="1:15" ht="18.75" customHeight="1" x14ac:dyDescent="0.35">
      <c r="A1854" s="631">
        <v>8</v>
      </c>
      <c r="B1854" s="100" t="s">
        <v>4555</v>
      </c>
      <c r="C1854" s="73" t="s">
        <v>3872</v>
      </c>
      <c r="D1854" s="1769"/>
      <c r="E1854" s="52" t="s">
        <v>4556</v>
      </c>
      <c r="F1854" s="812">
        <v>1</v>
      </c>
      <c r="G1854" s="6">
        <v>19759.72</v>
      </c>
      <c r="H1854" s="6">
        <v>20499.47</v>
      </c>
      <c r="I1854" s="20">
        <f t="shared" si="59"/>
        <v>739.75</v>
      </c>
      <c r="J1854" s="616">
        <v>1000</v>
      </c>
      <c r="K1854" s="703"/>
      <c r="L1854" s="22">
        <f t="shared" si="60"/>
        <v>739750</v>
      </c>
      <c r="M1854" s="22"/>
      <c r="N1854" s="72" t="s">
        <v>111</v>
      </c>
      <c r="O1854" s="15"/>
    </row>
    <row r="1855" spans="1:15" ht="18.75" customHeight="1" x14ac:dyDescent="0.35">
      <c r="A1855" s="631">
        <v>9</v>
      </c>
      <c r="B1855" s="100" t="s">
        <v>4557</v>
      </c>
      <c r="C1855" s="73" t="s">
        <v>3872</v>
      </c>
      <c r="D1855" s="1769"/>
      <c r="E1855" s="52" t="s">
        <v>4558</v>
      </c>
      <c r="F1855" s="812">
        <v>1</v>
      </c>
      <c r="G1855" s="6">
        <v>9286.26</v>
      </c>
      <c r="H1855" s="6">
        <v>9648.6</v>
      </c>
      <c r="I1855" s="20">
        <f t="shared" si="59"/>
        <v>362.34000000000015</v>
      </c>
      <c r="J1855" s="616">
        <v>1000</v>
      </c>
      <c r="K1855" s="703"/>
      <c r="L1855" s="22">
        <f t="shared" si="60"/>
        <v>362340.00000000012</v>
      </c>
      <c r="M1855" s="22"/>
      <c r="N1855" s="72" t="s">
        <v>97</v>
      </c>
      <c r="O1855" s="15"/>
    </row>
    <row r="1856" spans="1:15" ht="18.75" customHeight="1" x14ac:dyDescent="0.35">
      <c r="A1856" s="631">
        <v>10</v>
      </c>
      <c r="B1856" s="100" t="s">
        <v>4559</v>
      </c>
      <c r="C1856" s="73" t="s">
        <v>3872</v>
      </c>
      <c r="D1856" s="1769"/>
      <c r="E1856" s="52" t="s">
        <v>4560</v>
      </c>
      <c r="F1856" s="812">
        <v>1</v>
      </c>
      <c r="G1856" s="6">
        <v>7672.77</v>
      </c>
      <c r="H1856" s="6">
        <v>7996.3</v>
      </c>
      <c r="I1856" s="20">
        <f t="shared" si="59"/>
        <v>323.52999999999975</v>
      </c>
      <c r="J1856" s="616">
        <v>1000</v>
      </c>
      <c r="K1856" s="703"/>
      <c r="L1856" s="22">
        <f t="shared" si="60"/>
        <v>323529.99999999977</v>
      </c>
      <c r="M1856" s="22"/>
      <c r="N1856" s="72" t="s">
        <v>111</v>
      </c>
      <c r="O1856" s="15"/>
    </row>
    <row r="1857" spans="1:15" ht="18.75" customHeight="1" x14ac:dyDescent="0.35">
      <c r="A1857" s="631">
        <v>11</v>
      </c>
      <c r="B1857" s="100" t="s">
        <v>4561</v>
      </c>
      <c r="C1857" s="73" t="s">
        <v>3872</v>
      </c>
      <c r="D1857" s="1769"/>
      <c r="E1857" s="52" t="s">
        <v>4562</v>
      </c>
      <c r="F1857" s="812">
        <v>1</v>
      </c>
      <c r="G1857" s="6">
        <v>13987.28</v>
      </c>
      <c r="H1857" s="6">
        <v>14504.98</v>
      </c>
      <c r="I1857" s="20">
        <f t="shared" si="59"/>
        <v>517.69999999999891</v>
      </c>
      <c r="J1857" s="616">
        <v>1000</v>
      </c>
      <c r="K1857" s="703"/>
      <c r="L1857" s="22">
        <f t="shared" si="60"/>
        <v>517699.99999999889</v>
      </c>
      <c r="M1857" s="22"/>
      <c r="N1857" s="72" t="s">
        <v>97</v>
      </c>
      <c r="O1857" s="15"/>
    </row>
    <row r="1858" spans="1:15" ht="18.75" customHeight="1" x14ac:dyDescent="0.35">
      <c r="A1858" s="631">
        <v>12</v>
      </c>
      <c r="B1858" s="100" t="s">
        <v>4288</v>
      </c>
      <c r="C1858" s="73" t="s">
        <v>3872</v>
      </c>
      <c r="D1858" s="1769"/>
      <c r="E1858" s="52" t="s">
        <v>4563</v>
      </c>
      <c r="F1858" s="812">
        <v>1</v>
      </c>
      <c r="G1858" s="6"/>
      <c r="H1858" s="6"/>
      <c r="I1858" s="20">
        <f t="shared" si="59"/>
        <v>0</v>
      </c>
      <c r="J1858" s="616">
        <v>1000</v>
      </c>
      <c r="K1858" s="703"/>
      <c r="L1858" s="22">
        <f t="shared" si="60"/>
        <v>0</v>
      </c>
      <c r="M1858" s="22"/>
      <c r="N1858" s="72"/>
      <c r="O1858" s="15"/>
    </row>
    <row r="1859" spans="1:15" ht="18.75" customHeight="1" x14ac:dyDescent="0.35">
      <c r="A1859" s="631">
        <v>15</v>
      </c>
      <c r="B1859" s="100" t="s">
        <v>1446</v>
      </c>
      <c r="C1859" s="73" t="s">
        <v>3872</v>
      </c>
      <c r="D1859" s="1769"/>
      <c r="E1859" s="52" t="s">
        <v>4564</v>
      </c>
      <c r="F1859" s="812">
        <v>1</v>
      </c>
      <c r="G1859" s="6"/>
      <c r="H1859" s="6"/>
      <c r="I1859" s="20">
        <f t="shared" si="59"/>
        <v>0</v>
      </c>
      <c r="J1859" s="616">
        <v>1000</v>
      </c>
      <c r="K1859" s="703"/>
      <c r="L1859" s="22">
        <f t="shared" si="60"/>
        <v>0</v>
      </c>
      <c r="M1859" s="22"/>
      <c r="N1859" s="72"/>
      <c r="O1859" s="15"/>
    </row>
    <row r="1860" spans="1:15" ht="18.75" customHeight="1" x14ac:dyDescent="0.35">
      <c r="A1860" s="631">
        <v>16</v>
      </c>
      <c r="B1860" s="100" t="s">
        <v>4565</v>
      </c>
      <c r="C1860" s="73" t="s">
        <v>3872</v>
      </c>
      <c r="D1860" s="1769"/>
      <c r="E1860" s="52" t="s">
        <v>4566</v>
      </c>
      <c r="F1860" s="812">
        <v>1</v>
      </c>
      <c r="G1860" s="6">
        <v>7245.04</v>
      </c>
      <c r="H1860" s="6">
        <v>7622.08</v>
      </c>
      <c r="I1860" s="20">
        <f t="shared" si="59"/>
        <v>377.03999999999996</v>
      </c>
      <c r="J1860" s="616">
        <v>1000</v>
      </c>
      <c r="K1860" s="703"/>
      <c r="L1860" s="22">
        <f t="shared" si="60"/>
        <v>377039.99999999994</v>
      </c>
      <c r="M1860" s="22"/>
      <c r="N1860" s="72" t="s">
        <v>111</v>
      </c>
      <c r="O1860" s="15"/>
    </row>
    <row r="1861" spans="1:15" ht="18.75" customHeight="1" x14ac:dyDescent="0.35">
      <c r="A1861" s="631">
        <v>17</v>
      </c>
      <c r="B1861" s="100" t="s">
        <v>4507</v>
      </c>
      <c r="C1861" s="73" t="s">
        <v>3872</v>
      </c>
      <c r="D1861" s="1769"/>
      <c r="E1861" s="52" t="s">
        <v>4567</v>
      </c>
      <c r="F1861" s="812">
        <v>3</v>
      </c>
      <c r="G1861" s="6">
        <v>1711.57</v>
      </c>
      <c r="H1861" s="6">
        <v>1794.86</v>
      </c>
      <c r="I1861" s="20">
        <f t="shared" si="59"/>
        <v>83.289999999999964</v>
      </c>
      <c r="J1861" s="616">
        <v>1000</v>
      </c>
      <c r="K1861" s="703"/>
      <c r="L1861" s="22">
        <f t="shared" si="60"/>
        <v>249869.99999999988</v>
      </c>
      <c r="M1861" s="22"/>
      <c r="N1861" s="72" t="s">
        <v>111</v>
      </c>
      <c r="O1861" s="15"/>
    </row>
    <row r="1862" spans="1:15" ht="18.75" customHeight="1" x14ac:dyDescent="0.35">
      <c r="A1862" s="631">
        <v>18</v>
      </c>
      <c r="B1862" s="100" t="s">
        <v>4568</v>
      </c>
      <c r="C1862" s="73" t="s">
        <v>3872</v>
      </c>
      <c r="D1862" s="1769"/>
      <c r="E1862" s="52" t="s">
        <v>4569</v>
      </c>
      <c r="F1862" s="812">
        <v>1</v>
      </c>
      <c r="G1862" s="6">
        <v>3570.36</v>
      </c>
      <c r="H1862" s="6">
        <v>3708.82</v>
      </c>
      <c r="I1862" s="20">
        <f t="shared" si="59"/>
        <v>138.46000000000004</v>
      </c>
      <c r="J1862" s="616">
        <v>1000</v>
      </c>
      <c r="K1862" s="703"/>
      <c r="L1862" s="22">
        <f t="shared" si="60"/>
        <v>138460.00000000003</v>
      </c>
      <c r="M1862" s="22"/>
      <c r="N1862" s="72" t="s">
        <v>111</v>
      </c>
      <c r="O1862" s="15"/>
    </row>
    <row r="1863" spans="1:15" ht="18.75" customHeight="1" x14ac:dyDescent="0.35">
      <c r="A1863" s="631">
        <v>19</v>
      </c>
      <c r="B1863" s="100" t="s">
        <v>1446</v>
      </c>
      <c r="C1863" s="73" t="s">
        <v>3872</v>
      </c>
      <c r="D1863" s="1769"/>
      <c r="E1863" s="52" t="s">
        <v>4570</v>
      </c>
      <c r="F1863" s="812">
        <v>1</v>
      </c>
      <c r="G1863" s="6"/>
      <c r="H1863" s="6"/>
      <c r="I1863" s="20">
        <f t="shared" si="59"/>
        <v>0</v>
      </c>
      <c r="J1863" s="616">
        <v>1000</v>
      </c>
      <c r="K1863" s="703"/>
      <c r="L1863" s="22">
        <f t="shared" si="60"/>
        <v>0</v>
      </c>
      <c r="M1863" s="22"/>
      <c r="N1863" s="72"/>
      <c r="O1863" s="15"/>
    </row>
    <row r="1864" spans="1:15" ht="18.75" customHeight="1" x14ac:dyDescent="0.35">
      <c r="A1864" s="631">
        <v>20</v>
      </c>
      <c r="B1864" s="100" t="s">
        <v>4571</v>
      </c>
      <c r="C1864" s="73" t="s">
        <v>3872</v>
      </c>
      <c r="D1864" s="1769"/>
      <c r="E1864" s="52" t="s">
        <v>4572</v>
      </c>
      <c r="F1864" s="812">
        <v>1</v>
      </c>
      <c r="G1864" s="6">
        <v>1339.72</v>
      </c>
      <c r="H1864" s="6">
        <v>1357.5</v>
      </c>
      <c r="I1864" s="20">
        <f t="shared" si="59"/>
        <v>17.779999999999973</v>
      </c>
      <c r="J1864" s="616">
        <v>1000</v>
      </c>
      <c r="K1864" s="703"/>
      <c r="L1864" s="22">
        <f t="shared" si="60"/>
        <v>17779.999999999971</v>
      </c>
      <c r="M1864" s="22"/>
      <c r="N1864" s="72" t="s">
        <v>111</v>
      </c>
      <c r="O1864" s="15"/>
    </row>
    <row r="1865" spans="1:15" ht="18.75" customHeight="1" x14ac:dyDescent="0.35">
      <c r="A1865" s="631">
        <v>21</v>
      </c>
      <c r="B1865" s="100" t="s">
        <v>4573</v>
      </c>
      <c r="C1865" s="73" t="s">
        <v>3872</v>
      </c>
      <c r="D1865" s="1769"/>
      <c r="E1865" s="52" t="s">
        <v>4574</v>
      </c>
      <c r="F1865" s="812">
        <v>1</v>
      </c>
      <c r="G1865" s="6">
        <v>7099.81</v>
      </c>
      <c r="H1865" s="6">
        <v>7365.52</v>
      </c>
      <c r="I1865" s="20">
        <f t="shared" si="59"/>
        <v>265.71000000000004</v>
      </c>
      <c r="J1865" s="616">
        <v>1000</v>
      </c>
      <c r="K1865" s="703"/>
      <c r="L1865" s="22">
        <f t="shared" si="60"/>
        <v>265710.00000000006</v>
      </c>
      <c r="M1865" s="22"/>
      <c r="N1865" s="72" t="s">
        <v>111</v>
      </c>
      <c r="O1865" s="15"/>
    </row>
    <row r="1866" spans="1:15" ht="18.75" customHeight="1" x14ac:dyDescent="0.35">
      <c r="A1866" s="631">
        <v>22</v>
      </c>
      <c r="B1866" s="100" t="s">
        <v>4575</v>
      </c>
      <c r="C1866" s="73" t="s">
        <v>3872</v>
      </c>
      <c r="D1866" s="1769"/>
      <c r="E1866" s="52" t="s">
        <v>4576</v>
      </c>
      <c r="F1866" s="812">
        <v>1</v>
      </c>
      <c r="G1866" s="6">
        <v>4634.1400000000003</v>
      </c>
      <c r="H1866" s="6">
        <v>4793.66</v>
      </c>
      <c r="I1866" s="20">
        <f t="shared" si="59"/>
        <v>159.51999999999953</v>
      </c>
      <c r="J1866" s="616">
        <v>1000</v>
      </c>
      <c r="K1866" s="703"/>
      <c r="L1866" s="22">
        <f t="shared" si="60"/>
        <v>159519.99999999953</v>
      </c>
      <c r="M1866" s="22"/>
      <c r="N1866" s="72" t="s">
        <v>111</v>
      </c>
      <c r="O1866" s="15"/>
    </row>
    <row r="1867" spans="1:15" ht="18.75" customHeight="1" x14ac:dyDescent="0.35">
      <c r="A1867" s="631">
        <v>23</v>
      </c>
      <c r="B1867" s="100" t="s">
        <v>3984</v>
      </c>
      <c r="C1867" s="73" t="s">
        <v>3867</v>
      </c>
      <c r="D1867" s="1769"/>
      <c r="E1867" s="52" t="s">
        <v>4577</v>
      </c>
      <c r="F1867" s="812">
        <v>1</v>
      </c>
      <c r="G1867" s="6">
        <v>891.8</v>
      </c>
      <c r="H1867" s="6">
        <v>891.8</v>
      </c>
      <c r="I1867" s="20">
        <f t="shared" si="59"/>
        <v>0</v>
      </c>
      <c r="J1867" s="616">
        <v>100</v>
      </c>
      <c r="K1867" s="703"/>
      <c r="L1867" s="22">
        <f t="shared" si="60"/>
        <v>0</v>
      </c>
      <c r="M1867" s="22"/>
      <c r="N1867" s="72" t="s">
        <v>111</v>
      </c>
      <c r="O1867" s="15"/>
    </row>
    <row r="1868" spans="1:15" ht="18.75" customHeight="1" x14ac:dyDescent="0.35">
      <c r="A1868" s="631">
        <v>24</v>
      </c>
      <c r="B1868" s="100" t="s">
        <v>3985</v>
      </c>
      <c r="C1868" s="73" t="s">
        <v>3867</v>
      </c>
      <c r="D1868" s="766"/>
      <c r="E1868" s="52" t="s">
        <v>4056</v>
      </c>
      <c r="F1868" s="812">
        <v>1</v>
      </c>
      <c r="G1868" s="6">
        <v>33.81</v>
      </c>
      <c r="H1868" s="6">
        <v>36.6</v>
      </c>
      <c r="I1868" s="20">
        <f t="shared" si="59"/>
        <v>2.7899999999999991</v>
      </c>
      <c r="J1868" s="616">
        <v>100</v>
      </c>
      <c r="K1868" s="703"/>
      <c r="L1868" s="22">
        <f t="shared" si="60"/>
        <v>278.99999999999989</v>
      </c>
      <c r="M1868" s="22"/>
      <c r="N1868" s="72" t="s">
        <v>111</v>
      </c>
      <c r="O1868" s="15"/>
    </row>
    <row r="1869" spans="1:15" ht="20" x14ac:dyDescent="0.35">
      <c r="A1869" s="636"/>
      <c r="B1869" s="96"/>
      <c r="C1869" s="90"/>
      <c r="D1869" s="96"/>
      <c r="E1869" s="90"/>
      <c r="F1869" s="813"/>
      <c r="G1869" s="38"/>
      <c r="H1869" s="38"/>
      <c r="I1869" s="38"/>
      <c r="J1869" s="53" t="s">
        <v>44</v>
      </c>
      <c r="K1869" s="43">
        <f>K1849</f>
        <v>4057889.9999999995</v>
      </c>
      <c r="L1869" s="43">
        <f>SUM(L1851:L1868)</f>
        <v>4222098.9999999981</v>
      </c>
      <c r="M1869" s="43">
        <f>SUM(M1851:M1868)</f>
        <v>0</v>
      </c>
      <c r="N1869" s="84">
        <f>(M1869-L1869)/L1869*100</f>
        <v>-100</v>
      </c>
      <c r="O1869" s="29"/>
    </row>
    <row r="1871" spans="1:15" ht="15" x14ac:dyDescent="0.35">
      <c r="A1871" s="620"/>
      <c r="B1871" s="635"/>
      <c r="C1871" s="632"/>
      <c r="D1871" s="1900"/>
      <c r="F1871" s="2092" t="s">
        <v>1099</v>
      </c>
      <c r="G1871" s="2092"/>
      <c r="H1871" s="2092"/>
      <c r="I1871" s="677" t="s">
        <v>14</v>
      </c>
      <c r="J1871" s="620"/>
      <c r="K1871" s="702"/>
      <c r="L1871" s="620"/>
      <c r="M1871" s="620"/>
      <c r="N1871" s="632"/>
      <c r="O1871" s="620"/>
    </row>
    <row r="1872" spans="1:15" ht="15.5" x14ac:dyDescent="0.35">
      <c r="A1872" s="620"/>
      <c r="B1872" s="635"/>
      <c r="C1872" s="632"/>
      <c r="D1872" s="1900"/>
      <c r="F1872" s="2153" t="s">
        <v>232</v>
      </c>
      <c r="G1872" s="2154"/>
      <c r="H1872" s="2155"/>
      <c r="I1872" s="643">
        <f>SUM(M1851:M1852,M1862)</f>
        <v>0</v>
      </c>
      <c r="J1872" s="620"/>
      <c r="K1872" s="702"/>
      <c r="L1872" s="620"/>
      <c r="M1872" s="620"/>
      <c r="N1872" s="632"/>
      <c r="O1872" s="620" t="s">
        <v>237</v>
      </c>
    </row>
    <row r="1873" spans="1:15" ht="15.5" x14ac:dyDescent="0.35">
      <c r="A1873" s="620"/>
      <c r="B1873" s="635"/>
      <c r="C1873" s="632"/>
      <c r="D1873" s="1900"/>
      <c r="F1873" s="2153" t="s">
        <v>268</v>
      </c>
      <c r="G1873" s="2154"/>
      <c r="H1873" s="2155"/>
      <c r="I1873" s="643">
        <f>SUM(M1853:M1854,M1863,M1865,M1866,M1868)</f>
        <v>0</v>
      </c>
      <c r="J1873" s="620"/>
      <c r="K1873" s="702"/>
      <c r="L1873" s="620"/>
      <c r="M1873" s="620"/>
      <c r="N1873" s="632"/>
      <c r="O1873" s="620"/>
    </row>
    <row r="1874" spans="1:15" ht="16" thickBot="1" x14ac:dyDescent="0.4">
      <c r="A1874" s="620"/>
      <c r="B1874" s="635"/>
      <c r="C1874" s="632"/>
      <c r="D1874" s="1900"/>
      <c r="F1874" s="2153" t="s">
        <v>269</v>
      </c>
      <c r="G1874" s="2154"/>
      <c r="H1874" s="2155"/>
      <c r="I1874" s="643">
        <f>SUM(M1864,M1867)</f>
        <v>0</v>
      </c>
      <c r="J1874" s="620"/>
      <c r="K1874" s="702"/>
      <c r="L1874" s="620"/>
      <c r="M1874" s="620"/>
      <c r="N1874" s="632"/>
      <c r="O1874" s="620"/>
    </row>
    <row r="1875" spans="1:15" ht="20.5" thickBot="1" x14ac:dyDescent="0.4">
      <c r="A1875" s="620"/>
      <c r="B1875" s="635"/>
      <c r="C1875" s="632"/>
      <c r="D1875" s="1900"/>
      <c r="E1875" s="632"/>
      <c r="F1875" s="2156" t="s">
        <v>210</v>
      </c>
      <c r="G1875" s="2156"/>
      <c r="H1875" s="2156"/>
      <c r="I1875" s="656">
        <f>SUM(I1872:I1874)</f>
        <v>0</v>
      </c>
      <c r="J1875" s="682">
        <f>I1875-M1869</f>
        <v>0</v>
      </c>
      <c r="K1875" s="702"/>
      <c r="L1875" s="620"/>
      <c r="M1875" s="620"/>
      <c r="N1875" s="632"/>
      <c r="O1875" s="620"/>
    </row>
    <row r="1876" spans="1:15" x14ac:dyDescent="0.35">
      <c r="A1876" s="620"/>
      <c r="B1876" s="635"/>
      <c r="C1876" s="632"/>
      <c r="D1876" s="1900"/>
      <c r="E1876" s="632"/>
      <c r="F1876" s="810"/>
      <c r="G1876" s="620"/>
      <c r="H1876" s="620"/>
      <c r="I1876" s="620"/>
      <c r="J1876" s="620"/>
      <c r="K1876" s="702"/>
      <c r="L1876" s="620"/>
      <c r="M1876" s="620"/>
      <c r="N1876" s="632"/>
      <c r="O1876" s="620"/>
    </row>
    <row r="1877" spans="1:15" x14ac:dyDescent="0.35">
      <c r="A1877" s="620"/>
      <c r="B1877" s="635"/>
      <c r="C1877" s="632"/>
      <c r="D1877" s="1900"/>
      <c r="E1877" s="632"/>
      <c r="F1877" s="810"/>
      <c r="G1877" s="620"/>
      <c r="H1877" s="620"/>
      <c r="I1877" s="620"/>
      <c r="J1877" s="620"/>
      <c r="K1877" s="702"/>
      <c r="L1877" s="620"/>
      <c r="M1877" s="620"/>
      <c r="N1877" s="632"/>
      <c r="O1877" s="620"/>
    </row>
    <row r="1878" spans="1:15" x14ac:dyDescent="0.35">
      <c r="A1878" s="620"/>
      <c r="B1878" s="635"/>
      <c r="C1878" s="632"/>
      <c r="D1878" s="1900"/>
      <c r="E1878" s="632"/>
      <c r="F1878" s="810"/>
      <c r="G1878" s="620"/>
      <c r="H1878" s="620"/>
      <c r="I1878" s="620"/>
      <c r="J1878" s="620"/>
      <c r="K1878" s="702"/>
      <c r="L1878" s="620"/>
      <c r="M1878" s="620"/>
      <c r="N1878" s="632"/>
      <c r="O1878" s="620"/>
    </row>
    <row r="1879" spans="1:15" x14ac:dyDescent="0.35">
      <c r="A1879" s="620"/>
      <c r="B1879" s="635"/>
      <c r="C1879" s="632"/>
      <c r="D1879" s="1900"/>
      <c r="E1879" s="632"/>
      <c r="F1879" s="810"/>
      <c r="G1879" s="620"/>
      <c r="H1879" s="620"/>
      <c r="I1879" s="620"/>
      <c r="J1879" s="620"/>
      <c r="K1879" s="702"/>
      <c r="L1879" s="620"/>
      <c r="M1879" s="620"/>
      <c r="N1879" s="632"/>
      <c r="O1879" s="620"/>
    </row>
    <row r="1880" spans="1:15" x14ac:dyDescent="0.35">
      <c r="A1880" s="620"/>
      <c r="B1880" s="635"/>
      <c r="C1880" s="632"/>
      <c r="D1880" s="1900"/>
      <c r="E1880" s="632"/>
      <c r="F1880" s="810"/>
      <c r="G1880" s="620"/>
      <c r="H1880" s="620"/>
      <c r="I1880" s="620"/>
      <c r="J1880" s="620"/>
      <c r="K1880" s="702"/>
      <c r="L1880" s="620"/>
      <c r="M1880" s="620"/>
      <c r="N1880" s="632"/>
      <c r="O1880" s="620"/>
    </row>
    <row r="1881" spans="1:15" x14ac:dyDescent="0.35">
      <c r="A1881" s="620"/>
      <c r="B1881" s="632"/>
      <c r="C1881" s="632"/>
      <c r="D1881" s="1900"/>
      <c r="E1881" s="632"/>
      <c r="F1881" s="810"/>
      <c r="G1881" s="620"/>
      <c r="H1881" s="620"/>
      <c r="I1881" s="620"/>
      <c r="J1881" s="620"/>
      <c r="K1881" s="702"/>
      <c r="L1881" s="620"/>
      <c r="M1881" s="620"/>
      <c r="N1881" s="632"/>
      <c r="O1881" s="620"/>
    </row>
    <row r="1882" spans="1:15" x14ac:dyDescent="0.35">
      <c r="A1882" s="620"/>
      <c r="B1882" s="632"/>
      <c r="C1882" s="632"/>
      <c r="D1882" s="1900"/>
      <c r="E1882" s="632"/>
      <c r="F1882" s="810"/>
      <c r="G1882" s="620"/>
      <c r="H1882" s="620"/>
      <c r="I1882" s="620"/>
      <c r="J1882" s="620"/>
      <c r="K1882" s="702"/>
      <c r="L1882" s="620"/>
      <c r="M1882" s="620"/>
      <c r="N1882" s="632"/>
      <c r="O1882" s="620"/>
    </row>
    <row r="1883" spans="1:15" x14ac:dyDescent="0.35">
      <c r="A1883" s="620"/>
      <c r="B1883" s="635"/>
      <c r="C1883" s="632"/>
      <c r="D1883" s="1900"/>
      <c r="E1883" s="632"/>
      <c r="F1883" s="810"/>
      <c r="G1883" s="620"/>
      <c r="H1883" s="620"/>
      <c r="I1883" s="620"/>
      <c r="J1883" s="620"/>
      <c r="K1883" s="702"/>
      <c r="L1883" s="620"/>
      <c r="M1883" s="620"/>
      <c r="N1883" s="632"/>
      <c r="O1883" s="620"/>
    </row>
    <row r="1884" spans="1:15" x14ac:dyDescent="0.35">
      <c r="A1884" s="620"/>
      <c r="B1884" s="635"/>
      <c r="C1884" s="632"/>
      <c r="D1884" s="1900"/>
      <c r="E1884" s="632"/>
      <c r="F1884" s="810"/>
      <c r="G1884" s="620"/>
      <c r="H1884" s="620"/>
      <c r="I1884" s="620"/>
      <c r="J1884" s="620"/>
      <c r="K1884" s="702"/>
      <c r="L1884" s="620"/>
      <c r="M1884" s="620"/>
      <c r="N1884" s="632"/>
      <c r="O1884" s="620"/>
    </row>
    <row r="1885" spans="1:15" x14ac:dyDescent="0.35">
      <c r="A1885" s="620"/>
      <c r="B1885" s="635"/>
      <c r="C1885" s="632"/>
      <c r="D1885" s="1900"/>
      <c r="E1885" s="632"/>
      <c r="F1885" s="810"/>
      <c r="G1885" s="620"/>
      <c r="H1885" s="620"/>
      <c r="I1885" s="620"/>
      <c r="J1885" s="620"/>
      <c r="K1885" s="702"/>
      <c r="L1885" s="620"/>
      <c r="M1885" s="620"/>
      <c r="N1885" s="632"/>
      <c r="O1885" s="620"/>
    </row>
    <row r="1886" spans="1:15" ht="25" x14ac:dyDescent="0.35">
      <c r="A1886" s="28"/>
      <c r="B1886" s="2152"/>
      <c r="C1886" s="2152"/>
      <c r="D1886" s="2152"/>
      <c r="E1886" s="2152"/>
      <c r="F1886" s="2152"/>
      <c r="G1886" s="2152"/>
      <c r="H1886" s="2152"/>
      <c r="I1886" s="2152"/>
      <c r="J1886" s="2152"/>
      <c r="K1886" s="2152"/>
      <c r="L1886" s="2152"/>
      <c r="M1886" s="2152"/>
      <c r="N1886" s="632"/>
      <c r="O1886" s="620"/>
    </row>
    <row r="1887" spans="1:15" x14ac:dyDescent="0.35">
      <c r="A1887" s="620"/>
      <c r="B1887" s="635"/>
      <c r="C1887" s="632"/>
      <c r="D1887" s="1900"/>
      <c r="E1887" s="632"/>
      <c r="F1887" s="810"/>
      <c r="G1887" s="620"/>
      <c r="H1887" s="620"/>
      <c r="I1887" s="620"/>
      <c r="J1887" s="620"/>
      <c r="K1887" s="702"/>
      <c r="L1887" s="620"/>
      <c r="M1887" s="620"/>
      <c r="N1887" s="632"/>
      <c r="O1887" s="620"/>
    </row>
    <row r="1888" spans="1:15" x14ac:dyDescent="0.35">
      <c r="A1888" s="620"/>
      <c r="B1888" s="635"/>
      <c r="C1888" s="632"/>
      <c r="D1888" s="1900"/>
      <c r="E1888" s="632"/>
      <c r="F1888" s="810"/>
      <c r="G1888" s="620"/>
      <c r="H1888" s="620"/>
      <c r="I1888" s="620"/>
      <c r="J1888" s="620"/>
      <c r="K1888" s="702"/>
      <c r="L1888" s="620"/>
      <c r="M1888" s="620"/>
      <c r="N1888" s="632"/>
      <c r="O1888" s="620"/>
    </row>
    <row r="1889" spans="1:15" ht="25" x14ac:dyDescent="0.35">
      <c r="A1889" s="2095" t="s">
        <v>1577</v>
      </c>
      <c r="B1889" s="2095"/>
      <c r="C1889" s="2095"/>
      <c r="D1889" s="2095"/>
      <c r="E1889" s="2095"/>
      <c r="F1889" s="2095"/>
      <c r="G1889" s="2095"/>
      <c r="H1889" s="2095"/>
      <c r="I1889" s="2095"/>
      <c r="J1889" s="2095"/>
      <c r="K1889" s="2095"/>
      <c r="L1889" s="2095"/>
      <c r="M1889" s="2095"/>
      <c r="N1889" s="2095"/>
      <c r="O1889" s="756" t="e">
        <f>$O$6</f>
        <v>#REF!</v>
      </c>
    </row>
    <row r="1890" spans="1:15" ht="15.5" x14ac:dyDescent="0.35">
      <c r="A1890" s="2096" t="s">
        <v>0</v>
      </c>
      <c r="B1890" s="2098" t="s">
        <v>1</v>
      </c>
      <c r="C1890" s="2100" t="s">
        <v>2</v>
      </c>
      <c r="D1890" s="2101"/>
      <c r="E1890" s="2102"/>
      <c r="F1890" s="2216" t="s">
        <v>3</v>
      </c>
      <c r="G1890" s="2100" t="s">
        <v>4</v>
      </c>
      <c r="H1890" s="2102"/>
      <c r="I1890" s="2085"/>
      <c r="J1890" s="2103" t="s">
        <v>5</v>
      </c>
      <c r="K1890" s="2100" t="s">
        <v>6</v>
      </c>
      <c r="L1890" s="2085"/>
      <c r="M1890" s="97" t="s">
        <v>32</v>
      </c>
      <c r="N1890" s="98"/>
      <c r="O1890" s="2084" t="s">
        <v>7</v>
      </c>
    </row>
    <row r="1891" spans="1:15" ht="15.5" x14ac:dyDescent="0.35">
      <c r="A1891" s="2097"/>
      <c r="B1891" s="2099"/>
      <c r="C1891" s="2086" t="s">
        <v>1108</v>
      </c>
      <c r="D1891" s="2087"/>
      <c r="E1891" s="87" t="s">
        <v>9</v>
      </c>
      <c r="F1891" s="2217"/>
      <c r="G1891" s="2">
        <f>'NORTH-1'!$G$8</f>
        <v>44774</v>
      </c>
      <c r="H1891" s="2">
        <f>'NORTH-1'!$H$8</f>
        <v>44805</v>
      </c>
      <c r="I1891" s="1" t="s">
        <v>10</v>
      </c>
      <c r="J1891" s="2097"/>
      <c r="K1891" s="1" t="s">
        <v>11</v>
      </c>
      <c r="L1891" s="1" t="s">
        <v>12</v>
      </c>
      <c r="M1891" s="617" t="s">
        <v>33</v>
      </c>
      <c r="N1891" s="76" t="s">
        <v>47</v>
      </c>
      <c r="O1891" s="2085"/>
    </row>
    <row r="1892" spans="1:15" ht="15.5" x14ac:dyDescent="0.35">
      <c r="A1892" s="3">
        <v>1</v>
      </c>
      <c r="B1892" s="88">
        <v>2</v>
      </c>
      <c r="C1892" s="2088">
        <v>4</v>
      </c>
      <c r="D1892" s="2089"/>
      <c r="E1892" s="88">
        <v>5</v>
      </c>
      <c r="F1892" s="803">
        <v>7</v>
      </c>
      <c r="G1892" s="3">
        <v>8</v>
      </c>
      <c r="H1892" s="3">
        <v>9</v>
      </c>
      <c r="I1892" s="3" t="s">
        <v>13</v>
      </c>
      <c r="J1892" s="3">
        <v>11</v>
      </c>
      <c r="K1892" s="3" t="s">
        <v>19</v>
      </c>
      <c r="L1892" s="3" t="s">
        <v>20</v>
      </c>
      <c r="M1892" s="3">
        <v>14</v>
      </c>
      <c r="N1892" s="77">
        <v>15</v>
      </c>
      <c r="O1892" s="3">
        <v>16</v>
      </c>
    </row>
    <row r="1893" spans="1:15" ht="15.5" x14ac:dyDescent="0.35">
      <c r="A1893" s="631"/>
      <c r="B1893" s="624" t="s">
        <v>3437</v>
      </c>
      <c r="C1893" s="625"/>
      <c r="D1893" s="695"/>
      <c r="E1893" s="625"/>
      <c r="F1893" s="804"/>
      <c r="G1893" s="625"/>
      <c r="H1893" s="625"/>
      <c r="I1893" s="625"/>
      <c r="J1893" s="625"/>
      <c r="K1893" s="695"/>
      <c r="L1893" s="625"/>
      <c r="M1893" s="626"/>
      <c r="N1893" s="627"/>
      <c r="O1893" s="616"/>
    </row>
    <row r="1894" spans="1:15" ht="15.5" x14ac:dyDescent="0.35">
      <c r="A1894" s="11"/>
      <c r="B1894" s="100">
        <f>B1806</f>
        <v>0</v>
      </c>
      <c r="C1894" s="52">
        <f>C1806</f>
        <v>0</v>
      </c>
      <c r="D1894" s="2105" t="s">
        <v>698</v>
      </c>
      <c r="E1894" s="52">
        <f t="shared" ref="E1894:M1894" si="61">E1806</f>
        <v>0</v>
      </c>
      <c r="F1894" s="812">
        <f t="shared" si="61"/>
        <v>0</v>
      </c>
      <c r="G1894" s="21">
        <f t="shared" si="61"/>
        <v>0</v>
      </c>
      <c r="H1894" s="21">
        <f t="shared" si="61"/>
        <v>0</v>
      </c>
      <c r="I1894" s="21">
        <f t="shared" si="61"/>
        <v>0</v>
      </c>
      <c r="J1894" s="616">
        <f t="shared" si="61"/>
        <v>0</v>
      </c>
      <c r="K1894" s="696">
        <f t="shared" si="61"/>
        <v>0</v>
      </c>
      <c r="L1894" s="22">
        <f t="shared" si="61"/>
        <v>0</v>
      </c>
      <c r="M1894" s="22">
        <f t="shared" si="61"/>
        <v>0</v>
      </c>
      <c r="N1894" s="82"/>
      <c r="O1894" s="9"/>
    </row>
    <row r="1895" spans="1:15" ht="15.5" x14ac:dyDescent="0.35">
      <c r="A1895" s="631"/>
      <c r="B1895" s="100">
        <f>B1807</f>
        <v>0</v>
      </c>
      <c r="C1895" s="52">
        <f>C1807</f>
        <v>0</v>
      </c>
      <c r="D1895" s="2151"/>
      <c r="E1895" s="52">
        <f t="shared" ref="E1895:M1895" si="62">E1807</f>
        <v>0</v>
      </c>
      <c r="F1895" s="812">
        <f t="shared" si="62"/>
        <v>0</v>
      </c>
      <c r="G1895" s="21">
        <f t="shared" si="62"/>
        <v>0</v>
      </c>
      <c r="H1895" s="21">
        <f t="shared" si="62"/>
        <v>0</v>
      </c>
      <c r="I1895" s="21">
        <f t="shared" si="62"/>
        <v>0</v>
      </c>
      <c r="J1895" s="616">
        <f t="shared" si="62"/>
        <v>0</v>
      </c>
      <c r="K1895" s="696">
        <f t="shared" si="62"/>
        <v>0</v>
      </c>
      <c r="L1895" s="22">
        <f t="shared" si="62"/>
        <v>0</v>
      </c>
      <c r="M1895" s="22">
        <f t="shared" si="62"/>
        <v>0</v>
      </c>
      <c r="N1895" s="82"/>
      <c r="O1895" s="616"/>
    </row>
    <row r="1896" spans="1:15" ht="15.5" x14ac:dyDescent="0.35">
      <c r="A1896" s="631"/>
      <c r="B1896" s="102"/>
      <c r="C1896" s="91"/>
      <c r="D1896" s="726"/>
      <c r="E1896" s="91"/>
      <c r="F1896" s="814"/>
      <c r="G1896" s="48"/>
      <c r="H1896" s="48"/>
      <c r="I1896" s="48"/>
      <c r="J1896" s="96" t="s">
        <v>30</v>
      </c>
      <c r="K1896" s="706"/>
      <c r="L1896" s="43">
        <f>SUM(L1894:L1895)</f>
        <v>0</v>
      </c>
      <c r="M1896" s="43">
        <f>SUM(M1894:M1895)</f>
        <v>0</v>
      </c>
      <c r="N1896" s="646" t="e">
        <f>(M1896-L1896)/L1896*100</f>
        <v>#DIV/0!</v>
      </c>
      <c r="O1896" s="616"/>
    </row>
    <row r="1897" spans="1:15" ht="15.5" x14ac:dyDescent="0.35">
      <c r="A1897" s="616"/>
      <c r="B1897" s="624" t="s">
        <v>1578</v>
      </c>
      <c r="C1897" s="625"/>
      <c r="D1897" s="695"/>
      <c r="E1897" s="625"/>
      <c r="F1897" s="804"/>
      <c r="G1897" s="625"/>
      <c r="H1897" s="625"/>
      <c r="I1897" s="625"/>
      <c r="J1897" s="732"/>
      <c r="K1897" s="733"/>
      <c r="L1897" s="734"/>
      <c r="M1897" s="734"/>
      <c r="N1897" s="627"/>
      <c r="O1897" s="12"/>
    </row>
    <row r="1898" spans="1:15" ht="15.5" x14ac:dyDescent="0.35">
      <c r="A1898" s="616"/>
      <c r="B1898" s="100"/>
      <c r="C1898" s="52"/>
      <c r="D1898" s="2105"/>
      <c r="E1898" s="52"/>
      <c r="F1898" s="812"/>
      <c r="G1898" s="21"/>
      <c r="H1898" s="21"/>
      <c r="I1898" s="20"/>
      <c r="J1898" s="616"/>
      <c r="K1898" s="696"/>
      <c r="L1898" s="22"/>
      <c r="M1898" s="22"/>
      <c r="N1898" s="82"/>
      <c r="O1898" s="12"/>
    </row>
    <row r="1899" spans="1:15" ht="15.5" x14ac:dyDescent="0.35">
      <c r="A1899" s="616"/>
      <c r="B1899" s="100"/>
      <c r="C1899" s="52"/>
      <c r="D1899" s="2106"/>
      <c r="E1899" s="52"/>
      <c r="F1899" s="812"/>
      <c r="G1899" s="21"/>
      <c r="H1899" s="21"/>
      <c r="I1899" s="20"/>
      <c r="J1899" s="616"/>
      <c r="K1899" s="696"/>
      <c r="L1899" s="22"/>
      <c r="M1899" s="22"/>
      <c r="N1899" s="82"/>
      <c r="O1899" s="12"/>
    </row>
    <row r="1900" spans="1:15" ht="15.5" x14ac:dyDescent="0.35">
      <c r="A1900" s="616"/>
      <c r="B1900" s="100"/>
      <c r="C1900" s="52"/>
      <c r="D1900" s="2151"/>
      <c r="E1900" s="52"/>
      <c r="F1900" s="812"/>
      <c r="G1900" s="21"/>
      <c r="H1900" s="21"/>
      <c r="I1900" s="20"/>
      <c r="J1900" s="616"/>
      <c r="K1900" s="696"/>
      <c r="L1900" s="22"/>
      <c r="M1900" s="22"/>
      <c r="N1900" s="82"/>
      <c r="O1900" s="12"/>
    </row>
    <row r="1901" spans="1:15" ht="15.5" x14ac:dyDescent="0.35">
      <c r="A1901" s="616"/>
      <c r="B1901" s="102"/>
      <c r="C1901" s="91"/>
      <c r="D1901" s="726"/>
      <c r="E1901" s="91"/>
      <c r="F1901" s="814"/>
      <c r="G1901" s="48"/>
      <c r="H1901" s="48"/>
      <c r="I1901" s="36"/>
      <c r="J1901" s="96" t="s">
        <v>30</v>
      </c>
      <c r="K1901" s="706"/>
      <c r="L1901" s="43">
        <f>SUM(L1898:L1900)</f>
        <v>0</v>
      </c>
      <c r="M1901" s="43" t="e">
        <f>M1896+#REF!</f>
        <v>#REF!</v>
      </c>
      <c r="N1901" s="85"/>
      <c r="O1901" s="12"/>
    </row>
    <row r="1902" spans="1:15" ht="15.5" x14ac:dyDescent="0.35">
      <c r="A1902" s="616"/>
      <c r="B1902" s="647" t="s">
        <v>1579</v>
      </c>
      <c r="C1902" s="648"/>
      <c r="D1902" s="700"/>
      <c r="E1902" s="648"/>
      <c r="F1902" s="807"/>
      <c r="G1902" s="648"/>
      <c r="H1902" s="648"/>
      <c r="I1902" s="648"/>
      <c r="J1902" s="648"/>
      <c r="K1902" s="700"/>
      <c r="L1902" s="648"/>
      <c r="M1902" s="651"/>
      <c r="N1902" s="649"/>
      <c r="O1902" s="8"/>
    </row>
    <row r="1903" spans="1:15" ht="15.5" x14ac:dyDescent="0.35">
      <c r="A1903" s="616"/>
      <c r="B1903" s="100" t="s">
        <v>1079</v>
      </c>
      <c r="C1903" s="52">
        <v>132</v>
      </c>
      <c r="D1903" s="2138" t="s">
        <v>1083</v>
      </c>
      <c r="E1903" s="615"/>
      <c r="F1903" s="812"/>
      <c r="G1903" s="5"/>
      <c r="H1903" s="5"/>
      <c r="I1903" s="5"/>
      <c r="J1903" s="616"/>
      <c r="K1903" s="696"/>
      <c r="L1903" s="16">
        <f>J1903*I1903*F1903</f>
        <v>0</v>
      </c>
      <c r="M1903" s="7"/>
      <c r="N1903" s="78"/>
      <c r="O1903" s="616"/>
    </row>
    <row r="1904" spans="1:15" ht="15.5" x14ac:dyDescent="0.35">
      <c r="A1904" s="616"/>
      <c r="B1904" s="100" t="s">
        <v>1078</v>
      </c>
      <c r="C1904" s="52">
        <v>132</v>
      </c>
      <c r="D1904" s="2139"/>
      <c r="E1904" s="615"/>
      <c r="F1904" s="812"/>
      <c r="G1904" s="5"/>
      <c r="H1904" s="5"/>
      <c r="I1904" s="5"/>
      <c r="J1904" s="616"/>
      <c r="K1904" s="696"/>
      <c r="L1904" s="16">
        <f>J1904*I1904*F1904</f>
        <v>0</v>
      </c>
      <c r="M1904" s="16"/>
      <c r="N1904" s="79"/>
      <c r="O1904" s="616"/>
    </row>
    <row r="1905" spans="1:15" ht="15.5" x14ac:dyDescent="0.35">
      <c r="A1905" s="616"/>
      <c r="B1905" s="95"/>
      <c r="C1905" s="89"/>
      <c r="D1905" s="1846"/>
      <c r="E1905" s="89"/>
      <c r="F1905" s="806"/>
      <c r="G1905" s="37"/>
      <c r="H1905" s="37"/>
      <c r="I1905" s="37"/>
      <c r="J1905" s="95" t="s">
        <v>279</v>
      </c>
      <c r="K1905" s="699"/>
      <c r="L1905" s="55">
        <f>SUM(L1903:L1904)</f>
        <v>0</v>
      </c>
      <c r="M1905" s="633"/>
      <c r="N1905" s="634"/>
      <c r="O1905" s="616"/>
    </row>
    <row r="1906" spans="1:15" ht="15.5" x14ac:dyDescent="0.35">
      <c r="A1906" s="616"/>
      <c r="B1906" s="102"/>
      <c r="C1906" s="91"/>
      <c r="D1906" s="726"/>
      <c r="E1906" s="91"/>
      <c r="F1906" s="814"/>
      <c r="G1906" s="48"/>
      <c r="H1906" s="48"/>
      <c r="I1906" s="36"/>
      <c r="J1906" s="96"/>
      <c r="K1906" s="706"/>
      <c r="L1906" s="43"/>
      <c r="M1906" s="43"/>
      <c r="N1906" s="85"/>
      <c r="O1906" s="12"/>
    </row>
    <row r="1907" spans="1:15" ht="15.5" x14ac:dyDescent="0.35">
      <c r="A1907" s="636"/>
      <c r="B1907" s="647" t="s">
        <v>1582</v>
      </c>
      <c r="C1907" s="648"/>
      <c r="D1907" s="700"/>
      <c r="E1907" s="648"/>
      <c r="F1907" s="807"/>
      <c r="G1907" s="648"/>
      <c r="H1907" s="648"/>
      <c r="I1907" s="648"/>
      <c r="J1907" s="50"/>
      <c r="K1907" s="710"/>
      <c r="L1907" s="51"/>
      <c r="M1907" s="51"/>
      <c r="N1907" s="649"/>
      <c r="O1907" s="12"/>
    </row>
    <row r="1908" spans="1:15" ht="15.5" x14ac:dyDescent="0.35">
      <c r="A1908" s="616"/>
      <c r="B1908" s="100" t="s">
        <v>4578</v>
      </c>
      <c r="C1908" s="52" t="s">
        <v>3833</v>
      </c>
      <c r="D1908" s="2140"/>
      <c r="E1908" s="52">
        <v>8993831</v>
      </c>
      <c r="F1908" s="812">
        <v>1</v>
      </c>
      <c r="G1908" s="21"/>
      <c r="H1908" s="21"/>
      <c r="I1908" s="21">
        <f>H1908-G1908</f>
        <v>0</v>
      </c>
      <c r="J1908" s="31">
        <v>180000</v>
      </c>
      <c r="K1908" s="707"/>
      <c r="L1908" s="22">
        <f>F1908*I1908*J1908</f>
        <v>0</v>
      </c>
      <c r="M1908" s="22"/>
      <c r="N1908" s="83"/>
      <c r="O1908" s="12"/>
    </row>
    <row r="1909" spans="1:15" ht="15.5" x14ac:dyDescent="0.35">
      <c r="A1909" s="616">
        <v>1</v>
      </c>
      <c r="B1909" s="100" t="s">
        <v>4579</v>
      </c>
      <c r="C1909" s="52" t="s">
        <v>3833</v>
      </c>
      <c r="D1909" s="2141"/>
      <c r="E1909" s="52">
        <v>8993839</v>
      </c>
      <c r="F1909" s="812">
        <v>1</v>
      </c>
      <c r="G1909" s="21"/>
      <c r="H1909" s="21"/>
      <c r="I1909" s="21">
        <f>H1909-G1909</f>
        <v>0</v>
      </c>
      <c r="J1909" s="31">
        <v>180000</v>
      </c>
      <c r="K1909" s="707"/>
      <c r="L1909" s="22">
        <f>F1909*I1909*J1909</f>
        <v>0</v>
      </c>
      <c r="M1909" s="22"/>
      <c r="N1909" s="83"/>
      <c r="O1909" s="12"/>
    </row>
    <row r="1910" spans="1:15" ht="15.5" x14ac:dyDescent="0.35">
      <c r="A1910" s="616">
        <v>1</v>
      </c>
      <c r="B1910" s="100" t="s">
        <v>4580</v>
      </c>
      <c r="C1910" s="52" t="s">
        <v>3833</v>
      </c>
      <c r="D1910" s="2157"/>
      <c r="E1910" s="52">
        <v>8993835</v>
      </c>
      <c r="F1910" s="812">
        <v>1</v>
      </c>
      <c r="G1910" s="21"/>
      <c r="H1910" s="21"/>
      <c r="I1910" s="21">
        <f>H1910-G1910</f>
        <v>0</v>
      </c>
      <c r="J1910" s="31">
        <v>180000</v>
      </c>
      <c r="K1910" s="707"/>
      <c r="L1910" s="22">
        <f>F1910*I1910*J1910</f>
        <v>0</v>
      </c>
      <c r="M1910" s="22"/>
      <c r="N1910" s="83"/>
      <c r="O1910" s="12"/>
    </row>
    <row r="1911" spans="1:15" ht="15" x14ac:dyDescent="0.35">
      <c r="A1911" s="636"/>
      <c r="B1911" s="96"/>
      <c r="C1911" s="90"/>
      <c r="D1911" s="96"/>
      <c r="E1911" s="90"/>
      <c r="F1911" s="813"/>
      <c r="G1911" s="38"/>
      <c r="H1911" s="38"/>
      <c r="I1911" s="38"/>
      <c r="J1911" s="96" t="s">
        <v>30</v>
      </c>
      <c r="K1911" s="708"/>
      <c r="L1911" s="43">
        <f>SUM(L1908:L1910)</f>
        <v>0</v>
      </c>
      <c r="M1911" s="43">
        <f>SUM(M1908:M1910)</f>
        <v>0</v>
      </c>
      <c r="N1911" s="650" t="e">
        <f>(M1911-L1911)/L1911*100</f>
        <v>#DIV/0!</v>
      </c>
      <c r="O1911" s="12"/>
    </row>
    <row r="1912" spans="1:15" ht="15.5" thickBot="1" x14ac:dyDescent="0.4">
      <c r="A1912" s="702"/>
      <c r="B1912" s="736"/>
      <c r="C1912" s="92"/>
      <c r="D1912" s="736"/>
      <c r="E1912" s="92"/>
      <c r="F1912" s="815"/>
      <c r="G1912" s="737"/>
      <c r="H1912" s="737"/>
      <c r="I1912" s="737"/>
      <c r="J1912" s="736"/>
      <c r="K1912" s="738"/>
      <c r="L1912" s="739"/>
      <c r="M1912" s="739"/>
      <c r="N1912" s="646"/>
      <c r="O1912" s="740"/>
    </row>
    <row r="1913" spans="1:15" ht="15" x14ac:dyDescent="0.35">
      <c r="A1913" s="702"/>
      <c r="B1913" s="2142" t="s">
        <v>1339</v>
      </c>
      <c r="C1913" s="2143"/>
      <c r="D1913" s="683" t="s">
        <v>14</v>
      </c>
      <c r="F1913" s="2144" t="s">
        <v>1350</v>
      </c>
      <c r="G1913" s="2145"/>
      <c r="H1913" s="2146"/>
      <c r="I1913" s="683" t="s">
        <v>14</v>
      </c>
      <c r="J1913" s="620"/>
      <c r="K1913" s="2147" t="s">
        <v>1092</v>
      </c>
      <c r="L1913" s="2148"/>
      <c r="M1913" s="684" t="s">
        <v>14</v>
      </c>
      <c r="N1913" s="646"/>
      <c r="O1913" s="740"/>
    </row>
    <row r="1914" spans="1:15" ht="15" x14ac:dyDescent="0.35">
      <c r="A1914" s="702"/>
      <c r="B1914" s="2122" t="str">
        <f>B1893</f>
        <v xml:space="preserve"> 33 KV SIDE</v>
      </c>
      <c r="C1914" s="2123"/>
      <c r="D1914" s="689">
        <f>M1896</f>
        <v>0</v>
      </c>
      <c r="F1914" s="2124" t="s">
        <v>1093</v>
      </c>
      <c r="G1914" s="2125"/>
      <c r="H1914" s="2126"/>
      <c r="I1914" s="685">
        <f>L1905</f>
        <v>0</v>
      </c>
      <c r="J1914" s="620"/>
      <c r="K1914" s="2160" t="str">
        <f>F1915</f>
        <v>KALLYANPUR 33 KV NET IMPORT</v>
      </c>
      <c r="L1914" s="2161"/>
      <c r="M1914" s="687" t="e">
        <f>I1915</f>
        <v>#REF!</v>
      </c>
      <c r="N1914" s="646"/>
      <c r="O1914" s="740"/>
    </row>
    <row r="1915" spans="1:15" ht="15" x14ac:dyDescent="0.35">
      <c r="A1915" s="702"/>
      <c r="B1915" s="2122" t="e">
        <f>#REF!</f>
        <v>#REF!</v>
      </c>
      <c r="C1915" s="2123"/>
      <c r="D1915" s="741" t="e">
        <f>#REF!</f>
        <v>#REF!</v>
      </c>
      <c r="F1915" s="2124" t="s">
        <v>1580</v>
      </c>
      <c r="G1915" s="2125"/>
      <c r="H1915" s="2126"/>
      <c r="I1915" s="685" t="e">
        <f>D1918-I1914</f>
        <v>#REF!</v>
      </c>
      <c r="J1915" s="620"/>
      <c r="K1915" s="2162" t="s">
        <v>1581</v>
      </c>
      <c r="L1915" s="2163"/>
      <c r="M1915" s="685">
        <f>M1949</f>
        <v>0</v>
      </c>
      <c r="N1915" s="646"/>
      <c r="O1915" s="740"/>
    </row>
    <row r="1916" spans="1:15" ht="15" x14ac:dyDescent="0.35">
      <c r="A1916" s="702"/>
      <c r="B1916" s="2122" t="s">
        <v>1117</v>
      </c>
      <c r="C1916" s="2123"/>
      <c r="D1916" s="721"/>
      <c r="F1916" s="2124" t="s">
        <v>1089</v>
      </c>
      <c r="G1916" s="2125"/>
      <c r="H1916" s="2126"/>
      <c r="I1916" s="685" t="e">
        <f>I1914+I1915</f>
        <v>#REF!</v>
      </c>
      <c r="J1916" s="620"/>
      <c r="K1916" s="2127" t="s">
        <v>284</v>
      </c>
      <c r="L1916" s="2128"/>
      <c r="M1916" s="685" t="e">
        <f>M1914-M1915</f>
        <v>#REF!</v>
      </c>
      <c r="N1916" s="646"/>
      <c r="O1916" s="740"/>
    </row>
    <row r="1917" spans="1:15" ht="16" thickBot="1" x14ac:dyDescent="0.4">
      <c r="A1917" s="702"/>
      <c r="B1917" s="2122" t="s">
        <v>1118</v>
      </c>
      <c r="C1917" s="2123"/>
      <c r="D1917" s="722"/>
      <c r="F1917" s="2113" t="s">
        <v>1102</v>
      </c>
      <c r="G1917" s="2114"/>
      <c r="H1917" s="2115"/>
      <c r="I1917" s="690" t="e">
        <f>(D1918-I1916)/I1916</f>
        <v>#REF!</v>
      </c>
      <c r="J1917" s="620"/>
      <c r="K1917" s="2134" t="s">
        <v>285</v>
      </c>
      <c r="L1917" s="2135"/>
      <c r="M1917" s="688" t="e">
        <f>M1916/M1914</f>
        <v>#REF!</v>
      </c>
      <c r="N1917" s="646"/>
      <c r="O1917" s="740"/>
    </row>
    <row r="1918" spans="1:15" ht="15.5" thickBot="1" x14ac:dyDescent="0.4">
      <c r="A1918" s="702"/>
      <c r="B1918" s="2158" t="s">
        <v>1082</v>
      </c>
      <c r="C1918" s="2159"/>
      <c r="D1918" s="686" t="e">
        <f>SUM(D1914:D1916)</f>
        <v>#REF!</v>
      </c>
      <c r="F1918" s="810"/>
      <c r="G1918" s="620"/>
      <c r="H1918" s="620"/>
      <c r="I1918" s="620"/>
      <c r="J1918" s="620"/>
      <c r="K1918" s="702"/>
      <c r="L1918" s="620"/>
      <c r="M1918" s="620"/>
      <c r="N1918" s="646"/>
      <c r="O1918" s="740"/>
    </row>
    <row r="1919" spans="1:15" ht="15" x14ac:dyDescent="0.35">
      <c r="A1919" s="702"/>
      <c r="B1919" s="736"/>
      <c r="C1919" s="92"/>
      <c r="D1919" s="736"/>
      <c r="E1919" s="92"/>
      <c r="F1919" s="815"/>
      <c r="G1919" s="737"/>
      <c r="H1919" s="737"/>
      <c r="I1919" s="737"/>
      <c r="J1919" s="736"/>
      <c r="K1919" s="738"/>
      <c r="L1919" s="739"/>
      <c r="M1919" s="739"/>
      <c r="N1919" s="646"/>
      <c r="O1919" s="740"/>
    </row>
    <row r="1920" spans="1:15" x14ac:dyDescent="0.35">
      <c r="A1920" s="620"/>
      <c r="B1920" s="632"/>
      <c r="C1920" s="620"/>
      <c r="D1920" s="2014"/>
      <c r="E1920" s="620"/>
      <c r="F1920" s="810"/>
      <c r="G1920" s="620"/>
      <c r="H1920" s="620"/>
      <c r="I1920" s="620"/>
      <c r="J1920" s="620"/>
      <c r="K1920" s="702"/>
      <c r="L1920" s="620"/>
      <c r="M1920" s="620"/>
      <c r="N1920" s="620"/>
      <c r="O1920" s="620"/>
    </row>
    <row r="1921" spans="1:15" x14ac:dyDescent="0.35">
      <c r="A1921" s="620"/>
      <c r="B1921" s="632"/>
      <c r="C1921" s="620"/>
      <c r="D1921" s="2014"/>
      <c r="E1921" s="620"/>
      <c r="F1921" s="810"/>
      <c r="G1921" s="620"/>
      <c r="H1921" s="620"/>
      <c r="I1921" s="620"/>
      <c r="J1921" s="620"/>
      <c r="K1921" s="702"/>
      <c r="L1921" s="620"/>
      <c r="M1921" s="620"/>
      <c r="N1921" s="620"/>
      <c r="O1921" s="620"/>
    </row>
    <row r="1922" spans="1:15" ht="25" x14ac:dyDescent="0.35">
      <c r="A1922" s="2095" t="s">
        <v>1187</v>
      </c>
      <c r="B1922" s="2095"/>
      <c r="C1922" s="2095"/>
      <c r="D1922" s="2095"/>
      <c r="E1922" s="2095"/>
      <c r="F1922" s="2095"/>
      <c r="G1922" s="2095"/>
      <c r="H1922" s="2095"/>
      <c r="I1922" s="2095"/>
      <c r="J1922" s="2095"/>
      <c r="K1922" s="2095"/>
      <c r="L1922" s="2095"/>
      <c r="M1922" s="2095"/>
      <c r="N1922" s="2095"/>
      <c r="O1922" s="756" t="e">
        <f>$O$6</f>
        <v>#REF!</v>
      </c>
    </row>
    <row r="1923" spans="1:15" ht="15.5" x14ac:dyDescent="0.35">
      <c r="A1923" s="2096" t="s">
        <v>0</v>
      </c>
      <c r="B1923" s="2098" t="s">
        <v>1</v>
      </c>
      <c r="C1923" s="2100" t="s">
        <v>2</v>
      </c>
      <c r="D1923" s="2101"/>
      <c r="E1923" s="2102"/>
      <c r="F1923" s="2216" t="s">
        <v>3</v>
      </c>
      <c r="G1923" s="2100" t="s">
        <v>4</v>
      </c>
      <c r="H1923" s="2102"/>
      <c r="I1923" s="2085"/>
      <c r="J1923" s="2103" t="s">
        <v>5</v>
      </c>
      <c r="K1923" s="2100" t="s">
        <v>6</v>
      </c>
      <c r="L1923" s="2085"/>
      <c r="M1923" s="97" t="s">
        <v>32</v>
      </c>
      <c r="N1923" s="98"/>
      <c r="O1923" s="2084" t="s">
        <v>7</v>
      </c>
    </row>
    <row r="1924" spans="1:15" ht="15.5" x14ac:dyDescent="0.35">
      <c r="A1924" s="2097"/>
      <c r="B1924" s="2099"/>
      <c r="C1924" s="2086" t="s">
        <v>1108</v>
      </c>
      <c r="D1924" s="2087"/>
      <c r="E1924" s="87" t="s">
        <v>9</v>
      </c>
      <c r="F1924" s="2217"/>
      <c r="G1924" s="2">
        <f>'NORTH-1'!$G$8</f>
        <v>44774</v>
      </c>
      <c r="H1924" s="2">
        <f>'NORTH-1'!$H$8</f>
        <v>44805</v>
      </c>
      <c r="I1924" s="1" t="s">
        <v>10</v>
      </c>
      <c r="J1924" s="2097"/>
      <c r="K1924" s="1" t="s">
        <v>11</v>
      </c>
      <c r="L1924" s="1" t="s">
        <v>12</v>
      </c>
      <c r="M1924" s="617" t="s">
        <v>33</v>
      </c>
      <c r="N1924" s="76" t="s">
        <v>47</v>
      </c>
      <c r="O1924" s="2085"/>
    </row>
    <row r="1925" spans="1:15" ht="15.5" x14ac:dyDescent="0.35">
      <c r="A1925" s="3">
        <v>1</v>
      </c>
      <c r="B1925" s="88">
        <v>2</v>
      </c>
      <c r="C1925" s="2088">
        <v>4</v>
      </c>
      <c r="D1925" s="2089"/>
      <c r="E1925" s="88">
        <v>5</v>
      </c>
      <c r="F1925" s="803">
        <v>7</v>
      </c>
      <c r="G1925" s="3">
        <v>8</v>
      </c>
      <c r="H1925" s="3">
        <v>9</v>
      </c>
      <c r="I1925" s="3" t="s">
        <v>13</v>
      </c>
      <c r="J1925" s="3">
        <v>11</v>
      </c>
      <c r="K1925" s="3" t="s">
        <v>19</v>
      </c>
      <c r="L1925" s="3" t="s">
        <v>20</v>
      </c>
      <c r="M1925" s="3">
        <v>14</v>
      </c>
      <c r="N1925" s="77">
        <v>15</v>
      </c>
      <c r="O1925" s="3">
        <v>16</v>
      </c>
    </row>
    <row r="1926" spans="1:15" ht="15.5" x14ac:dyDescent="0.35">
      <c r="A1926" s="631"/>
      <c r="B1926" s="624" t="s">
        <v>1583</v>
      </c>
      <c r="C1926" s="625"/>
      <c r="D1926" s="695"/>
      <c r="E1926" s="625"/>
      <c r="F1926" s="804"/>
      <c r="G1926" s="625"/>
      <c r="H1926" s="625"/>
      <c r="I1926" s="625"/>
      <c r="J1926" s="625"/>
      <c r="K1926" s="695"/>
      <c r="L1926" s="625"/>
      <c r="M1926" s="626"/>
      <c r="N1926" s="627"/>
      <c r="O1926" s="616"/>
    </row>
    <row r="1927" spans="1:15" ht="15.5" x14ac:dyDescent="0.35">
      <c r="A1927" s="631">
        <v>8</v>
      </c>
      <c r="B1927" s="100" t="s">
        <v>4581</v>
      </c>
      <c r="C1927" s="52" t="s">
        <v>3872</v>
      </c>
      <c r="D1927" s="2105"/>
      <c r="E1927" s="52" t="s">
        <v>4582</v>
      </c>
      <c r="F1927" s="812">
        <v>1</v>
      </c>
      <c r="G1927" s="21">
        <v>3390.11</v>
      </c>
      <c r="H1927" s="21">
        <v>3409.81</v>
      </c>
      <c r="I1927" s="21">
        <f>H1927-G1927</f>
        <v>19.699999999999818</v>
      </c>
      <c r="J1927" s="616">
        <v>160000</v>
      </c>
      <c r="K1927" s="696">
        <f>F1927*I1927*J1927</f>
        <v>3151999.9999999711</v>
      </c>
      <c r="L1927" s="22"/>
      <c r="M1927" s="22"/>
      <c r="N1927" s="82"/>
      <c r="O1927" s="616"/>
    </row>
    <row r="1928" spans="1:15" ht="15.5" x14ac:dyDescent="0.35">
      <c r="A1928" s="631">
        <v>9</v>
      </c>
      <c r="B1928" s="100" t="s">
        <v>4583</v>
      </c>
      <c r="C1928" s="52" t="s">
        <v>3872</v>
      </c>
      <c r="D1928" s="2106"/>
      <c r="E1928" s="52" t="s">
        <v>4584</v>
      </c>
      <c r="F1928" s="812">
        <v>1</v>
      </c>
      <c r="G1928" s="21">
        <v>5879.31</v>
      </c>
      <c r="H1928" s="21">
        <v>5918.39</v>
      </c>
      <c r="I1928" s="21">
        <f>H1928-G1928</f>
        <v>39.079999999999927</v>
      </c>
      <c r="J1928" s="616">
        <v>160000</v>
      </c>
      <c r="K1928" s="696">
        <f>F1928*I1928*J1928</f>
        <v>6252799.9999999888</v>
      </c>
      <c r="L1928" s="22"/>
      <c r="M1928" s="22"/>
      <c r="N1928" s="82"/>
      <c r="O1928" s="616"/>
    </row>
    <row r="1929" spans="1:15" ht="15.5" x14ac:dyDescent="0.35">
      <c r="A1929" s="631">
        <v>16</v>
      </c>
      <c r="B1929" s="100" t="s">
        <v>4585</v>
      </c>
      <c r="C1929" s="52" t="s">
        <v>3872</v>
      </c>
      <c r="D1929" s="2151"/>
      <c r="E1929" s="52">
        <v>74819926</v>
      </c>
      <c r="F1929" s="812">
        <v>1</v>
      </c>
      <c r="G1929" s="21"/>
      <c r="H1929" s="21"/>
      <c r="I1929" s="21">
        <f>H1929-G1929</f>
        <v>0</v>
      </c>
      <c r="J1929" s="616"/>
      <c r="K1929" s="696"/>
      <c r="L1929" s="22"/>
      <c r="M1929" s="22"/>
      <c r="N1929" s="82"/>
      <c r="O1929" s="616"/>
    </row>
    <row r="1930" spans="1:15" ht="15.5" x14ac:dyDescent="0.35">
      <c r="A1930" s="631"/>
      <c r="B1930" s="102"/>
      <c r="C1930" s="91"/>
      <c r="D1930" s="726"/>
      <c r="E1930" s="91"/>
      <c r="F1930" s="814"/>
      <c r="G1930" s="48"/>
      <c r="H1930" s="48"/>
      <c r="I1930" s="48"/>
      <c r="J1930" s="39" t="s">
        <v>30</v>
      </c>
      <c r="K1930" s="43">
        <f>SUM(K1927:K1929)</f>
        <v>9404799.999999959</v>
      </c>
      <c r="L1930" s="49"/>
      <c r="M1930" s="43">
        <f>SUM(M1927:M1929)</f>
        <v>0</v>
      </c>
      <c r="N1930" s="85"/>
      <c r="O1930" s="616"/>
    </row>
    <row r="1931" spans="1:15" ht="15.5" x14ac:dyDescent="0.35">
      <c r="A1931" s="631"/>
      <c r="B1931" s="647" t="s">
        <v>1583</v>
      </c>
      <c r="C1931" s="648"/>
      <c r="D1931" s="700"/>
      <c r="E1931" s="648"/>
      <c r="F1931" s="807"/>
      <c r="G1931" s="648"/>
      <c r="H1931" s="648"/>
      <c r="I1931" s="648"/>
      <c r="J1931" s="50"/>
      <c r="K1931" s="710"/>
      <c r="L1931" s="51"/>
      <c r="M1931" s="51"/>
      <c r="N1931" s="649"/>
      <c r="O1931" s="616"/>
    </row>
    <row r="1932" spans="1:15" ht="31" x14ac:dyDescent="0.35">
      <c r="A1932" s="631">
        <v>3</v>
      </c>
      <c r="B1932" s="100" t="s">
        <v>4586</v>
      </c>
      <c r="C1932" s="73" t="s">
        <v>3872</v>
      </c>
      <c r="D1932" s="1768"/>
      <c r="E1932" s="52">
        <v>77816675</v>
      </c>
      <c r="F1932" s="812">
        <v>1</v>
      </c>
      <c r="G1932" s="6">
        <v>41014.9</v>
      </c>
      <c r="H1932" s="6">
        <v>41097.47</v>
      </c>
      <c r="I1932" s="20">
        <f t="shared" ref="I1932:I1944" si="63">H1932-G1932</f>
        <v>82.569999999999709</v>
      </c>
      <c r="J1932" s="616">
        <v>8000</v>
      </c>
      <c r="K1932" s="703"/>
      <c r="L1932" s="22">
        <f t="shared" ref="L1932:L1943" si="64">F1932*I1932*J1932</f>
        <v>660559.99999999767</v>
      </c>
      <c r="M1932" s="22"/>
      <c r="N1932" s="72" t="s">
        <v>119</v>
      </c>
      <c r="O1932" s="15"/>
    </row>
    <row r="1933" spans="1:15" ht="31" x14ac:dyDescent="0.35">
      <c r="A1933" s="631"/>
      <c r="B1933" s="100" t="s">
        <v>4587</v>
      </c>
      <c r="C1933" s="73" t="s">
        <v>3872</v>
      </c>
      <c r="D1933" s="1769"/>
      <c r="E1933" s="52" t="s">
        <v>4588</v>
      </c>
      <c r="F1933" s="812">
        <v>1</v>
      </c>
      <c r="G1933" s="6">
        <v>995.47</v>
      </c>
      <c r="H1933" s="6">
        <v>995.51</v>
      </c>
      <c r="I1933" s="20">
        <f t="shared" si="63"/>
        <v>3.999999999996362E-2</v>
      </c>
      <c r="J1933" s="616">
        <v>40000</v>
      </c>
      <c r="K1933" s="703"/>
      <c r="L1933" s="22">
        <f t="shared" si="64"/>
        <v>1599.9999999985448</v>
      </c>
      <c r="M1933" s="22"/>
      <c r="N1933" t="s">
        <v>4699</v>
      </c>
      <c r="O1933" s="15"/>
    </row>
    <row r="1934" spans="1:15" ht="31" x14ac:dyDescent="0.35">
      <c r="A1934" s="631">
        <v>4</v>
      </c>
      <c r="B1934" s="100" t="s">
        <v>4589</v>
      </c>
      <c r="C1934" s="73" t="s">
        <v>3872</v>
      </c>
      <c r="D1934" s="1769"/>
      <c r="E1934" s="52" t="s">
        <v>4590</v>
      </c>
      <c r="F1934" s="812">
        <v>1</v>
      </c>
      <c r="G1934" s="6">
        <v>3984.7</v>
      </c>
      <c r="H1934" s="6">
        <v>4028.2</v>
      </c>
      <c r="I1934" s="20">
        <f t="shared" si="63"/>
        <v>43.5</v>
      </c>
      <c r="J1934" s="616">
        <v>40000</v>
      </c>
      <c r="K1934" s="703"/>
      <c r="L1934" s="22">
        <f t="shared" si="64"/>
        <v>1740000</v>
      </c>
      <c r="M1934" s="22"/>
      <c r="N1934" s="72" t="s">
        <v>119</v>
      </c>
      <c r="O1934" s="15"/>
    </row>
    <row r="1935" spans="1:15" ht="31" x14ac:dyDescent="0.35">
      <c r="A1935" s="631">
        <v>5</v>
      </c>
      <c r="B1935" s="100" t="s">
        <v>4591</v>
      </c>
      <c r="C1935" s="73" t="s">
        <v>3872</v>
      </c>
      <c r="D1935" s="1769"/>
      <c r="E1935" s="52" t="s">
        <v>4592</v>
      </c>
      <c r="F1935" s="812">
        <v>1</v>
      </c>
      <c r="G1935" s="6">
        <v>9280.26</v>
      </c>
      <c r="H1935" s="6">
        <v>9287.6299999999992</v>
      </c>
      <c r="I1935" s="20">
        <f t="shared" si="63"/>
        <v>7.3699999999989814</v>
      </c>
      <c r="J1935" s="616">
        <v>40000</v>
      </c>
      <c r="K1935" s="703"/>
      <c r="L1935" s="22">
        <f t="shared" si="64"/>
        <v>294799.99999995925</v>
      </c>
      <c r="M1935" s="22"/>
      <c r="N1935" s="72" t="s">
        <v>119</v>
      </c>
      <c r="O1935" s="15"/>
    </row>
    <row r="1936" spans="1:15" ht="31" x14ac:dyDescent="0.35">
      <c r="A1936" s="631">
        <v>6</v>
      </c>
      <c r="B1936" s="1917" t="s">
        <v>4593</v>
      </c>
      <c r="C1936" s="73" t="s">
        <v>3872</v>
      </c>
      <c r="D1936" s="1769"/>
      <c r="E1936" s="52" t="s">
        <v>4594</v>
      </c>
      <c r="F1936" s="812">
        <v>1</v>
      </c>
      <c r="G1936" s="6">
        <v>3267352</v>
      </c>
      <c r="H1936" s="6">
        <v>3273671</v>
      </c>
      <c r="I1936" s="20">
        <f t="shared" si="63"/>
        <v>6319</v>
      </c>
      <c r="J1936" s="616">
        <v>40</v>
      </c>
      <c r="K1936" s="703"/>
      <c r="L1936" s="22">
        <f t="shared" si="64"/>
        <v>252760</v>
      </c>
      <c r="M1936" s="22"/>
      <c r="N1936" s="1936" t="s">
        <v>4659</v>
      </c>
      <c r="O1936" s="15"/>
    </row>
    <row r="1937" spans="1:15" ht="31" x14ac:dyDescent="0.35">
      <c r="A1937" s="631">
        <v>7</v>
      </c>
      <c r="B1937" s="100" t="s">
        <v>4595</v>
      </c>
      <c r="C1937" s="73" t="s">
        <v>3872</v>
      </c>
      <c r="D1937" s="1769"/>
      <c r="E1937" s="52" t="s">
        <v>4596</v>
      </c>
      <c r="F1937" s="812">
        <v>1</v>
      </c>
      <c r="G1937" s="6">
        <v>9595.6299999999992</v>
      </c>
      <c r="H1937" s="6">
        <v>9600.69</v>
      </c>
      <c r="I1937" s="20">
        <f t="shared" si="63"/>
        <v>5.0600000000013097</v>
      </c>
      <c r="J1937" s="616">
        <v>40000</v>
      </c>
      <c r="K1937" s="703"/>
      <c r="L1937" s="22">
        <f t="shared" si="64"/>
        <v>202400.00000005239</v>
      </c>
      <c r="M1937" s="22"/>
      <c r="N1937" s="72" t="s">
        <v>119</v>
      </c>
      <c r="O1937" s="15"/>
    </row>
    <row r="1938" spans="1:15" ht="31" x14ac:dyDescent="0.35">
      <c r="A1938" s="631">
        <v>10</v>
      </c>
      <c r="B1938" s="1917" t="s">
        <v>4597</v>
      </c>
      <c r="C1938" s="73" t="s">
        <v>3872</v>
      </c>
      <c r="D1938" s="1769"/>
      <c r="E1938" s="52" t="s">
        <v>4598</v>
      </c>
      <c r="F1938" s="812">
        <v>1</v>
      </c>
      <c r="G1938" s="6">
        <v>1040.76</v>
      </c>
      <c r="H1938" s="6">
        <v>1071.96</v>
      </c>
      <c r="I1938" s="20">
        <f t="shared" si="63"/>
        <v>31.200000000000045</v>
      </c>
      <c r="J1938" s="616">
        <v>40000</v>
      </c>
      <c r="K1938" s="703"/>
      <c r="L1938" s="22">
        <f t="shared" si="64"/>
        <v>1248000.0000000019</v>
      </c>
      <c r="M1938" s="22"/>
      <c r="N1938" s="1936" t="s">
        <v>4659</v>
      </c>
      <c r="O1938" s="15"/>
    </row>
    <row r="1939" spans="1:15" ht="31" x14ac:dyDescent="0.35">
      <c r="A1939" s="631">
        <v>11</v>
      </c>
      <c r="B1939" s="1917" t="s">
        <v>4599</v>
      </c>
      <c r="C1939" s="73" t="s">
        <v>3872</v>
      </c>
      <c r="D1939" s="1769"/>
      <c r="E1939" s="52" t="s">
        <v>4600</v>
      </c>
      <c r="F1939" s="812">
        <v>1</v>
      </c>
      <c r="G1939" s="6">
        <v>898.91</v>
      </c>
      <c r="H1939" s="6">
        <v>927</v>
      </c>
      <c r="I1939" s="20">
        <f t="shared" si="63"/>
        <v>28.090000000000032</v>
      </c>
      <c r="J1939" s="616">
        <v>40000</v>
      </c>
      <c r="K1939" s="703"/>
      <c r="L1939" s="22">
        <f t="shared" si="64"/>
        <v>1123600.0000000012</v>
      </c>
      <c r="M1939" s="22"/>
      <c r="N1939" s="1936" t="s">
        <v>4659</v>
      </c>
      <c r="O1939" s="15"/>
    </row>
    <row r="1940" spans="1:15" ht="31" x14ac:dyDescent="0.35">
      <c r="A1940" s="631">
        <v>12</v>
      </c>
      <c r="B1940" s="100" t="s">
        <v>4601</v>
      </c>
      <c r="C1940" s="73" t="s">
        <v>3872</v>
      </c>
      <c r="D1940" s="1769"/>
      <c r="E1940" s="52" t="s">
        <v>4602</v>
      </c>
      <c r="F1940" s="812">
        <v>1</v>
      </c>
      <c r="G1940" s="6">
        <v>1929.62</v>
      </c>
      <c r="H1940" s="6">
        <v>1938.15</v>
      </c>
      <c r="I1940" s="20">
        <f t="shared" si="63"/>
        <v>8.5300000000002001</v>
      </c>
      <c r="J1940" s="616">
        <v>40000</v>
      </c>
      <c r="K1940" s="703"/>
      <c r="L1940" s="22">
        <f t="shared" si="64"/>
        <v>341200.00000000803</v>
      </c>
      <c r="M1940" s="22"/>
      <c r="N1940" s="72" t="s">
        <v>119</v>
      </c>
      <c r="O1940" s="15"/>
    </row>
    <row r="1941" spans="1:15" ht="31" x14ac:dyDescent="0.35">
      <c r="A1941" s="631">
        <v>13</v>
      </c>
      <c r="B1941" s="1917" t="s">
        <v>4603</v>
      </c>
      <c r="C1941" s="73" t="s">
        <v>3872</v>
      </c>
      <c r="D1941" s="1769"/>
      <c r="E1941" s="52" t="s">
        <v>4604</v>
      </c>
      <c r="F1941" s="812">
        <v>1</v>
      </c>
      <c r="G1941" s="6">
        <v>9242.9599999999991</v>
      </c>
      <c r="H1941" s="6">
        <v>9272.56</v>
      </c>
      <c r="I1941" s="20">
        <f t="shared" si="63"/>
        <v>29.600000000000364</v>
      </c>
      <c r="J1941" s="616">
        <v>40000</v>
      </c>
      <c r="K1941" s="703"/>
      <c r="L1941" s="22">
        <f t="shared" si="64"/>
        <v>1184000.0000000144</v>
      </c>
      <c r="M1941" s="22"/>
      <c r="N1941" s="1936" t="s">
        <v>4659</v>
      </c>
      <c r="O1941" s="15"/>
    </row>
    <row r="1942" spans="1:15" ht="31" x14ac:dyDescent="0.35">
      <c r="A1942" s="631">
        <v>14</v>
      </c>
      <c r="B1942" s="100" t="s">
        <v>4605</v>
      </c>
      <c r="C1942" s="73" t="s">
        <v>3872</v>
      </c>
      <c r="D1942" s="1769"/>
      <c r="E1942" s="52" t="s">
        <v>4606</v>
      </c>
      <c r="F1942" s="812">
        <v>1</v>
      </c>
      <c r="G1942" s="6">
        <v>7840.75</v>
      </c>
      <c r="H1942" s="6">
        <v>7870.76</v>
      </c>
      <c r="I1942" s="20">
        <f t="shared" si="63"/>
        <v>30.010000000000218</v>
      </c>
      <c r="J1942" s="616">
        <v>40000</v>
      </c>
      <c r="K1942" s="703"/>
      <c r="L1942" s="22">
        <f t="shared" si="64"/>
        <v>1200400.0000000088</v>
      </c>
      <c r="M1942" s="22"/>
      <c r="N1942" s="72" t="s">
        <v>119</v>
      </c>
      <c r="O1942" s="15"/>
    </row>
    <row r="1943" spans="1:15" ht="31" x14ac:dyDescent="0.35">
      <c r="A1943" s="631">
        <v>15</v>
      </c>
      <c r="B1943" s="100" t="s">
        <v>4607</v>
      </c>
      <c r="C1943" s="73" t="s">
        <v>3872</v>
      </c>
      <c r="D1943" s="1769"/>
      <c r="E1943" s="52">
        <v>77816681</v>
      </c>
      <c r="F1943" s="812">
        <v>1</v>
      </c>
      <c r="G1943" s="6">
        <v>50207.22</v>
      </c>
      <c r="H1943" s="6">
        <v>50344.61</v>
      </c>
      <c r="I1943" s="20">
        <f t="shared" si="63"/>
        <v>137.38999999999942</v>
      </c>
      <c r="J1943" s="616">
        <v>8000</v>
      </c>
      <c r="K1943" s="703"/>
      <c r="L1943" s="22">
        <f t="shared" si="64"/>
        <v>1099119.9999999953</v>
      </c>
      <c r="M1943" s="22"/>
      <c r="N1943" s="72" t="s">
        <v>119</v>
      </c>
      <c r="O1943" s="15"/>
    </row>
    <row r="1944" spans="1:15" ht="31" x14ac:dyDescent="0.35">
      <c r="A1944" s="631">
        <v>17</v>
      </c>
      <c r="B1944" s="1917" t="s">
        <v>4608</v>
      </c>
      <c r="C1944" s="73" t="s">
        <v>3872</v>
      </c>
      <c r="D1944" s="1769"/>
      <c r="E1944" s="52">
        <v>74819924</v>
      </c>
      <c r="F1944" s="812">
        <v>1</v>
      </c>
      <c r="G1944" s="6">
        <v>3279.1</v>
      </c>
      <c r="H1944" s="6">
        <v>3309</v>
      </c>
      <c r="I1944" s="20">
        <f t="shared" si="63"/>
        <v>29.900000000000091</v>
      </c>
      <c r="J1944" s="616">
        <v>8000</v>
      </c>
      <c r="K1944" s="703"/>
      <c r="L1944" s="22">
        <f>F1944*I1944*J1944</f>
        <v>239200.00000000073</v>
      </c>
      <c r="M1944" s="22"/>
      <c r="N1944" s="1936" t="s">
        <v>4659</v>
      </c>
      <c r="O1944" s="15"/>
    </row>
    <row r="1945" spans="1:15" ht="31" x14ac:dyDescent="0.35">
      <c r="A1945" s="631">
        <v>18</v>
      </c>
      <c r="B1945" s="100" t="s">
        <v>2260</v>
      </c>
      <c r="C1945" s="73" t="s">
        <v>3872</v>
      </c>
      <c r="D1945" s="1769"/>
      <c r="E1945" s="52"/>
      <c r="F1945" s="812"/>
      <c r="G1945" s="6"/>
      <c r="H1945" s="6"/>
      <c r="I1945" s="20"/>
      <c r="J1945" s="616"/>
      <c r="K1945" s="703"/>
      <c r="L1945" s="22">
        <f>F1945*I1945*J1945</f>
        <v>0</v>
      </c>
      <c r="M1945" s="22"/>
      <c r="N1945" s="72"/>
      <c r="O1945" s="15"/>
    </row>
    <row r="1946" spans="1:15" ht="31" x14ac:dyDescent="0.35">
      <c r="A1946" s="631">
        <v>19</v>
      </c>
      <c r="B1946" s="100" t="s">
        <v>2260</v>
      </c>
      <c r="C1946" s="73" t="s">
        <v>3872</v>
      </c>
      <c r="D1946" s="1769"/>
      <c r="E1946" s="52"/>
      <c r="F1946" s="812"/>
      <c r="G1946" s="6"/>
      <c r="H1946" s="6"/>
      <c r="I1946" s="20"/>
      <c r="J1946" s="616"/>
      <c r="K1946" s="703"/>
      <c r="L1946" s="22">
        <f>F1946*I1946*J1946</f>
        <v>0</v>
      </c>
      <c r="M1946" s="22"/>
      <c r="N1946" s="72"/>
      <c r="O1946" s="15"/>
    </row>
    <row r="1947" spans="1:15" ht="31" x14ac:dyDescent="0.35">
      <c r="A1947" s="631">
        <v>20</v>
      </c>
      <c r="B1947" s="1917" t="s">
        <v>4609</v>
      </c>
      <c r="C1947" s="73" t="s">
        <v>3872</v>
      </c>
      <c r="D1947" s="1769"/>
      <c r="E1947" s="52" t="s">
        <v>4610</v>
      </c>
      <c r="F1947" s="812">
        <v>1</v>
      </c>
      <c r="G1947" s="6">
        <v>5017044</v>
      </c>
      <c r="H1947" s="6">
        <v>5017044</v>
      </c>
      <c r="I1947" s="20">
        <f>H1947-G1947</f>
        <v>0</v>
      </c>
      <c r="J1947" s="616">
        <v>40</v>
      </c>
      <c r="K1947" s="703"/>
      <c r="L1947" s="22">
        <f>F1947*I1947*J1947</f>
        <v>0</v>
      </c>
      <c r="M1947" s="22"/>
      <c r="N1947" s="1936" t="s">
        <v>4659</v>
      </c>
      <c r="O1947" s="15"/>
    </row>
    <row r="1948" spans="1:15" ht="31" x14ac:dyDescent="0.35">
      <c r="A1948" s="631">
        <v>21</v>
      </c>
      <c r="B1948" s="1917" t="s">
        <v>4611</v>
      </c>
      <c r="C1948" s="73" t="s">
        <v>3872</v>
      </c>
      <c r="D1948" s="766"/>
      <c r="E1948" s="52">
        <v>74819925</v>
      </c>
      <c r="F1948" s="812">
        <v>1</v>
      </c>
      <c r="G1948" s="6">
        <v>9530.7459999999992</v>
      </c>
      <c r="H1948" s="6">
        <v>9577.0380000000005</v>
      </c>
      <c r="I1948" s="20">
        <f>H1948-G1948</f>
        <v>46.292000000001281</v>
      </c>
      <c r="J1948" s="616">
        <v>8000</v>
      </c>
      <c r="K1948" s="703"/>
      <c r="L1948" s="22">
        <f>F1948*I1948*J1948</f>
        <v>370336.00000001024</v>
      </c>
      <c r="M1948" s="22"/>
      <c r="N1948" s="1936" t="s">
        <v>4659</v>
      </c>
      <c r="O1948" s="15"/>
    </row>
    <row r="1949" spans="1:15" ht="20" x14ac:dyDescent="0.35">
      <c r="A1949" s="636"/>
      <c r="B1949" s="96"/>
      <c r="C1949" s="90"/>
      <c r="D1949" s="96"/>
      <c r="E1949" s="90"/>
      <c r="F1949" s="813"/>
      <c r="G1949" s="38"/>
      <c r="H1949" s="38"/>
      <c r="I1949" s="38"/>
      <c r="J1949" s="53" t="s">
        <v>44</v>
      </c>
      <c r="K1949" s="43">
        <f>K1930</f>
        <v>9404799.999999959</v>
      </c>
      <c r="L1949" s="43">
        <f>SUM(L1932:L1948)</f>
        <v>9957976.0000000484</v>
      </c>
      <c r="M1949" s="43">
        <f>SUM(M1932:M1948)</f>
        <v>0</v>
      </c>
      <c r="N1949" s="84">
        <f>(M1949-L1949)/L1949*100</f>
        <v>-100</v>
      </c>
      <c r="O1949" s="29"/>
    </row>
    <row r="1951" spans="1:15" ht="15" x14ac:dyDescent="0.35">
      <c r="A1951" s="620"/>
      <c r="B1951" s="635"/>
      <c r="C1951" s="632"/>
      <c r="D1951" s="1900"/>
      <c r="F1951" s="2092" t="s">
        <v>1099</v>
      </c>
      <c r="G1951" s="2092"/>
      <c r="H1951" s="2092"/>
      <c r="I1951" s="677" t="s">
        <v>14</v>
      </c>
      <c r="J1951" s="620"/>
      <c r="K1951" s="702"/>
      <c r="L1951" s="620"/>
      <c r="M1951" s="620"/>
      <c r="N1951" s="632"/>
      <c r="O1951" s="620"/>
    </row>
    <row r="1952" spans="1:15" ht="15.5" x14ac:dyDescent="0.35">
      <c r="A1952" s="620"/>
      <c r="B1952" s="635"/>
      <c r="C1952" s="632"/>
      <c r="D1952" s="1900"/>
      <c r="F1952" s="2153" t="s">
        <v>232</v>
      </c>
      <c r="G1952" s="2154"/>
      <c r="H1952" s="2155"/>
      <c r="I1952" s="643">
        <f>SUM(M1932:M1933,M1942)</f>
        <v>0</v>
      </c>
      <c r="J1952" s="620"/>
      <c r="K1952" s="702"/>
      <c r="L1952" s="620"/>
      <c r="M1952" s="620"/>
      <c r="N1952" s="632"/>
      <c r="O1952" s="620" t="s">
        <v>237</v>
      </c>
    </row>
    <row r="1953" spans="1:15" ht="15.5" x14ac:dyDescent="0.35">
      <c r="A1953" s="620"/>
      <c r="B1953" s="635"/>
      <c r="C1953" s="632"/>
      <c r="D1953" s="1900"/>
      <c r="F1953" s="2153" t="s">
        <v>268</v>
      </c>
      <c r="G1953" s="2154"/>
      <c r="H1953" s="2155"/>
      <c r="I1953" s="643">
        <f>SUM(M1934:M1941,M1943,M1945,M1946,M1948)</f>
        <v>0</v>
      </c>
      <c r="J1953" s="620"/>
      <c r="K1953" s="702"/>
      <c r="L1953" s="620"/>
      <c r="M1953" s="620"/>
      <c r="N1953" s="632"/>
      <c r="O1953" s="620"/>
    </row>
    <row r="1954" spans="1:15" ht="16" thickBot="1" x14ac:dyDescent="0.4">
      <c r="A1954" s="620"/>
      <c r="B1954" s="635"/>
      <c r="C1954" s="632"/>
      <c r="D1954" s="1900"/>
      <c r="F1954" s="2153" t="s">
        <v>269</v>
      </c>
      <c r="G1954" s="2154"/>
      <c r="H1954" s="2155"/>
      <c r="I1954" s="643">
        <f>SUM(M1944,M1947)</f>
        <v>0</v>
      </c>
      <c r="J1954" s="620"/>
      <c r="K1954" s="702"/>
      <c r="L1954" s="620"/>
      <c r="M1954" s="620"/>
      <c r="N1954" s="632"/>
      <c r="O1954" s="620"/>
    </row>
    <row r="1955" spans="1:15" ht="20.5" thickBot="1" x14ac:dyDescent="0.4">
      <c r="A1955" s="620"/>
      <c r="B1955" s="635"/>
      <c r="C1955" s="632"/>
      <c r="D1955" s="1900"/>
      <c r="E1955" s="632"/>
      <c r="F1955" s="2156" t="s">
        <v>210</v>
      </c>
      <c r="G1955" s="2156"/>
      <c r="H1955" s="2156"/>
      <c r="I1955" s="656">
        <f>SUM(I1952:I1954)</f>
        <v>0</v>
      </c>
      <c r="J1955" s="682">
        <f>I1955-M1949</f>
        <v>0</v>
      </c>
      <c r="K1955" s="702"/>
      <c r="L1955" s="620"/>
      <c r="M1955" s="620"/>
      <c r="N1955" s="632"/>
      <c r="O1955" s="620"/>
    </row>
  </sheetData>
  <mergeCells count="1182">
    <mergeCell ref="G182:I182"/>
    <mergeCell ref="F203:H203"/>
    <mergeCell ref="F204:H204"/>
    <mergeCell ref="F205:H205"/>
    <mergeCell ref="G131:I131"/>
    <mergeCell ref="G132:I132"/>
    <mergeCell ref="B143:M143"/>
    <mergeCell ref="A97:N97"/>
    <mergeCell ref="G88:I88"/>
    <mergeCell ref="G89:I89"/>
    <mergeCell ref="G90:I90"/>
    <mergeCell ref="G91:I91"/>
    <mergeCell ref="G92:I92"/>
    <mergeCell ref="G94:I94"/>
    <mergeCell ref="B177:C177"/>
    <mergeCell ref="D190:D200"/>
    <mergeCell ref="A147:A148"/>
    <mergeCell ref="B147:B148"/>
    <mergeCell ref="C147:E147"/>
    <mergeCell ref="F147:F148"/>
    <mergeCell ref="G147:I147"/>
    <mergeCell ref="J147:J148"/>
    <mergeCell ref="K147:L147"/>
    <mergeCell ref="A98:A99"/>
    <mergeCell ref="B98:B99"/>
    <mergeCell ref="C98:E98"/>
    <mergeCell ref="C149:D149"/>
    <mergeCell ref="D151:D152"/>
    <mergeCell ref="D163:D164"/>
    <mergeCell ref="A146:N146"/>
    <mergeCell ref="G130:I130"/>
    <mergeCell ref="G93:I93"/>
    <mergeCell ref="B48:C48"/>
    <mergeCell ref="K42:L42"/>
    <mergeCell ref="B43:C43"/>
    <mergeCell ref="F43:H43"/>
    <mergeCell ref="K43:L43"/>
    <mergeCell ref="F206:H206"/>
    <mergeCell ref="J182:J183"/>
    <mergeCell ref="K182:L182"/>
    <mergeCell ref="O182:O183"/>
    <mergeCell ref="C183:D183"/>
    <mergeCell ref="C184:D184"/>
    <mergeCell ref="D186:D187"/>
    <mergeCell ref="B174:C174"/>
    <mergeCell ref="F174:H174"/>
    <mergeCell ref="K174:L174"/>
    <mergeCell ref="B175:C175"/>
    <mergeCell ref="F175:H175"/>
    <mergeCell ref="K175:L175"/>
    <mergeCell ref="B172:C172"/>
    <mergeCell ref="F172:H172"/>
    <mergeCell ref="K172:L172"/>
    <mergeCell ref="B173:C173"/>
    <mergeCell ref="F173:H173"/>
    <mergeCell ref="K173:L173"/>
    <mergeCell ref="B176:C176"/>
    <mergeCell ref="F176:H176"/>
    <mergeCell ref="K176:L176"/>
    <mergeCell ref="A181:N181"/>
    <mergeCell ref="A182:A183"/>
    <mergeCell ref="B182:B183"/>
    <mergeCell ref="C182:E182"/>
    <mergeCell ref="F182:F183"/>
    <mergeCell ref="F98:F99"/>
    <mergeCell ref="G98:I98"/>
    <mergeCell ref="J98:J99"/>
    <mergeCell ref="K98:L98"/>
    <mergeCell ref="G128:I128"/>
    <mergeCell ref="G129:I129"/>
    <mergeCell ref="O53:O54"/>
    <mergeCell ref="C54:D54"/>
    <mergeCell ref="C55:D55"/>
    <mergeCell ref="F42:H42"/>
    <mergeCell ref="B40:C40"/>
    <mergeCell ref="F40:H40"/>
    <mergeCell ref="K40:L40"/>
    <mergeCell ref="B41:C41"/>
    <mergeCell ref="F41:H41"/>
    <mergeCell ref="K41:L41"/>
    <mergeCell ref="B44:C44"/>
    <mergeCell ref="F44:H44"/>
    <mergeCell ref="K44:L44"/>
    <mergeCell ref="B45:C45"/>
    <mergeCell ref="G86:I86"/>
    <mergeCell ref="G87:I87"/>
    <mergeCell ref="J53:J54"/>
    <mergeCell ref="A52:N52"/>
    <mergeCell ref="A53:A54"/>
    <mergeCell ref="B53:B54"/>
    <mergeCell ref="C53:E53"/>
    <mergeCell ref="F53:F54"/>
    <mergeCell ref="K53:L53"/>
    <mergeCell ref="F45:H45"/>
    <mergeCell ref="B46:C46"/>
    <mergeCell ref="B47:C47"/>
    <mergeCell ref="K248:L248"/>
    <mergeCell ref="D242:D244"/>
    <mergeCell ref="A220:N220"/>
    <mergeCell ref="A221:A222"/>
    <mergeCell ref="B221:B222"/>
    <mergeCell ref="C221:E221"/>
    <mergeCell ref="F221:F222"/>
    <mergeCell ref="G221:I221"/>
    <mergeCell ref="J221:J222"/>
    <mergeCell ref="K221:L221"/>
    <mergeCell ref="D34:D37"/>
    <mergeCell ref="O221:O222"/>
    <mergeCell ref="C222:D222"/>
    <mergeCell ref="A6:N6"/>
    <mergeCell ref="A7:A8"/>
    <mergeCell ref="B7:B8"/>
    <mergeCell ref="C7:E7"/>
    <mergeCell ref="F7:F8"/>
    <mergeCell ref="G7:I7"/>
    <mergeCell ref="J7:J8"/>
    <mergeCell ref="K7:L7"/>
    <mergeCell ref="B217:M217"/>
    <mergeCell ref="I17:J17"/>
    <mergeCell ref="I27:J27"/>
    <mergeCell ref="I28:J28"/>
    <mergeCell ref="O7:O8"/>
    <mergeCell ref="C8:D8"/>
    <mergeCell ref="C9:D9"/>
    <mergeCell ref="B42:C42"/>
    <mergeCell ref="G53:I53"/>
    <mergeCell ref="I83:J83"/>
    <mergeCell ref="G85:I85"/>
    <mergeCell ref="O98:O99"/>
    <mergeCell ref="C99:D99"/>
    <mergeCell ref="C100:D100"/>
    <mergeCell ref="G127:I127"/>
    <mergeCell ref="O147:O148"/>
    <mergeCell ref="C148:D148"/>
    <mergeCell ref="B252:C252"/>
    <mergeCell ref="A256:N256"/>
    <mergeCell ref="A257:A258"/>
    <mergeCell ref="B257:B258"/>
    <mergeCell ref="C257:E257"/>
    <mergeCell ref="F257:F258"/>
    <mergeCell ref="G257:I257"/>
    <mergeCell ref="J257:J258"/>
    <mergeCell ref="K257:L257"/>
    <mergeCell ref="B249:C249"/>
    <mergeCell ref="F249:H249"/>
    <mergeCell ref="K249:L249"/>
    <mergeCell ref="B250:C250"/>
    <mergeCell ref="F250:H250"/>
    <mergeCell ref="K250:L250"/>
    <mergeCell ref="B251:C251"/>
    <mergeCell ref="F251:H251"/>
    <mergeCell ref="K251:L251"/>
    <mergeCell ref="C223:D223"/>
    <mergeCell ref="D232:D234"/>
    <mergeCell ref="D237:D238"/>
    <mergeCell ref="B247:C247"/>
    <mergeCell ref="F247:H247"/>
    <mergeCell ref="K247:L247"/>
    <mergeCell ref="B248:C248"/>
    <mergeCell ref="F248:H248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D324:D327"/>
    <mergeCell ref="O257:O258"/>
    <mergeCell ref="C258:D258"/>
    <mergeCell ref="C259:D259"/>
    <mergeCell ref="F291:H291"/>
    <mergeCell ref="F292:H292"/>
    <mergeCell ref="F293:H293"/>
    <mergeCell ref="F294:H294"/>
    <mergeCell ref="B340:C340"/>
    <mergeCell ref="F340:H340"/>
    <mergeCell ref="K340:L340"/>
    <mergeCell ref="B341:C341"/>
    <mergeCell ref="F341:H341"/>
    <mergeCell ref="K341:L341"/>
    <mergeCell ref="B342:C342"/>
    <mergeCell ref="F342:H342"/>
    <mergeCell ref="K342:L342"/>
    <mergeCell ref="O310:O311"/>
    <mergeCell ref="C311:D311"/>
    <mergeCell ref="C312:D312"/>
    <mergeCell ref="D314:D315"/>
    <mergeCell ref="D330:D331"/>
    <mergeCell ref="B339:C339"/>
    <mergeCell ref="F339:H339"/>
    <mergeCell ref="K339:L339"/>
    <mergeCell ref="O349:O350"/>
    <mergeCell ref="C350:D350"/>
    <mergeCell ref="C351:D351"/>
    <mergeCell ref="F375:H375"/>
    <mergeCell ref="F376:H376"/>
    <mergeCell ref="F377:H377"/>
    <mergeCell ref="F378:H378"/>
    <mergeCell ref="B343:C343"/>
    <mergeCell ref="F343:H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O394:O395"/>
    <mergeCell ref="C395:D395"/>
    <mergeCell ref="C396:D396"/>
    <mergeCell ref="D398:D399"/>
    <mergeCell ref="D407:D408"/>
    <mergeCell ref="D412:D413"/>
    <mergeCell ref="B416:C416"/>
    <mergeCell ref="F416:H416"/>
    <mergeCell ref="K416:L416"/>
    <mergeCell ref="F379:H379"/>
    <mergeCell ref="B390:M390"/>
    <mergeCell ref="A393:N393"/>
    <mergeCell ref="A394:A395"/>
    <mergeCell ref="B394:B395"/>
    <mergeCell ref="C394:E394"/>
    <mergeCell ref="F394:F395"/>
    <mergeCell ref="G394:I394"/>
    <mergeCell ref="J394:J395"/>
    <mergeCell ref="K394:L394"/>
    <mergeCell ref="B420:C420"/>
    <mergeCell ref="F420:H420"/>
    <mergeCell ref="K420:L420"/>
    <mergeCell ref="B421:C421"/>
    <mergeCell ref="A425:N425"/>
    <mergeCell ref="A426:A427"/>
    <mergeCell ref="B426:B427"/>
    <mergeCell ref="C426:E426"/>
    <mergeCell ref="F426:F427"/>
    <mergeCell ref="G426:I426"/>
    <mergeCell ref="J426:J427"/>
    <mergeCell ref="K426:L426"/>
    <mergeCell ref="B417:C417"/>
    <mergeCell ref="F417:H417"/>
    <mergeCell ref="K417:L417"/>
    <mergeCell ref="B418:C418"/>
    <mergeCell ref="F418:H418"/>
    <mergeCell ref="K418:L418"/>
    <mergeCell ref="B419:C419"/>
    <mergeCell ref="F419:H419"/>
    <mergeCell ref="K419:L419"/>
    <mergeCell ref="F458:H458"/>
    <mergeCell ref="B472:M472"/>
    <mergeCell ref="A475:N475"/>
    <mergeCell ref="A476:A477"/>
    <mergeCell ref="B476:B477"/>
    <mergeCell ref="C476:E476"/>
    <mergeCell ref="F476:F477"/>
    <mergeCell ref="G476:I476"/>
    <mergeCell ref="J476:J477"/>
    <mergeCell ref="K476:L476"/>
    <mergeCell ref="O426:O427"/>
    <mergeCell ref="C427:D427"/>
    <mergeCell ref="C428:D428"/>
    <mergeCell ref="F454:H454"/>
    <mergeCell ref="F455:H455"/>
    <mergeCell ref="F456:H456"/>
    <mergeCell ref="F457:H457"/>
    <mergeCell ref="I493:J493"/>
    <mergeCell ref="I494:J494"/>
    <mergeCell ref="D496:D497"/>
    <mergeCell ref="B504:C504"/>
    <mergeCell ref="F504:H504"/>
    <mergeCell ref="K504:L504"/>
    <mergeCell ref="B505:C505"/>
    <mergeCell ref="F505:H505"/>
    <mergeCell ref="K505:L505"/>
    <mergeCell ref="O476:O477"/>
    <mergeCell ref="C477:D477"/>
    <mergeCell ref="C478:D478"/>
    <mergeCell ref="E480:E481"/>
    <mergeCell ref="E484:E485"/>
    <mergeCell ref="I486:J486"/>
    <mergeCell ref="E489:E490"/>
    <mergeCell ref="E491:E492"/>
    <mergeCell ref="E500:E501"/>
    <mergeCell ref="B509:C509"/>
    <mergeCell ref="A516:N516"/>
    <mergeCell ref="A517:A518"/>
    <mergeCell ref="B517:B518"/>
    <mergeCell ref="C517:E517"/>
    <mergeCell ref="F517:F518"/>
    <mergeCell ref="G517:I517"/>
    <mergeCell ref="J517:J518"/>
    <mergeCell ref="K517:L517"/>
    <mergeCell ref="B506:C506"/>
    <mergeCell ref="F506:H506"/>
    <mergeCell ref="K506:L506"/>
    <mergeCell ref="B507:C507"/>
    <mergeCell ref="F507:H507"/>
    <mergeCell ref="K507:L507"/>
    <mergeCell ref="B508:C508"/>
    <mergeCell ref="F508:H508"/>
    <mergeCell ref="K508:L508"/>
    <mergeCell ref="F509:H509"/>
    <mergeCell ref="B510:C510"/>
    <mergeCell ref="B511:C511"/>
    <mergeCell ref="B512:C512"/>
    <mergeCell ref="G542:I542"/>
    <mergeCell ref="G543:I543"/>
    <mergeCell ref="G544:I544"/>
    <mergeCell ref="G545:I545"/>
    <mergeCell ref="G546:I546"/>
    <mergeCell ref="G547:I547"/>
    <mergeCell ref="G548:I548"/>
    <mergeCell ref="A551:N551"/>
    <mergeCell ref="A552:A553"/>
    <mergeCell ref="B552:B553"/>
    <mergeCell ref="C552:E552"/>
    <mergeCell ref="F552:F553"/>
    <mergeCell ref="G552:I552"/>
    <mergeCell ref="J552:J553"/>
    <mergeCell ref="K552:L552"/>
    <mergeCell ref="O517:O518"/>
    <mergeCell ref="C518:D518"/>
    <mergeCell ref="C519:D519"/>
    <mergeCell ref="I538:J538"/>
    <mergeCell ref="G540:I540"/>
    <mergeCell ref="G541:I541"/>
    <mergeCell ref="G580:I580"/>
    <mergeCell ref="G581:I581"/>
    <mergeCell ref="B594:M594"/>
    <mergeCell ref="A597:N597"/>
    <mergeCell ref="A598:A599"/>
    <mergeCell ref="B598:B599"/>
    <mergeCell ref="C598:E598"/>
    <mergeCell ref="F598:F599"/>
    <mergeCell ref="G598:I598"/>
    <mergeCell ref="J598:J599"/>
    <mergeCell ref="K598:L598"/>
    <mergeCell ref="D605:D606"/>
    <mergeCell ref="O552:O553"/>
    <mergeCell ref="C553:D553"/>
    <mergeCell ref="C554:D554"/>
    <mergeCell ref="G576:I576"/>
    <mergeCell ref="G577:I577"/>
    <mergeCell ref="G578:I578"/>
    <mergeCell ref="G579:I579"/>
    <mergeCell ref="B626:C626"/>
    <mergeCell ref="F626:H626"/>
    <mergeCell ref="K626:L626"/>
    <mergeCell ref="B627:C627"/>
    <mergeCell ref="F627:H627"/>
    <mergeCell ref="K627:L627"/>
    <mergeCell ref="B628:C628"/>
    <mergeCell ref="F628:H628"/>
    <mergeCell ref="K628:L628"/>
    <mergeCell ref="O598:O599"/>
    <mergeCell ref="C599:D599"/>
    <mergeCell ref="C600:D600"/>
    <mergeCell ref="D609:D611"/>
    <mergeCell ref="D614:D615"/>
    <mergeCell ref="D619:D622"/>
    <mergeCell ref="B625:C625"/>
    <mergeCell ref="F625:H625"/>
    <mergeCell ref="K625:L625"/>
    <mergeCell ref="O635:O636"/>
    <mergeCell ref="C636:D636"/>
    <mergeCell ref="C637:D637"/>
    <mergeCell ref="F664:H664"/>
    <mergeCell ref="F665:H665"/>
    <mergeCell ref="F666:H666"/>
    <mergeCell ref="F667:H667"/>
    <mergeCell ref="B629:C629"/>
    <mergeCell ref="F629:H629"/>
    <mergeCell ref="K629:L629"/>
    <mergeCell ref="B630:C630"/>
    <mergeCell ref="A634:N634"/>
    <mergeCell ref="A635:A636"/>
    <mergeCell ref="B635:B636"/>
    <mergeCell ref="C635:E635"/>
    <mergeCell ref="F635:F636"/>
    <mergeCell ref="G635:I635"/>
    <mergeCell ref="J635:J636"/>
    <mergeCell ref="K635:L635"/>
    <mergeCell ref="O683:O684"/>
    <mergeCell ref="C684:D684"/>
    <mergeCell ref="C685:D685"/>
    <mergeCell ref="D691:D693"/>
    <mergeCell ref="B705:C705"/>
    <mergeCell ref="F705:H705"/>
    <mergeCell ref="K705:L705"/>
    <mergeCell ref="F668:H668"/>
    <mergeCell ref="B679:M679"/>
    <mergeCell ref="A682:N682"/>
    <mergeCell ref="A683:A684"/>
    <mergeCell ref="B683:B684"/>
    <mergeCell ref="C683:E683"/>
    <mergeCell ref="F683:F684"/>
    <mergeCell ref="G683:I683"/>
    <mergeCell ref="J683:J684"/>
    <mergeCell ref="K683:L683"/>
    <mergeCell ref="B709:C709"/>
    <mergeCell ref="F709:H709"/>
    <mergeCell ref="K709:L709"/>
    <mergeCell ref="B710:C710"/>
    <mergeCell ref="A714:N714"/>
    <mergeCell ref="A715:A716"/>
    <mergeCell ref="B715:B716"/>
    <mergeCell ref="C715:E715"/>
    <mergeCell ref="F715:F716"/>
    <mergeCell ref="G715:I715"/>
    <mergeCell ref="J715:J716"/>
    <mergeCell ref="K715:L715"/>
    <mergeCell ref="B706:C706"/>
    <mergeCell ref="F706:H706"/>
    <mergeCell ref="K706:L706"/>
    <mergeCell ref="B707:C707"/>
    <mergeCell ref="F707:H707"/>
    <mergeCell ref="K707:L707"/>
    <mergeCell ref="B708:C708"/>
    <mergeCell ref="F708:H708"/>
    <mergeCell ref="K708:L708"/>
    <mergeCell ref="F744:H744"/>
    <mergeCell ref="B755:M755"/>
    <mergeCell ref="A758:N758"/>
    <mergeCell ref="A759:A760"/>
    <mergeCell ref="B759:B760"/>
    <mergeCell ref="C759:E759"/>
    <mergeCell ref="F759:F760"/>
    <mergeCell ref="G759:I759"/>
    <mergeCell ref="J759:J760"/>
    <mergeCell ref="K759:L759"/>
    <mergeCell ref="O715:O716"/>
    <mergeCell ref="C716:D716"/>
    <mergeCell ref="C717:D717"/>
    <mergeCell ref="D723:D737"/>
    <mergeCell ref="F740:H740"/>
    <mergeCell ref="F741:H741"/>
    <mergeCell ref="F742:H742"/>
    <mergeCell ref="F743:H743"/>
    <mergeCell ref="B784:C784"/>
    <mergeCell ref="F784:H784"/>
    <mergeCell ref="K784:L784"/>
    <mergeCell ref="B785:C785"/>
    <mergeCell ref="F785:H785"/>
    <mergeCell ref="K785:L785"/>
    <mergeCell ref="B786:C786"/>
    <mergeCell ref="F786:H786"/>
    <mergeCell ref="K786:L786"/>
    <mergeCell ref="O759:O760"/>
    <mergeCell ref="C760:D760"/>
    <mergeCell ref="C761:D761"/>
    <mergeCell ref="D763:D766"/>
    <mergeCell ref="D769:D771"/>
    <mergeCell ref="D774:D775"/>
    <mergeCell ref="D779:D780"/>
    <mergeCell ref="B783:C783"/>
    <mergeCell ref="F783:H783"/>
    <mergeCell ref="K783:L783"/>
    <mergeCell ref="O793:O794"/>
    <mergeCell ref="C794:D794"/>
    <mergeCell ref="C795:D795"/>
    <mergeCell ref="F818:H818"/>
    <mergeCell ref="F819:H819"/>
    <mergeCell ref="F820:H820"/>
    <mergeCell ref="F821:H821"/>
    <mergeCell ref="B787:C787"/>
    <mergeCell ref="F787:H787"/>
    <mergeCell ref="K787:L787"/>
    <mergeCell ref="B788:C788"/>
    <mergeCell ref="A792:N792"/>
    <mergeCell ref="A793:A794"/>
    <mergeCell ref="B793:B794"/>
    <mergeCell ref="C793:E793"/>
    <mergeCell ref="F793:F794"/>
    <mergeCell ref="G793:I793"/>
    <mergeCell ref="J793:J794"/>
    <mergeCell ref="K793:L793"/>
    <mergeCell ref="F822:H822"/>
    <mergeCell ref="B836:M836"/>
    <mergeCell ref="A839:N839"/>
    <mergeCell ref="A840:A841"/>
    <mergeCell ref="B840:B841"/>
    <mergeCell ref="C840:E840"/>
    <mergeCell ref="F840:F841"/>
    <mergeCell ref="G840:I840"/>
    <mergeCell ref="J840:J841"/>
    <mergeCell ref="K840:L840"/>
    <mergeCell ref="B867:C867"/>
    <mergeCell ref="F867:H867"/>
    <mergeCell ref="K867:L867"/>
    <mergeCell ref="B868:C868"/>
    <mergeCell ref="F868:H868"/>
    <mergeCell ref="K868:L868"/>
    <mergeCell ref="B869:C869"/>
    <mergeCell ref="F869:H869"/>
    <mergeCell ref="K869:L869"/>
    <mergeCell ref="I853:J853"/>
    <mergeCell ref="I854:J854"/>
    <mergeCell ref="B865:C865"/>
    <mergeCell ref="F865:H865"/>
    <mergeCell ref="K865:L865"/>
    <mergeCell ref="B866:C866"/>
    <mergeCell ref="F866:H866"/>
    <mergeCell ref="K866:L866"/>
    <mergeCell ref="G909:I909"/>
    <mergeCell ref="G910:I910"/>
    <mergeCell ref="G911:I911"/>
    <mergeCell ref="G912:I912"/>
    <mergeCell ref="G913:I913"/>
    <mergeCell ref="G914:I914"/>
    <mergeCell ref="A917:N917"/>
    <mergeCell ref="O840:O841"/>
    <mergeCell ref="C841:D841"/>
    <mergeCell ref="C842:D842"/>
    <mergeCell ref="I848:J848"/>
    <mergeCell ref="B870:C870"/>
    <mergeCell ref="A877:N877"/>
    <mergeCell ref="O878:O879"/>
    <mergeCell ref="C879:D879"/>
    <mergeCell ref="C880:D880"/>
    <mergeCell ref="I904:J904"/>
    <mergeCell ref="G906:I906"/>
    <mergeCell ref="G907:I907"/>
    <mergeCell ref="A878:A879"/>
    <mergeCell ref="B878:B879"/>
    <mergeCell ref="C878:E878"/>
    <mergeCell ref="F878:F879"/>
    <mergeCell ref="G878:I878"/>
    <mergeCell ref="J878:J879"/>
    <mergeCell ref="K878:L878"/>
    <mergeCell ref="G908:I908"/>
    <mergeCell ref="F870:H870"/>
    <mergeCell ref="B871:C871"/>
    <mergeCell ref="B872:C872"/>
    <mergeCell ref="B873:C873"/>
    <mergeCell ref="G949:I949"/>
    <mergeCell ref="G950:I950"/>
    <mergeCell ref="B961:M961"/>
    <mergeCell ref="A964:N964"/>
    <mergeCell ref="A965:A966"/>
    <mergeCell ref="B965:B966"/>
    <mergeCell ref="C965:E965"/>
    <mergeCell ref="F965:F966"/>
    <mergeCell ref="G965:I965"/>
    <mergeCell ref="J965:J966"/>
    <mergeCell ref="K965:L965"/>
    <mergeCell ref="O918:O919"/>
    <mergeCell ref="C919:D919"/>
    <mergeCell ref="C920:D920"/>
    <mergeCell ref="G945:I945"/>
    <mergeCell ref="G946:I946"/>
    <mergeCell ref="G947:I947"/>
    <mergeCell ref="G948:I948"/>
    <mergeCell ref="A918:A919"/>
    <mergeCell ref="B918:B919"/>
    <mergeCell ref="C918:E918"/>
    <mergeCell ref="F918:F919"/>
    <mergeCell ref="G918:I918"/>
    <mergeCell ref="J918:J919"/>
    <mergeCell ref="K918:L918"/>
    <mergeCell ref="B988:C988"/>
    <mergeCell ref="F988:H988"/>
    <mergeCell ref="K988:L988"/>
    <mergeCell ref="B989:C989"/>
    <mergeCell ref="F989:H989"/>
    <mergeCell ref="K989:L989"/>
    <mergeCell ref="B990:C990"/>
    <mergeCell ref="F990:H990"/>
    <mergeCell ref="K990:L990"/>
    <mergeCell ref="O965:O966"/>
    <mergeCell ref="C966:D966"/>
    <mergeCell ref="C967:D967"/>
    <mergeCell ref="D977:D978"/>
    <mergeCell ref="B987:C987"/>
    <mergeCell ref="F987:H987"/>
    <mergeCell ref="K987:L987"/>
    <mergeCell ref="O997:O998"/>
    <mergeCell ref="C998:D998"/>
    <mergeCell ref="C999:D999"/>
    <mergeCell ref="D1001:D1003"/>
    <mergeCell ref="F1026:H1026"/>
    <mergeCell ref="F1027:H1027"/>
    <mergeCell ref="F1028:H1028"/>
    <mergeCell ref="F1029:H1029"/>
    <mergeCell ref="B991:C991"/>
    <mergeCell ref="F991:H991"/>
    <mergeCell ref="K991:L991"/>
    <mergeCell ref="B992:C992"/>
    <mergeCell ref="A996:N996"/>
    <mergeCell ref="A997:A998"/>
    <mergeCell ref="B997:B998"/>
    <mergeCell ref="C997:E997"/>
    <mergeCell ref="F997:F998"/>
    <mergeCell ref="G997:I997"/>
    <mergeCell ref="J997:J998"/>
    <mergeCell ref="K997:L997"/>
    <mergeCell ref="O1048:O1049"/>
    <mergeCell ref="C1049:D1049"/>
    <mergeCell ref="C1050:D1050"/>
    <mergeCell ref="E1052:E1053"/>
    <mergeCell ref="I1054:J1054"/>
    <mergeCell ref="D1057:D1060"/>
    <mergeCell ref="E1057:E1058"/>
    <mergeCell ref="E1059:E1060"/>
    <mergeCell ref="F1030:H1030"/>
    <mergeCell ref="B1044:M1044"/>
    <mergeCell ref="A1047:N1047"/>
    <mergeCell ref="A1048:A1049"/>
    <mergeCell ref="B1048:B1049"/>
    <mergeCell ref="C1048:E1048"/>
    <mergeCell ref="F1048:F1049"/>
    <mergeCell ref="G1048:I1048"/>
    <mergeCell ref="J1048:J1049"/>
    <mergeCell ref="K1048:L1048"/>
    <mergeCell ref="B1074:C1074"/>
    <mergeCell ref="F1074:H1074"/>
    <mergeCell ref="K1074:L1074"/>
    <mergeCell ref="B1075:C1075"/>
    <mergeCell ref="F1075:H1075"/>
    <mergeCell ref="K1075:L1075"/>
    <mergeCell ref="B1076:C1076"/>
    <mergeCell ref="F1076:H1076"/>
    <mergeCell ref="K1076:L1076"/>
    <mergeCell ref="I1061:J1061"/>
    <mergeCell ref="I1062:J1062"/>
    <mergeCell ref="D1064:D1065"/>
    <mergeCell ref="B1072:C1072"/>
    <mergeCell ref="F1072:H1072"/>
    <mergeCell ref="K1072:L1072"/>
    <mergeCell ref="B1073:C1073"/>
    <mergeCell ref="F1073:H1073"/>
    <mergeCell ref="K1073:L1073"/>
    <mergeCell ref="E1068:E1069"/>
    <mergeCell ref="O1085:O1086"/>
    <mergeCell ref="C1086:D1086"/>
    <mergeCell ref="C1087:D1087"/>
    <mergeCell ref="D1089:D1090"/>
    <mergeCell ref="I1109:J1109"/>
    <mergeCell ref="G1111:I1111"/>
    <mergeCell ref="G1112:I1112"/>
    <mergeCell ref="B1077:C1077"/>
    <mergeCell ref="A1084:N1084"/>
    <mergeCell ref="A1085:A1086"/>
    <mergeCell ref="B1085:B1086"/>
    <mergeCell ref="C1085:E1085"/>
    <mergeCell ref="F1085:F1086"/>
    <mergeCell ref="G1085:I1085"/>
    <mergeCell ref="J1085:J1086"/>
    <mergeCell ref="K1085:L1085"/>
    <mergeCell ref="O1123:O1124"/>
    <mergeCell ref="C1124:D1124"/>
    <mergeCell ref="F1077:H1077"/>
    <mergeCell ref="B1078:C1078"/>
    <mergeCell ref="B1079:C1079"/>
    <mergeCell ref="B1080:C1080"/>
    <mergeCell ref="G1154:I1154"/>
    <mergeCell ref="G1155:I1155"/>
    <mergeCell ref="B1166:M1166"/>
    <mergeCell ref="A1169:N1169"/>
    <mergeCell ref="A1170:A1171"/>
    <mergeCell ref="B1170:B1171"/>
    <mergeCell ref="C1170:E1170"/>
    <mergeCell ref="F1170:F1171"/>
    <mergeCell ref="G1170:I1170"/>
    <mergeCell ref="J1170:J1171"/>
    <mergeCell ref="K1170:L1170"/>
    <mergeCell ref="C1125:D1125"/>
    <mergeCell ref="G1150:I1150"/>
    <mergeCell ref="G1151:I1151"/>
    <mergeCell ref="G1152:I1152"/>
    <mergeCell ref="G1153:I1153"/>
    <mergeCell ref="G1113:I1113"/>
    <mergeCell ref="G1114:I1114"/>
    <mergeCell ref="G1115:I1115"/>
    <mergeCell ref="G1116:I1116"/>
    <mergeCell ref="G1117:I1117"/>
    <mergeCell ref="G1118:I1118"/>
    <mergeCell ref="G1119:I1119"/>
    <mergeCell ref="A1122:N1122"/>
    <mergeCell ref="A1123:A1124"/>
    <mergeCell ref="B1123:B1124"/>
    <mergeCell ref="C1123:E1123"/>
    <mergeCell ref="F1123:F1124"/>
    <mergeCell ref="G1123:I1123"/>
    <mergeCell ref="J1123:J1124"/>
    <mergeCell ref="K1123:L1123"/>
    <mergeCell ref="B1194:C1194"/>
    <mergeCell ref="F1194:H1194"/>
    <mergeCell ref="K1194:L1194"/>
    <mergeCell ref="B1195:C1195"/>
    <mergeCell ref="F1195:H1195"/>
    <mergeCell ref="K1195:L1195"/>
    <mergeCell ref="B1196:C1196"/>
    <mergeCell ref="F1196:H1196"/>
    <mergeCell ref="K1196:L1196"/>
    <mergeCell ref="O1170:O1171"/>
    <mergeCell ref="C1171:D1171"/>
    <mergeCell ref="C1172:D1172"/>
    <mergeCell ref="D1174:D1176"/>
    <mergeCell ref="D1179:D1181"/>
    <mergeCell ref="D1184:D1185"/>
    <mergeCell ref="D1189:D1190"/>
    <mergeCell ref="B1193:C1193"/>
    <mergeCell ref="F1193:H1193"/>
    <mergeCell ref="K1193:L1193"/>
    <mergeCell ref="O1203:O1204"/>
    <mergeCell ref="C1204:D1204"/>
    <mergeCell ref="C1205:D1205"/>
    <mergeCell ref="D1207:D1209"/>
    <mergeCell ref="F1232:H1232"/>
    <mergeCell ref="F1233:H1233"/>
    <mergeCell ref="F1234:H1234"/>
    <mergeCell ref="F1235:H1235"/>
    <mergeCell ref="B1197:C1197"/>
    <mergeCell ref="F1197:H1197"/>
    <mergeCell ref="K1197:L1197"/>
    <mergeCell ref="B1198:C1198"/>
    <mergeCell ref="A1202:N1202"/>
    <mergeCell ref="A1203:A1204"/>
    <mergeCell ref="B1203:B1204"/>
    <mergeCell ref="C1203:E1203"/>
    <mergeCell ref="F1203:F1204"/>
    <mergeCell ref="G1203:I1203"/>
    <mergeCell ref="J1203:J1204"/>
    <mergeCell ref="K1203:L1203"/>
    <mergeCell ref="O1251:O1252"/>
    <mergeCell ref="C1252:D1252"/>
    <mergeCell ref="C1253:D1253"/>
    <mergeCell ref="D1255:D1258"/>
    <mergeCell ref="D1261:D1263"/>
    <mergeCell ref="D1266:D1267"/>
    <mergeCell ref="D1271:D1273"/>
    <mergeCell ref="B1276:C1276"/>
    <mergeCell ref="F1276:H1276"/>
    <mergeCell ref="K1276:L1276"/>
    <mergeCell ref="F1236:H1236"/>
    <mergeCell ref="B1247:M1247"/>
    <mergeCell ref="A1250:N1250"/>
    <mergeCell ref="A1251:A1252"/>
    <mergeCell ref="B1251:B1252"/>
    <mergeCell ref="C1251:E1251"/>
    <mergeCell ref="F1251:F1252"/>
    <mergeCell ref="G1251:I1251"/>
    <mergeCell ref="J1251:J1252"/>
    <mergeCell ref="K1251:L1251"/>
    <mergeCell ref="B1280:C1280"/>
    <mergeCell ref="F1280:H1280"/>
    <mergeCell ref="K1280:L1280"/>
    <mergeCell ref="B1281:C1281"/>
    <mergeCell ref="A1285:N1285"/>
    <mergeCell ref="A1286:A1287"/>
    <mergeCell ref="B1286:B1287"/>
    <mergeCell ref="C1286:E1286"/>
    <mergeCell ref="F1286:F1287"/>
    <mergeCell ref="G1286:I1286"/>
    <mergeCell ref="J1286:J1287"/>
    <mergeCell ref="K1286:L1286"/>
    <mergeCell ref="B1277:C1277"/>
    <mergeCell ref="F1277:H1277"/>
    <mergeCell ref="K1277:L1277"/>
    <mergeCell ref="B1278:C1278"/>
    <mergeCell ref="F1278:H1278"/>
    <mergeCell ref="K1278:L1278"/>
    <mergeCell ref="B1279:C1279"/>
    <mergeCell ref="F1279:H1279"/>
    <mergeCell ref="K1279:L1279"/>
    <mergeCell ref="F1318:H1318"/>
    <mergeCell ref="B1332:M1332"/>
    <mergeCell ref="A1335:N1335"/>
    <mergeCell ref="A1336:A1337"/>
    <mergeCell ref="B1336:B1337"/>
    <mergeCell ref="C1336:E1336"/>
    <mergeCell ref="F1336:F1337"/>
    <mergeCell ref="G1336:I1336"/>
    <mergeCell ref="J1336:J1337"/>
    <mergeCell ref="K1336:L1336"/>
    <mergeCell ref="B1363:C1363"/>
    <mergeCell ref="F1363:H1363"/>
    <mergeCell ref="K1363:L1363"/>
    <mergeCell ref="O1286:O1287"/>
    <mergeCell ref="C1287:D1287"/>
    <mergeCell ref="C1288:D1288"/>
    <mergeCell ref="D1290:D1291"/>
    <mergeCell ref="F1314:H1314"/>
    <mergeCell ref="F1315:H1315"/>
    <mergeCell ref="F1316:H1316"/>
    <mergeCell ref="F1317:H1317"/>
    <mergeCell ref="I1349:J1349"/>
    <mergeCell ref="I1350:J1350"/>
    <mergeCell ref="D1352:D1353"/>
    <mergeCell ref="B1361:C1361"/>
    <mergeCell ref="F1361:H1361"/>
    <mergeCell ref="K1361:L1361"/>
    <mergeCell ref="B1362:C1362"/>
    <mergeCell ref="F1362:H1362"/>
    <mergeCell ref="K1362:L1362"/>
    <mergeCell ref="O1336:O1337"/>
    <mergeCell ref="C1337:D1337"/>
    <mergeCell ref="C1338:D1338"/>
    <mergeCell ref="D1340:D1342"/>
    <mergeCell ref="I1343:J1343"/>
    <mergeCell ref="D1346:D1348"/>
    <mergeCell ref="C1376:D1376"/>
    <mergeCell ref="D1378:D1380"/>
    <mergeCell ref="I1394:J1394"/>
    <mergeCell ref="G1396:I1396"/>
    <mergeCell ref="G1397:I1397"/>
    <mergeCell ref="B1366:C1366"/>
    <mergeCell ref="A1373:N1373"/>
    <mergeCell ref="A1374:A1375"/>
    <mergeCell ref="B1374:B1375"/>
    <mergeCell ref="C1374:E1374"/>
    <mergeCell ref="F1374:F1375"/>
    <mergeCell ref="G1374:I1374"/>
    <mergeCell ref="J1374:J1375"/>
    <mergeCell ref="K1374:L1374"/>
    <mergeCell ref="B1367:C1367"/>
    <mergeCell ref="B1368:C1368"/>
    <mergeCell ref="B1369:C1369"/>
    <mergeCell ref="O1408:O1409"/>
    <mergeCell ref="C1409:D1409"/>
    <mergeCell ref="B1364:C1364"/>
    <mergeCell ref="F1364:H1364"/>
    <mergeCell ref="K1364:L1364"/>
    <mergeCell ref="B1365:C1365"/>
    <mergeCell ref="F1365:H1365"/>
    <mergeCell ref="K1365:L1365"/>
    <mergeCell ref="C1410:D1410"/>
    <mergeCell ref="D1412:D1413"/>
    <mergeCell ref="G1435:I1435"/>
    <mergeCell ref="G1436:I1436"/>
    <mergeCell ref="G1437:I1437"/>
    <mergeCell ref="G1438:I1438"/>
    <mergeCell ref="G1398:I1398"/>
    <mergeCell ref="G1399:I1399"/>
    <mergeCell ref="G1400:I1400"/>
    <mergeCell ref="G1401:I1401"/>
    <mergeCell ref="G1402:I1402"/>
    <mergeCell ref="G1403:I1403"/>
    <mergeCell ref="G1404:I1404"/>
    <mergeCell ref="A1407:N1407"/>
    <mergeCell ref="A1408:A1409"/>
    <mergeCell ref="B1408:B1409"/>
    <mergeCell ref="C1408:E1408"/>
    <mergeCell ref="F1408:F1409"/>
    <mergeCell ref="G1408:I1408"/>
    <mergeCell ref="J1408:J1409"/>
    <mergeCell ref="K1408:L1408"/>
    <mergeCell ref="O1374:O1375"/>
    <mergeCell ref="C1375:D1375"/>
    <mergeCell ref="F1366:H1366"/>
    <mergeCell ref="O1455:O1456"/>
    <mergeCell ref="C1456:D1456"/>
    <mergeCell ref="C1457:D1457"/>
    <mergeCell ref="D1459:D1462"/>
    <mergeCell ref="D1465:D1467"/>
    <mergeCell ref="D1470:D1471"/>
    <mergeCell ref="D1475:D1476"/>
    <mergeCell ref="B1479:C1479"/>
    <mergeCell ref="F1479:H1479"/>
    <mergeCell ref="K1479:L1479"/>
    <mergeCell ref="G1439:I1439"/>
    <mergeCell ref="G1440:I1440"/>
    <mergeCell ref="B1451:M1451"/>
    <mergeCell ref="A1454:N1454"/>
    <mergeCell ref="A1455:A1456"/>
    <mergeCell ref="B1455:B1456"/>
    <mergeCell ref="C1455:E1455"/>
    <mergeCell ref="F1455:F1456"/>
    <mergeCell ref="G1455:I1455"/>
    <mergeCell ref="J1455:J1456"/>
    <mergeCell ref="K1455:L1455"/>
    <mergeCell ref="B1483:C1483"/>
    <mergeCell ref="F1483:H1483"/>
    <mergeCell ref="K1483:L1483"/>
    <mergeCell ref="B1484:C1484"/>
    <mergeCell ref="A1488:N1488"/>
    <mergeCell ref="A1489:A1490"/>
    <mergeCell ref="B1489:B1490"/>
    <mergeCell ref="C1489:E1489"/>
    <mergeCell ref="F1489:F1490"/>
    <mergeCell ref="G1489:I1489"/>
    <mergeCell ref="J1489:J1490"/>
    <mergeCell ref="K1489:L1489"/>
    <mergeCell ref="B1480:C1480"/>
    <mergeCell ref="F1480:H1480"/>
    <mergeCell ref="K1480:L1480"/>
    <mergeCell ref="B1481:C1481"/>
    <mergeCell ref="F1481:H1481"/>
    <mergeCell ref="K1481:L1481"/>
    <mergeCell ref="B1482:C1482"/>
    <mergeCell ref="F1482:H1482"/>
    <mergeCell ref="K1482:L1482"/>
    <mergeCell ref="F1515:H1515"/>
    <mergeCell ref="B1529:M1529"/>
    <mergeCell ref="A1532:N1532"/>
    <mergeCell ref="A1533:A1534"/>
    <mergeCell ref="B1533:B1534"/>
    <mergeCell ref="C1533:E1533"/>
    <mergeCell ref="F1533:F1534"/>
    <mergeCell ref="G1533:I1533"/>
    <mergeCell ref="J1533:J1534"/>
    <mergeCell ref="K1533:L1533"/>
    <mergeCell ref="O1489:O1490"/>
    <mergeCell ref="C1490:D1490"/>
    <mergeCell ref="C1491:D1491"/>
    <mergeCell ref="D1493:D1494"/>
    <mergeCell ref="D1497:D1508"/>
    <mergeCell ref="F1511:H1511"/>
    <mergeCell ref="F1512:H1512"/>
    <mergeCell ref="F1513:H1513"/>
    <mergeCell ref="F1514:H1514"/>
    <mergeCell ref="I1548:J1548"/>
    <mergeCell ref="I1549:J1549"/>
    <mergeCell ref="D1551:D1552"/>
    <mergeCell ref="B1559:C1559"/>
    <mergeCell ref="F1559:H1559"/>
    <mergeCell ref="K1559:L1559"/>
    <mergeCell ref="B1560:C1560"/>
    <mergeCell ref="F1560:H1560"/>
    <mergeCell ref="K1560:L1560"/>
    <mergeCell ref="O1533:O1534"/>
    <mergeCell ref="C1534:D1534"/>
    <mergeCell ref="C1535:D1535"/>
    <mergeCell ref="D1537:D1540"/>
    <mergeCell ref="E1537:E1538"/>
    <mergeCell ref="E1539:E1540"/>
    <mergeCell ref="I1541:J1541"/>
    <mergeCell ref="D1544:D1547"/>
    <mergeCell ref="E1544:E1545"/>
    <mergeCell ref="E1546:E1547"/>
    <mergeCell ref="B1564:C1564"/>
    <mergeCell ref="A1571:N1571"/>
    <mergeCell ref="A1572:A1573"/>
    <mergeCell ref="B1572:B1573"/>
    <mergeCell ref="C1572:E1572"/>
    <mergeCell ref="F1572:F1573"/>
    <mergeCell ref="G1572:I1572"/>
    <mergeCell ref="J1572:J1573"/>
    <mergeCell ref="K1572:L1572"/>
    <mergeCell ref="B1561:C1561"/>
    <mergeCell ref="F1561:H1561"/>
    <mergeCell ref="K1561:L1561"/>
    <mergeCell ref="B1562:C1562"/>
    <mergeCell ref="F1562:H1562"/>
    <mergeCell ref="K1562:L1562"/>
    <mergeCell ref="B1563:C1563"/>
    <mergeCell ref="F1563:H1563"/>
    <mergeCell ref="K1563:L1563"/>
    <mergeCell ref="F1564:H1564"/>
    <mergeCell ref="B1565:C1565"/>
    <mergeCell ref="B1566:C1566"/>
    <mergeCell ref="B1567:C1567"/>
    <mergeCell ref="G1600:I1600"/>
    <mergeCell ref="G1601:I1601"/>
    <mergeCell ref="G1602:I1602"/>
    <mergeCell ref="G1603:I1603"/>
    <mergeCell ref="G1604:I1604"/>
    <mergeCell ref="G1605:I1605"/>
    <mergeCell ref="G1606:I1606"/>
    <mergeCell ref="A1609:N1609"/>
    <mergeCell ref="A1610:A1611"/>
    <mergeCell ref="B1610:B1611"/>
    <mergeCell ref="C1610:E1610"/>
    <mergeCell ref="F1610:F1611"/>
    <mergeCell ref="G1610:I1610"/>
    <mergeCell ref="J1610:J1611"/>
    <mergeCell ref="K1610:L1610"/>
    <mergeCell ref="O1572:O1573"/>
    <mergeCell ref="C1573:D1573"/>
    <mergeCell ref="C1574:D1574"/>
    <mergeCell ref="I1596:J1596"/>
    <mergeCell ref="G1598:I1598"/>
    <mergeCell ref="G1599:I1599"/>
    <mergeCell ref="G1641:I1641"/>
    <mergeCell ref="G1642:I1642"/>
    <mergeCell ref="B1653:M1653"/>
    <mergeCell ref="A1656:N1656"/>
    <mergeCell ref="A1657:A1658"/>
    <mergeCell ref="B1657:B1658"/>
    <mergeCell ref="C1657:E1657"/>
    <mergeCell ref="F1657:F1658"/>
    <mergeCell ref="G1657:I1657"/>
    <mergeCell ref="J1657:J1658"/>
    <mergeCell ref="K1657:L1657"/>
    <mergeCell ref="O1610:O1611"/>
    <mergeCell ref="C1611:D1611"/>
    <mergeCell ref="C1612:D1612"/>
    <mergeCell ref="G1637:I1637"/>
    <mergeCell ref="G1638:I1638"/>
    <mergeCell ref="G1639:I1639"/>
    <mergeCell ref="G1640:I1640"/>
    <mergeCell ref="B1682:C1682"/>
    <mergeCell ref="F1682:H1682"/>
    <mergeCell ref="K1682:L1682"/>
    <mergeCell ref="B1683:C1683"/>
    <mergeCell ref="F1683:H1683"/>
    <mergeCell ref="K1683:L1683"/>
    <mergeCell ref="B1684:C1684"/>
    <mergeCell ref="F1684:H1684"/>
    <mergeCell ref="K1684:L1684"/>
    <mergeCell ref="O1657:O1658"/>
    <mergeCell ref="C1658:D1658"/>
    <mergeCell ref="C1659:D1659"/>
    <mergeCell ref="D1667:D1669"/>
    <mergeCell ref="D1672:D1673"/>
    <mergeCell ref="D1677:D1678"/>
    <mergeCell ref="B1681:C1681"/>
    <mergeCell ref="F1681:H1681"/>
    <mergeCell ref="K1681:L1681"/>
    <mergeCell ref="F1715:H1715"/>
    <mergeCell ref="O1691:O1692"/>
    <mergeCell ref="C1692:D1692"/>
    <mergeCell ref="C1693:D1693"/>
    <mergeCell ref="D1695:D1696"/>
    <mergeCell ref="F1711:H1711"/>
    <mergeCell ref="F1712:H1712"/>
    <mergeCell ref="F1713:H1713"/>
    <mergeCell ref="F1714:H1714"/>
    <mergeCell ref="B1685:C1685"/>
    <mergeCell ref="F1685:H1685"/>
    <mergeCell ref="K1685:L1685"/>
    <mergeCell ref="B1686:C1686"/>
    <mergeCell ref="A1690:N1690"/>
    <mergeCell ref="A1691:A1692"/>
    <mergeCell ref="B1691:B1692"/>
    <mergeCell ref="C1691:E1691"/>
    <mergeCell ref="F1691:F1692"/>
    <mergeCell ref="G1691:I1691"/>
    <mergeCell ref="J1691:J1692"/>
    <mergeCell ref="K1691:L1691"/>
    <mergeCell ref="B1726:M1726"/>
    <mergeCell ref="A1729:N1729"/>
    <mergeCell ref="A1730:A1731"/>
    <mergeCell ref="B1730:B1731"/>
    <mergeCell ref="C1730:E1730"/>
    <mergeCell ref="F1730:F1731"/>
    <mergeCell ref="G1730:I1730"/>
    <mergeCell ref="J1730:J1731"/>
    <mergeCell ref="K1730:L1730"/>
    <mergeCell ref="O1730:O1731"/>
    <mergeCell ref="C1731:D1731"/>
    <mergeCell ref="C1732:D1732"/>
    <mergeCell ref="D1740:D1742"/>
    <mergeCell ref="D1745:D1746"/>
    <mergeCell ref="D1750:D1751"/>
    <mergeCell ref="B1754:C1754"/>
    <mergeCell ref="F1754:H1754"/>
    <mergeCell ref="K1754:L1754"/>
    <mergeCell ref="B1755:C1755"/>
    <mergeCell ref="F1755:H1755"/>
    <mergeCell ref="K1755:L1755"/>
    <mergeCell ref="B1756:C1756"/>
    <mergeCell ref="F1756:H1756"/>
    <mergeCell ref="K1756:L1756"/>
    <mergeCell ref="B1757:C1757"/>
    <mergeCell ref="F1757:H1757"/>
    <mergeCell ref="K1757:L1757"/>
    <mergeCell ref="B1758:C1758"/>
    <mergeCell ref="F1758:H1758"/>
    <mergeCell ref="K1758:L1758"/>
    <mergeCell ref="B1759:C1759"/>
    <mergeCell ref="A1763:N1763"/>
    <mergeCell ref="A1764:A1765"/>
    <mergeCell ref="B1764:B1765"/>
    <mergeCell ref="C1764:E1764"/>
    <mergeCell ref="F1764:F1765"/>
    <mergeCell ref="G1764:I1764"/>
    <mergeCell ref="J1764:J1765"/>
    <mergeCell ref="K1764:L1764"/>
    <mergeCell ref="O1764:O1765"/>
    <mergeCell ref="C1765:D1765"/>
    <mergeCell ref="C1766:D1766"/>
    <mergeCell ref="D1768:D1769"/>
    <mergeCell ref="F1792:H1792"/>
    <mergeCell ref="F1793:H1793"/>
    <mergeCell ref="F1794:H1794"/>
    <mergeCell ref="F1795:H1795"/>
    <mergeCell ref="F1796:H1796"/>
    <mergeCell ref="B1807:M1807"/>
    <mergeCell ref="A1810:N1810"/>
    <mergeCell ref="A1811:A1812"/>
    <mergeCell ref="B1811:B1812"/>
    <mergeCell ref="C1811:E1811"/>
    <mergeCell ref="F1811:F1812"/>
    <mergeCell ref="G1811:I1811"/>
    <mergeCell ref="J1811:J1812"/>
    <mergeCell ref="K1811:L1811"/>
    <mergeCell ref="O1811:O1812"/>
    <mergeCell ref="C1812:D1812"/>
    <mergeCell ref="C1813:D1813"/>
    <mergeCell ref="D1815:D1816"/>
    <mergeCell ref="D1819:D1821"/>
    <mergeCell ref="D1824:D1825"/>
    <mergeCell ref="D1829:D1830"/>
    <mergeCell ref="B1833:C1833"/>
    <mergeCell ref="F1833:H1833"/>
    <mergeCell ref="K1833:L1833"/>
    <mergeCell ref="B1834:C1834"/>
    <mergeCell ref="F1834:H1834"/>
    <mergeCell ref="K1834:L1834"/>
    <mergeCell ref="B1835:C1835"/>
    <mergeCell ref="F1835:H1835"/>
    <mergeCell ref="K1835:L1835"/>
    <mergeCell ref="B1836:C1836"/>
    <mergeCell ref="F1836:H1836"/>
    <mergeCell ref="K1836:L1836"/>
    <mergeCell ref="B1837:C1837"/>
    <mergeCell ref="F1837:H1837"/>
    <mergeCell ref="K1837:L1837"/>
    <mergeCell ref="B1838:C1838"/>
    <mergeCell ref="A1842:N1842"/>
    <mergeCell ref="A1843:A1844"/>
    <mergeCell ref="B1843:B1844"/>
    <mergeCell ref="C1843:E1843"/>
    <mergeCell ref="F1843:F1844"/>
    <mergeCell ref="G1843:I1843"/>
    <mergeCell ref="J1843:J1844"/>
    <mergeCell ref="K1843:L1843"/>
    <mergeCell ref="O1843:O1844"/>
    <mergeCell ref="C1844:D1844"/>
    <mergeCell ref="C1845:D1845"/>
    <mergeCell ref="D1847:D1848"/>
    <mergeCell ref="F1871:H1871"/>
    <mergeCell ref="F1872:H1872"/>
    <mergeCell ref="F1873:H1873"/>
    <mergeCell ref="F1874:H1874"/>
    <mergeCell ref="F1875:H1875"/>
    <mergeCell ref="B1886:M1886"/>
    <mergeCell ref="A1889:N1889"/>
    <mergeCell ref="A1890:A1891"/>
    <mergeCell ref="B1890:B1891"/>
    <mergeCell ref="C1890:E1890"/>
    <mergeCell ref="F1890:F1891"/>
    <mergeCell ref="G1890:I1890"/>
    <mergeCell ref="J1890:J1891"/>
    <mergeCell ref="K1890:L1890"/>
    <mergeCell ref="O1890:O1891"/>
    <mergeCell ref="C1891:D1891"/>
    <mergeCell ref="C1892:D1892"/>
    <mergeCell ref="D1894:D1895"/>
    <mergeCell ref="D1898:D1900"/>
    <mergeCell ref="D1903:D1904"/>
    <mergeCell ref="D1908:D1910"/>
    <mergeCell ref="B1913:C1913"/>
    <mergeCell ref="F1913:H1913"/>
    <mergeCell ref="K1913:L1913"/>
    <mergeCell ref="B1914:C1914"/>
    <mergeCell ref="F1914:H1914"/>
    <mergeCell ref="K1914:L1914"/>
    <mergeCell ref="B1915:C1915"/>
    <mergeCell ref="F1915:H1915"/>
    <mergeCell ref="K1915:L1915"/>
    <mergeCell ref="B1916:C1916"/>
    <mergeCell ref="F1916:H1916"/>
    <mergeCell ref="K1916:L1916"/>
    <mergeCell ref="B1917:C1917"/>
    <mergeCell ref="F1917:H1917"/>
    <mergeCell ref="K1917:L1917"/>
    <mergeCell ref="F1954:H1954"/>
    <mergeCell ref="F1955:H1955"/>
    <mergeCell ref="B1918:C1918"/>
    <mergeCell ref="A1922:N1922"/>
    <mergeCell ref="A1923:A1924"/>
    <mergeCell ref="B1923:B1924"/>
    <mergeCell ref="C1923:E1923"/>
    <mergeCell ref="F1923:F1924"/>
    <mergeCell ref="G1923:I1923"/>
    <mergeCell ref="J1923:J1924"/>
    <mergeCell ref="K1923:L1923"/>
    <mergeCell ref="O1923:O1924"/>
    <mergeCell ref="C1924:D1924"/>
    <mergeCell ref="C1925:D1925"/>
    <mergeCell ref="D1927:D1929"/>
    <mergeCell ref="F1951:H1951"/>
    <mergeCell ref="F1952:H1952"/>
    <mergeCell ref="F1953:H1953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N84:N96 N203:N216 N98:N124 N859:N876 N1818:N1825 N1739:N1746 N1666:N1673 N1286:N1311 N1572:N1595 N1355:N1372 N1464:N1471 N1260:N1267 N1408:N1432 N1183:N1185 N1178:N1181 N1610:N1634 N1085:N1108 N1554:N1570 N1048:N1054 N972:N978 N850:N853 N19:N27 N33:N51 N690:N697 N918:N942 N793:N815 N517:N537 N855:N857 N401:N408 N257:N288 N1067:N1083 N605:N615 N840:N848 N1374:N1393 N1345:N1349 N1336:N1343 N349:N372 N320:N321 N318 N323:N331 N576:N593 N1203:N1229 N1951:N1955 N1890:N1895 N1906:N1910 N1887:N1888 N1843:N1868 N1871:N1885 N1811:N1816 N1827:N1830 N1808:N1809 N552:N573 N1792:N1806 N1730:N1737 N1748:N1751 N1727:N1728 N715:N737 N1550:N1552 N1711:N1725 N1533:N1541 N1657:N1664 N1675:N1678 N1654:N1655 N1637:N1652 N1543:N1548 N1597:N1608 N1527:N1531 N635:N661 N1351:N1353 N499:N515 N1511:N1515 N1455:N1462 N1473:N1476 N1452:N1453 N1435:N1450 N1395:N1406 N1330:N1334 N426:N451 N1314:N1318 N1251:N1258 N1269:N1273 N1248:N1249 N1063:N1065 N1232:N1246 N1170:N1176 N1187:N1190 N1167:N1168 N1150:N1165 N1056:N1061 N1110:N1121 N1042:N1046 N997:N1023 N768:N775 N1026:N1030 N965:N970 N980:N984 N962:N963 N945:N960 N905:N916 N834:N838 N1489:N1508 N818:N822 N759:N766 N777:N780 N756:N757 N1123:N1147 N740:N754 N683:N688 N699:N702 N680:N681 N878:N903 N495:N497 N664:N678 N476:N486 N598:N602 N617:N622 N595:N596 N488:N493 N539:N550 N470:N474 N1764:N1789 N454:N458 N394:N399 N410:N413 N391:N392 N53:N82 N375:N389 N310:N315 N333:N336 N307:N308 N229:N238 N182:N200 N291:N305 N221:N226 N240:N244 N218:N219 N155:N164 N1691:N1708 N29:N31 N1897:N1904 N7:N17 N147:N152 N166:N169 N144:N145 N127:N142 N1923:N1932 N1934:N1948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D1467"/>
  <sheetViews>
    <sheetView topLeftCell="A595" zoomScale="54" zoomScaleNormal="54" workbookViewId="0">
      <selection activeCell="N595" sqref="N1:N1048576"/>
    </sheetView>
  </sheetViews>
  <sheetFormatPr defaultColWidth="9.26953125" defaultRowHeight="15.5" x14ac:dyDescent="0.35"/>
  <cols>
    <col min="1" max="1" width="3.54296875" style="620" customWidth="1"/>
    <col min="2" max="2" width="27.7265625" style="635" customWidth="1"/>
    <col min="3" max="3" width="6.26953125" style="632" customWidth="1"/>
    <col min="4" max="4" width="9.26953125" style="720" customWidth="1"/>
    <col min="5" max="5" width="9.7265625" style="632" customWidth="1"/>
    <col min="6" max="6" width="6.26953125" style="641" customWidth="1"/>
    <col min="7" max="8" width="14" style="620" customWidth="1"/>
    <col min="9" max="9" width="13.7265625" style="620" customWidth="1"/>
    <col min="10" max="10" width="8.54296875" style="620" customWidth="1"/>
    <col min="11" max="11" width="20.26953125" style="702" customWidth="1"/>
    <col min="12" max="12" width="16.54296875" style="620" customWidth="1"/>
    <col min="13" max="13" width="15.26953125" style="620" customWidth="1"/>
    <col min="14" max="14" width="17.81640625" style="652" customWidth="1"/>
    <col min="15" max="15" width="4.7265625" style="620" customWidth="1"/>
    <col min="16" max="16" width="14.453125" style="620" customWidth="1"/>
    <col min="17" max="17" width="22" style="620" customWidth="1"/>
    <col min="18" max="20" width="11.54296875" style="620" customWidth="1"/>
    <col min="21" max="21" width="12.26953125" style="620" customWidth="1"/>
    <col min="22" max="22" width="11.54296875" style="620" customWidth="1"/>
    <col min="23" max="24" width="3.453125" style="620" customWidth="1"/>
    <col min="25" max="29" width="9.26953125" style="620"/>
    <col min="30" max="30" width="21.26953125" style="620" bestFit="1" customWidth="1"/>
    <col min="31" max="16384" width="9.26953125" style="620"/>
  </cols>
  <sheetData>
    <row r="3" spans="1:22" ht="25" x14ac:dyDescent="0.3">
      <c r="A3" s="46"/>
      <c r="B3" s="2152" t="s">
        <v>1080</v>
      </c>
      <c r="C3" s="2152"/>
      <c r="D3" s="2152"/>
      <c r="E3" s="2152"/>
      <c r="F3" s="2152"/>
      <c r="G3" s="2152"/>
      <c r="H3" s="2152"/>
      <c r="I3" s="2152"/>
      <c r="J3" s="2152"/>
      <c r="K3" s="2152"/>
      <c r="L3" s="2152"/>
      <c r="M3" s="2152"/>
      <c r="N3" s="1913"/>
      <c r="O3" s="28"/>
    </row>
    <row r="6" spans="1:22" ht="30.75" customHeight="1" x14ac:dyDescent="0.3">
      <c r="A6" s="2095" t="s">
        <v>1584</v>
      </c>
      <c r="B6" s="2095"/>
      <c r="C6" s="2095"/>
      <c r="D6" s="2095"/>
      <c r="E6" s="2095"/>
      <c r="F6" s="2095"/>
      <c r="G6" s="2095"/>
      <c r="H6" s="2095"/>
      <c r="I6" s="2095"/>
      <c r="J6" s="2095"/>
      <c r="K6" s="2095"/>
      <c r="L6" s="2095"/>
      <c r="M6" s="2095"/>
      <c r="N6" s="2095"/>
      <c r="O6" s="756" t="s">
        <v>1406</v>
      </c>
    </row>
    <row r="7" spans="1:22" x14ac:dyDescent="0.35">
      <c r="A7" s="2096" t="s">
        <v>0</v>
      </c>
      <c r="B7" s="2098" t="s">
        <v>1</v>
      </c>
      <c r="C7" s="2100" t="s">
        <v>2</v>
      </c>
      <c r="D7" s="2101"/>
      <c r="E7" s="2102"/>
      <c r="F7" s="2230" t="s">
        <v>3</v>
      </c>
      <c r="G7" s="2100" t="s">
        <v>4</v>
      </c>
      <c r="H7" s="2102"/>
      <c r="I7" s="2085"/>
      <c r="J7" s="2103" t="s">
        <v>5</v>
      </c>
      <c r="K7" s="2100" t="s">
        <v>6</v>
      </c>
      <c r="L7" s="2102"/>
      <c r="M7" s="97" t="s">
        <v>1088</v>
      </c>
      <c r="N7" s="98"/>
      <c r="O7" s="2084" t="s">
        <v>7</v>
      </c>
      <c r="Q7" s="2247" t="str">
        <f>$B$7</f>
        <v>Name of Feeder/Transformer.</v>
      </c>
      <c r="R7" s="2251" t="str">
        <f>O6</f>
        <v>Month December-2022</v>
      </c>
      <c r="S7" s="2251" t="s">
        <v>15</v>
      </c>
      <c r="T7" s="2247" t="s">
        <v>16</v>
      </c>
      <c r="U7" s="2249" t="s">
        <v>17</v>
      </c>
      <c r="V7" s="2249" t="s">
        <v>18</v>
      </c>
    </row>
    <row r="8" spans="1:22" x14ac:dyDescent="0.3">
      <c r="A8" s="2097"/>
      <c r="B8" s="2099"/>
      <c r="C8" s="2086" t="s">
        <v>1108</v>
      </c>
      <c r="D8" s="2087"/>
      <c r="E8" s="87" t="s">
        <v>9</v>
      </c>
      <c r="F8" s="2229"/>
      <c r="G8" s="2">
        <f>'NORTH-1'!$G$8</f>
        <v>44774</v>
      </c>
      <c r="H8" s="2">
        <f>'NORTH-1'!$H$8</f>
        <v>44805</v>
      </c>
      <c r="I8" s="1" t="s">
        <v>10</v>
      </c>
      <c r="J8" s="2097"/>
      <c r="K8" s="1" t="s">
        <v>11</v>
      </c>
      <c r="L8" s="1" t="s">
        <v>12</v>
      </c>
      <c r="M8" s="617" t="s">
        <v>33</v>
      </c>
      <c r="N8" s="76" t="s">
        <v>47</v>
      </c>
      <c r="O8" s="2085"/>
      <c r="Q8" s="2248"/>
      <c r="R8" s="2252"/>
      <c r="S8" s="2252"/>
      <c r="T8" s="2248"/>
      <c r="U8" s="2250"/>
      <c r="V8" s="2250"/>
    </row>
    <row r="9" spans="1:22" x14ac:dyDescent="0.3">
      <c r="A9" s="3">
        <v>1</v>
      </c>
      <c r="B9" s="88">
        <v>2</v>
      </c>
      <c r="C9" s="2088">
        <v>4</v>
      </c>
      <c r="D9" s="2089"/>
      <c r="E9" s="88">
        <v>5</v>
      </c>
      <c r="F9" s="786">
        <v>7</v>
      </c>
      <c r="G9" s="3">
        <v>8</v>
      </c>
      <c r="H9" s="3">
        <v>9</v>
      </c>
      <c r="I9" s="3" t="s">
        <v>13</v>
      </c>
      <c r="J9" s="3">
        <v>11</v>
      </c>
      <c r="K9" s="3" t="s">
        <v>19</v>
      </c>
      <c r="L9" s="3" t="s">
        <v>20</v>
      </c>
      <c r="M9" s="3">
        <v>14</v>
      </c>
      <c r="N9" s="77">
        <v>15</v>
      </c>
      <c r="O9" s="3">
        <v>16</v>
      </c>
      <c r="Q9" s="621"/>
      <c r="R9" s="622"/>
      <c r="S9" s="622"/>
      <c r="T9" s="623"/>
      <c r="U9" s="623"/>
      <c r="V9" s="623"/>
    </row>
    <row r="10" spans="1:22" x14ac:dyDescent="0.3">
      <c r="A10" s="11"/>
      <c r="B10" s="624" t="s">
        <v>1112</v>
      </c>
      <c r="C10" s="625"/>
      <c r="D10" s="625"/>
      <c r="E10" s="667"/>
      <c r="F10" s="787"/>
      <c r="G10" s="625"/>
      <c r="H10" s="625"/>
      <c r="I10" s="625"/>
      <c r="J10" s="625"/>
      <c r="K10" s="695"/>
      <c r="L10" s="625"/>
      <c r="M10" s="626"/>
      <c r="N10" s="627"/>
      <c r="O10" s="8"/>
      <c r="Q10" s="628"/>
      <c r="R10" s="629"/>
      <c r="S10" s="629"/>
      <c r="T10" s="630"/>
      <c r="U10" s="630"/>
      <c r="V10" s="630"/>
    </row>
    <row r="11" spans="1:22" x14ac:dyDescent="0.35">
      <c r="A11" s="631"/>
      <c r="B11" s="100" t="s">
        <v>21</v>
      </c>
      <c r="C11" s="52">
        <v>132</v>
      </c>
      <c r="D11" s="2105" t="s">
        <v>698</v>
      </c>
      <c r="E11" s="2149" t="s">
        <v>28</v>
      </c>
      <c r="F11" s="4">
        <v>1</v>
      </c>
      <c r="G11" s="5">
        <v>5527.5820000000003</v>
      </c>
      <c r="H11" s="5">
        <v>5553.8090000000002</v>
      </c>
      <c r="I11" s="5">
        <f>H11-G11</f>
        <v>26.226999999999862</v>
      </c>
      <c r="J11" s="616">
        <v>960000</v>
      </c>
      <c r="K11" s="696">
        <f>J11*I11*F11</f>
        <v>25177919.999999866</v>
      </c>
      <c r="L11" s="7"/>
      <c r="M11" s="7"/>
      <c r="N11" s="78"/>
      <c r="O11" s="616"/>
      <c r="Q11" s="628"/>
      <c r="R11" s="629"/>
      <c r="S11" s="629"/>
      <c r="T11" s="630"/>
      <c r="U11" s="630"/>
      <c r="V11" s="630"/>
    </row>
    <row r="12" spans="1:22" x14ac:dyDescent="0.35">
      <c r="A12" s="631"/>
      <c r="B12" s="100" t="s">
        <v>22</v>
      </c>
      <c r="C12" s="52">
        <v>132</v>
      </c>
      <c r="D12" s="2106"/>
      <c r="E12" s="2150"/>
      <c r="F12" s="4">
        <v>1</v>
      </c>
      <c r="G12" s="5"/>
      <c r="H12" s="5"/>
      <c r="I12" s="5">
        <f t="shared" ref="I12:I21" si="0">H12-G12</f>
        <v>0</v>
      </c>
      <c r="J12" s="616">
        <v>960000</v>
      </c>
      <c r="K12" s="696"/>
      <c r="L12" s="16">
        <f>J12*I12*F12</f>
        <v>0</v>
      </c>
      <c r="M12" s="16"/>
      <c r="N12" s="79"/>
      <c r="O12" s="616"/>
      <c r="Q12" s="628"/>
      <c r="R12" s="629"/>
      <c r="S12" s="629"/>
      <c r="T12" s="630"/>
      <c r="U12" s="630"/>
      <c r="V12" s="630"/>
    </row>
    <row r="13" spans="1:22" x14ac:dyDescent="0.35">
      <c r="A13" s="631"/>
      <c r="B13" s="100" t="s">
        <v>23</v>
      </c>
      <c r="C13" s="52">
        <v>132</v>
      </c>
      <c r="D13" s="2106"/>
      <c r="E13" s="2149" t="s">
        <v>29</v>
      </c>
      <c r="F13" s="4">
        <v>1</v>
      </c>
      <c r="G13" s="5">
        <v>4739.6149999999998</v>
      </c>
      <c r="H13" s="5">
        <v>4759.607</v>
      </c>
      <c r="I13" s="5">
        <f t="shared" si="0"/>
        <v>19.992000000000189</v>
      </c>
      <c r="J13" s="616">
        <v>960000</v>
      </c>
      <c r="K13" s="696">
        <f>J13*I13*F13</f>
        <v>19192320.000000183</v>
      </c>
      <c r="L13" s="7"/>
      <c r="M13" s="7"/>
      <c r="N13" s="78"/>
      <c r="O13" s="616"/>
      <c r="Q13" s="628"/>
      <c r="R13" s="629"/>
      <c r="S13" s="629"/>
      <c r="T13" s="630"/>
      <c r="U13" s="630"/>
      <c r="V13" s="630"/>
    </row>
    <row r="14" spans="1:22" x14ac:dyDescent="0.35">
      <c r="A14" s="631"/>
      <c r="B14" s="100" t="s">
        <v>24</v>
      </c>
      <c r="C14" s="52">
        <v>132</v>
      </c>
      <c r="D14" s="2151"/>
      <c r="E14" s="2150"/>
      <c r="F14" s="4">
        <v>1</v>
      </c>
      <c r="G14" s="5">
        <v>8.4000000000000005E-2</v>
      </c>
      <c r="H14" s="5">
        <v>8.4000000000000005E-2</v>
      </c>
      <c r="I14" s="5">
        <f t="shared" si="0"/>
        <v>0</v>
      </c>
      <c r="J14" s="616">
        <v>960000</v>
      </c>
      <c r="K14" s="697"/>
      <c r="L14" s="17">
        <f>J14*I14*F14</f>
        <v>0</v>
      </c>
      <c r="M14" s="17"/>
      <c r="N14" s="80"/>
      <c r="O14" s="616"/>
      <c r="Q14" s="628"/>
      <c r="R14" s="629"/>
      <c r="S14" s="629"/>
      <c r="T14" s="630"/>
      <c r="U14" s="630"/>
      <c r="V14" s="630"/>
    </row>
    <row r="15" spans="1:22" x14ac:dyDescent="0.35">
      <c r="A15" s="631"/>
      <c r="B15" s="95"/>
      <c r="C15" s="89"/>
      <c r="D15" s="89"/>
      <c r="E15" s="89"/>
      <c r="F15" s="788"/>
      <c r="G15" s="37"/>
      <c r="H15" s="37"/>
      <c r="I15" s="2136" t="s">
        <v>236</v>
      </c>
      <c r="J15" s="2137"/>
      <c r="K15" s="698">
        <f>SUM(K11:K14)</f>
        <v>44370240.000000045</v>
      </c>
      <c r="L15" s="94">
        <f>SUM(L11:L14)</f>
        <v>0</v>
      </c>
      <c r="M15" s="18"/>
      <c r="N15" s="81"/>
      <c r="O15" s="616"/>
      <c r="Q15" s="628"/>
      <c r="R15" s="629"/>
      <c r="S15" s="629"/>
      <c r="T15" s="630"/>
      <c r="U15" s="630"/>
      <c r="V15" s="630"/>
    </row>
    <row r="16" spans="1:22" x14ac:dyDescent="0.35">
      <c r="A16" s="631"/>
      <c r="B16" s="95"/>
      <c r="C16" s="89"/>
      <c r="D16" s="89"/>
      <c r="E16" s="89"/>
      <c r="F16" s="788"/>
      <c r="G16" s="37"/>
      <c r="H16" s="37"/>
      <c r="I16" s="665"/>
      <c r="J16" s="665" t="s">
        <v>31</v>
      </c>
      <c r="K16" s="699">
        <f>K15-L15</f>
        <v>44370240.000000045</v>
      </c>
      <c r="L16" s="40"/>
      <c r="M16" s="41"/>
      <c r="O16" s="616"/>
      <c r="Q16" s="628"/>
      <c r="R16" s="629"/>
      <c r="S16" s="629"/>
      <c r="T16" s="630"/>
      <c r="U16" s="630"/>
      <c r="V16" s="630"/>
    </row>
    <row r="17" spans="1:22" x14ac:dyDescent="0.35">
      <c r="A17" s="631"/>
      <c r="B17" s="624" t="s">
        <v>1111</v>
      </c>
      <c r="C17" s="625"/>
      <c r="D17" s="625"/>
      <c r="E17" s="625"/>
      <c r="F17" s="787"/>
      <c r="G17" s="625"/>
      <c r="H17" s="625"/>
      <c r="I17" s="625"/>
      <c r="J17" s="625"/>
      <c r="K17" s="695"/>
      <c r="L17" s="625"/>
      <c r="M17" s="626"/>
      <c r="N17" s="627"/>
      <c r="O17" s="616"/>
      <c r="Q17" s="628"/>
      <c r="R17" s="629"/>
      <c r="S17" s="629"/>
      <c r="T17" s="630"/>
      <c r="U17" s="630"/>
      <c r="V17" s="630"/>
    </row>
    <row r="18" spans="1:22" x14ac:dyDescent="0.35">
      <c r="A18" s="631"/>
      <c r="B18" s="100" t="s">
        <v>25</v>
      </c>
      <c r="C18" s="52">
        <v>132</v>
      </c>
      <c r="D18" s="2105" t="s">
        <v>1084</v>
      </c>
      <c r="E18" s="2149">
        <v>6604452</v>
      </c>
      <c r="F18" s="4">
        <v>1</v>
      </c>
      <c r="G18" s="5">
        <v>8942.2900000000009</v>
      </c>
      <c r="H18" s="5">
        <v>8977.3700000000008</v>
      </c>
      <c r="I18" s="5">
        <f t="shared" si="0"/>
        <v>35.079999999999927</v>
      </c>
      <c r="J18" s="616">
        <v>720000</v>
      </c>
      <c r="K18" s="696">
        <f>J18*I18*F18</f>
        <v>25257599.999999948</v>
      </c>
      <c r="L18" s="16"/>
      <c r="M18" s="16"/>
      <c r="N18" s="79"/>
      <c r="O18" s="616"/>
      <c r="Q18" s="628"/>
      <c r="R18" s="629"/>
      <c r="S18" s="629"/>
      <c r="T18" s="630"/>
      <c r="U18" s="630"/>
      <c r="V18" s="630"/>
    </row>
    <row r="19" spans="1:22" x14ac:dyDescent="0.35">
      <c r="A19" s="631"/>
      <c r="B19" s="100" t="s">
        <v>26</v>
      </c>
      <c r="C19" s="52">
        <v>132</v>
      </c>
      <c r="D19" s="2106"/>
      <c r="E19" s="2150"/>
      <c r="F19" s="4">
        <v>1</v>
      </c>
      <c r="G19" s="1431"/>
      <c r="H19" s="1431"/>
      <c r="I19" s="5">
        <f t="shared" si="0"/>
        <v>0</v>
      </c>
      <c r="J19" s="616">
        <v>720000</v>
      </c>
      <c r="K19" s="696"/>
      <c r="L19" s="16">
        <f>J19*I19*F19</f>
        <v>0</v>
      </c>
      <c r="M19" s="16"/>
      <c r="N19" s="79"/>
      <c r="O19" s="616"/>
      <c r="Q19" s="628"/>
      <c r="R19" s="629"/>
      <c r="S19" s="629"/>
      <c r="T19" s="630"/>
      <c r="U19" s="630"/>
      <c r="V19" s="630"/>
    </row>
    <row r="20" spans="1:22" x14ac:dyDescent="0.35">
      <c r="A20" s="631"/>
      <c r="B20" s="100" t="s">
        <v>27</v>
      </c>
      <c r="C20" s="52">
        <v>132</v>
      </c>
      <c r="D20" s="2106"/>
      <c r="E20" s="2149">
        <v>6604428</v>
      </c>
      <c r="F20" s="4">
        <v>1</v>
      </c>
      <c r="G20" s="5">
        <v>5298.14</v>
      </c>
      <c r="H20" s="5">
        <v>5324.94</v>
      </c>
      <c r="I20" s="5">
        <f t="shared" si="0"/>
        <v>26.799999999999272</v>
      </c>
      <c r="J20" s="616">
        <v>720000</v>
      </c>
      <c r="K20" s="696">
        <f>J20*I20*F20</f>
        <v>19295999.999999475</v>
      </c>
      <c r="L20" s="16"/>
      <c r="M20" s="16"/>
      <c r="N20" s="79"/>
      <c r="O20" s="616"/>
      <c r="Q20" s="628"/>
      <c r="R20" s="629"/>
      <c r="S20" s="629"/>
      <c r="T20" s="630"/>
      <c r="U20" s="630"/>
      <c r="V20" s="630"/>
    </row>
    <row r="21" spans="1:22" x14ac:dyDescent="0.35">
      <c r="A21" s="631"/>
      <c r="B21" s="100" t="s">
        <v>27</v>
      </c>
      <c r="C21" s="52">
        <v>132</v>
      </c>
      <c r="D21" s="2151"/>
      <c r="E21" s="2150"/>
      <c r="F21" s="4">
        <v>1</v>
      </c>
      <c r="G21" s="1432"/>
      <c r="H21" s="1432"/>
      <c r="I21" s="5">
        <f t="shared" si="0"/>
        <v>0</v>
      </c>
      <c r="J21" s="616">
        <v>720000</v>
      </c>
      <c r="K21" s="697"/>
      <c r="L21" s="17">
        <f>J21*I21*F21</f>
        <v>0</v>
      </c>
      <c r="M21" s="17"/>
      <c r="N21" s="80"/>
      <c r="O21" s="616"/>
      <c r="Q21" s="628"/>
      <c r="R21" s="629"/>
      <c r="S21" s="629"/>
      <c r="T21" s="630"/>
      <c r="U21" s="630"/>
      <c r="V21" s="630"/>
    </row>
    <row r="22" spans="1:22" x14ac:dyDescent="0.35">
      <c r="A22" s="631"/>
      <c r="B22" s="95"/>
      <c r="C22" s="89"/>
      <c r="D22" s="89"/>
      <c r="E22" s="89"/>
      <c r="F22" s="788"/>
      <c r="G22" s="37"/>
      <c r="H22" s="37"/>
      <c r="I22" s="2136" t="s">
        <v>303</v>
      </c>
      <c r="J22" s="2137"/>
      <c r="K22" s="698">
        <f>SUM(K18:K21)</f>
        <v>44553599.999999419</v>
      </c>
      <c r="L22" s="83">
        <f>SUM(L18:L21)</f>
        <v>0</v>
      </c>
      <c r="M22" s="18"/>
      <c r="N22" s="81"/>
      <c r="O22" s="633"/>
      <c r="Q22" s="628"/>
      <c r="R22" s="629"/>
      <c r="S22" s="629"/>
      <c r="T22" s="630"/>
      <c r="U22" s="630"/>
      <c r="V22" s="630"/>
    </row>
    <row r="23" spans="1:22" x14ac:dyDescent="0.35">
      <c r="A23" s="631"/>
      <c r="B23" s="95"/>
      <c r="C23" s="89"/>
      <c r="D23" s="89"/>
      <c r="E23" s="89"/>
      <c r="F23" s="788"/>
      <c r="G23" s="37"/>
      <c r="H23" s="37"/>
      <c r="I23" s="2136" t="s">
        <v>31</v>
      </c>
      <c r="J23" s="2137"/>
      <c r="K23" s="699">
        <f>K22-L22</f>
        <v>44553599.999999419</v>
      </c>
      <c r="L23" s="699">
        <f>L22-M22</f>
        <v>0</v>
      </c>
      <c r="M23" s="1434"/>
      <c r="N23" s="631"/>
      <c r="O23" s="633"/>
      <c r="P23"/>
      <c r="Q23" s="628"/>
      <c r="R23" s="629"/>
      <c r="S23" s="629"/>
      <c r="T23" s="630"/>
      <c r="U23" s="630"/>
      <c r="V23" s="630"/>
    </row>
    <row r="24" spans="1:22" x14ac:dyDescent="0.35">
      <c r="A24" s="11"/>
      <c r="B24" s="647" t="s">
        <v>1115</v>
      </c>
      <c r="C24" s="648"/>
      <c r="D24" s="648"/>
      <c r="E24" s="648"/>
      <c r="F24" s="789"/>
      <c r="G24" s="648"/>
      <c r="H24" s="648"/>
      <c r="I24" s="648"/>
      <c r="J24" s="648"/>
      <c r="K24" s="700"/>
      <c r="L24" s="648"/>
      <c r="M24" s="1433"/>
      <c r="N24" s="649"/>
      <c r="O24" s="8"/>
      <c r="P24"/>
    </row>
    <row r="25" spans="1:22" x14ac:dyDescent="0.35">
      <c r="A25" s="631"/>
      <c r="B25" s="100" t="s">
        <v>1079</v>
      </c>
      <c r="C25" s="52">
        <v>132</v>
      </c>
      <c r="D25" s="2138" t="s">
        <v>1083</v>
      </c>
      <c r="E25" s="615"/>
      <c r="F25" s="4"/>
      <c r="G25" s="5"/>
      <c r="H25" s="5"/>
      <c r="I25" s="5"/>
      <c r="J25" s="616"/>
      <c r="K25" s="696"/>
      <c r="L25" s="16">
        <f>J25*I25*F25</f>
        <v>0</v>
      </c>
      <c r="M25" s="7"/>
      <c r="N25" s="78"/>
      <c r="O25" s="2253" t="s">
        <v>1646</v>
      </c>
      <c r="P25"/>
    </row>
    <row r="26" spans="1:22" x14ac:dyDescent="0.35">
      <c r="A26" s="631"/>
      <c r="B26" s="100" t="s">
        <v>1078</v>
      </c>
      <c r="C26" s="52">
        <v>132</v>
      </c>
      <c r="D26" s="2139"/>
      <c r="E26" s="615"/>
      <c r="F26" s="4"/>
      <c r="G26" s="5"/>
      <c r="H26" s="5"/>
      <c r="I26" s="5"/>
      <c r="J26" s="616"/>
      <c r="K26" s="696"/>
      <c r="L26" s="16">
        <f>J26*I26*F26</f>
        <v>0</v>
      </c>
      <c r="M26" s="16"/>
      <c r="N26" s="79"/>
      <c r="O26" s="2254"/>
      <c r="P26"/>
    </row>
    <row r="27" spans="1:22" x14ac:dyDescent="0.35">
      <c r="A27" s="631"/>
      <c r="B27" s="95"/>
      <c r="C27" s="89"/>
      <c r="D27" s="89"/>
      <c r="E27" s="89"/>
      <c r="F27" s="788"/>
      <c r="G27" s="37"/>
      <c r="H27" s="37"/>
      <c r="I27" s="37"/>
      <c r="J27" s="95" t="s">
        <v>279</v>
      </c>
      <c r="K27" s="699"/>
      <c r="L27" s="55">
        <f>SUM(L25:L26)</f>
        <v>0</v>
      </c>
      <c r="M27" s="633"/>
      <c r="N27" s="631"/>
      <c r="O27" s="2255"/>
      <c r="P27"/>
    </row>
    <row r="28" spans="1:22" x14ac:dyDescent="0.35">
      <c r="A28" s="11"/>
      <c r="B28" s="647" t="s">
        <v>1101</v>
      </c>
      <c r="C28" s="648"/>
      <c r="D28" s="648"/>
      <c r="E28" s="648"/>
      <c r="F28" s="789"/>
      <c r="G28" s="648"/>
      <c r="H28" s="648"/>
      <c r="I28" s="648"/>
      <c r="J28" s="648"/>
      <c r="K28" s="700"/>
      <c r="L28" s="648"/>
      <c r="M28" s="651"/>
      <c r="N28" s="649"/>
      <c r="O28" s="8"/>
      <c r="P28"/>
      <c r="Q28" s="628"/>
      <c r="R28" s="629"/>
      <c r="S28" s="629"/>
      <c r="T28" s="630"/>
      <c r="U28" s="630"/>
      <c r="V28" s="630"/>
    </row>
    <row r="29" spans="1:22" x14ac:dyDescent="0.35">
      <c r="A29" s="631"/>
      <c r="B29" s="100" t="s">
        <v>1075</v>
      </c>
      <c r="C29" s="52">
        <v>132</v>
      </c>
      <c r="D29" s="2140" t="s">
        <v>1085</v>
      </c>
      <c r="E29" s="58"/>
      <c r="F29" s="59"/>
      <c r="G29" s="60"/>
      <c r="H29" s="60"/>
      <c r="I29" s="60"/>
      <c r="J29" s="58"/>
      <c r="K29" s="4"/>
      <c r="L29" s="16">
        <f>J29*I29*F29</f>
        <v>0</v>
      </c>
      <c r="M29" s="16"/>
      <c r="N29" s="78"/>
      <c r="O29" s="2253" t="s">
        <v>1647</v>
      </c>
      <c r="P29"/>
      <c r="Q29" s="628"/>
      <c r="R29" s="629"/>
      <c r="S29" s="629"/>
      <c r="T29" s="630"/>
      <c r="U29" s="630"/>
      <c r="V29" s="630"/>
    </row>
    <row r="30" spans="1:22" x14ac:dyDescent="0.35">
      <c r="A30" s="631"/>
      <c r="B30" s="100" t="s">
        <v>1076</v>
      </c>
      <c r="C30" s="52">
        <v>132</v>
      </c>
      <c r="D30" s="2141"/>
      <c r="E30" s="58"/>
      <c r="F30" s="59"/>
      <c r="G30" s="60"/>
      <c r="H30" s="60"/>
      <c r="I30" s="60"/>
      <c r="J30" s="58"/>
      <c r="K30" s="4"/>
      <c r="L30" s="16">
        <f>J30*I30*F30</f>
        <v>0</v>
      </c>
      <c r="M30" s="16"/>
      <c r="N30" s="78"/>
      <c r="O30" s="2254"/>
      <c r="P30"/>
      <c r="Q30" s="628"/>
      <c r="R30" s="629"/>
      <c r="S30" s="629"/>
      <c r="T30" s="630"/>
      <c r="U30" s="630"/>
      <c r="V30" s="630"/>
    </row>
    <row r="31" spans="1:22" x14ac:dyDescent="0.35">
      <c r="A31" s="631"/>
      <c r="B31" s="100" t="s">
        <v>1077</v>
      </c>
      <c r="C31" s="52">
        <v>132</v>
      </c>
      <c r="D31" s="2157"/>
      <c r="E31" s="58"/>
      <c r="F31" s="59"/>
      <c r="G31" s="60"/>
      <c r="H31" s="60"/>
      <c r="I31" s="60"/>
      <c r="J31" s="58"/>
      <c r="K31" s="4"/>
      <c r="L31" s="16">
        <f>J31*I31*F31</f>
        <v>0</v>
      </c>
      <c r="M31" s="16"/>
      <c r="N31" s="78"/>
      <c r="O31" s="2255"/>
      <c r="Q31" s="628"/>
      <c r="R31" s="629"/>
      <c r="S31" s="629"/>
      <c r="T31" s="630"/>
      <c r="U31" s="630"/>
      <c r="V31" s="630"/>
    </row>
    <row r="32" spans="1:22" x14ac:dyDescent="0.35">
      <c r="A32" s="631"/>
      <c r="B32" s="95"/>
      <c r="C32" s="89"/>
      <c r="D32" s="89"/>
      <c r="E32" s="65"/>
      <c r="F32" s="790"/>
      <c r="G32" s="65"/>
      <c r="H32" s="65"/>
      <c r="I32" s="65"/>
      <c r="J32" s="95" t="s">
        <v>30</v>
      </c>
      <c r="K32" s="701"/>
      <c r="L32" s="55">
        <f>K23-L27</f>
        <v>44553599.999999419</v>
      </c>
      <c r="M32" s="55"/>
      <c r="N32" s="78"/>
      <c r="O32" s="616"/>
      <c r="Q32" s="628"/>
      <c r="R32" s="629"/>
      <c r="S32" s="629"/>
      <c r="T32" s="630"/>
      <c r="U32" s="630"/>
      <c r="V32" s="630"/>
    </row>
    <row r="33" spans="1:22" ht="16" thickBot="1" x14ac:dyDescent="0.4">
      <c r="E33"/>
      <c r="F33" s="791"/>
      <c r="G33"/>
      <c r="H33"/>
      <c r="I33"/>
      <c r="J33"/>
    </row>
    <row r="34" spans="1:22" x14ac:dyDescent="0.35">
      <c r="B34" s="2142" t="s">
        <v>1090</v>
      </c>
      <c r="C34" s="2143"/>
      <c r="D34" s="683" t="s">
        <v>14</v>
      </c>
      <c r="E34"/>
      <c r="F34" s="2144" t="s">
        <v>1091</v>
      </c>
      <c r="G34" s="2145"/>
      <c r="H34" s="2146"/>
      <c r="I34" s="683" t="s">
        <v>14</v>
      </c>
      <c r="K34" s="2147" t="s">
        <v>1092</v>
      </c>
      <c r="L34" s="2148"/>
      <c r="M34" s="684" t="s">
        <v>14</v>
      </c>
    </row>
    <row r="35" spans="1:22" x14ac:dyDescent="0.35">
      <c r="B35" s="2122" t="str">
        <f>B10</f>
        <v>RAMPURA 132 KV SIDE (TARIFF POINT)</v>
      </c>
      <c r="C35" s="2123"/>
      <c r="D35" s="1438">
        <f>K16</f>
        <v>44370240.000000045</v>
      </c>
      <c r="E35"/>
      <c r="F35" s="2124" t="s">
        <v>1093</v>
      </c>
      <c r="G35" s="2125"/>
      <c r="H35" s="2126"/>
      <c r="I35" s="689">
        <f>L27</f>
        <v>0</v>
      </c>
      <c r="K35" s="2189" t="s">
        <v>1094</v>
      </c>
      <c r="L35" s="2190"/>
      <c r="M35" s="687">
        <f>I36</f>
        <v>44553599.999999419</v>
      </c>
    </row>
    <row r="36" spans="1:22" x14ac:dyDescent="0.35">
      <c r="B36" s="2122" t="s">
        <v>1116</v>
      </c>
      <c r="C36" s="2123"/>
      <c r="D36" s="721"/>
      <c r="E36"/>
      <c r="F36" s="2124" t="s">
        <v>1094</v>
      </c>
      <c r="G36" s="2125"/>
      <c r="H36" s="2126"/>
      <c r="I36" s="689">
        <f>L32</f>
        <v>44553599.999999419</v>
      </c>
      <c r="K36" s="2191" t="s">
        <v>1095</v>
      </c>
      <c r="L36" s="2192"/>
      <c r="M36" s="1908">
        <f>$K$54</f>
        <v>44183999.99999921</v>
      </c>
    </row>
    <row r="37" spans="1:22" x14ac:dyDescent="0.35">
      <c r="B37" s="2122" t="s">
        <v>1117</v>
      </c>
      <c r="C37" s="2123"/>
      <c r="D37" s="721"/>
      <c r="E37"/>
      <c r="F37" s="2124" t="s">
        <v>1089</v>
      </c>
      <c r="G37" s="2125"/>
      <c r="H37" s="2126"/>
      <c r="I37" s="689">
        <f>I35+I36</f>
        <v>44553599.999999419</v>
      </c>
      <c r="K37" s="2191" t="s">
        <v>4622</v>
      </c>
      <c r="L37" s="2192"/>
      <c r="M37" s="689">
        <f>M35-M36</f>
        <v>369600.00000020862</v>
      </c>
    </row>
    <row r="38" spans="1:22" ht="16" thickBot="1" x14ac:dyDescent="0.4">
      <c r="B38" s="2122" t="s">
        <v>1118</v>
      </c>
      <c r="C38" s="2123"/>
      <c r="D38" s="722"/>
      <c r="E38"/>
      <c r="F38" s="2124" t="s">
        <v>4623</v>
      </c>
      <c r="G38" s="2125"/>
      <c r="H38" s="2126"/>
      <c r="I38" s="689">
        <f>D39-I37</f>
        <v>-183359.99999937415</v>
      </c>
      <c r="K38" s="2193" t="s">
        <v>285</v>
      </c>
      <c r="L38" s="2194"/>
      <c r="M38" s="688">
        <f>M37/M35</f>
        <v>8.2956259426895575E-3</v>
      </c>
    </row>
    <row r="39" spans="1:22" ht="16" thickBot="1" x14ac:dyDescent="0.4">
      <c r="B39" s="2109" t="s">
        <v>4620</v>
      </c>
      <c r="C39" s="2110"/>
      <c r="D39" s="1435">
        <f>SUM(D35:D38)</f>
        <v>44370240.000000045</v>
      </c>
      <c r="E39"/>
      <c r="F39" s="2113" t="s">
        <v>2454</v>
      </c>
      <c r="G39" s="2114"/>
      <c r="H39" s="2115"/>
      <c r="I39" s="690">
        <f>(D39-I37)/I37</f>
        <v>-4.1154923507724754E-3</v>
      </c>
    </row>
    <row r="40" spans="1:22" x14ac:dyDescent="0.35">
      <c r="B40" s="2116" t="s">
        <v>4624</v>
      </c>
      <c r="C40" s="2117"/>
      <c r="D40" s="1908">
        <f>M36</f>
        <v>44183999.99999921</v>
      </c>
      <c r="E40"/>
      <c r="F40" s="791"/>
      <c r="G40"/>
      <c r="H40"/>
      <c r="I40"/>
      <c r="J40"/>
    </row>
    <row r="41" spans="1:22" x14ac:dyDescent="0.35">
      <c r="B41" s="2116" t="s">
        <v>4621</v>
      </c>
      <c r="C41" s="2117"/>
      <c r="D41" s="1436">
        <f>D39-D40</f>
        <v>186240.00000083447</v>
      </c>
      <c r="E41"/>
      <c r="F41" s="791"/>
      <c r="G41"/>
      <c r="H41"/>
      <c r="I41"/>
      <c r="J41"/>
    </row>
    <row r="42" spans="1:22" ht="16" thickBot="1" x14ac:dyDescent="0.4">
      <c r="B42" s="2120" t="str">
        <f>K38</f>
        <v>LOSS % IN =&gt;</v>
      </c>
      <c r="C42" s="2121"/>
      <c r="D42" s="1437">
        <f>D41/D35</f>
        <v>4.1974079924028875E-3</v>
      </c>
      <c r="E42"/>
      <c r="F42" s="791"/>
      <c r="G42" s="678"/>
      <c r="H42" s="678"/>
      <c r="I42" s="678"/>
      <c r="J42" s="679"/>
    </row>
    <row r="43" spans="1:22" x14ac:dyDescent="0.35">
      <c r="E43"/>
      <c r="F43" s="791"/>
      <c r="G43" s="678"/>
      <c r="H43" s="678"/>
      <c r="I43" s="678"/>
      <c r="J43" s="679"/>
    </row>
    <row r="44" spans="1:22" x14ac:dyDescent="0.35">
      <c r="E44"/>
      <c r="F44" s="791"/>
      <c r="G44" s="678"/>
      <c r="H44" s="678"/>
      <c r="I44" s="678"/>
      <c r="J44" s="679"/>
    </row>
    <row r="46" spans="1:22" ht="105" x14ac:dyDescent="0.3">
      <c r="A46" s="2095" t="s">
        <v>1128</v>
      </c>
      <c r="B46" s="2095"/>
      <c r="C46" s="2095"/>
      <c r="D46" s="2095"/>
      <c r="E46" s="2095"/>
      <c r="F46" s="2095"/>
      <c r="G46" s="2095"/>
      <c r="H46" s="2095"/>
      <c r="I46" s="2095"/>
      <c r="J46" s="2095"/>
      <c r="K46" s="2095"/>
      <c r="L46" s="2095"/>
      <c r="M46" s="2095"/>
      <c r="N46" s="2095"/>
      <c r="O46" s="756" t="str">
        <f>$O$6</f>
        <v>Month December-2022</v>
      </c>
    </row>
    <row r="47" spans="1:22" x14ac:dyDescent="0.35">
      <c r="A47" s="2096" t="s">
        <v>0</v>
      </c>
      <c r="B47" s="2098" t="s">
        <v>1</v>
      </c>
      <c r="C47" s="2100" t="s">
        <v>2</v>
      </c>
      <c r="D47" s="2101"/>
      <c r="E47" s="2102"/>
      <c r="F47" s="2230" t="s">
        <v>3</v>
      </c>
      <c r="G47" s="2100" t="s">
        <v>4</v>
      </c>
      <c r="H47" s="2102"/>
      <c r="I47" s="2085"/>
      <c r="J47" s="2103" t="s">
        <v>5</v>
      </c>
      <c r="K47" s="2100" t="s">
        <v>6</v>
      </c>
      <c r="L47" s="2085"/>
      <c r="M47" s="97" t="s">
        <v>32</v>
      </c>
      <c r="N47" s="98"/>
      <c r="O47" s="2084" t="s">
        <v>7</v>
      </c>
      <c r="Q47" s="628"/>
      <c r="R47" s="629"/>
      <c r="S47" s="629"/>
      <c r="T47" s="630"/>
      <c r="U47" s="630"/>
      <c r="V47" s="630"/>
    </row>
    <row r="48" spans="1:22" x14ac:dyDescent="0.3">
      <c r="A48" s="2111"/>
      <c r="B48" s="2112"/>
      <c r="C48" s="2086" t="s">
        <v>1108</v>
      </c>
      <c r="D48" s="2087"/>
      <c r="E48" s="675" t="s">
        <v>9</v>
      </c>
      <c r="F48" s="2246"/>
      <c r="G48" s="2">
        <f>'NORTH-1'!$G$8</f>
        <v>44774</v>
      </c>
      <c r="H48" s="2">
        <f>'NORTH-1'!$H$8</f>
        <v>44805</v>
      </c>
      <c r="I48" s="676" t="s">
        <v>10</v>
      </c>
      <c r="J48" s="2111"/>
      <c r="K48" s="676" t="s">
        <v>11</v>
      </c>
      <c r="L48" s="676" t="s">
        <v>12</v>
      </c>
      <c r="M48" s="715" t="s">
        <v>33</v>
      </c>
      <c r="N48" s="716" t="s">
        <v>47</v>
      </c>
      <c r="O48" s="2104"/>
      <c r="Q48" s="2247" t="str">
        <f t="shared" ref="Q48:V48" si="1">Q7</f>
        <v>Name of Feeder/Transformer.</v>
      </c>
      <c r="R48" s="2251" t="str">
        <f t="shared" si="1"/>
        <v>Month December-2022</v>
      </c>
      <c r="S48" s="2251" t="str">
        <f t="shared" si="1"/>
        <v>Month July-2022</v>
      </c>
      <c r="T48" s="2247" t="str">
        <f t="shared" si="1"/>
        <v>Diffferance</v>
      </c>
      <c r="U48" s="2249" t="str">
        <f t="shared" si="1"/>
        <v>% of Increased/Decreased</v>
      </c>
      <c r="V48" s="2249" t="str">
        <f t="shared" si="1"/>
        <v>COMENTS</v>
      </c>
    </row>
    <row r="49" spans="1:22" x14ac:dyDescent="0.3">
      <c r="A49" s="717">
        <v>1</v>
      </c>
      <c r="B49" s="673">
        <v>2</v>
      </c>
      <c r="C49" s="2088">
        <v>4</v>
      </c>
      <c r="D49" s="2089"/>
      <c r="E49" s="673">
        <v>5</v>
      </c>
      <c r="F49" s="792">
        <v>7</v>
      </c>
      <c r="G49" s="717">
        <v>8</v>
      </c>
      <c r="H49" s="717">
        <v>9</v>
      </c>
      <c r="I49" s="717" t="s">
        <v>13</v>
      </c>
      <c r="J49" s="717">
        <v>11</v>
      </c>
      <c r="K49" s="717" t="s">
        <v>19</v>
      </c>
      <c r="L49" s="717" t="s">
        <v>20</v>
      </c>
      <c r="M49" s="717">
        <v>14</v>
      </c>
      <c r="N49" s="673">
        <v>15</v>
      </c>
      <c r="O49" s="717">
        <v>16</v>
      </c>
      <c r="Q49" s="2248"/>
      <c r="R49" s="2252"/>
      <c r="S49" s="2252"/>
      <c r="T49" s="2248"/>
      <c r="U49" s="2250"/>
      <c r="V49" s="2250"/>
    </row>
    <row r="50" spans="1:22" x14ac:dyDescent="0.3">
      <c r="A50" s="11"/>
      <c r="B50" s="624" t="s">
        <v>1100</v>
      </c>
      <c r="C50" s="625"/>
      <c r="D50" s="625"/>
      <c r="E50" s="625"/>
      <c r="F50" s="787"/>
      <c r="G50" s="625"/>
      <c r="H50" s="625"/>
      <c r="I50" s="625"/>
      <c r="J50" s="625"/>
      <c r="K50" s="695"/>
      <c r="L50" s="625"/>
      <c r="M50" s="626"/>
      <c r="N50" s="627"/>
      <c r="O50" s="8"/>
      <c r="Q50" s="628"/>
      <c r="R50" s="629"/>
      <c r="S50" s="629"/>
      <c r="T50" s="630"/>
      <c r="U50" s="630"/>
      <c r="V50" s="630"/>
    </row>
    <row r="51" spans="1:22" x14ac:dyDescent="0.35">
      <c r="A51" s="631"/>
      <c r="B51" s="100" t="s">
        <v>1072</v>
      </c>
      <c r="C51" s="52">
        <v>33</v>
      </c>
      <c r="D51" s="2105" t="s">
        <v>698</v>
      </c>
      <c r="E51" s="52">
        <v>76026303</v>
      </c>
      <c r="F51" s="4">
        <v>1</v>
      </c>
      <c r="G51" s="5">
        <v>9591.7900000000009</v>
      </c>
      <c r="H51" s="5">
        <v>9622.89</v>
      </c>
      <c r="I51" s="5">
        <f>H51-G51</f>
        <v>31.099999999998545</v>
      </c>
      <c r="J51" s="616">
        <v>480000</v>
      </c>
      <c r="K51" s="696">
        <f>J51*I51*F51</f>
        <v>14927999.999999302</v>
      </c>
      <c r="L51" s="7"/>
      <c r="M51" s="7"/>
      <c r="N51" s="78"/>
      <c r="O51" s="616"/>
      <c r="Q51" s="628"/>
      <c r="R51" s="629"/>
      <c r="S51" s="629"/>
      <c r="T51" s="630"/>
      <c r="U51" s="630"/>
      <c r="V51" s="630"/>
    </row>
    <row r="52" spans="1:22" x14ac:dyDescent="0.35">
      <c r="A52" s="631"/>
      <c r="B52" s="100" t="s">
        <v>1073</v>
      </c>
      <c r="C52" s="52">
        <v>33</v>
      </c>
      <c r="D52" s="2106"/>
      <c r="E52" s="52">
        <v>76026307</v>
      </c>
      <c r="F52" s="4">
        <v>1</v>
      </c>
      <c r="G52" s="5">
        <v>9587.39</v>
      </c>
      <c r="H52" s="5">
        <v>9618.39</v>
      </c>
      <c r="I52" s="5">
        <f>H52-G52</f>
        <v>31</v>
      </c>
      <c r="J52" s="616">
        <v>480000</v>
      </c>
      <c r="K52" s="696">
        <f>J52*I52*F52</f>
        <v>14880000</v>
      </c>
      <c r="L52" s="7"/>
      <c r="M52" s="7"/>
      <c r="N52" s="78"/>
      <c r="O52" s="616"/>
      <c r="Q52" s="628"/>
      <c r="R52" s="629"/>
      <c r="S52" s="629"/>
      <c r="T52" s="630"/>
      <c r="U52" s="630"/>
      <c r="V52" s="630"/>
    </row>
    <row r="53" spans="1:22" x14ac:dyDescent="0.35">
      <c r="A53" s="631"/>
      <c r="B53" s="100" t="s">
        <v>1074</v>
      </c>
      <c r="C53" s="52">
        <v>33</v>
      </c>
      <c r="D53" s="2151"/>
      <c r="E53" s="52"/>
      <c r="F53" s="4">
        <v>1</v>
      </c>
      <c r="G53" s="5">
        <v>7809.63</v>
      </c>
      <c r="H53" s="5">
        <v>7839.58</v>
      </c>
      <c r="I53" s="5">
        <f>H53-G53</f>
        <v>29.949999999999818</v>
      </c>
      <c r="J53" s="616">
        <v>480000</v>
      </c>
      <c r="K53" s="696">
        <f>J53*I53*F53</f>
        <v>14375999.999999912</v>
      </c>
      <c r="L53" s="7"/>
      <c r="M53" s="7"/>
      <c r="N53" s="78"/>
      <c r="O53" s="616"/>
      <c r="Q53" s="628"/>
      <c r="R53" s="629"/>
      <c r="S53" s="629"/>
      <c r="T53" s="630"/>
      <c r="U53" s="630"/>
      <c r="V53" s="630"/>
    </row>
    <row r="54" spans="1:22" x14ac:dyDescent="0.35">
      <c r="A54" s="631"/>
      <c r="B54" s="95"/>
      <c r="C54" s="89"/>
      <c r="D54" s="89"/>
      <c r="E54" s="89"/>
      <c r="F54" s="788"/>
      <c r="G54" s="37"/>
      <c r="H54" s="37"/>
      <c r="I54" s="37"/>
      <c r="J54" s="95" t="s">
        <v>30</v>
      </c>
      <c r="K54" s="1908">
        <f>SUM(K51:K53)</f>
        <v>44183999.99999921</v>
      </c>
      <c r="L54" s="40" t="s">
        <v>1648</v>
      </c>
      <c r="M54" s="7"/>
      <c r="N54" s="78"/>
      <c r="O54" s="10" t="s">
        <v>1329</v>
      </c>
      <c r="Q54" s="628"/>
      <c r="R54" s="629"/>
      <c r="S54" s="629"/>
      <c r="T54" s="630"/>
      <c r="U54" s="630"/>
      <c r="V54" s="630"/>
    </row>
    <row r="55" spans="1:22" x14ac:dyDescent="0.35">
      <c r="A55" s="631"/>
      <c r="B55" s="647" t="s">
        <v>1103</v>
      </c>
      <c r="C55" s="648"/>
      <c r="D55" s="648"/>
      <c r="E55" s="648"/>
      <c r="F55" s="789"/>
      <c r="G55" s="648"/>
      <c r="H55" s="648"/>
      <c r="I55" s="648"/>
      <c r="J55" s="648"/>
      <c r="K55" s="700"/>
      <c r="L55" s="648"/>
      <c r="M55" s="651"/>
      <c r="N55" s="649"/>
      <c r="O55" s="616"/>
      <c r="Q55" s="628"/>
      <c r="R55" s="629"/>
      <c r="S55" s="629"/>
      <c r="T55" s="630"/>
      <c r="U55" s="630"/>
      <c r="V55" s="630"/>
    </row>
    <row r="56" spans="1:22" x14ac:dyDescent="0.35">
      <c r="A56" s="631"/>
      <c r="B56" s="662" t="s">
        <v>1106</v>
      </c>
      <c r="C56" s="52"/>
      <c r="D56" s="1777" t="s">
        <v>1083</v>
      </c>
      <c r="E56" s="52"/>
      <c r="F56" s="4"/>
      <c r="G56" s="5"/>
      <c r="H56" s="5"/>
      <c r="I56" s="6"/>
      <c r="J56" s="616"/>
      <c r="K56" s="696"/>
      <c r="L56" s="7"/>
      <c r="M56" s="7"/>
      <c r="N56" s="78"/>
      <c r="O56" s="616"/>
      <c r="Q56" s="628"/>
      <c r="R56" s="629"/>
      <c r="S56" s="629"/>
      <c r="T56" s="630"/>
      <c r="U56" s="630"/>
      <c r="V56" s="630"/>
    </row>
    <row r="57" spans="1:22" x14ac:dyDescent="0.3">
      <c r="A57" s="2197"/>
      <c r="B57" s="100" t="s">
        <v>34</v>
      </c>
      <c r="C57" s="661">
        <v>33</v>
      </c>
      <c r="D57" s="1773"/>
      <c r="E57" s="674">
        <v>6604465</v>
      </c>
      <c r="F57" s="4">
        <v>1</v>
      </c>
      <c r="G57" s="21">
        <v>6807.79</v>
      </c>
      <c r="H57" s="21">
        <v>6825.91</v>
      </c>
      <c r="I57" s="21">
        <f>H57-G57</f>
        <v>18.119999999999891</v>
      </c>
      <c r="J57" s="616">
        <v>180000</v>
      </c>
      <c r="K57" s="696"/>
      <c r="L57" s="22">
        <f>J57*I57*F57</f>
        <v>3261599.9999999804</v>
      </c>
      <c r="M57" s="22">
        <f>L57*$K$74/$L$74</f>
        <v>37581.047882834639</v>
      </c>
      <c r="N57" s="2265"/>
      <c r="O57" s="9"/>
      <c r="Q57" s="628"/>
      <c r="R57" s="629"/>
      <c r="S57" s="629"/>
      <c r="T57" s="630"/>
      <c r="U57" s="630"/>
      <c r="V57" s="630"/>
    </row>
    <row r="58" spans="1:22" x14ac:dyDescent="0.3">
      <c r="A58" s="2198"/>
      <c r="B58" s="100" t="s">
        <v>35</v>
      </c>
      <c r="C58" s="661">
        <v>33</v>
      </c>
      <c r="D58" s="1773"/>
      <c r="E58" s="674">
        <v>202006985</v>
      </c>
      <c r="F58" s="4">
        <v>1</v>
      </c>
      <c r="G58" s="21">
        <v>35113061539</v>
      </c>
      <c r="H58" s="21">
        <v>35121246931</v>
      </c>
      <c r="I58" s="21">
        <f>H58-G58</f>
        <v>8185392</v>
      </c>
      <c r="J58" s="616">
        <v>3</v>
      </c>
      <c r="K58" s="696"/>
      <c r="L58" s="22">
        <f>J58*I58*F58</f>
        <v>24556176</v>
      </c>
      <c r="M58" s="22">
        <f>L58*$K$74/$L$74</f>
        <v>282942.98076873936</v>
      </c>
      <c r="N58" s="2266"/>
      <c r="O58" s="616"/>
      <c r="Q58" s="628"/>
      <c r="R58" s="629"/>
      <c r="S58" s="629"/>
      <c r="T58" s="630"/>
      <c r="U58" s="630"/>
      <c r="V58" s="630"/>
    </row>
    <row r="59" spans="1:22" x14ac:dyDescent="0.3">
      <c r="A59" s="616"/>
      <c r="B59" s="100" t="s">
        <v>36</v>
      </c>
      <c r="C59" s="661">
        <v>33</v>
      </c>
      <c r="D59" s="1773"/>
      <c r="E59" s="674">
        <v>6604338</v>
      </c>
      <c r="F59" s="4">
        <v>1</v>
      </c>
      <c r="G59" s="21">
        <v>6859.29</v>
      </c>
      <c r="H59" s="21">
        <v>6876.16</v>
      </c>
      <c r="I59" s="21">
        <f>H59-G59</f>
        <v>16.869999999999891</v>
      </c>
      <c r="J59" s="616">
        <v>180000</v>
      </c>
      <c r="K59" s="696"/>
      <c r="L59" s="22">
        <f>J59*I59*F59</f>
        <v>3036599.9999999804</v>
      </c>
      <c r="M59" s="22">
        <f>L59*$K$74/$L$74</f>
        <v>34988.536301513246</v>
      </c>
      <c r="N59" s="2266"/>
      <c r="O59" s="616"/>
      <c r="Q59" s="628"/>
      <c r="R59" s="629"/>
      <c r="S59" s="629"/>
      <c r="T59" s="630"/>
      <c r="U59" s="630"/>
      <c r="V59" s="630"/>
    </row>
    <row r="60" spans="1:22" x14ac:dyDescent="0.3">
      <c r="A60" s="616"/>
      <c r="B60" s="100" t="s">
        <v>37</v>
      </c>
      <c r="C60" s="661">
        <v>33</v>
      </c>
      <c r="D60" s="1773"/>
      <c r="E60" s="674"/>
      <c r="F60" s="4">
        <v>1</v>
      </c>
      <c r="G60" s="21">
        <v>798686</v>
      </c>
      <c r="H60" s="21">
        <v>819672</v>
      </c>
      <c r="I60" s="21">
        <f>H60-G60</f>
        <v>20986</v>
      </c>
      <c r="J60" s="616">
        <v>180000</v>
      </c>
      <c r="K60" s="696"/>
      <c r="L60" s="22">
        <f>J60*I60*F60</f>
        <v>3777480000</v>
      </c>
      <c r="M60" s="22">
        <f>L60*$K$74/$L$74</f>
        <v>43525158.436488546</v>
      </c>
      <c r="N60" s="2267"/>
      <c r="O60" s="12"/>
      <c r="Q60" s="628"/>
      <c r="R60" s="629"/>
      <c r="S60" s="629"/>
      <c r="T60" s="630"/>
      <c r="U60" s="630"/>
      <c r="V60" s="630"/>
    </row>
    <row r="61" spans="1:22" x14ac:dyDescent="0.3">
      <c r="A61" s="616"/>
      <c r="B61" s="662" t="s">
        <v>1107</v>
      </c>
      <c r="C61" s="89"/>
      <c r="D61" s="1773"/>
      <c r="E61" s="89"/>
      <c r="F61" s="788"/>
      <c r="G61" s="37"/>
      <c r="H61" s="37"/>
      <c r="I61" s="37"/>
      <c r="J61" s="95" t="s">
        <v>30</v>
      </c>
      <c r="K61" s="696"/>
      <c r="L61" s="43">
        <f>SUM(L57:L60)</f>
        <v>3808334376</v>
      </c>
      <c r="M61" s="43">
        <f>SUM(M57:M60)</f>
        <v>43880671.001441635</v>
      </c>
      <c r="N61" s="83"/>
      <c r="O61" s="12"/>
      <c r="Q61" s="628"/>
      <c r="R61" s="629"/>
      <c r="S61" s="629"/>
      <c r="T61" s="630"/>
      <c r="U61" s="630"/>
      <c r="V61" s="630"/>
    </row>
    <row r="62" spans="1:22" x14ac:dyDescent="0.3">
      <c r="A62" s="636">
        <v>8</v>
      </c>
      <c r="B62" s="100" t="s">
        <v>3318</v>
      </c>
      <c r="C62" s="661">
        <v>33</v>
      </c>
      <c r="D62" s="1773" t="s">
        <v>326</v>
      </c>
      <c r="E62" s="674">
        <v>76026300</v>
      </c>
      <c r="F62" s="4">
        <v>1</v>
      </c>
      <c r="G62" s="6">
        <v>6606.8</v>
      </c>
      <c r="H62" s="6">
        <v>6614.72</v>
      </c>
      <c r="I62" s="20">
        <f t="shared" ref="I62:I72" si="2">H62-G62</f>
        <v>7.9200000000000728</v>
      </c>
      <c r="J62" s="616">
        <v>360000</v>
      </c>
      <c r="K62" s="703"/>
      <c r="L62" s="22">
        <f>J62*I62*F62</f>
        <v>2851200.0000000261</v>
      </c>
      <c r="M62" s="22"/>
      <c r="N62" s="2265"/>
      <c r="O62" s="15"/>
      <c r="Q62" s="628"/>
      <c r="R62" s="629"/>
      <c r="S62" s="629"/>
      <c r="T62" s="630"/>
      <c r="U62" s="630"/>
      <c r="V62" s="630"/>
    </row>
    <row r="63" spans="1:22" x14ac:dyDescent="0.3">
      <c r="A63" s="636">
        <v>9</v>
      </c>
      <c r="B63" s="100" t="s">
        <v>3319</v>
      </c>
      <c r="C63" s="661">
        <v>33</v>
      </c>
      <c r="D63" s="1773" t="s">
        <v>326</v>
      </c>
      <c r="E63" s="691" t="s">
        <v>3320</v>
      </c>
      <c r="F63" s="4">
        <v>1</v>
      </c>
      <c r="G63" s="6">
        <v>6241.31</v>
      </c>
      <c r="H63" s="6">
        <v>6268.1</v>
      </c>
      <c r="I63" s="20">
        <f t="shared" si="2"/>
        <v>26.789999999999964</v>
      </c>
      <c r="J63" s="616">
        <v>360000</v>
      </c>
      <c r="K63" s="704"/>
      <c r="L63" s="22">
        <f t="shared" ref="L63:L72" si="3">J63*I63*F63</f>
        <v>9644399.999999987</v>
      </c>
      <c r="M63" s="22"/>
      <c r="N63" s="2267"/>
      <c r="O63" s="14"/>
      <c r="Q63" s="628"/>
      <c r="R63" s="637"/>
      <c r="S63" s="637"/>
      <c r="T63" s="638"/>
      <c r="U63" s="639"/>
      <c r="V63" s="640"/>
    </row>
    <row r="64" spans="1:22" ht="15.75" customHeight="1" x14ac:dyDescent="0.3">
      <c r="A64" s="636">
        <v>10</v>
      </c>
      <c r="B64" s="100" t="s">
        <v>3321</v>
      </c>
      <c r="C64" s="661">
        <v>33</v>
      </c>
      <c r="D64" s="1773" t="s">
        <v>326</v>
      </c>
      <c r="E64" s="691">
        <v>660434</v>
      </c>
      <c r="F64" s="4">
        <v>1</v>
      </c>
      <c r="G64" s="6">
        <v>667.3</v>
      </c>
      <c r="H64" s="6">
        <v>678.21</v>
      </c>
      <c r="I64" s="20">
        <f t="shared" si="2"/>
        <v>10.910000000000082</v>
      </c>
      <c r="J64" s="616">
        <v>180000</v>
      </c>
      <c r="K64" s="704"/>
      <c r="L64" s="22">
        <f t="shared" si="3"/>
        <v>1963800.0000000147</v>
      </c>
      <c r="M64" s="22"/>
      <c r="N64" s="82" t="s">
        <v>3322</v>
      </c>
      <c r="O64" s="14"/>
      <c r="Q64" s="628"/>
      <c r="R64" s="637"/>
      <c r="S64" s="637"/>
      <c r="T64" s="638"/>
      <c r="U64" s="639"/>
      <c r="V64" s="640"/>
    </row>
    <row r="65" spans="1:30" ht="15.75" customHeight="1" x14ac:dyDescent="0.3">
      <c r="A65" s="636">
        <v>11</v>
      </c>
      <c r="B65" s="100" t="s">
        <v>292</v>
      </c>
      <c r="C65" s="661"/>
      <c r="D65" s="1773" t="s">
        <v>326</v>
      </c>
      <c r="E65" s="674"/>
      <c r="F65" s="4">
        <v>1</v>
      </c>
      <c r="G65" s="6">
        <v>1901.32</v>
      </c>
      <c r="H65" s="6">
        <v>1905.2</v>
      </c>
      <c r="I65" s="20">
        <f t="shared" si="2"/>
        <v>3.8800000000001091</v>
      </c>
      <c r="J65" s="616">
        <v>180000</v>
      </c>
      <c r="K65" s="704"/>
      <c r="L65" s="22">
        <f t="shared" si="3"/>
        <v>698400.00000001967</v>
      </c>
      <c r="M65" s="22"/>
      <c r="N65" s="82"/>
      <c r="O65" s="14"/>
      <c r="Q65" s="628"/>
      <c r="R65" s="637"/>
      <c r="S65" s="637"/>
      <c r="T65" s="638"/>
      <c r="U65" s="639"/>
      <c r="V65" s="640"/>
    </row>
    <row r="66" spans="1:30" ht="15.75" customHeight="1" x14ac:dyDescent="0.3">
      <c r="A66" s="636">
        <v>12</v>
      </c>
      <c r="B66" s="100" t="s">
        <v>3323</v>
      </c>
      <c r="C66" s="661"/>
      <c r="D66" s="1773" t="s">
        <v>326</v>
      </c>
      <c r="E66" s="674"/>
      <c r="F66" s="4">
        <v>1</v>
      </c>
      <c r="G66" s="6">
        <v>3744.39</v>
      </c>
      <c r="H66" s="6">
        <v>3747.42</v>
      </c>
      <c r="I66" s="20">
        <f t="shared" si="2"/>
        <v>3.0300000000002001</v>
      </c>
      <c r="J66" s="616">
        <v>180000</v>
      </c>
      <c r="K66" s="703"/>
      <c r="L66" s="22">
        <f t="shared" si="3"/>
        <v>545400.00000003597</v>
      </c>
      <c r="M66" s="22"/>
      <c r="N66" s="82"/>
      <c r="O66" s="15"/>
      <c r="Q66" s="628"/>
      <c r="R66" s="637"/>
      <c r="S66" s="637"/>
      <c r="T66" s="638"/>
      <c r="U66" s="639"/>
      <c r="V66" s="640"/>
    </row>
    <row r="67" spans="1:30" x14ac:dyDescent="0.3">
      <c r="A67" s="636">
        <v>13</v>
      </c>
      <c r="B67" s="100" t="s">
        <v>3324</v>
      </c>
      <c r="C67" s="661">
        <v>33</v>
      </c>
      <c r="D67" s="1773" t="s">
        <v>326</v>
      </c>
      <c r="E67" s="674">
        <v>76026305</v>
      </c>
      <c r="F67" s="4">
        <v>1</v>
      </c>
      <c r="G67" s="6">
        <v>7879.99</v>
      </c>
      <c r="H67" s="6">
        <v>7900.53</v>
      </c>
      <c r="I67" s="20">
        <f t="shared" si="2"/>
        <v>20.539999999999964</v>
      </c>
      <c r="J67" s="616">
        <v>180000</v>
      </c>
      <c r="K67" s="704" t="s">
        <v>3325</v>
      </c>
      <c r="L67" s="22">
        <f t="shared" si="3"/>
        <v>3697199.9999999935</v>
      </c>
      <c r="M67" s="22"/>
      <c r="N67" s="82"/>
      <c r="O67" s="10"/>
      <c r="Q67" s="628"/>
      <c r="R67" s="637"/>
      <c r="S67" s="637"/>
      <c r="T67" s="638"/>
      <c r="U67" s="639"/>
      <c r="V67" s="640"/>
    </row>
    <row r="68" spans="1:30" x14ac:dyDescent="0.3">
      <c r="A68" s="636">
        <v>14</v>
      </c>
      <c r="B68" s="100" t="s">
        <v>3326</v>
      </c>
      <c r="C68" s="661">
        <v>33</v>
      </c>
      <c r="D68" s="1773" t="s">
        <v>326</v>
      </c>
      <c r="E68" s="674">
        <v>6604337</v>
      </c>
      <c r="F68" s="4">
        <v>1</v>
      </c>
      <c r="G68" s="6">
        <v>4363.17</v>
      </c>
      <c r="H68" s="6">
        <v>4382.4799999999996</v>
      </c>
      <c r="I68" s="20">
        <f t="shared" si="2"/>
        <v>19.309999999999491</v>
      </c>
      <c r="J68" s="616">
        <v>180000</v>
      </c>
      <c r="K68" s="703"/>
      <c r="L68" s="22">
        <f t="shared" si="3"/>
        <v>3475799.9999999083</v>
      </c>
      <c r="M68" s="22"/>
      <c r="N68" s="82">
        <f>(K77-L77)/K77*100</f>
        <v>100</v>
      </c>
      <c r="O68" s="13"/>
      <c r="Q68" s="628"/>
      <c r="R68" s="637"/>
      <c r="S68" s="637"/>
      <c r="T68" s="638"/>
      <c r="U68" s="639"/>
      <c r="V68" s="640"/>
    </row>
    <row r="69" spans="1:30" x14ac:dyDescent="0.3">
      <c r="A69" s="636">
        <v>13</v>
      </c>
      <c r="B69" s="101" t="s">
        <v>3327</v>
      </c>
      <c r="C69" s="661">
        <v>33</v>
      </c>
      <c r="D69" s="1773" t="s">
        <v>326</v>
      </c>
      <c r="E69" s="674">
        <v>6604336</v>
      </c>
      <c r="F69" s="4">
        <v>1</v>
      </c>
      <c r="G69" s="6">
        <v>5453.16</v>
      </c>
      <c r="H69" s="6">
        <v>5472.27</v>
      </c>
      <c r="I69" s="20">
        <f t="shared" si="2"/>
        <v>19.110000000000582</v>
      </c>
      <c r="J69" s="616">
        <v>180000</v>
      </c>
      <c r="K69" s="705"/>
      <c r="L69" s="22">
        <f t="shared" si="3"/>
        <v>3439800.0000001048</v>
      </c>
      <c r="M69" s="22"/>
      <c r="N69" s="82"/>
      <c r="O69" s="30"/>
      <c r="Q69" s="628"/>
      <c r="R69" s="637"/>
      <c r="S69" s="637"/>
      <c r="T69" s="638"/>
      <c r="U69" s="639"/>
      <c r="V69" s="640"/>
    </row>
    <row r="70" spans="1:30" x14ac:dyDescent="0.3">
      <c r="A70" s="636">
        <v>14</v>
      </c>
      <c r="B70" s="100" t="s">
        <v>3328</v>
      </c>
      <c r="C70" s="661">
        <v>33</v>
      </c>
      <c r="D70" s="1773" t="s">
        <v>326</v>
      </c>
      <c r="E70" s="674" t="s">
        <v>43</v>
      </c>
      <c r="F70" s="4">
        <v>1</v>
      </c>
      <c r="G70" s="6">
        <v>1189.02</v>
      </c>
      <c r="H70" s="6">
        <v>1189.02</v>
      </c>
      <c r="I70" s="20">
        <f t="shared" si="2"/>
        <v>0</v>
      </c>
      <c r="J70" s="616">
        <v>180000</v>
      </c>
      <c r="K70" s="696"/>
      <c r="L70" s="22">
        <f t="shared" si="3"/>
        <v>0</v>
      </c>
      <c r="M70" s="22"/>
      <c r="N70" s="82"/>
      <c r="O70" s="616"/>
      <c r="Q70" s="628"/>
      <c r="R70" s="637"/>
      <c r="S70" s="637"/>
      <c r="T70" s="638"/>
      <c r="U70" s="639"/>
      <c r="V70" s="640"/>
    </row>
    <row r="71" spans="1:30" x14ac:dyDescent="0.3">
      <c r="A71" s="636">
        <v>19</v>
      </c>
      <c r="B71" s="101" t="s">
        <v>305</v>
      </c>
      <c r="C71" s="661">
        <v>33</v>
      </c>
      <c r="D71" s="1773" t="s">
        <v>326</v>
      </c>
      <c r="E71" s="674">
        <v>6603338</v>
      </c>
      <c r="F71" s="4">
        <v>1</v>
      </c>
      <c r="G71" s="6">
        <v>698.75</v>
      </c>
      <c r="H71" s="6">
        <v>816.83</v>
      </c>
      <c r="I71" s="20">
        <f t="shared" si="2"/>
        <v>118.08000000000004</v>
      </c>
      <c r="J71" s="616">
        <v>80</v>
      </c>
      <c r="K71" s="705"/>
      <c r="L71" s="22">
        <f t="shared" si="3"/>
        <v>9446.4000000000033</v>
      </c>
      <c r="M71" s="22"/>
      <c r="N71" s="82"/>
      <c r="O71" s="13"/>
      <c r="Q71" s="628"/>
      <c r="R71" s="637"/>
      <c r="S71" s="637"/>
      <c r="T71" s="638"/>
      <c r="U71" s="639"/>
      <c r="V71" s="640"/>
    </row>
    <row r="72" spans="1:30" x14ac:dyDescent="0.3">
      <c r="A72" s="636">
        <v>20</v>
      </c>
      <c r="B72" s="100" t="s">
        <v>306</v>
      </c>
      <c r="C72" s="661">
        <v>33</v>
      </c>
      <c r="D72" s="1850" t="s">
        <v>326</v>
      </c>
      <c r="E72" s="674">
        <v>6603849</v>
      </c>
      <c r="F72" s="4">
        <v>1</v>
      </c>
      <c r="G72" s="6"/>
      <c r="H72" s="6"/>
      <c r="I72" s="20">
        <f t="shared" si="2"/>
        <v>0</v>
      </c>
      <c r="J72" s="616"/>
      <c r="K72" s="696"/>
      <c r="L72" s="22">
        <f t="shared" si="3"/>
        <v>0</v>
      </c>
      <c r="M72" s="22"/>
      <c r="N72" s="82"/>
      <c r="O72" s="616"/>
      <c r="Q72" s="628"/>
      <c r="R72" s="637"/>
      <c r="S72" s="637"/>
      <c r="T72" s="638"/>
      <c r="U72" s="639"/>
      <c r="V72" s="640"/>
    </row>
    <row r="73" spans="1:30" x14ac:dyDescent="0.3">
      <c r="A73" s="636"/>
      <c r="B73" s="96"/>
      <c r="C73" s="90"/>
      <c r="D73" s="90"/>
      <c r="E73" s="90"/>
      <c r="F73" s="793"/>
      <c r="G73" s="38"/>
      <c r="H73" s="38"/>
      <c r="I73" s="38"/>
      <c r="J73" s="95" t="s">
        <v>30</v>
      </c>
      <c r="K73" s="696"/>
      <c r="L73" s="43">
        <f>SUM(L62:L72)</f>
        <v>26325446.400000088</v>
      </c>
      <c r="M73" s="43">
        <f>SUM(M62:M72)</f>
        <v>0</v>
      </c>
      <c r="N73" s="83"/>
      <c r="O73" s="13"/>
      <c r="Q73" s="628" t="e">
        <f>#REF!</f>
        <v>#REF!</v>
      </c>
      <c r="R73" s="637">
        <f>H73</f>
        <v>0</v>
      </c>
      <c r="S73" s="637">
        <v>0</v>
      </c>
      <c r="T73" s="638">
        <f>R73-S73</f>
        <v>0</v>
      </c>
      <c r="U73" s="639" t="e">
        <f>T73/S73*100</f>
        <v>#DIV/0!</v>
      </c>
      <c r="V73" s="640" t="e">
        <f>IF(U73&gt;40,"FAULT",IF(U73&lt;-40,"CHECK","OK"))</f>
        <v>#DIV/0!</v>
      </c>
    </row>
    <row r="74" spans="1:30" ht="20" x14ac:dyDescent="0.3">
      <c r="A74" s="636"/>
      <c r="B74" s="96"/>
      <c r="C74" s="90"/>
      <c r="D74" s="90"/>
      <c r="E74" s="90"/>
      <c r="F74" s="793"/>
      <c r="G74" s="38"/>
      <c r="H74" s="38"/>
      <c r="I74" s="2107" t="s">
        <v>44</v>
      </c>
      <c r="J74" s="2108"/>
      <c r="K74" s="1439">
        <f>K54</f>
        <v>44183999.99999921</v>
      </c>
      <c r="L74" s="1857">
        <f>L61+L73</f>
        <v>3834659822.4000001</v>
      </c>
      <c r="M74" s="1440">
        <f>M73+M61</f>
        <v>43880671.001441635</v>
      </c>
      <c r="N74" s="712">
        <f>(M74-L74)/L74*100</f>
        <v>-98.855682823672794</v>
      </c>
      <c r="O74" s="29"/>
      <c r="Q74" s="628" t="e">
        <f>#REF!</f>
        <v>#REF!</v>
      </c>
      <c r="R74" s="637">
        <f>H74</f>
        <v>0</v>
      </c>
      <c r="S74" s="637">
        <v>7357665.6165738888</v>
      </c>
      <c r="T74" s="638">
        <f>R74-S74</f>
        <v>-7357665.6165738888</v>
      </c>
      <c r="U74" s="639">
        <f>T74/S74*100</f>
        <v>-100</v>
      </c>
      <c r="V74" s="640" t="str">
        <f>IF(U74&gt;40,"FAULT",IF(U74&lt;-40,"CHECK","OK"))</f>
        <v>CHECK</v>
      </c>
    </row>
    <row r="75" spans="1:30" x14ac:dyDescent="0.35">
      <c r="E75"/>
      <c r="F75" s="791"/>
      <c r="G75"/>
      <c r="H75"/>
      <c r="I75"/>
      <c r="J75"/>
      <c r="AD75" s="641">
        <v>-0.33769527905653496</v>
      </c>
    </row>
    <row r="76" spans="1:30" ht="15" customHeight="1" x14ac:dyDescent="0.35">
      <c r="B76"/>
      <c r="C76"/>
      <c r="D76" s="725"/>
      <c r="E76"/>
      <c r="F76" s="791"/>
      <c r="G76" s="2092" t="s">
        <v>1096</v>
      </c>
      <c r="H76" s="2092"/>
      <c r="I76" s="2092"/>
      <c r="J76" s="677" t="s">
        <v>14</v>
      </c>
      <c r="K76" s="69" t="s">
        <v>1098</v>
      </c>
    </row>
    <row r="77" spans="1:30" ht="15" customHeight="1" x14ac:dyDescent="0.35">
      <c r="B77"/>
      <c r="C77"/>
      <c r="D77" s="725"/>
      <c r="E77"/>
      <c r="F77" s="791"/>
      <c r="G77" s="2093" t="s">
        <v>1071</v>
      </c>
      <c r="H77" s="2093"/>
      <c r="I77" s="2093"/>
      <c r="J77" s="692">
        <f>M61</f>
        <v>43880671.001441635</v>
      </c>
      <c r="K77" s="70">
        <f>$N$127</f>
        <v>-100</v>
      </c>
    </row>
    <row r="78" spans="1:30" ht="15" customHeight="1" x14ac:dyDescent="0.35">
      <c r="B78"/>
      <c r="C78"/>
      <c r="D78" s="725"/>
      <c r="E78"/>
      <c r="F78" s="791"/>
      <c r="G78" s="2093" t="s">
        <v>206</v>
      </c>
      <c r="H78" s="2093"/>
      <c r="I78" s="2093"/>
      <c r="J78" s="692">
        <f>M62+M63+M64</f>
        <v>0</v>
      </c>
      <c r="K78" s="70">
        <f>'%Loss '!$E$11</f>
        <v>-100</v>
      </c>
      <c r="AD78" s="641">
        <v>1.0000000000000349</v>
      </c>
    </row>
    <row r="79" spans="1:30" ht="15" customHeight="1" x14ac:dyDescent="0.35">
      <c r="B79"/>
      <c r="C79"/>
      <c r="D79" s="725"/>
      <c r="E79"/>
      <c r="F79" s="791"/>
      <c r="G79" s="2093" t="s">
        <v>207</v>
      </c>
      <c r="H79" s="2093"/>
      <c r="I79" s="2093"/>
      <c r="J79" s="692">
        <f>M65+M66</f>
        <v>0</v>
      </c>
      <c r="K79" s="70">
        <f>'%Loss '!$E$10</f>
        <v>-100</v>
      </c>
    </row>
    <row r="80" spans="1:30" ht="15" customHeight="1" x14ac:dyDescent="0.35">
      <c r="B80"/>
      <c r="C80"/>
      <c r="D80" s="725"/>
      <c r="E80"/>
      <c r="F80" s="791"/>
      <c r="G80" s="2093" t="s">
        <v>208</v>
      </c>
      <c r="H80" s="2093"/>
      <c r="I80" s="2093"/>
      <c r="J80" s="692">
        <f>M67</f>
        <v>0</v>
      </c>
      <c r="K80" s="70">
        <f>'%Loss '!$E$40</f>
        <v>-100</v>
      </c>
      <c r="AD80" s="641">
        <v>0.58957194954853154</v>
      </c>
    </row>
    <row r="81" spans="1:30" ht="15" customHeight="1" x14ac:dyDescent="0.35">
      <c r="E81"/>
      <c r="F81" s="791"/>
      <c r="G81" s="2093" t="s">
        <v>209</v>
      </c>
      <c r="H81" s="2093"/>
      <c r="I81" s="2093"/>
      <c r="J81" s="692">
        <f>M68</f>
        <v>0</v>
      </c>
      <c r="K81" s="70">
        <f>'%Loss '!$E$9</f>
        <v>-99.954395631492872</v>
      </c>
    </row>
    <row r="82" spans="1:30" ht="15" customHeight="1" x14ac:dyDescent="0.35">
      <c r="E82"/>
      <c r="F82" s="791"/>
      <c r="G82" s="2093" t="s">
        <v>40</v>
      </c>
      <c r="H82" s="2093"/>
      <c r="I82" s="2093"/>
      <c r="J82" s="692">
        <f>M69+M70</f>
        <v>0</v>
      </c>
      <c r="K82" s="70">
        <f>'%Loss '!$E$12</f>
        <v>-100</v>
      </c>
      <c r="AD82" s="641">
        <v>2.4391608198671739</v>
      </c>
    </row>
    <row r="83" spans="1:30" ht="15" customHeight="1" x14ac:dyDescent="0.35">
      <c r="E83"/>
      <c r="F83" s="791"/>
      <c r="G83" s="2094" t="s">
        <v>1097</v>
      </c>
      <c r="H83" s="2094"/>
      <c r="I83" s="2094"/>
      <c r="J83" s="693">
        <f>M71</f>
        <v>0</v>
      </c>
      <c r="K83" s="694"/>
    </row>
    <row r="84" spans="1:30" ht="12" customHeight="1" thickBot="1" x14ac:dyDescent="0.4">
      <c r="G84" s="2093" t="s">
        <v>41</v>
      </c>
      <c r="H84" s="2093"/>
      <c r="I84" s="2093"/>
      <c r="J84" s="692">
        <f>M72</f>
        <v>0</v>
      </c>
      <c r="K84" s="681">
        <f>'%Loss '!$E$15</f>
        <v>81.528214053834475</v>
      </c>
    </row>
    <row r="85" spans="1:30" ht="29.25" customHeight="1" thickBot="1" x14ac:dyDescent="0.4">
      <c r="I85" s="642" t="s">
        <v>210</v>
      </c>
      <c r="J85" s="1439">
        <f>SUM(J77:J84)</f>
        <v>43880671.001441635</v>
      </c>
      <c r="K85" s="682">
        <f>J85-M74</f>
        <v>0</v>
      </c>
      <c r="AD85" s="641">
        <v>1.4463055987403735</v>
      </c>
    </row>
    <row r="86" spans="1:30" x14ac:dyDescent="0.35">
      <c r="AD86" s="641"/>
    </row>
    <row r="87" spans="1:30" x14ac:dyDescent="0.35">
      <c r="AD87" s="641"/>
    </row>
    <row r="88" spans="1:30" ht="105" x14ac:dyDescent="0.3">
      <c r="A88" s="2095" t="s">
        <v>1129</v>
      </c>
      <c r="B88" s="2095"/>
      <c r="C88" s="2095"/>
      <c r="D88" s="2095"/>
      <c r="E88" s="2095"/>
      <c r="F88" s="2095"/>
      <c r="G88" s="2095"/>
      <c r="H88" s="2095"/>
      <c r="I88" s="2095"/>
      <c r="J88" s="2095"/>
      <c r="K88" s="2095"/>
      <c r="L88" s="2095"/>
      <c r="M88" s="2095"/>
      <c r="N88" s="2095"/>
      <c r="O88" s="756" t="str">
        <f>$O$6</f>
        <v>Month December-2022</v>
      </c>
      <c r="Q88" s="628"/>
      <c r="R88" s="629"/>
      <c r="S88" s="629"/>
      <c r="T88" s="630"/>
      <c r="U88" s="630"/>
      <c r="V88" s="630"/>
    </row>
    <row r="89" spans="1:30" x14ac:dyDescent="0.35">
      <c r="A89" s="2096" t="s">
        <v>0</v>
      </c>
      <c r="B89" s="2098" t="s">
        <v>1</v>
      </c>
      <c r="C89" s="2100" t="s">
        <v>2</v>
      </c>
      <c r="D89" s="2101"/>
      <c r="E89" s="2102"/>
      <c r="F89" s="2230" t="s">
        <v>3</v>
      </c>
      <c r="G89" s="2100" t="s">
        <v>4</v>
      </c>
      <c r="H89" s="2102"/>
      <c r="I89" s="2085"/>
      <c r="J89" s="2103" t="s">
        <v>5</v>
      </c>
      <c r="K89" s="2100" t="s">
        <v>6</v>
      </c>
      <c r="L89" s="2085"/>
      <c r="M89" s="97" t="s">
        <v>32</v>
      </c>
      <c r="N89" s="98"/>
      <c r="O89" s="2084" t="s">
        <v>7</v>
      </c>
      <c r="Q89" s="628"/>
      <c r="R89" s="629"/>
      <c r="S89" s="629"/>
      <c r="T89" s="630"/>
      <c r="U89" s="630"/>
      <c r="V89" s="630"/>
    </row>
    <row r="90" spans="1:30" x14ac:dyDescent="0.3">
      <c r="A90" s="2097"/>
      <c r="B90" s="2099"/>
      <c r="C90" s="2086" t="s">
        <v>1108</v>
      </c>
      <c r="D90" s="2087"/>
      <c r="E90" s="87" t="s">
        <v>9</v>
      </c>
      <c r="F90" s="2229"/>
      <c r="G90" s="2">
        <f>'NORTH-1'!$G$8</f>
        <v>44774</v>
      </c>
      <c r="H90" s="2">
        <f>'NORTH-1'!$H$8</f>
        <v>44805</v>
      </c>
      <c r="I90" s="1" t="s">
        <v>10</v>
      </c>
      <c r="J90" s="2097"/>
      <c r="K90" s="1" t="s">
        <v>11</v>
      </c>
      <c r="L90" s="1" t="s">
        <v>12</v>
      </c>
      <c r="M90" s="617" t="s">
        <v>33</v>
      </c>
      <c r="N90" s="76" t="s">
        <v>47</v>
      </c>
      <c r="O90" s="2085"/>
      <c r="Q90" s="628"/>
      <c r="R90" s="629"/>
      <c r="S90" s="629"/>
      <c r="T90" s="630"/>
      <c r="U90" s="630"/>
      <c r="V90" s="630"/>
    </row>
    <row r="91" spans="1:30" x14ac:dyDescent="0.3">
      <c r="A91" s="3">
        <v>1</v>
      </c>
      <c r="B91" s="88">
        <v>2</v>
      </c>
      <c r="C91" s="2088">
        <v>4</v>
      </c>
      <c r="D91" s="2089"/>
      <c r="E91" s="88">
        <v>5</v>
      </c>
      <c r="F91" s="786">
        <v>7</v>
      </c>
      <c r="G91" s="3">
        <v>8</v>
      </c>
      <c r="H91" s="3">
        <v>9</v>
      </c>
      <c r="I91" s="3" t="s">
        <v>13</v>
      </c>
      <c r="J91" s="3">
        <v>11</v>
      </c>
      <c r="K91" s="3" t="s">
        <v>19</v>
      </c>
      <c r="L91" s="3" t="s">
        <v>20</v>
      </c>
      <c r="M91" s="3">
        <v>14</v>
      </c>
      <c r="N91" s="77">
        <v>15</v>
      </c>
      <c r="O91" s="3">
        <v>16</v>
      </c>
      <c r="Q91" s="628"/>
      <c r="R91" s="629"/>
      <c r="S91" s="629"/>
      <c r="T91" s="630"/>
      <c r="U91" s="630"/>
      <c r="V91" s="630"/>
    </row>
    <row r="92" spans="1:30" ht="15" x14ac:dyDescent="0.3">
      <c r="A92" s="636"/>
      <c r="B92" s="624" t="s">
        <v>1104</v>
      </c>
      <c r="C92" s="625"/>
      <c r="D92" s="625"/>
      <c r="E92" s="625"/>
      <c r="F92" s="787"/>
      <c r="G92" s="625"/>
      <c r="H92" s="625"/>
      <c r="I92" s="625"/>
      <c r="J92" s="625"/>
      <c r="K92" s="695"/>
      <c r="L92" s="625"/>
      <c r="M92" s="626"/>
      <c r="N92" s="627"/>
      <c r="O92" s="12"/>
      <c r="Q92" s="628"/>
      <c r="R92" s="629"/>
      <c r="S92" s="629"/>
      <c r="T92" s="630"/>
      <c r="U92" s="630"/>
      <c r="V92" s="630"/>
    </row>
    <row r="93" spans="1:30" ht="15.65" customHeight="1" x14ac:dyDescent="0.3">
      <c r="A93" s="616">
        <v>1</v>
      </c>
      <c r="B93" s="100" t="s">
        <v>3329</v>
      </c>
      <c r="C93" s="73">
        <v>11</v>
      </c>
      <c r="D93" s="1779" t="s">
        <v>339</v>
      </c>
      <c r="E93" s="52">
        <v>6604457</v>
      </c>
      <c r="F93" s="4">
        <v>1</v>
      </c>
      <c r="G93" s="5">
        <v>505231.6</v>
      </c>
      <c r="H93" s="5">
        <v>508487.1</v>
      </c>
      <c r="I93" s="21">
        <f>H93-G93</f>
        <v>3255.5</v>
      </c>
      <c r="J93" s="616">
        <v>1000</v>
      </c>
      <c r="K93" s="707">
        <f>J93*I93*F93</f>
        <v>3255500</v>
      </c>
      <c r="L93" s="22"/>
      <c r="M93" s="22"/>
      <c r="N93" s="83"/>
      <c r="O93" s="12"/>
      <c r="Q93" s="628"/>
      <c r="R93" s="629"/>
      <c r="S93" s="629"/>
      <c r="T93" s="630"/>
      <c r="U93" s="630"/>
      <c r="V93" s="630"/>
    </row>
    <row r="94" spans="1:30" x14ac:dyDescent="0.3">
      <c r="A94" s="616">
        <v>2</v>
      </c>
      <c r="B94" s="100" t="s">
        <v>3330</v>
      </c>
      <c r="C94" s="73">
        <v>11</v>
      </c>
      <c r="D94" s="1780" t="s">
        <v>339</v>
      </c>
      <c r="E94" s="52" t="s">
        <v>212</v>
      </c>
      <c r="F94" s="4">
        <v>1</v>
      </c>
      <c r="G94" s="5">
        <v>549278.30000000005</v>
      </c>
      <c r="H94" s="5">
        <v>552511.4</v>
      </c>
      <c r="I94" s="21">
        <f>H94-G94</f>
        <v>3233.0999999999767</v>
      </c>
      <c r="J94" s="616">
        <v>1000</v>
      </c>
      <c r="K94" s="707">
        <f>J94*I94*F94</f>
        <v>3233099.9999999767</v>
      </c>
      <c r="L94" s="22"/>
      <c r="M94" s="22"/>
      <c r="N94" s="83"/>
      <c r="O94" s="12"/>
      <c r="Q94" s="628"/>
      <c r="R94" s="629"/>
      <c r="S94" s="629"/>
      <c r="T94" s="630"/>
      <c r="U94" s="630"/>
      <c r="V94" s="630"/>
    </row>
    <row r="95" spans="1:30" x14ac:dyDescent="0.3">
      <c r="A95" s="616">
        <v>3</v>
      </c>
      <c r="B95" s="100" t="s">
        <v>3331</v>
      </c>
      <c r="C95" s="73">
        <v>11</v>
      </c>
      <c r="D95" s="1780" t="s">
        <v>339</v>
      </c>
      <c r="E95" s="52">
        <v>6604454</v>
      </c>
      <c r="F95" s="4">
        <v>1</v>
      </c>
      <c r="G95" s="5">
        <v>542583.6</v>
      </c>
      <c r="H95" s="5">
        <v>545586.80000000005</v>
      </c>
      <c r="I95" s="21">
        <f>H95-G95</f>
        <v>3003.2000000000698</v>
      </c>
      <c r="J95" s="616">
        <v>1000</v>
      </c>
      <c r="K95" s="707">
        <f>J95*I95*F95</f>
        <v>3003200.0000000698</v>
      </c>
      <c r="L95" s="22"/>
      <c r="M95" s="22"/>
      <c r="N95" s="83"/>
      <c r="O95" s="12"/>
      <c r="Q95" s="628"/>
      <c r="R95" s="629"/>
      <c r="S95" s="629"/>
      <c r="T95" s="630"/>
      <c r="U95" s="630"/>
      <c r="V95" s="630"/>
    </row>
    <row r="96" spans="1:30" x14ac:dyDescent="0.3">
      <c r="A96" s="616">
        <v>4</v>
      </c>
      <c r="B96" s="100" t="s">
        <v>3332</v>
      </c>
      <c r="C96" s="73">
        <v>11</v>
      </c>
      <c r="D96" s="1851" t="s">
        <v>339</v>
      </c>
      <c r="E96" s="52"/>
      <c r="F96" s="4">
        <v>1</v>
      </c>
      <c r="G96" s="5">
        <v>750.44</v>
      </c>
      <c r="H96" s="5">
        <v>773.86</v>
      </c>
      <c r="I96" s="21">
        <f>H96-G96</f>
        <v>23.419999999999959</v>
      </c>
      <c r="J96" s="616">
        <v>160000</v>
      </c>
      <c r="K96" s="707">
        <f>J96*I96*F96</f>
        <v>3747199.9999999935</v>
      </c>
      <c r="L96" s="22"/>
      <c r="M96" s="22"/>
      <c r="N96" s="83"/>
      <c r="O96" s="12"/>
      <c r="Q96" s="628"/>
      <c r="R96" s="629"/>
      <c r="S96" s="629"/>
      <c r="T96" s="630"/>
      <c r="U96" s="630"/>
      <c r="V96" s="630"/>
    </row>
    <row r="97" spans="1:22" ht="15" x14ac:dyDescent="0.3">
      <c r="A97" s="636"/>
      <c r="B97" s="96"/>
      <c r="C97" s="90"/>
      <c r="D97" s="90"/>
      <c r="E97" s="90"/>
      <c r="F97" s="793"/>
      <c r="G97" s="38"/>
      <c r="H97" s="38"/>
      <c r="I97" s="38"/>
      <c r="J97" s="96" t="s">
        <v>30</v>
      </c>
      <c r="K97" s="708">
        <f>SUM(K93:K96)</f>
        <v>13239000.000000041</v>
      </c>
      <c r="L97" s="43"/>
      <c r="M97" s="43">
        <f>SUM(M93:M96)</f>
        <v>0</v>
      </c>
      <c r="N97" s="83"/>
      <c r="O97" s="12"/>
      <c r="Q97" s="628"/>
      <c r="R97" s="629"/>
      <c r="S97" s="629"/>
      <c r="T97" s="630"/>
      <c r="U97" s="630"/>
      <c r="V97" s="630"/>
    </row>
    <row r="98" spans="1:22" x14ac:dyDescent="0.35">
      <c r="A98" s="631"/>
      <c r="B98" s="647" t="s">
        <v>1105</v>
      </c>
      <c r="C98" s="648"/>
      <c r="D98" s="648"/>
      <c r="E98" s="648"/>
      <c r="F98" s="789"/>
      <c r="G98" s="648"/>
      <c r="H98" s="648"/>
      <c r="I98" s="648"/>
      <c r="J98" s="648"/>
      <c r="K98" s="700"/>
      <c r="L98" s="648"/>
      <c r="M98" s="651"/>
      <c r="N98" s="649"/>
      <c r="O98" s="616"/>
      <c r="Q98" s="628"/>
      <c r="R98" s="629"/>
      <c r="S98" s="629"/>
      <c r="T98" s="630"/>
      <c r="U98" s="630"/>
      <c r="V98" s="630"/>
    </row>
    <row r="99" spans="1:22" ht="15.65" customHeight="1" x14ac:dyDescent="0.35">
      <c r="A99" s="631">
        <v>1</v>
      </c>
      <c r="B99" s="100" t="s">
        <v>213</v>
      </c>
      <c r="C99" s="73">
        <v>11</v>
      </c>
      <c r="D99" s="1928"/>
      <c r="E99" s="52">
        <v>21100462</v>
      </c>
      <c r="F99" s="4">
        <v>1</v>
      </c>
      <c r="G99" s="6">
        <v>40395.199999999997</v>
      </c>
      <c r="H99" s="6">
        <v>40395.199999999997</v>
      </c>
      <c r="I99" s="20">
        <f t="shared" ref="I99:I124" si="4">H99-G99</f>
        <v>0</v>
      </c>
      <c r="J99" s="616">
        <v>1000</v>
      </c>
      <c r="K99" s="703"/>
      <c r="L99" s="22">
        <f t="shared" ref="L99:L124" si="5">J99*I99*F99</f>
        <v>0</v>
      </c>
      <c r="M99" s="22"/>
      <c r="N99" s="72" t="s">
        <v>110</v>
      </c>
      <c r="O99" s="15"/>
      <c r="Q99" s="628"/>
      <c r="R99" s="629"/>
      <c r="S99" s="629"/>
      <c r="T99" s="630"/>
      <c r="U99" s="630"/>
      <c r="V99" s="630"/>
    </row>
    <row r="100" spans="1:22" x14ac:dyDescent="0.35">
      <c r="A100" s="631">
        <v>2</v>
      </c>
      <c r="B100" s="100" t="s">
        <v>3333</v>
      </c>
      <c r="C100" s="73">
        <v>11</v>
      </c>
      <c r="D100" s="1928"/>
      <c r="E100" s="52">
        <v>21100473</v>
      </c>
      <c r="F100" s="4">
        <v>1</v>
      </c>
      <c r="G100" s="6">
        <v>75366.100000000006</v>
      </c>
      <c r="H100" s="6">
        <v>76039.3</v>
      </c>
      <c r="I100" s="20">
        <f t="shared" si="4"/>
        <v>673.19999999999709</v>
      </c>
      <c r="J100" s="616">
        <v>1000</v>
      </c>
      <c r="K100" s="703"/>
      <c r="L100" s="22">
        <f t="shared" si="5"/>
        <v>673199.99999999709</v>
      </c>
      <c r="M100" s="22"/>
      <c r="N100" s="72" t="s">
        <v>106</v>
      </c>
      <c r="O100" s="15"/>
      <c r="Q100" s="628"/>
      <c r="R100" s="629"/>
      <c r="S100" s="629"/>
      <c r="T100" s="630"/>
      <c r="U100" s="630"/>
      <c r="V100" s="630"/>
    </row>
    <row r="101" spans="1:22" x14ac:dyDescent="0.35">
      <c r="A101" s="631">
        <v>3</v>
      </c>
      <c r="B101" s="100" t="s">
        <v>3334</v>
      </c>
      <c r="C101" s="73">
        <v>11</v>
      </c>
      <c r="D101" s="1928"/>
      <c r="E101" s="52">
        <v>21101043</v>
      </c>
      <c r="F101" s="4">
        <v>1</v>
      </c>
      <c r="G101" s="6">
        <v>148906.79999999999</v>
      </c>
      <c r="H101" s="6">
        <v>150086.6</v>
      </c>
      <c r="I101" s="20">
        <f t="shared" si="4"/>
        <v>1179.8000000000175</v>
      </c>
      <c r="J101" s="616">
        <v>1000</v>
      </c>
      <c r="K101" s="703"/>
      <c r="L101" s="22">
        <f t="shared" si="5"/>
        <v>1179800.0000000175</v>
      </c>
      <c r="M101" s="22"/>
      <c r="N101" s="72" t="s">
        <v>106</v>
      </c>
      <c r="O101" s="15"/>
      <c r="Q101" s="628"/>
      <c r="R101" s="629"/>
      <c r="S101" s="629"/>
      <c r="T101" s="630"/>
      <c r="U101" s="630"/>
      <c r="V101" s="630"/>
    </row>
    <row r="102" spans="1:22" x14ac:dyDescent="0.35">
      <c r="A102" s="631">
        <v>4</v>
      </c>
      <c r="B102" s="100" t="s">
        <v>3335</v>
      </c>
      <c r="C102" s="73">
        <v>11</v>
      </c>
      <c r="D102" s="1928"/>
      <c r="E102" s="52" t="s">
        <v>219</v>
      </c>
      <c r="F102" s="4">
        <v>1</v>
      </c>
      <c r="G102" s="6">
        <v>116797.4</v>
      </c>
      <c r="H102" s="6">
        <v>117168.2</v>
      </c>
      <c r="I102" s="20">
        <f t="shared" si="4"/>
        <v>370.80000000000291</v>
      </c>
      <c r="J102" s="616">
        <v>1000</v>
      </c>
      <c r="K102" s="703"/>
      <c r="L102" s="22">
        <f t="shared" si="5"/>
        <v>370800.00000000291</v>
      </c>
      <c r="M102" s="22"/>
      <c r="N102" s="72" t="s">
        <v>106</v>
      </c>
      <c r="O102" s="15"/>
      <c r="Q102" s="628"/>
      <c r="R102" s="629"/>
      <c r="S102" s="629"/>
      <c r="T102" s="630"/>
      <c r="U102" s="630"/>
      <c r="V102" s="630"/>
    </row>
    <row r="103" spans="1:22" x14ac:dyDescent="0.35">
      <c r="A103" s="631">
        <v>5</v>
      </c>
      <c r="B103" s="100" t="s">
        <v>3336</v>
      </c>
      <c r="C103" s="73">
        <v>11</v>
      </c>
      <c r="D103" s="1928"/>
      <c r="E103" s="52" t="s">
        <v>220</v>
      </c>
      <c r="F103" s="4">
        <v>1.0269999999999999</v>
      </c>
      <c r="G103" s="6">
        <v>23721.599999999999</v>
      </c>
      <c r="H103" s="6">
        <v>23721.599999999999</v>
      </c>
      <c r="I103" s="20">
        <f t="shared" si="4"/>
        <v>0</v>
      </c>
      <c r="J103" s="616">
        <v>1000</v>
      </c>
      <c r="K103" s="703"/>
      <c r="L103" s="22">
        <f t="shared" si="5"/>
        <v>0</v>
      </c>
      <c r="M103" s="22"/>
      <c r="N103" s="72" t="s">
        <v>110</v>
      </c>
      <c r="O103" s="15"/>
      <c r="Q103" s="628"/>
      <c r="R103" s="629"/>
      <c r="S103" s="629"/>
      <c r="T103" s="630"/>
      <c r="U103" s="630"/>
      <c r="V103" s="630"/>
    </row>
    <row r="104" spans="1:22" x14ac:dyDescent="0.35">
      <c r="A104" s="631">
        <v>6</v>
      </c>
      <c r="B104" s="100" t="s">
        <v>4651</v>
      </c>
      <c r="C104" s="73">
        <v>11</v>
      </c>
      <c r="D104" s="1928"/>
      <c r="E104" s="52" t="s">
        <v>221</v>
      </c>
      <c r="F104" s="4">
        <v>1</v>
      </c>
      <c r="G104" s="6">
        <v>109947.5</v>
      </c>
      <c r="H104" s="6">
        <v>111043.8</v>
      </c>
      <c r="I104" s="20">
        <f t="shared" si="4"/>
        <v>1096.3000000000029</v>
      </c>
      <c r="J104" s="616">
        <v>1000</v>
      </c>
      <c r="K104" s="703"/>
      <c r="L104" s="22">
        <f t="shared" si="5"/>
        <v>1096300.0000000028</v>
      </c>
      <c r="M104" s="22"/>
      <c r="N104" s="72" t="s">
        <v>109</v>
      </c>
      <c r="O104" s="15"/>
      <c r="Q104" s="628"/>
      <c r="R104" s="629"/>
      <c r="S104" s="629"/>
      <c r="T104" s="630"/>
      <c r="U104" s="630"/>
      <c r="V104" s="630"/>
    </row>
    <row r="105" spans="1:22" x14ac:dyDescent="0.35">
      <c r="A105" s="631">
        <v>7</v>
      </c>
      <c r="B105" s="100" t="s">
        <v>3337</v>
      </c>
      <c r="C105" s="73">
        <v>11</v>
      </c>
      <c r="D105" s="1928"/>
      <c r="E105" s="52">
        <v>21101054</v>
      </c>
      <c r="F105" s="4">
        <v>1</v>
      </c>
      <c r="G105" s="6">
        <v>114060.5</v>
      </c>
      <c r="H105" s="6">
        <v>114810.7</v>
      </c>
      <c r="I105" s="20">
        <f t="shared" si="4"/>
        <v>750.19999999999709</v>
      </c>
      <c r="J105" s="616">
        <v>1000</v>
      </c>
      <c r="K105" s="703"/>
      <c r="L105" s="22">
        <f t="shared" si="5"/>
        <v>750199.99999999709</v>
      </c>
      <c r="M105" s="22"/>
      <c r="N105" s="72" t="s">
        <v>110</v>
      </c>
      <c r="O105" s="15"/>
      <c r="Q105" s="628"/>
      <c r="R105" s="629"/>
      <c r="S105" s="629"/>
      <c r="T105" s="630"/>
      <c r="U105" s="630"/>
      <c r="V105" s="630"/>
    </row>
    <row r="106" spans="1:22" x14ac:dyDescent="0.35">
      <c r="A106" s="631">
        <v>1</v>
      </c>
      <c r="B106" s="100" t="s">
        <v>3338</v>
      </c>
      <c r="C106" s="73">
        <v>11</v>
      </c>
      <c r="D106" s="1928"/>
      <c r="E106" s="52" t="s">
        <v>222</v>
      </c>
      <c r="F106" s="4">
        <v>1</v>
      </c>
      <c r="G106" s="6">
        <v>136563.29999999999</v>
      </c>
      <c r="H106" s="6">
        <v>137271.9</v>
      </c>
      <c r="I106" s="20">
        <f t="shared" si="4"/>
        <v>708.60000000000582</v>
      </c>
      <c r="J106" s="616">
        <v>1000</v>
      </c>
      <c r="K106" s="703"/>
      <c r="L106" s="22">
        <f t="shared" si="5"/>
        <v>708600.00000000582</v>
      </c>
      <c r="M106" s="22"/>
      <c r="N106" s="72" t="s">
        <v>106</v>
      </c>
      <c r="O106" s="15"/>
      <c r="Q106" s="628"/>
      <c r="R106" s="629"/>
      <c r="S106" s="629"/>
      <c r="T106" s="630"/>
      <c r="U106" s="630"/>
      <c r="V106" s="630"/>
    </row>
    <row r="107" spans="1:22" x14ac:dyDescent="0.35">
      <c r="A107" s="631">
        <v>2</v>
      </c>
      <c r="B107" s="100" t="s">
        <v>214</v>
      </c>
      <c r="C107" s="73">
        <v>11</v>
      </c>
      <c r="D107" s="1928"/>
      <c r="E107" s="52">
        <v>21101039</v>
      </c>
      <c r="F107" s="4">
        <v>1</v>
      </c>
      <c r="G107" s="6">
        <v>7875.2</v>
      </c>
      <c r="H107" s="6">
        <v>7920.7</v>
      </c>
      <c r="I107" s="20">
        <f t="shared" si="4"/>
        <v>45.5</v>
      </c>
      <c r="J107" s="616">
        <v>1000</v>
      </c>
      <c r="K107" s="703"/>
      <c r="L107" s="22">
        <f t="shared" si="5"/>
        <v>45500</v>
      </c>
      <c r="M107" s="22"/>
      <c r="N107" s="72" t="s">
        <v>106</v>
      </c>
      <c r="O107" s="15"/>
      <c r="Q107" s="628"/>
      <c r="R107" s="629"/>
      <c r="S107" s="629"/>
      <c r="T107" s="630"/>
      <c r="U107" s="630"/>
      <c r="V107" s="630"/>
    </row>
    <row r="108" spans="1:22" x14ac:dyDescent="0.35">
      <c r="A108" s="631">
        <v>3</v>
      </c>
      <c r="B108" s="100" t="s">
        <v>3339</v>
      </c>
      <c r="C108" s="73">
        <v>11</v>
      </c>
      <c r="D108" s="1928"/>
      <c r="E108" s="52" t="s">
        <v>223</v>
      </c>
      <c r="F108" s="4">
        <v>1</v>
      </c>
      <c r="G108" s="6">
        <v>8659.2000000000007</v>
      </c>
      <c r="H108" s="6">
        <v>8747.7000000000007</v>
      </c>
      <c r="I108" s="20">
        <f t="shared" si="4"/>
        <v>88.5</v>
      </c>
      <c r="J108" s="616">
        <v>1000</v>
      </c>
      <c r="K108" s="703"/>
      <c r="L108" s="22">
        <f t="shared" si="5"/>
        <v>88500</v>
      </c>
      <c r="M108" s="22"/>
      <c r="N108" s="72" t="s">
        <v>106</v>
      </c>
      <c r="O108" s="15"/>
      <c r="Q108" s="628"/>
      <c r="R108" s="629"/>
      <c r="S108" s="629"/>
      <c r="T108" s="630"/>
      <c r="U108" s="630"/>
      <c r="V108" s="630"/>
    </row>
    <row r="109" spans="1:22" x14ac:dyDescent="0.35">
      <c r="A109" s="631">
        <v>4</v>
      </c>
      <c r="B109" s="100" t="s">
        <v>4652</v>
      </c>
      <c r="C109" s="73">
        <v>11</v>
      </c>
      <c r="D109" s="1928"/>
      <c r="E109" s="52">
        <v>202006983</v>
      </c>
      <c r="F109" s="4">
        <v>1</v>
      </c>
      <c r="G109" s="6">
        <v>108245</v>
      </c>
      <c r="H109" s="6">
        <v>109268</v>
      </c>
      <c r="I109" s="20">
        <f t="shared" si="4"/>
        <v>1023</v>
      </c>
      <c r="J109" s="616">
        <v>1000</v>
      </c>
      <c r="K109" s="703"/>
      <c r="L109" s="22">
        <f t="shared" si="5"/>
        <v>1023000</v>
      </c>
      <c r="M109" s="22"/>
      <c r="N109" s="72" t="s">
        <v>4650</v>
      </c>
      <c r="O109" s="15"/>
      <c r="Q109" s="628"/>
      <c r="R109" s="629"/>
      <c r="S109" s="629"/>
      <c r="T109" s="630"/>
      <c r="U109" s="630"/>
      <c r="V109" s="630"/>
    </row>
    <row r="110" spans="1:22" x14ac:dyDescent="0.35">
      <c r="A110" s="631">
        <v>5</v>
      </c>
      <c r="B110" s="100" t="s">
        <v>3340</v>
      </c>
      <c r="C110" s="73">
        <v>11</v>
      </c>
      <c r="D110" s="1928"/>
      <c r="E110" s="52">
        <v>21101021</v>
      </c>
      <c r="F110" s="4">
        <v>1</v>
      </c>
      <c r="G110" s="6">
        <v>81390.3</v>
      </c>
      <c r="H110" s="6">
        <v>81390.3</v>
      </c>
      <c r="I110" s="20">
        <f t="shared" si="4"/>
        <v>0</v>
      </c>
      <c r="J110" s="616">
        <v>1000</v>
      </c>
      <c r="K110" s="703"/>
      <c r="L110" s="22">
        <f t="shared" si="5"/>
        <v>0</v>
      </c>
      <c r="M110" s="22"/>
      <c r="N110" s="72" t="s">
        <v>110</v>
      </c>
      <c r="O110" s="15"/>
      <c r="Q110" s="628"/>
      <c r="R110" s="629"/>
      <c r="S110" s="629"/>
      <c r="T110" s="630"/>
      <c r="U110" s="630"/>
      <c r="V110" s="630"/>
    </row>
    <row r="111" spans="1:22" x14ac:dyDescent="0.35">
      <c r="A111" s="631">
        <v>1</v>
      </c>
      <c r="B111" s="100" t="s">
        <v>3341</v>
      </c>
      <c r="C111" s="73">
        <v>11</v>
      </c>
      <c r="D111" s="1928"/>
      <c r="E111" s="52" t="s">
        <v>224</v>
      </c>
      <c r="F111" s="4">
        <v>1</v>
      </c>
      <c r="G111" s="6">
        <v>160823</v>
      </c>
      <c r="H111" s="6">
        <v>162447.79999999999</v>
      </c>
      <c r="I111" s="20">
        <f t="shared" si="4"/>
        <v>1624.7999999999884</v>
      </c>
      <c r="J111" s="616">
        <v>1000</v>
      </c>
      <c r="K111" s="703"/>
      <c r="L111" s="22">
        <f t="shared" si="5"/>
        <v>1624799.9999999884</v>
      </c>
      <c r="M111" s="22"/>
      <c r="N111" s="72" t="s">
        <v>106</v>
      </c>
      <c r="O111" s="15"/>
      <c r="Q111" s="628"/>
      <c r="R111" s="629"/>
      <c r="S111" s="629"/>
      <c r="T111" s="630"/>
      <c r="U111" s="630"/>
      <c r="V111" s="630"/>
    </row>
    <row r="112" spans="1:22" x14ac:dyDescent="0.35">
      <c r="A112" s="631">
        <v>2</v>
      </c>
      <c r="B112" s="100" t="s">
        <v>3342</v>
      </c>
      <c r="C112" s="73">
        <v>11</v>
      </c>
      <c r="D112" s="1928"/>
      <c r="E112" s="52">
        <v>2110137</v>
      </c>
      <c r="F112" s="4">
        <v>1</v>
      </c>
      <c r="G112" s="6">
        <v>116509.6</v>
      </c>
      <c r="H112" s="6">
        <v>117431</v>
      </c>
      <c r="I112" s="20">
        <f t="shared" si="4"/>
        <v>921.39999999999418</v>
      </c>
      <c r="J112" s="616">
        <v>1000</v>
      </c>
      <c r="K112" s="703"/>
      <c r="L112" s="22">
        <f t="shared" si="5"/>
        <v>921399.99999999418</v>
      </c>
      <c r="M112" s="22"/>
      <c r="N112" s="72" t="s">
        <v>110</v>
      </c>
      <c r="O112" s="15"/>
      <c r="Q112" s="628"/>
      <c r="R112" s="629"/>
      <c r="S112" s="629"/>
      <c r="T112" s="630"/>
      <c r="U112" s="630"/>
      <c r="V112" s="630"/>
    </row>
    <row r="113" spans="1:22" x14ac:dyDescent="0.35">
      <c r="A113" s="631">
        <v>3</v>
      </c>
      <c r="B113" s="101" t="s">
        <v>3343</v>
      </c>
      <c r="C113" s="73">
        <v>11</v>
      </c>
      <c r="D113" s="1928"/>
      <c r="E113" s="52">
        <v>21101000</v>
      </c>
      <c r="F113" s="4">
        <v>1</v>
      </c>
      <c r="G113" s="6">
        <v>107393.60000000001</v>
      </c>
      <c r="H113" s="6">
        <v>107960.8</v>
      </c>
      <c r="I113" s="20">
        <f t="shared" si="4"/>
        <v>567.19999999999709</v>
      </c>
      <c r="J113" s="616">
        <v>1000</v>
      </c>
      <c r="K113" s="703"/>
      <c r="L113" s="22">
        <f t="shared" si="5"/>
        <v>567199.99999999709</v>
      </c>
      <c r="M113" s="22"/>
      <c r="N113" s="72" t="s">
        <v>109</v>
      </c>
      <c r="O113" s="15"/>
      <c r="Q113" s="628"/>
      <c r="R113" s="629"/>
      <c r="S113" s="629"/>
      <c r="T113" s="630"/>
      <c r="U113" s="630"/>
      <c r="V113" s="630"/>
    </row>
    <row r="114" spans="1:22" x14ac:dyDescent="0.35">
      <c r="A114" s="631">
        <v>4</v>
      </c>
      <c r="B114" s="100" t="s">
        <v>3344</v>
      </c>
      <c r="C114" s="73">
        <v>11</v>
      </c>
      <c r="D114" s="1928"/>
      <c r="E114" s="52">
        <v>21100870</v>
      </c>
      <c r="F114" s="4">
        <v>1</v>
      </c>
      <c r="G114" s="6">
        <v>41248.199999999997</v>
      </c>
      <c r="H114" s="6">
        <v>41562.5</v>
      </c>
      <c r="I114" s="20">
        <f t="shared" si="4"/>
        <v>314.30000000000291</v>
      </c>
      <c r="J114" s="616">
        <v>1000</v>
      </c>
      <c r="K114" s="703"/>
      <c r="L114" s="22">
        <f t="shared" si="5"/>
        <v>314300.00000000291</v>
      </c>
      <c r="M114" s="22"/>
      <c r="N114" s="72" t="s">
        <v>109</v>
      </c>
      <c r="O114" s="15"/>
      <c r="Q114" s="628"/>
      <c r="R114" s="629"/>
      <c r="S114" s="629"/>
      <c r="T114" s="630"/>
      <c r="U114" s="630"/>
      <c r="V114" s="630"/>
    </row>
    <row r="115" spans="1:22" x14ac:dyDescent="0.35">
      <c r="A115" s="631">
        <v>5</v>
      </c>
      <c r="B115" s="100" t="s">
        <v>3345</v>
      </c>
      <c r="C115" s="73">
        <v>11</v>
      </c>
      <c r="D115" s="1928"/>
      <c r="E115" s="52">
        <v>21101247</v>
      </c>
      <c r="F115" s="4">
        <v>1</v>
      </c>
      <c r="G115" s="6">
        <v>19567.5</v>
      </c>
      <c r="H115" s="6">
        <v>19572.900000000001</v>
      </c>
      <c r="I115" s="20">
        <f t="shared" si="4"/>
        <v>5.4000000000014552</v>
      </c>
      <c r="J115" s="616">
        <v>1000</v>
      </c>
      <c r="K115" s="703"/>
      <c r="L115" s="22">
        <f t="shared" si="5"/>
        <v>5400.0000000014552</v>
      </c>
      <c r="M115" s="22"/>
      <c r="N115" s="72" t="s">
        <v>110</v>
      </c>
      <c r="O115" s="15"/>
      <c r="Q115" s="628"/>
      <c r="R115" s="629"/>
      <c r="S115" s="629"/>
      <c r="T115" s="630"/>
      <c r="U115" s="630"/>
      <c r="V115" s="630"/>
    </row>
    <row r="116" spans="1:22" x14ac:dyDescent="0.35">
      <c r="A116" s="631">
        <v>1</v>
      </c>
      <c r="B116" s="100" t="s">
        <v>216</v>
      </c>
      <c r="C116" s="73">
        <v>11</v>
      </c>
      <c r="D116" s="1928"/>
      <c r="E116" s="52"/>
      <c r="F116" s="4">
        <v>1</v>
      </c>
      <c r="G116" s="6">
        <v>32315.5</v>
      </c>
      <c r="H116" s="6">
        <v>32419.8</v>
      </c>
      <c r="I116" s="20">
        <f t="shared" si="4"/>
        <v>104.29999999999927</v>
      </c>
      <c r="J116" s="616">
        <v>1000</v>
      </c>
      <c r="K116" s="703"/>
      <c r="L116" s="22">
        <f t="shared" si="5"/>
        <v>104299.99999999927</v>
      </c>
      <c r="M116" s="22"/>
      <c r="N116" s="72" t="s">
        <v>109</v>
      </c>
      <c r="O116" s="15"/>
      <c r="Q116" s="628"/>
      <c r="R116" s="629"/>
      <c r="S116" s="629"/>
      <c r="T116" s="630"/>
      <c r="U116" s="630"/>
      <c r="V116" s="630"/>
    </row>
    <row r="117" spans="1:22" x14ac:dyDescent="0.35">
      <c r="A117" s="631">
        <v>2</v>
      </c>
      <c r="B117" s="100" t="s">
        <v>3346</v>
      </c>
      <c r="C117" s="73">
        <v>11</v>
      </c>
      <c r="D117" s="1928"/>
      <c r="E117" s="52"/>
      <c r="F117" s="4">
        <v>1</v>
      </c>
      <c r="G117" s="6">
        <v>20887</v>
      </c>
      <c r="H117" s="6">
        <v>21826.400000000001</v>
      </c>
      <c r="I117" s="20">
        <f t="shared" si="4"/>
        <v>939.40000000000146</v>
      </c>
      <c r="J117" s="616">
        <v>1000</v>
      </c>
      <c r="K117" s="703"/>
      <c r="L117" s="22">
        <f t="shared" si="5"/>
        <v>939400.0000000014</v>
      </c>
      <c r="M117" s="22"/>
      <c r="N117" s="72" t="s">
        <v>106</v>
      </c>
      <c r="O117" s="15"/>
      <c r="Q117" s="628"/>
      <c r="R117" s="629"/>
      <c r="S117" s="629"/>
      <c r="T117" s="630"/>
      <c r="U117" s="630"/>
      <c r="V117" s="630"/>
    </row>
    <row r="118" spans="1:22" x14ac:dyDescent="0.3">
      <c r="A118" s="633">
        <v>3</v>
      </c>
      <c r="B118" s="100" t="s">
        <v>3347</v>
      </c>
      <c r="C118" s="73">
        <v>11</v>
      </c>
      <c r="D118" s="1928"/>
      <c r="E118" s="52"/>
      <c r="F118" s="4">
        <v>1</v>
      </c>
      <c r="G118" s="6">
        <v>28111.1</v>
      </c>
      <c r="H118" s="6">
        <v>28111.1</v>
      </c>
      <c r="I118" s="20">
        <f t="shared" si="4"/>
        <v>0</v>
      </c>
      <c r="J118" s="616">
        <v>1000</v>
      </c>
      <c r="K118" s="704"/>
      <c r="L118" s="22">
        <f t="shared" si="5"/>
        <v>0</v>
      </c>
      <c r="M118" s="22"/>
      <c r="N118" s="72" t="s">
        <v>106</v>
      </c>
      <c r="O118" s="14"/>
      <c r="Q118" s="628"/>
      <c r="R118" s="637"/>
      <c r="S118" s="637"/>
      <c r="T118" s="638"/>
      <c r="U118" s="639"/>
      <c r="V118" s="640"/>
    </row>
    <row r="119" spans="1:22" x14ac:dyDescent="0.3">
      <c r="A119" s="633">
        <v>4</v>
      </c>
      <c r="B119" s="100" t="s">
        <v>3348</v>
      </c>
      <c r="C119" s="73">
        <v>11</v>
      </c>
      <c r="D119" s="1928"/>
      <c r="E119" s="52"/>
      <c r="F119" s="4">
        <v>1</v>
      </c>
      <c r="G119" s="6">
        <v>18298.599999999999</v>
      </c>
      <c r="H119" s="6">
        <v>18298.599999999999</v>
      </c>
      <c r="I119" s="20">
        <f t="shared" si="4"/>
        <v>0</v>
      </c>
      <c r="J119" s="616">
        <v>1000</v>
      </c>
      <c r="K119" s="704"/>
      <c r="L119" s="22">
        <f t="shared" si="5"/>
        <v>0</v>
      </c>
      <c r="M119" s="22"/>
      <c r="N119" s="72" t="s">
        <v>109</v>
      </c>
      <c r="O119" s="14"/>
      <c r="Q119" s="628"/>
      <c r="R119" s="637"/>
      <c r="S119" s="637"/>
      <c r="T119" s="638"/>
      <c r="U119" s="639"/>
      <c r="V119" s="640"/>
    </row>
    <row r="120" spans="1:22" x14ac:dyDescent="0.3">
      <c r="A120" s="633">
        <v>5</v>
      </c>
      <c r="B120" s="100" t="s">
        <v>3349</v>
      </c>
      <c r="C120" s="73">
        <v>11</v>
      </c>
      <c r="D120" s="1928"/>
      <c r="E120" s="52"/>
      <c r="F120" s="4">
        <v>1</v>
      </c>
      <c r="G120" s="6">
        <v>3532.2</v>
      </c>
      <c r="H120" s="6">
        <v>4598.8</v>
      </c>
      <c r="I120" s="20">
        <f t="shared" si="4"/>
        <v>1066.6000000000004</v>
      </c>
      <c r="J120" s="616">
        <v>1000</v>
      </c>
      <c r="K120" s="704"/>
      <c r="L120" s="22">
        <f>J120*I120*F120</f>
        <v>1066600.0000000005</v>
      </c>
      <c r="M120" s="22"/>
      <c r="N120" s="72" t="s">
        <v>109</v>
      </c>
      <c r="O120" s="14"/>
      <c r="Q120" s="628"/>
      <c r="R120" s="637"/>
      <c r="S120" s="637"/>
      <c r="T120" s="638"/>
      <c r="U120" s="639"/>
      <c r="V120" s="640"/>
    </row>
    <row r="121" spans="1:22" x14ac:dyDescent="0.3">
      <c r="A121" s="633">
        <v>6</v>
      </c>
      <c r="B121" s="100" t="s">
        <v>215</v>
      </c>
      <c r="C121" s="73">
        <v>11</v>
      </c>
      <c r="D121" s="1928"/>
      <c r="E121" s="52"/>
      <c r="F121" s="4">
        <v>1</v>
      </c>
      <c r="G121" s="6">
        <v>126108.5</v>
      </c>
      <c r="H121" s="6">
        <v>126420</v>
      </c>
      <c r="I121" s="20">
        <f t="shared" si="4"/>
        <v>311.5</v>
      </c>
      <c r="J121" s="616">
        <v>1000</v>
      </c>
      <c r="K121" s="703"/>
      <c r="L121" s="22">
        <f t="shared" si="5"/>
        <v>311500</v>
      </c>
      <c r="M121" s="22"/>
      <c r="N121" s="72" t="s">
        <v>109</v>
      </c>
      <c r="O121" s="15"/>
      <c r="Q121" s="628"/>
      <c r="R121" s="637"/>
      <c r="S121" s="637"/>
      <c r="T121" s="638"/>
      <c r="U121" s="639"/>
      <c r="V121" s="640"/>
    </row>
    <row r="122" spans="1:22" x14ac:dyDescent="0.3">
      <c r="A122" s="633">
        <v>7</v>
      </c>
      <c r="B122" s="100" t="s">
        <v>3350</v>
      </c>
      <c r="C122" s="73">
        <v>11</v>
      </c>
      <c r="D122" s="1928"/>
      <c r="E122" s="52"/>
      <c r="F122" s="4">
        <v>1</v>
      </c>
      <c r="G122" s="6">
        <v>976.8</v>
      </c>
      <c r="H122" s="6">
        <v>981.1</v>
      </c>
      <c r="I122" s="20">
        <f t="shared" si="4"/>
        <v>4.3000000000000682</v>
      </c>
      <c r="J122" s="616">
        <v>1000</v>
      </c>
      <c r="K122" s="704"/>
      <c r="L122" s="22">
        <f t="shared" si="5"/>
        <v>4300.0000000000682</v>
      </c>
      <c r="M122" s="22"/>
      <c r="N122" s="1929" t="s">
        <v>4693</v>
      </c>
      <c r="O122" s="10"/>
      <c r="Q122" s="628"/>
      <c r="R122" s="637"/>
      <c r="S122" s="637"/>
      <c r="T122" s="638"/>
      <c r="U122" s="639"/>
      <c r="V122" s="640"/>
    </row>
    <row r="123" spans="1:22" s="776" customFormat="1" x14ac:dyDescent="0.3">
      <c r="A123" s="767"/>
      <c r="B123" s="768" t="s">
        <v>3351</v>
      </c>
      <c r="C123" s="769"/>
      <c r="D123" s="1928"/>
      <c r="E123" s="770"/>
      <c r="F123" s="794">
        <v>1</v>
      </c>
      <c r="G123" s="771">
        <v>7300.28</v>
      </c>
      <c r="H123" s="771">
        <v>7302.22</v>
      </c>
      <c r="I123" s="772">
        <f t="shared" si="4"/>
        <v>1.9400000000005093</v>
      </c>
      <c r="J123" s="773">
        <v>1000</v>
      </c>
      <c r="K123" s="774"/>
      <c r="L123" s="775">
        <f t="shared" si="5"/>
        <v>1940.0000000005093</v>
      </c>
      <c r="M123" s="22"/>
      <c r="N123" s="72" t="s">
        <v>110</v>
      </c>
      <c r="O123" s="1441"/>
      <c r="P123" s="1442"/>
      <c r="Q123" s="1443"/>
      <c r="R123" s="777"/>
      <c r="S123" s="777"/>
      <c r="T123" s="778"/>
      <c r="U123" s="779"/>
      <c r="V123" s="780"/>
    </row>
    <row r="124" spans="1:22" s="776" customFormat="1" x14ac:dyDescent="0.3">
      <c r="A124" s="767">
        <v>8</v>
      </c>
      <c r="B124" s="781" t="s">
        <v>3352</v>
      </c>
      <c r="C124" s="769">
        <v>11</v>
      </c>
      <c r="D124" s="1928"/>
      <c r="E124" s="770"/>
      <c r="F124" s="794">
        <v>1</v>
      </c>
      <c r="G124" s="771">
        <v>35296</v>
      </c>
      <c r="H124" s="771">
        <v>35831.599999999999</v>
      </c>
      <c r="I124" s="772">
        <f t="shared" si="4"/>
        <v>535.59999999999854</v>
      </c>
      <c r="J124" s="773">
        <v>1000</v>
      </c>
      <c r="K124" s="782"/>
      <c r="L124" s="775">
        <f t="shared" si="5"/>
        <v>535599.9999999986</v>
      </c>
      <c r="M124" s="22"/>
      <c r="N124" s="72" t="s">
        <v>109</v>
      </c>
      <c r="O124" s="2268"/>
      <c r="P124" s="2269"/>
      <c r="Q124" s="2270"/>
      <c r="R124" s="777"/>
      <c r="S124" s="777"/>
      <c r="T124" s="778"/>
      <c r="U124" s="779"/>
      <c r="V124" s="780"/>
    </row>
    <row r="125" spans="1:22" x14ac:dyDescent="0.3">
      <c r="A125" s="633"/>
      <c r="B125" s="101" t="s">
        <v>217</v>
      </c>
      <c r="C125" s="74">
        <v>0.4</v>
      </c>
      <c r="D125" s="1928"/>
      <c r="E125" s="52">
        <v>6603338</v>
      </c>
      <c r="F125" s="4">
        <v>1</v>
      </c>
      <c r="G125" s="6">
        <v>1565803</v>
      </c>
      <c r="H125" s="6">
        <v>1565803</v>
      </c>
      <c r="I125" s="20">
        <f>H125-G125</f>
        <v>0</v>
      </c>
      <c r="J125" s="616">
        <v>0.75</v>
      </c>
      <c r="K125" s="705"/>
      <c r="L125" s="22">
        <v>0</v>
      </c>
      <c r="M125" s="22">
        <f>L125*$K$127/$L$127</f>
        <v>0</v>
      </c>
      <c r="N125" s="72" t="s">
        <v>110</v>
      </c>
      <c r="O125" s="13"/>
      <c r="Q125" s="628" t="e">
        <f>#REF!</f>
        <v>#REF!</v>
      </c>
      <c r="R125" s="637">
        <f>H125</f>
        <v>1565803</v>
      </c>
      <c r="S125" s="637">
        <v>0</v>
      </c>
      <c r="T125" s="638">
        <f>R125-S125</f>
        <v>1565803</v>
      </c>
      <c r="U125" s="639" t="e">
        <f>T125/S125*100</f>
        <v>#DIV/0!</v>
      </c>
      <c r="V125" s="640" t="e">
        <f>IF(U125&gt;40,"FAULT",IF(U125&lt;-40,"CHECK","OK"))</f>
        <v>#DIV/0!</v>
      </c>
    </row>
    <row r="126" spans="1:22" x14ac:dyDescent="0.3">
      <c r="A126" s="633"/>
      <c r="B126" s="100" t="s">
        <v>218</v>
      </c>
      <c r="C126" s="74">
        <v>0.4</v>
      </c>
      <c r="D126" s="1928"/>
      <c r="E126" s="52">
        <v>6603849</v>
      </c>
      <c r="F126" s="4">
        <v>1</v>
      </c>
      <c r="G126" s="6">
        <v>969318</v>
      </c>
      <c r="H126" s="6">
        <v>969318</v>
      </c>
      <c r="I126" s="20">
        <f>H126-G126</f>
        <v>0</v>
      </c>
      <c r="J126" s="616">
        <v>0.75</v>
      </c>
      <c r="K126" s="705"/>
      <c r="L126" s="22">
        <f>J126*I126*F126</f>
        <v>0</v>
      </c>
      <c r="M126" s="22">
        <f>L126*$K$127/$L$127</f>
        <v>0</v>
      </c>
      <c r="N126" s="72" t="s">
        <v>110</v>
      </c>
      <c r="O126" s="13"/>
      <c r="Q126" s="628"/>
      <c r="R126" s="637"/>
      <c r="S126" s="637"/>
      <c r="T126" s="638"/>
      <c r="U126" s="639"/>
      <c r="V126" s="640"/>
    </row>
    <row r="127" spans="1:22" x14ac:dyDescent="0.3">
      <c r="A127" s="636"/>
      <c r="B127" s="96"/>
      <c r="C127" s="90"/>
      <c r="D127" s="90"/>
      <c r="E127" s="90"/>
      <c r="F127" s="793"/>
      <c r="G127" s="38"/>
      <c r="H127" s="38"/>
      <c r="I127" s="38"/>
      <c r="J127" s="96" t="s">
        <v>30</v>
      </c>
      <c r="K127" s="708">
        <f>M97*0.978</f>
        <v>0</v>
      </c>
      <c r="L127" s="43">
        <f>SUM(L99:L126)</f>
        <v>12332640.000000007</v>
      </c>
      <c r="M127" s="43">
        <f>SUM(M99:M126)</f>
        <v>0</v>
      </c>
      <c r="N127" s="712">
        <f>(M127-L127)/L127*100</f>
        <v>-100</v>
      </c>
      <c r="O127" s="13"/>
      <c r="Q127" s="628" t="e">
        <f>#REF!</f>
        <v>#REF!</v>
      </c>
      <c r="R127" s="637">
        <f>H127</f>
        <v>0</v>
      </c>
      <c r="S127" s="637">
        <v>0</v>
      </c>
      <c r="T127" s="638">
        <f>R127-S127</f>
        <v>0</v>
      </c>
      <c r="U127" s="639" t="e">
        <f>T127/S127*100</f>
        <v>#DIV/0!</v>
      </c>
      <c r="V127" s="640" t="e">
        <f>IF(U127&gt;40,"FAULT",IF(U127&lt;-40,"CHECK","OK"))</f>
        <v>#DIV/0!</v>
      </c>
    </row>
    <row r="128" spans="1:22" customFormat="1" x14ac:dyDescent="0.35">
      <c r="D128" s="725"/>
      <c r="F128" s="791"/>
      <c r="K128" s="34"/>
      <c r="N128" s="1451"/>
    </row>
    <row r="129" spans="2:15" x14ac:dyDescent="0.35">
      <c r="E129"/>
      <c r="F129" s="791"/>
      <c r="G129" s="2092" t="s">
        <v>1099</v>
      </c>
      <c r="H129" s="2092"/>
      <c r="I129" s="2092"/>
      <c r="J129" s="677" t="s">
        <v>14</v>
      </c>
    </row>
    <row r="130" spans="2:15" x14ac:dyDescent="0.35">
      <c r="E130"/>
      <c r="F130" s="791"/>
      <c r="G130" s="2082" t="s">
        <v>232</v>
      </c>
      <c r="H130" s="2082"/>
      <c r="I130" s="2082"/>
      <c r="J130" s="643" t="e">
        <f>M105+M109+M111+M112+M113+M118+M119+M120+M124+#REF!</f>
        <v>#REF!</v>
      </c>
      <c r="O130" s="620" t="s">
        <v>237</v>
      </c>
    </row>
    <row r="131" spans="2:15" x14ac:dyDescent="0.35">
      <c r="E131"/>
      <c r="F131" s="791"/>
      <c r="G131" s="2082" t="s">
        <v>233</v>
      </c>
      <c r="H131" s="2082"/>
      <c r="I131" s="2082"/>
      <c r="J131" s="643">
        <f>M100+M101+M102+M106+M107+M108+M116+M121+M123</f>
        <v>0</v>
      </c>
      <c r="L131" s="785"/>
    </row>
    <row r="132" spans="2:15" x14ac:dyDescent="0.35">
      <c r="E132"/>
      <c r="F132" s="791"/>
      <c r="G132" s="2082" t="s">
        <v>234</v>
      </c>
      <c r="H132" s="2082"/>
      <c r="I132" s="2082"/>
      <c r="J132" s="643">
        <f>M122</f>
        <v>0</v>
      </c>
    </row>
    <row r="133" spans="2:15" ht="16" thickBot="1" x14ac:dyDescent="0.4">
      <c r="E133"/>
      <c r="F133" s="791"/>
      <c r="G133" s="2082" t="s">
        <v>235</v>
      </c>
      <c r="H133" s="2082"/>
      <c r="I133" s="2082"/>
      <c r="J133" s="643" t="e">
        <f>M99+M103+M104+M110+M114+M115+#REF!+M125+M126</f>
        <v>#REF!</v>
      </c>
    </row>
    <row r="134" spans="2:15" ht="20.5" thickBot="1" x14ac:dyDescent="0.4">
      <c r="E134"/>
      <c r="F134" s="791"/>
      <c r="G134" s="2083" t="s">
        <v>210</v>
      </c>
      <c r="H134" s="2083"/>
      <c r="I134" s="2083"/>
      <c r="J134" s="714" t="e">
        <f>SUM(J130:J133)</f>
        <v>#REF!</v>
      </c>
      <c r="K134" s="682" t="e">
        <f>J134-M127</f>
        <v>#REF!</v>
      </c>
    </row>
    <row r="140" spans="2:15" x14ac:dyDescent="0.35">
      <c r="B140" s="632"/>
    </row>
    <row r="141" spans="2:15" x14ac:dyDescent="0.35">
      <c r="B141" s="632"/>
    </row>
    <row r="145" spans="1:15" ht="25" x14ac:dyDescent="0.35">
      <c r="A145" s="28"/>
      <c r="B145" s="2152" t="s">
        <v>238</v>
      </c>
      <c r="C145" s="2152"/>
      <c r="D145" s="2152"/>
      <c r="E145" s="2152"/>
      <c r="F145" s="2152"/>
      <c r="G145" s="2152"/>
      <c r="H145" s="2152"/>
      <c r="I145" s="2152"/>
      <c r="J145" s="2152"/>
      <c r="K145" s="2152"/>
      <c r="L145" s="2152"/>
      <c r="M145" s="2152"/>
    </row>
    <row r="148" spans="1:15" ht="105" x14ac:dyDescent="0.3">
      <c r="A148" s="2095" t="s">
        <v>3359</v>
      </c>
      <c r="B148" s="2095"/>
      <c r="C148" s="2095"/>
      <c r="D148" s="2095"/>
      <c r="E148" s="2095"/>
      <c r="F148" s="2095"/>
      <c r="G148" s="2095"/>
      <c r="H148" s="2095"/>
      <c r="I148" s="2095"/>
      <c r="J148" s="2095"/>
      <c r="K148" s="2095"/>
      <c r="L148" s="2095"/>
      <c r="M148" s="2095"/>
      <c r="N148" s="2095"/>
      <c r="O148" s="756" t="str">
        <f>$O$6</f>
        <v>Month December-2022</v>
      </c>
    </row>
    <row r="149" spans="1:15" x14ac:dyDescent="0.35">
      <c r="A149" s="2096" t="s">
        <v>0</v>
      </c>
      <c r="B149" s="2098" t="s">
        <v>1</v>
      </c>
      <c r="C149" s="2100" t="s">
        <v>2</v>
      </c>
      <c r="D149" s="2101"/>
      <c r="E149" s="2102"/>
      <c r="F149" s="2230" t="s">
        <v>3</v>
      </c>
      <c r="G149" s="2100" t="s">
        <v>4</v>
      </c>
      <c r="H149" s="2102"/>
      <c r="I149" s="2085"/>
      <c r="J149" s="2103" t="s">
        <v>5</v>
      </c>
      <c r="K149" s="2100" t="s">
        <v>6</v>
      </c>
      <c r="L149" s="2085"/>
      <c r="M149" s="97" t="s">
        <v>32</v>
      </c>
      <c r="N149" s="98"/>
      <c r="O149" s="2084" t="s">
        <v>7</v>
      </c>
    </row>
    <row r="150" spans="1:15" x14ac:dyDescent="0.3">
      <c r="A150" s="2097"/>
      <c r="B150" s="2099"/>
      <c r="C150" s="2086" t="s">
        <v>1108</v>
      </c>
      <c r="D150" s="2087"/>
      <c r="E150" s="87" t="s">
        <v>9</v>
      </c>
      <c r="F150" s="2229"/>
      <c r="G150" s="2">
        <f>'NORTH-1'!$G$8</f>
        <v>44774</v>
      </c>
      <c r="H150" s="2">
        <f>'NORTH-1'!$H$8</f>
        <v>44805</v>
      </c>
      <c r="I150" s="1" t="s">
        <v>10</v>
      </c>
      <c r="J150" s="2097"/>
      <c r="K150" s="1" t="s">
        <v>11</v>
      </c>
      <c r="L150" s="1" t="s">
        <v>12</v>
      </c>
      <c r="M150" s="617" t="s">
        <v>33</v>
      </c>
      <c r="N150" s="76" t="s">
        <v>47</v>
      </c>
      <c r="O150" s="2085"/>
    </row>
    <row r="151" spans="1:15" x14ac:dyDescent="0.3">
      <c r="A151" s="3">
        <v>1</v>
      </c>
      <c r="B151" s="88">
        <v>2</v>
      </c>
      <c r="C151" s="2088">
        <v>4</v>
      </c>
      <c r="D151" s="2089"/>
      <c r="E151" s="88">
        <v>5</v>
      </c>
      <c r="F151" s="786">
        <v>7</v>
      </c>
      <c r="G151" s="3">
        <v>8</v>
      </c>
      <c r="H151" s="3">
        <v>9</v>
      </c>
      <c r="I151" s="3" t="s">
        <v>13</v>
      </c>
      <c r="J151" s="3">
        <v>11</v>
      </c>
      <c r="K151" s="3" t="s">
        <v>19</v>
      </c>
      <c r="L151" s="3" t="s">
        <v>20</v>
      </c>
      <c r="M151" s="3">
        <v>14</v>
      </c>
      <c r="N151" s="77">
        <v>15</v>
      </c>
      <c r="O151" s="3">
        <v>16</v>
      </c>
    </row>
    <row r="152" spans="1:15" x14ac:dyDescent="0.35">
      <c r="A152" s="631"/>
      <c r="B152" s="624" t="s">
        <v>1100</v>
      </c>
      <c r="C152" s="625"/>
      <c r="D152" s="625"/>
      <c r="E152" s="625"/>
      <c r="F152" s="787"/>
      <c r="G152" s="625"/>
      <c r="H152" s="625"/>
      <c r="I152" s="625"/>
      <c r="J152" s="625"/>
      <c r="K152" s="695"/>
      <c r="L152" s="625"/>
      <c r="M152" s="626"/>
      <c r="N152" s="627"/>
      <c r="O152" s="616"/>
    </row>
    <row r="153" spans="1:15" x14ac:dyDescent="0.3">
      <c r="A153" s="11">
        <v>1</v>
      </c>
      <c r="B153" s="100" t="s">
        <v>3353</v>
      </c>
      <c r="C153" s="52">
        <v>33</v>
      </c>
      <c r="D153" s="1770" t="s">
        <v>339</v>
      </c>
      <c r="E153" s="52">
        <v>76026300</v>
      </c>
      <c r="F153" s="4">
        <v>1</v>
      </c>
      <c r="G153" s="21">
        <v>4363.17</v>
      </c>
      <c r="H153" s="21">
        <v>4382.4799999999996</v>
      </c>
      <c r="I153" s="20">
        <f>H153-G153</f>
        <v>19.309999999999491</v>
      </c>
      <c r="J153" s="616">
        <v>180000</v>
      </c>
      <c r="K153" s="696">
        <f>J153*I153*F153</f>
        <v>3475799.9999999083</v>
      </c>
      <c r="L153" s="22"/>
      <c r="M153" s="22"/>
      <c r="N153" s="82"/>
      <c r="O153" s="9"/>
    </row>
    <row r="154" spans="1:15" x14ac:dyDescent="0.3">
      <c r="A154" s="11">
        <v>2</v>
      </c>
      <c r="B154" s="100" t="s">
        <v>3354</v>
      </c>
      <c r="C154" s="52">
        <v>33</v>
      </c>
      <c r="D154" s="1771" t="s">
        <v>339</v>
      </c>
      <c r="E154" s="52" t="s">
        <v>3320</v>
      </c>
      <c r="F154" s="4">
        <v>1</v>
      </c>
      <c r="G154" s="21">
        <v>5453.16</v>
      </c>
      <c r="H154" s="21">
        <v>5472.27</v>
      </c>
      <c r="I154" s="20">
        <f>H154-G154</f>
        <v>19.110000000000582</v>
      </c>
      <c r="J154" s="616">
        <v>180000</v>
      </c>
      <c r="K154" s="696">
        <f>J154*I154*F154</f>
        <v>3439800.0000001048</v>
      </c>
      <c r="L154" s="22"/>
      <c r="M154" s="22"/>
      <c r="N154" s="82"/>
      <c r="O154" s="9"/>
    </row>
    <row r="155" spans="1:15" x14ac:dyDescent="0.35">
      <c r="A155" s="631">
        <v>3</v>
      </c>
      <c r="B155" s="100" t="s">
        <v>3355</v>
      </c>
      <c r="C155" s="52">
        <v>33</v>
      </c>
      <c r="D155" s="1772" t="s">
        <v>339</v>
      </c>
      <c r="E155" s="52"/>
      <c r="F155" s="4">
        <v>1</v>
      </c>
      <c r="G155" s="21">
        <v>333.20510000000002</v>
      </c>
      <c r="H155" s="21">
        <v>333.20510000000002</v>
      </c>
      <c r="I155" s="20">
        <f>H155-G155</f>
        <v>0</v>
      </c>
      <c r="J155" s="616">
        <v>240000</v>
      </c>
      <c r="K155" s="696">
        <f>J155*I155*F155</f>
        <v>0</v>
      </c>
      <c r="L155" s="22"/>
      <c r="M155" s="22"/>
      <c r="N155" s="82"/>
      <c r="O155" s="616"/>
    </row>
    <row r="156" spans="1:15" x14ac:dyDescent="0.35">
      <c r="A156" s="631"/>
      <c r="B156" s="102"/>
      <c r="C156" s="91"/>
      <c r="D156" s="726"/>
      <c r="E156" s="91"/>
      <c r="F156" s="47"/>
      <c r="G156" s="48"/>
      <c r="H156" s="48"/>
      <c r="I156" s="48"/>
      <c r="J156" s="96" t="s">
        <v>30</v>
      </c>
      <c r="K156" s="43">
        <f>SUM(K153:K155)</f>
        <v>6915600.000000013</v>
      </c>
      <c r="L156" s="43">
        <f>SUM(L153:L155)</f>
        <v>0</v>
      </c>
      <c r="M156" s="43">
        <f>SUM(M153:M155)</f>
        <v>0</v>
      </c>
      <c r="N156" s="1914"/>
      <c r="O156" s="616"/>
    </row>
    <row r="157" spans="1:15" x14ac:dyDescent="0.3">
      <c r="A157" s="616"/>
      <c r="B157" s="624" t="s">
        <v>1587</v>
      </c>
      <c r="C157" s="625"/>
      <c r="D157" s="625"/>
      <c r="E157" s="625"/>
      <c r="F157" s="787"/>
      <c r="G157" s="625"/>
      <c r="H157" s="625"/>
      <c r="I157" s="625"/>
      <c r="J157" s="732"/>
      <c r="K157" s="733"/>
      <c r="L157" s="734"/>
      <c r="M157" s="734"/>
      <c r="N157" s="627"/>
      <c r="O157" s="12"/>
    </row>
    <row r="158" spans="1:15" x14ac:dyDescent="0.3">
      <c r="A158" s="616">
        <v>1</v>
      </c>
      <c r="B158" s="100" t="s">
        <v>239</v>
      </c>
      <c r="C158" s="52">
        <v>33</v>
      </c>
      <c r="D158" s="1770" t="s">
        <v>339</v>
      </c>
      <c r="E158" s="52" t="s">
        <v>257</v>
      </c>
      <c r="F158" s="4">
        <v>1</v>
      </c>
      <c r="G158" s="21">
        <v>910063</v>
      </c>
      <c r="H158" s="21">
        <v>916517</v>
      </c>
      <c r="I158" s="20">
        <f>H158-G158</f>
        <v>6454</v>
      </c>
      <c r="J158" s="616">
        <v>360</v>
      </c>
      <c r="K158" s="696">
        <f>J158*I158*F158</f>
        <v>2323440</v>
      </c>
      <c r="L158" s="22"/>
      <c r="M158" s="22"/>
      <c r="N158" s="82"/>
      <c r="O158" s="12"/>
    </row>
    <row r="159" spans="1:15" x14ac:dyDescent="0.3">
      <c r="A159" s="616">
        <v>2</v>
      </c>
      <c r="B159" s="100" t="s">
        <v>240</v>
      </c>
      <c r="C159" s="52">
        <v>33</v>
      </c>
      <c r="D159" s="1771" t="s">
        <v>339</v>
      </c>
      <c r="E159" s="52" t="s">
        <v>258</v>
      </c>
      <c r="F159" s="4">
        <v>1</v>
      </c>
      <c r="G159" s="21">
        <v>820.52</v>
      </c>
      <c r="H159" s="21">
        <v>826.92</v>
      </c>
      <c r="I159" s="20">
        <f>H159-G159</f>
        <v>6.3999999999999773</v>
      </c>
      <c r="J159" s="616">
        <v>360</v>
      </c>
      <c r="K159" s="696">
        <f>J159*I159*F159</f>
        <v>2303.9999999999918</v>
      </c>
      <c r="L159" s="22"/>
      <c r="M159" s="22"/>
      <c r="N159" s="82"/>
      <c r="O159" s="12"/>
    </row>
    <row r="160" spans="1:15" x14ac:dyDescent="0.3">
      <c r="A160" s="616"/>
      <c r="B160" s="100" t="s">
        <v>3356</v>
      </c>
      <c r="C160" s="52">
        <v>33</v>
      </c>
      <c r="D160" s="1772" t="s">
        <v>339</v>
      </c>
      <c r="E160" s="52" t="s">
        <v>259</v>
      </c>
      <c r="F160" s="4">
        <v>1</v>
      </c>
      <c r="G160" s="21">
        <v>349.1</v>
      </c>
      <c r="H160" s="21">
        <v>349.23</v>
      </c>
      <c r="I160" s="20">
        <f>H160-G160</f>
        <v>0.12999999999999545</v>
      </c>
      <c r="J160" s="616">
        <v>180000</v>
      </c>
      <c r="K160" s="696">
        <f>J160*I160*F160</f>
        <v>23399.999999999181</v>
      </c>
      <c r="L160" s="22"/>
      <c r="M160" s="22"/>
      <c r="N160" s="82"/>
      <c r="O160" s="12"/>
    </row>
    <row r="161" spans="1:17" x14ac:dyDescent="0.3">
      <c r="A161" s="616"/>
      <c r="B161" s="102"/>
      <c r="C161" s="91"/>
      <c r="D161" s="726"/>
      <c r="E161" s="91"/>
      <c r="F161" s="47"/>
      <c r="G161" s="48"/>
      <c r="H161" s="48"/>
      <c r="I161" s="36"/>
      <c r="J161" s="96" t="s">
        <v>30</v>
      </c>
      <c r="K161" s="43">
        <f>SUM(K158:K160)</f>
        <v>2349143.9999999991</v>
      </c>
      <c r="L161" s="43">
        <f>SUM(L158:L160)</f>
        <v>0</v>
      </c>
      <c r="M161" s="43">
        <f>SUM(M158:M160)</f>
        <v>0</v>
      </c>
      <c r="N161" s="85"/>
      <c r="O161" s="12"/>
    </row>
    <row r="162" spans="1:17" x14ac:dyDescent="0.3">
      <c r="A162" s="616"/>
      <c r="B162" s="647" t="s">
        <v>1588</v>
      </c>
      <c r="C162" s="648"/>
      <c r="D162" s="648"/>
      <c r="E162" s="648"/>
      <c r="F162" s="789"/>
      <c r="G162" s="648"/>
      <c r="H162" s="648"/>
      <c r="I162" s="648"/>
      <c r="J162" s="648"/>
      <c r="K162" s="700"/>
      <c r="L162" s="648"/>
      <c r="M162" s="651"/>
      <c r="N162" s="649"/>
      <c r="O162" s="8"/>
    </row>
    <row r="163" spans="1:17" x14ac:dyDescent="0.3">
      <c r="A163" s="616"/>
      <c r="B163" s="100" t="s">
        <v>1079</v>
      </c>
      <c r="C163" s="52">
        <v>132</v>
      </c>
      <c r="D163" s="2138" t="s">
        <v>1083</v>
      </c>
      <c r="E163" s="615"/>
      <c r="F163" s="4"/>
      <c r="G163" s="5"/>
      <c r="H163" s="5"/>
      <c r="I163" s="5"/>
      <c r="J163" s="616"/>
      <c r="K163" s="696"/>
      <c r="L163" s="16">
        <f>J163*I163*F163</f>
        <v>0</v>
      </c>
      <c r="M163" s="7"/>
      <c r="N163" s="78"/>
      <c r="O163" s="616"/>
    </row>
    <row r="164" spans="1:17" x14ac:dyDescent="0.3">
      <c r="A164" s="616"/>
      <c r="B164" s="100" t="s">
        <v>1078</v>
      </c>
      <c r="C164" s="52">
        <v>132</v>
      </c>
      <c r="D164" s="2139"/>
      <c r="E164" s="615"/>
      <c r="F164" s="4"/>
      <c r="G164" s="5"/>
      <c r="H164" s="5"/>
      <c r="I164" s="5"/>
      <c r="J164" s="616"/>
      <c r="K164" s="696"/>
      <c r="L164" s="16">
        <f>J164*I164*F164</f>
        <v>0</v>
      </c>
      <c r="M164" s="16"/>
      <c r="N164" s="79"/>
      <c r="O164" s="616"/>
    </row>
    <row r="165" spans="1:17" x14ac:dyDescent="0.35">
      <c r="A165" s="616"/>
      <c r="B165" s="95"/>
      <c r="C165" s="89"/>
      <c r="D165" s="89"/>
      <c r="E165" s="89"/>
      <c r="F165" s="788"/>
      <c r="G165" s="37"/>
      <c r="H165" s="37"/>
      <c r="I165" s="37"/>
      <c r="J165" s="95" t="s">
        <v>279</v>
      </c>
      <c r="K165" s="699"/>
      <c r="L165" s="55">
        <f>SUM(L163:L164)</f>
        <v>0</v>
      </c>
      <c r="M165" s="633"/>
      <c r="N165" s="631"/>
      <c r="O165" s="616"/>
    </row>
    <row r="166" spans="1:17" x14ac:dyDescent="0.3">
      <c r="A166" s="616"/>
      <c r="B166" s="102"/>
      <c r="C166" s="91"/>
      <c r="D166" s="726"/>
      <c r="E166" s="91"/>
      <c r="F166" s="47"/>
      <c r="G166" s="48"/>
      <c r="H166" s="48"/>
      <c r="I166" s="36"/>
      <c r="J166" s="96"/>
      <c r="K166" s="706"/>
      <c r="L166" s="43"/>
      <c r="M166" s="43"/>
      <c r="N166" s="85"/>
      <c r="O166" s="12"/>
    </row>
    <row r="167" spans="1:17" x14ac:dyDescent="0.3">
      <c r="A167" s="636"/>
      <c r="B167" s="647" t="s">
        <v>1589</v>
      </c>
      <c r="C167" s="648"/>
      <c r="D167" s="648"/>
      <c r="E167" s="648"/>
      <c r="F167" s="789"/>
      <c r="G167" s="648"/>
      <c r="H167" s="648"/>
      <c r="I167" s="648"/>
      <c r="J167" s="50"/>
      <c r="K167" s="710"/>
      <c r="L167" s="51"/>
      <c r="M167" s="51"/>
      <c r="N167" s="649"/>
      <c r="O167" s="12"/>
    </row>
    <row r="168" spans="1:17" ht="15.65" customHeight="1" x14ac:dyDescent="0.3">
      <c r="A168" s="616">
        <v>3</v>
      </c>
      <c r="B168" s="100" t="s">
        <v>3357</v>
      </c>
      <c r="C168" s="52">
        <v>33</v>
      </c>
      <c r="D168" s="1774" t="s">
        <v>326</v>
      </c>
      <c r="E168" s="52" t="s">
        <v>255</v>
      </c>
      <c r="F168" s="4">
        <v>1</v>
      </c>
      <c r="G168" s="21">
        <v>828686</v>
      </c>
      <c r="H168" s="21">
        <v>848054</v>
      </c>
      <c r="I168" s="21">
        <f>H168-G168</f>
        <v>19368</v>
      </c>
      <c r="J168" s="31">
        <v>180</v>
      </c>
      <c r="K168" s="707"/>
      <c r="L168" s="22">
        <f>J168*I168*F168</f>
        <v>3486240</v>
      </c>
      <c r="M168" s="22"/>
      <c r="N168" s="83"/>
      <c r="O168" s="12"/>
    </row>
    <row r="169" spans="1:17" x14ac:dyDescent="0.3">
      <c r="A169" s="616">
        <v>4</v>
      </c>
      <c r="B169" s="100" t="s">
        <v>3358</v>
      </c>
      <c r="C169" s="52">
        <v>33</v>
      </c>
      <c r="D169" s="1776" t="s">
        <v>326</v>
      </c>
      <c r="E169" s="52" t="s">
        <v>256</v>
      </c>
      <c r="F169" s="4">
        <v>1</v>
      </c>
      <c r="G169" s="21">
        <v>704074</v>
      </c>
      <c r="H169" s="21">
        <v>716944</v>
      </c>
      <c r="I169" s="21">
        <f>H169-G169</f>
        <v>12870</v>
      </c>
      <c r="J169" s="31">
        <v>180</v>
      </c>
      <c r="K169" s="707"/>
      <c r="L169" s="22">
        <f>J169*I169*F169</f>
        <v>2316600</v>
      </c>
      <c r="M169" s="22"/>
      <c r="N169" s="83"/>
      <c r="O169" s="12"/>
    </row>
    <row r="170" spans="1:17" ht="15" x14ac:dyDescent="0.3">
      <c r="A170" s="636"/>
      <c r="B170" s="96"/>
      <c r="C170" s="90"/>
      <c r="D170" s="90"/>
      <c r="E170" s="90"/>
      <c r="F170" s="793"/>
      <c r="G170" s="38"/>
      <c r="H170" s="38"/>
      <c r="I170" s="38"/>
      <c r="J170" s="96" t="s">
        <v>30</v>
      </c>
      <c r="K170" s="708"/>
      <c r="L170" s="43">
        <f>SUM(L168:L169)</f>
        <v>5802840</v>
      </c>
      <c r="M170" s="43">
        <f>SUM(M168:M169)</f>
        <v>0</v>
      </c>
      <c r="N170" s="712"/>
      <c r="O170" s="12"/>
      <c r="Q170" s="620" t="s">
        <v>237</v>
      </c>
    </row>
    <row r="171" spans="1:17" thickBot="1" x14ac:dyDescent="0.35">
      <c r="A171" s="702"/>
      <c r="B171" s="736"/>
      <c r="C171" s="92"/>
      <c r="D171" s="92"/>
      <c r="E171" s="92"/>
      <c r="F171" s="795"/>
      <c r="G171" s="737"/>
      <c r="H171" s="737"/>
      <c r="I171" s="737"/>
      <c r="J171" s="736"/>
      <c r="K171" s="738"/>
      <c r="L171" s="739"/>
      <c r="M171" s="739"/>
      <c r="N171" s="1914"/>
      <c r="O171" s="740"/>
    </row>
    <row r="172" spans="1:17" ht="15" x14ac:dyDescent="0.35">
      <c r="A172" s="702"/>
      <c r="B172" s="2142" t="s">
        <v>1339</v>
      </c>
      <c r="C172" s="2143"/>
      <c r="D172" s="683" t="s">
        <v>14</v>
      </c>
      <c r="E172"/>
      <c r="F172" s="2144" t="s">
        <v>1350</v>
      </c>
      <c r="G172" s="2145"/>
      <c r="H172" s="2146"/>
      <c r="I172" s="683" t="s">
        <v>14</v>
      </c>
      <c r="K172" s="2147" t="s">
        <v>1092</v>
      </c>
      <c r="L172" s="2148"/>
      <c r="M172" s="684" t="s">
        <v>14</v>
      </c>
      <c r="N172" s="1914"/>
      <c r="O172" s="740"/>
    </row>
    <row r="173" spans="1:17" ht="15" x14ac:dyDescent="0.35">
      <c r="A173" s="702"/>
      <c r="B173" s="2122" t="str">
        <f>B152</f>
        <v>MOGBAZAR 33 KV SIDE</v>
      </c>
      <c r="C173" s="2123"/>
      <c r="D173" s="689">
        <f>K156</f>
        <v>6915600.000000013</v>
      </c>
      <c r="E173"/>
      <c r="F173" s="2124" t="s">
        <v>1093</v>
      </c>
      <c r="G173" s="2125"/>
      <c r="H173" s="2126"/>
      <c r="I173" s="685">
        <f>L165</f>
        <v>0</v>
      </c>
      <c r="K173" s="2160" t="str">
        <f>F174</f>
        <v>edit 33 KV NET IMPORT</v>
      </c>
      <c r="L173" s="2161"/>
      <c r="M173" s="687">
        <f>I174</f>
        <v>6915600.000000013</v>
      </c>
      <c r="N173" s="1914"/>
      <c r="O173" s="740"/>
    </row>
    <row r="174" spans="1:17" ht="15" x14ac:dyDescent="0.35">
      <c r="A174" s="702"/>
      <c r="B174" s="2122" t="s">
        <v>1116</v>
      </c>
      <c r="C174" s="2123"/>
      <c r="D174" s="741"/>
      <c r="E174"/>
      <c r="F174" s="2124" t="s">
        <v>1590</v>
      </c>
      <c r="G174" s="2125"/>
      <c r="H174" s="2126"/>
      <c r="I174" s="685">
        <f>D177-I173</f>
        <v>6915600.000000013</v>
      </c>
      <c r="K174" s="2162" t="s">
        <v>1591</v>
      </c>
      <c r="L174" s="2163"/>
      <c r="M174" s="685">
        <f>M201</f>
        <v>0</v>
      </c>
      <c r="N174" s="1914"/>
      <c r="O174" s="740"/>
    </row>
    <row r="175" spans="1:17" ht="15" x14ac:dyDescent="0.35">
      <c r="A175" s="702"/>
      <c r="B175" s="2122" t="s">
        <v>1117</v>
      </c>
      <c r="C175" s="2123"/>
      <c r="D175" s="721"/>
      <c r="E175"/>
      <c r="F175" s="2124" t="s">
        <v>1089</v>
      </c>
      <c r="G175" s="2125"/>
      <c r="H175" s="2126"/>
      <c r="I175" s="685">
        <f>I173+I174</f>
        <v>6915600.000000013</v>
      </c>
      <c r="K175" s="2127" t="s">
        <v>284</v>
      </c>
      <c r="L175" s="2128"/>
      <c r="M175" s="685">
        <f>M173-M174</f>
        <v>6915600.000000013</v>
      </c>
      <c r="N175" s="1914"/>
      <c r="O175" s="740"/>
    </row>
    <row r="176" spans="1:17" ht="16" thickBot="1" x14ac:dyDescent="0.4">
      <c r="A176" s="702"/>
      <c r="B176" s="2122" t="s">
        <v>1118</v>
      </c>
      <c r="C176" s="2123"/>
      <c r="D176" s="722"/>
      <c r="E176"/>
      <c r="F176" s="2113" t="s">
        <v>1546</v>
      </c>
      <c r="G176" s="2114"/>
      <c r="H176" s="2115"/>
      <c r="I176" s="690">
        <f>(D177-I175)/I175</f>
        <v>0</v>
      </c>
      <c r="K176" s="2134" t="s">
        <v>285</v>
      </c>
      <c r="L176" s="2135"/>
      <c r="M176" s="688">
        <f>M175/M173</f>
        <v>1</v>
      </c>
      <c r="N176" s="1914"/>
      <c r="O176" s="740"/>
    </row>
    <row r="177" spans="1:29" thickBot="1" x14ac:dyDescent="0.4">
      <c r="A177" s="702"/>
      <c r="B177" s="2158" t="s">
        <v>1082</v>
      </c>
      <c r="C177" s="2159"/>
      <c r="D177" s="686">
        <f>SUM(D173:D175)</f>
        <v>6915600.000000013</v>
      </c>
      <c r="E177"/>
      <c r="N177" s="1914"/>
      <c r="O177" s="740"/>
    </row>
    <row r="178" spans="1:29" ht="15" x14ac:dyDescent="0.3">
      <c r="A178" s="702"/>
      <c r="B178" s="736"/>
      <c r="C178" s="92"/>
      <c r="D178" s="92"/>
      <c r="E178" s="92"/>
      <c r="F178" s="795"/>
      <c r="G178" s="737"/>
      <c r="H178" s="737"/>
      <c r="I178" s="737"/>
      <c r="J178" s="736"/>
      <c r="K178" s="738"/>
      <c r="L178" s="739"/>
      <c r="M178" s="739"/>
      <c r="N178" s="1914"/>
      <c r="O178" s="740"/>
    </row>
    <row r="179" spans="1:29" x14ac:dyDescent="0.35">
      <c r="B179" s="632"/>
      <c r="C179" s="620"/>
      <c r="D179" s="728"/>
      <c r="E179" s="620"/>
      <c r="N179" s="1469"/>
    </row>
    <row r="180" spans="1:29" x14ac:dyDescent="0.35">
      <c r="B180" s="632"/>
      <c r="C180" s="620"/>
      <c r="D180" s="728"/>
      <c r="E180" s="620"/>
      <c r="N180" s="1469"/>
    </row>
    <row r="181" spans="1:29" ht="105" x14ac:dyDescent="0.3">
      <c r="A181" s="2095" t="s">
        <v>3360</v>
      </c>
      <c r="B181" s="2095"/>
      <c r="C181" s="2095"/>
      <c r="D181" s="2095"/>
      <c r="E181" s="2095"/>
      <c r="F181" s="2095"/>
      <c r="G181" s="2095"/>
      <c r="H181" s="2095"/>
      <c r="I181" s="2095"/>
      <c r="J181" s="2095"/>
      <c r="K181" s="2095"/>
      <c r="L181" s="2095"/>
      <c r="M181" s="2095"/>
      <c r="N181" s="2095"/>
      <c r="O181" s="756" t="str">
        <f>$O$6</f>
        <v>Month December-2022</v>
      </c>
    </row>
    <row r="182" spans="1:29" x14ac:dyDescent="0.35">
      <c r="A182" s="2096" t="s">
        <v>0</v>
      </c>
      <c r="B182" s="2098" t="s">
        <v>1</v>
      </c>
      <c r="C182" s="2100" t="s">
        <v>2</v>
      </c>
      <c r="D182" s="2101"/>
      <c r="E182" s="2102"/>
      <c r="F182" s="2230" t="s">
        <v>3</v>
      </c>
      <c r="G182" s="2100" t="s">
        <v>4</v>
      </c>
      <c r="H182" s="2102"/>
      <c r="I182" s="2085"/>
      <c r="J182" s="2103" t="s">
        <v>5</v>
      </c>
      <c r="K182" s="2100" t="s">
        <v>6</v>
      </c>
      <c r="L182" s="2085"/>
      <c r="M182" s="97" t="s">
        <v>32</v>
      </c>
      <c r="N182" s="98"/>
      <c r="O182" s="2084" t="s">
        <v>7</v>
      </c>
    </row>
    <row r="183" spans="1:29" x14ac:dyDescent="0.3">
      <c r="A183" s="2097"/>
      <c r="B183" s="2099"/>
      <c r="C183" s="2086" t="s">
        <v>1108</v>
      </c>
      <c r="D183" s="2087"/>
      <c r="E183" s="87" t="s">
        <v>9</v>
      </c>
      <c r="F183" s="2229"/>
      <c r="G183" s="2">
        <f>'NORTH-1'!$G$8</f>
        <v>44774</v>
      </c>
      <c r="H183" s="2">
        <f>'NORTH-1'!$H$8</f>
        <v>44805</v>
      </c>
      <c r="I183" s="1" t="s">
        <v>10</v>
      </c>
      <c r="J183" s="2097"/>
      <c r="K183" s="1" t="s">
        <v>11</v>
      </c>
      <c r="L183" s="1" t="s">
        <v>12</v>
      </c>
      <c r="M183" s="617" t="s">
        <v>33</v>
      </c>
      <c r="N183" s="76" t="s">
        <v>47</v>
      </c>
      <c r="O183" s="2085"/>
    </row>
    <row r="184" spans="1:29" x14ac:dyDescent="0.3">
      <c r="A184" s="3">
        <v>1</v>
      </c>
      <c r="B184" s="88">
        <v>2</v>
      </c>
      <c r="C184" s="2088">
        <v>4</v>
      </c>
      <c r="D184" s="2089"/>
      <c r="E184" s="88">
        <v>5</v>
      </c>
      <c r="F184" s="786">
        <v>7</v>
      </c>
      <c r="G184" s="3">
        <v>8</v>
      </c>
      <c r="H184" s="3">
        <v>9</v>
      </c>
      <c r="I184" s="3" t="s">
        <v>13</v>
      </c>
      <c r="J184" s="3">
        <v>11</v>
      </c>
      <c r="K184" s="3" t="s">
        <v>19</v>
      </c>
      <c r="L184" s="3" t="s">
        <v>20</v>
      </c>
      <c r="M184" s="3">
        <v>14</v>
      </c>
      <c r="N184" s="77">
        <v>15</v>
      </c>
      <c r="O184" s="3">
        <v>16</v>
      </c>
    </row>
    <row r="185" spans="1:29" x14ac:dyDescent="0.35">
      <c r="A185" s="631"/>
      <c r="B185" s="624" t="s">
        <v>1592</v>
      </c>
      <c r="C185" s="625"/>
      <c r="D185" s="625"/>
      <c r="E185" s="625"/>
      <c r="F185" s="787"/>
      <c r="G185" s="625"/>
      <c r="H185" s="625"/>
      <c r="I185" s="625"/>
      <c r="J185" s="625"/>
      <c r="K185" s="695"/>
      <c r="L185" s="625"/>
      <c r="M185" s="626"/>
      <c r="N185" s="627"/>
      <c r="O185" s="616"/>
    </row>
    <row r="186" spans="1:29" x14ac:dyDescent="0.35">
      <c r="A186" s="631">
        <v>1</v>
      </c>
      <c r="B186" s="100" t="s">
        <v>251</v>
      </c>
      <c r="C186" s="52">
        <v>11</v>
      </c>
      <c r="D186" s="1770" t="s">
        <v>339</v>
      </c>
      <c r="E186" s="52" t="s">
        <v>253</v>
      </c>
      <c r="F186" s="4">
        <v>1</v>
      </c>
      <c r="G186" s="21">
        <v>843617</v>
      </c>
      <c r="H186" s="21">
        <v>863039</v>
      </c>
      <c r="I186" s="21">
        <f>H186-G186</f>
        <v>19422</v>
      </c>
      <c r="J186" s="616">
        <v>180</v>
      </c>
      <c r="K186" s="696">
        <f>J186*I186*F186</f>
        <v>3495960</v>
      </c>
      <c r="L186" s="22"/>
      <c r="M186" s="22"/>
      <c r="N186" s="82"/>
      <c r="O186" s="616"/>
    </row>
    <row r="187" spans="1:29" x14ac:dyDescent="0.35">
      <c r="A187" s="631">
        <v>2</v>
      </c>
      <c r="B187" s="100" t="s">
        <v>252</v>
      </c>
      <c r="C187" s="52">
        <v>11</v>
      </c>
      <c r="D187" s="1772" t="s">
        <v>339</v>
      </c>
      <c r="E187" s="52" t="s">
        <v>254</v>
      </c>
      <c r="F187" s="4">
        <v>1</v>
      </c>
      <c r="G187" s="21">
        <v>786609</v>
      </c>
      <c r="H187" s="21">
        <v>806034</v>
      </c>
      <c r="I187" s="21">
        <f>H187-G187</f>
        <v>19425</v>
      </c>
      <c r="J187" s="616">
        <v>180</v>
      </c>
      <c r="K187" s="696">
        <f>J187*I187*F187</f>
        <v>3496500</v>
      </c>
      <c r="L187" s="22"/>
      <c r="M187" s="22"/>
      <c r="N187" s="82"/>
      <c r="O187" s="616"/>
    </row>
    <row r="188" spans="1:29" x14ac:dyDescent="0.35">
      <c r="A188" s="631"/>
      <c r="B188" s="102"/>
      <c r="C188" s="91"/>
      <c r="D188" s="726"/>
      <c r="E188" s="91"/>
      <c r="F188" s="47"/>
      <c r="G188" s="48"/>
      <c r="H188" s="48"/>
      <c r="I188" s="48"/>
      <c r="J188" s="39" t="s">
        <v>30</v>
      </c>
      <c r="K188" s="708">
        <f>SUM(K186:K187)</f>
        <v>6992460</v>
      </c>
      <c r="L188" s="49"/>
      <c r="M188" s="43">
        <f>SUM(M186:M187)</f>
        <v>0</v>
      </c>
      <c r="N188" s="4">
        <f>(M188-K188)/K188*100</f>
        <v>-100</v>
      </c>
      <c r="O188" s="616"/>
    </row>
    <row r="189" spans="1:29" x14ac:dyDescent="0.35">
      <c r="A189" s="631"/>
      <c r="B189" s="647" t="s">
        <v>1592</v>
      </c>
      <c r="C189" s="648"/>
      <c r="D189" s="648"/>
      <c r="E189" s="648"/>
      <c r="F189" s="789"/>
      <c r="G189" s="648"/>
      <c r="H189" s="648"/>
      <c r="I189" s="648"/>
      <c r="J189" s="50"/>
      <c r="K189" s="710"/>
      <c r="L189" s="51"/>
      <c r="M189" s="51"/>
      <c r="N189" s="649"/>
      <c r="O189" s="616"/>
    </row>
    <row r="190" spans="1:29" x14ac:dyDescent="0.35">
      <c r="A190" s="631">
        <v>1</v>
      </c>
      <c r="B190" s="100" t="s">
        <v>242</v>
      </c>
      <c r="C190" s="73">
        <v>11</v>
      </c>
      <c r="D190" s="1845" t="s">
        <v>3361</v>
      </c>
      <c r="E190" s="52" t="s">
        <v>260</v>
      </c>
      <c r="F190" s="4">
        <v>1</v>
      </c>
      <c r="G190" s="6">
        <v>30627</v>
      </c>
      <c r="H190" s="6">
        <v>43365</v>
      </c>
      <c r="I190" s="20">
        <f t="shared" ref="I190:I200" si="6">H190-G190</f>
        <v>12738</v>
      </c>
      <c r="J190" s="616">
        <v>60</v>
      </c>
      <c r="K190" s="703"/>
      <c r="L190" s="22">
        <f t="shared" ref="L190:L200" si="7">J190*I190*F190</f>
        <v>764280</v>
      </c>
      <c r="M190" s="22"/>
      <c r="N190" s="72" t="s">
        <v>109</v>
      </c>
      <c r="O190" s="15"/>
    </row>
    <row r="191" spans="1:29" x14ac:dyDescent="0.35">
      <c r="A191" s="631">
        <v>2</v>
      </c>
      <c r="B191" s="100" t="s">
        <v>243</v>
      </c>
      <c r="C191" s="73">
        <v>11</v>
      </c>
      <c r="D191" s="1845" t="s">
        <v>3361</v>
      </c>
      <c r="E191" s="52" t="s">
        <v>261</v>
      </c>
      <c r="F191" s="4">
        <v>1</v>
      </c>
      <c r="G191" s="6">
        <v>253434</v>
      </c>
      <c r="H191" s="6">
        <v>272495</v>
      </c>
      <c r="I191" s="20">
        <f t="shared" si="6"/>
        <v>19061</v>
      </c>
      <c r="J191" s="616">
        <v>60</v>
      </c>
      <c r="K191" s="703"/>
      <c r="L191" s="22">
        <f t="shared" si="7"/>
        <v>1143660</v>
      </c>
      <c r="M191" s="22"/>
      <c r="N191" s="72" t="s">
        <v>109</v>
      </c>
      <c r="O191" s="15"/>
    </row>
    <row r="192" spans="1:29" ht="30" x14ac:dyDescent="0.35">
      <c r="A192" s="631">
        <v>3</v>
      </c>
      <c r="B192" s="100" t="s">
        <v>3362</v>
      </c>
      <c r="C192" s="73">
        <v>11</v>
      </c>
      <c r="D192" s="1845" t="s">
        <v>267</v>
      </c>
      <c r="E192" s="52" t="s">
        <v>262</v>
      </c>
      <c r="F192" s="4">
        <v>1</v>
      </c>
      <c r="G192" s="6">
        <v>905216</v>
      </c>
      <c r="H192" s="6">
        <v>908425</v>
      </c>
      <c r="I192" s="20">
        <f t="shared" si="6"/>
        <v>3209</v>
      </c>
      <c r="J192" s="616">
        <v>60</v>
      </c>
      <c r="K192" s="703"/>
      <c r="L192" s="22">
        <f t="shared" si="7"/>
        <v>192540</v>
      </c>
      <c r="M192" s="22"/>
      <c r="N192" s="72" t="s">
        <v>110</v>
      </c>
      <c r="O192" s="15"/>
      <c r="U192" s="1858"/>
      <c r="V192" s="1858"/>
      <c r="W192" s="1858"/>
      <c r="X192" s="1858"/>
      <c r="Y192" s="1858"/>
      <c r="Z192" s="1858"/>
      <c r="AA192" s="1858"/>
      <c r="AB192" s="1858"/>
      <c r="AC192" s="1858"/>
    </row>
    <row r="193" spans="1:15" ht="30" x14ac:dyDescent="0.35">
      <c r="A193" s="631">
        <v>4</v>
      </c>
      <c r="B193" s="100" t="s">
        <v>244</v>
      </c>
      <c r="C193" s="73">
        <v>11</v>
      </c>
      <c r="D193" s="1845" t="s">
        <v>267</v>
      </c>
      <c r="E193" s="52" t="s">
        <v>263</v>
      </c>
      <c r="F193" s="4">
        <v>1</v>
      </c>
      <c r="G193" s="6">
        <v>1847872</v>
      </c>
      <c r="H193" s="6">
        <v>1856359</v>
      </c>
      <c r="I193" s="20">
        <f t="shared" si="6"/>
        <v>8487</v>
      </c>
      <c r="J193" s="616">
        <v>60</v>
      </c>
      <c r="K193" s="703"/>
      <c r="L193" s="22">
        <f t="shared" si="7"/>
        <v>509220</v>
      </c>
      <c r="M193" s="22"/>
      <c r="N193" s="72" t="s">
        <v>110</v>
      </c>
      <c r="O193" s="15"/>
    </row>
    <row r="194" spans="1:15" ht="30" x14ac:dyDescent="0.35">
      <c r="A194" s="631">
        <v>5</v>
      </c>
      <c r="B194" s="100" t="s">
        <v>247</v>
      </c>
      <c r="C194" s="73">
        <v>11</v>
      </c>
      <c r="D194" s="1845" t="s">
        <v>267</v>
      </c>
      <c r="E194" s="52" t="s">
        <v>3363</v>
      </c>
      <c r="F194" s="4">
        <v>1</v>
      </c>
      <c r="G194" s="6">
        <v>409.36</v>
      </c>
      <c r="H194" s="6">
        <v>424.3</v>
      </c>
      <c r="I194" s="20">
        <f t="shared" si="6"/>
        <v>14.939999999999998</v>
      </c>
      <c r="J194" s="616">
        <v>60000</v>
      </c>
      <c r="K194" s="703"/>
      <c r="L194" s="22">
        <f t="shared" si="7"/>
        <v>896399.99999999988</v>
      </c>
      <c r="M194" s="22"/>
      <c r="N194" s="72" t="s">
        <v>110</v>
      </c>
      <c r="O194" s="15"/>
    </row>
    <row r="195" spans="1:15" x14ac:dyDescent="0.35">
      <c r="A195" s="631">
        <v>1</v>
      </c>
      <c r="B195" s="100" t="s">
        <v>245</v>
      </c>
      <c r="C195" s="73">
        <v>11</v>
      </c>
      <c r="D195" s="1845" t="s">
        <v>3361</v>
      </c>
      <c r="E195" s="52" t="s">
        <v>264</v>
      </c>
      <c r="F195" s="4">
        <v>1</v>
      </c>
      <c r="G195" s="6">
        <v>797331</v>
      </c>
      <c r="H195" s="6">
        <v>810134</v>
      </c>
      <c r="I195" s="20">
        <f t="shared" si="6"/>
        <v>12803</v>
      </c>
      <c r="J195" s="616">
        <v>60</v>
      </c>
      <c r="K195" s="703"/>
      <c r="L195" s="22">
        <f t="shared" si="7"/>
        <v>768180</v>
      </c>
      <c r="M195" s="22"/>
      <c r="N195" s="72" t="s">
        <v>109</v>
      </c>
      <c r="O195" s="15"/>
    </row>
    <row r="196" spans="1:15" ht="30" x14ac:dyDescent="0.35">
      <c r="A196" s="631">
        <v>2</v>
      </c>
      <c r="B196" s="100" t="s">
        <v>246</v>
      </c>
      <c r="C196" s="73">
        <v>11</v>
      </c>
      <c r="D196" s="1845" t="s">
        <v>267</v>
      </c>
      <c r="E196" s="52" t="s">
        <v>265</v>
      </c>
      <c r="F196" s="4">
        <v>1</v>
      </c>
      <c r="G196" s="6">
        <v>355433</v>
      </c>
      <c r="H196" s="6">
        <v>365822</v>
      </c>
      <c r="I196" s="20">
        <f t="shared" si="6"/>
        <v>10389</v>
      </c>
      <c r="J196" s="616">
        <v>60</v>
      </c>
      <c r="K196" s="703"/>
      <c r="L196" s="22">
        <f t="shared" si="7"/>
        <v>623340</v>
      </c>
      <c r="M196" s="22"/>
      <c r="N196" s="72" t="s">
        <v>110</v>
      </c>
      <c r="O196" s="15"/>
    </row>
    <row r="197" spans="1:15" ht="30" x14ac:dyDescent="0.35">
      <c r="A197" s="631">
        <v>3</v>
      </c>
      <c r="B197" s="100" t="s">
        <v>3364</v>
      </c>
      <c r="C197" s="73">
        <v>11</v>
      </c>
      <c r="D197" s="1845" t="s">
        <v>3365</v>
      </c>
      <c r="E197" s="52" t="s">
        <v>266</v>
      </c>
      <c r="F197" s="4">
        <v>1</v>
      </c>
      <c r="G197" s="6">
        <v>521779</v>
      </c>
      <c r="H197" s="6">
        <v>536916</v>
      </c>
      <c r="I197" s="20">
        <f t="shared" si="6"/>
        <v>15137</v>
      </c>
      <c r="J197" s="616">
        <v>60</v>
      </c>
      <c r="K197" s="703"/>
      <c r="L197" s="22">
        <f t="shared" si="7"/>
        <v>908220</v>
      </c>
      <c r="M197" s="22"/>
      <c r="N197" s="72" t="s">
        <v>89</v>
      </c>
      <c r="O197" s="15"/>
    </row>
    <row r="198" spans="1:15" x14ac:dyDescent="0.35">
      <c r="A198" s="631">
        <v>4</v>
      </c>
      <c r="B198" s="100" t="s">
        <v>248</v>
      </c>
      <c r="C198" s="73"/>
      <c r="D198" s="1845"/>
      <c r="E198" s="52" t="s">
        <v>3366</v>
      </c>
      <c r="F198" s="4"/>
      <c r="G198" s="6">
        <v>540021</v>
      </c>
      <c r="H198" s="6">
        <v>552565</v>
      </c>
      <c r="I198" s="20">
        <f t="shared" si="6"/>
        <v>12544</v>
      </c>
      <c r="J198" s="616">
        <v>60</v>
      </c>
      <c r="K198" s="703"/>
      <c r="L198" s="22">
        <f t="shared" si="7"/>
        <v>0</v>
      </c>
      <c r="M198" s="22"/>
      <c r="N198" s="72" t="s">
        <v>110</v>
      </c>
      <c r="O198" s="15"/>
    </row>
    <row r="199" spans="1:15" ht="30" x14ac:dyDescent="0.35">
      <c r="A199" s="631">
        <v>5</v>
      </c>
      <c r="B199" s="100" t="s">
        <v>249</v>
      </c>
      <c r="C199" s="73">
        <v>11</v>
      </c>
      <c r="D199" s="1845" t="s">
        <v>3365</v>
      </c>
      <c r="E199" s="52" t="s">
        <v>3367</v>
      </c>
      <c r="F199" s="4">
        <v>1</v>
      </c>
      <c r="G199" s="6">
        <v>239100</v>
      </c>
      <c r="H199" s="6">
        <v>246532</v>
      </c>
      <c r="I199" s="20">
        <f t="shared" si="6"/>
        <v>7432</v>
      </c>
      <c r="J199" s="616">
        <v>60</v>
      </c>
      <c r="K199" s="703"/>
      <c r="L199" s="22">
        <f t="shared" si="7"/>
        <v>445920</v>
      </c>
      <c r="M199" s="22"/>
      <c r="N199" s="72" t="s">
        <v>89</v>
      </c>
      <c r="O199" s="15"/>
    </row>
    <row r="200" spans="1:15" x14ac:dyDescent="0.35">
      <c r="A200" s="631">
        <v>6</v>
      </c>
      <c r="B200" s="100" t="s">
        <v>250</v>
      </c>
      <c r="C200" s="73"/>
      <c r="D200" s="1845" t="s">
        <v>326</v>
      </c>
      <c r="E200" s="52" t="s">
        <v>3368</v>
      </c>
      <c r="F200" s="4">
        <v>1</v>
      </c>
      <c r="G200" s="6">
        <v>7705.46</v>
      </c>
      <c r="H200" s="6">
        <v>7741.88</v>
      </c>
      <c r="I200" s="20">
        <f t="shared" si="6"/>
        <v>36.420000000000073</v>
      </c>
      <c r="J200" s="616">
        <v>60</v>
      </c>
      <c r="K200" s="703"/>
      <c r="L200" s="22">
        <f t="shared" si="7"/>
        <v>2185.2000000000044</v>
      </c>
      <c r="M200" s="22"/>
      <c r="N200" s="72" t="s">
        <v>110</v>
      </c>
      <c r="O200" s="15"/>
    </row>
    <row r="201" spans="1:15" ht="28" x14ac:dyDescent="0.3">
      <c r="A201" s="636"/>
      <c r="B201" s="96"/>
      <c r="C201" s="90"/>
      <c r="D201" s="90"/>
      <c r="E201" s="90"/>
      <c r="F201" s="793"/>
      <c r="G201" s="38"/>
      <c r="H201" s="38"/>
      <c r="I201" s="38"/>
      <c r="J201" s="53" t="s">
        <v>44</v>
      </c>
      <c r="K201" s="43">
        <f>K188</f>
        <v>6992460</v>
      </c>
      <c r="L201" s="43">
        <f>SUM(L190:L200)</f>
        <v>6253945.2000000002</v>
      </c>
      <c r="M201" s="43">
        <f>SUM(M190:M200)</f>
        <v>0</v>
      </c>
      <c r="N201" s="712">
        <f>(M201-L201)/L201*100</f>
        <v>-100</v>
      </c>
      <c r="O201" s="29"/>
    </row>
    <row r="202" spans="1:15" customFormat="1" x14ac:dyDescent="0.35">
      <c r="F202" s="791"/>
      <c r="N202" s="1451"/>
    </row>
    <row r="203" spans="1:15" x14ac:dyDescent="0.35">
      <c r="E203"/>
      <c r="F203" s="2092" t="s">
        <v>1099</v>
      </c>
      <c r="G203" s="2092"/>
      <c r="H203" s="2092"/>
      <c r="I203" s="677" t="s">
        <v>14</v>
      </c>
    </row>
    <row r="204" spans="1:15" x14ac:dyDescent="0.35">
      <c r="E204"/>
      <c r="F204" s="2153" t="s">
        <v>232</v>
      </c>
      <c r="G204" s="2154"/>
      <c r="H204" s="2155"/>
      <c r="I204" s="643">
        <f>SUM(M190:M191,M194)</f>
        <v>0</v>
      </c>
      <c r="O204" s="620" t="s">
        <v>237</v>
      </c>
    </row>
    <row r="205" spans="1:15" x14ac:dyDescent="0.35">
      <c r="E205"/>
      <c r="F205" s="2153" t="s">
        <v>268</v>
      </c>
      <c r="G205" s="2154"/>
      <c r="H205" s="2155"/>
      <c r="I205" s="643">
        <f>SUM(M192:M193,M195,M197,M198,M200)</f>
        <v>0</v>
      </c>
    </row>
    <row r="206" spans="1:15" ht="16" thickBot="1" x14ac:dyDescent="0.4">
      <c r="E206"/>
      <c r="F206" s="2153" t="s">
        <v>269</v>
      </c>
      <c r="G206" s="2154"/>
      <c r="H206" s="2155"/>
      <c r="I206" s="643">
        <f>SUM(M196,M199)</f>
        <v>0</v>
      </c>
    </row>
    <row r="207" spans="1:15" ht="20.5" thickBot="1" x14ac:dyDescent="0.4">
      <c r="F207" s="2156" t="s">
        <v>210</v>
      </c>
      <c r="G207" s="2156"/>
      <c r="H207" s="2156"/>
      <c r="I207" s="656">
        <f>SUM(I204:I206)</f>
        <v>0</v>
      </c>
      <c r="J207" s="682">
        <f>I207-M201</f>
        <v>0</v>
      </c>
    </row>
    <row r="218" spans="1:15" ht="25" x14ac:dyDescent="0.3">
      <c r="A218" s="46"/>
      <c r="B218" s="2152" t="s">
        <v>270</v>
      </c>
      <c r="C218" s="2152"/>
      <c r="D218" s="2152"/>
      <c r="E218" s="2152"/>
      <c r="F218" s="2152"/>
      <c r="G218" s="2152"/>
      <c r="H218" s="2152"/>
      <c r="I218" s="2152"/>
      <c r="J218" s="2152"/>
      <c r="K218" s="2152"/>
      <c r="L218" s="2152"/>
      <c r="M218" s="2152"/>
      <c r="N218" s="1913"/>
      <c r="O218" s="28"/>
    </row>
    <row r="221" spans="1:15" ht="105" x14ac:dyDescent="0.3">
      <c r="A221" s="2095" t="s">
        <v>1135</v>
      </c>
      <c r="B221" s="2095"/>
      <c r="C221" s="2095"/>
      <c r="D221" s="2095"/>
      <c r="E221" s="2095"/>
      <c r="F221" s="2095"/>
      <c r="G221" s="2095"/>
      <c r="H221" s="2095"/>
      <c r="I221" s="2095"/>
      <c r="J221" s="2095"/>
      <c r="K221" s="2095"/>
      <c r="L221" s="2095"/>
      <c r="M221" s="2095"/>
      <c r="N221" s="2095"/>
      <c r="O221" s="756" t="str">
        <f>$O$6</f>
        <v>Month December-2022</v>
      </c>
    </row>
    <row r="222" spans="1:15" x14ac:dyDescent="0.35">
      <c r="A222" s="2223" t="s">
        <v>0</v>
      </c>
      <c r="B222" s="2224" t="s">
        <v>1</v>
      </c>
      <c r="C222" s="2225" t="s">
        <v>2</v>
      </c>
      <c r="D222" s="2226"/>
      <c r="E222" s="2227"/>
      <c r="F222" s="2228" t="s">
        <v>3</v>
      </c>
      <c r="G222" s="2225" t="s">
        <v>4</v>
      </c>
      <c r="H222" s="2227"/>
      <c r="I222" s="2231"/>
      <c r="J222" s="2232" t="s">
        <v>5</v>
      </c>
      <c r="K222" s="2225" t="s">
        <v>6</v>
      </c>
      <c r="L222" s="2227"/>
      <c r="M222" s="24" t="s">
        <v>32</v>
      </c>
      <c r="N222" s="76"/>
      <c r="O222" s="2084" t="s">
        <v>7</v>
      </c>
    </row>
    <row r="223" spans="1:15" x14ac:dyDescent="0.3">
      <c r="A223" s="2097"/>
      <c r="B223" s="2099"/>
      <c r="C223" s="87" t="s">
        <v>8</v>
      </c>
      <c r="D223" s="723"/>
      <c r="E223" s="87" t="s">
        <v>9</v>
      </c>
      <c r="F223" s="2229"/>
      <c r="G223" s="2">
        <f>'NORTH-1'!$G$8</f>
        <v>44774</v>
      </c>
      <c r="H223" s="2">
        <f>'NORTH-1'!$H$8</f>
        <v>44805</v>
      </c>
      <c r="I223" s="1" t="s">
        <v>10</v>
      </c>
      <c r="J223" s="2097"/>
      <c r="K223" s="1" t="s">
        <v>11</v>
      </c>
      <c r="L223" s="1" t="s">
        <v>12</v>
      </c>
      <c r="M223" s="617" t="s">
        <v>33</v>
      </c>
      <c r="N223" s="76" t="s">
        <v>47</v>
      </c>
      <c r="O223" s="2085"/>
    </row>
    <row r="224" spans="1:15" x14ac:dyDescent="0.3">
      <c r="A224" s="3">
        <v>1</v>
      </c>
      <c r="B224" s="88">
        <v>2</v>
      </c>
      <c r="C224" s="671">
        <v>4</v>
      </c>
      <c r="D224" s="724"/>
      <c r="E224" s="672">
        <v>5</v>
      </c>
      <c r="F224" s="786">
        <v>7</v>
      </c>
      <c r="G224" s="3">
        <v>8</v>
      </c>
      <c r="H224" s="3">
        <v>9</v>
      </c>
      <c r="I224" s="3" t="s">
        <v>13</v>
      </c>
      <c r="J224" s="3">
        <v>11</v>
      </c>
      <c r="K224" s="3" t="s">
        <v>19</v>
      </c>
      <c r="L224" s="3" t="s">
        <v>20</v>
      </c>
      <c r="M224" s="3">
        <v>14</v>
      </c>
      <c r="N224" s="77">
        <v>15</v>
      </c>
      <c r="O224" s="3">
        <v>16</v>
      </c>
    </row>
    <row r="225" spans="1:15" ht="27" customHeight="1" x14ac:dyDescent="0.3">
      <c r="A225" s="11"/>
      <c r="B225" s="666" t="s">
        <v>1122</v>
      </c>
      <c r="C225" s="625"/>
      <c r="D225" s="668"/>
      <c r="E225" s="625"/>
      <c r="F225" s="787"/>
      <c r="G225" s="625"/>
      <c r="H225" s="625"/>
      <c r="I225" s="625"/>
      <c r="J225" s="625"/>
      <c r="K225" s="695"/>
      <c r="L225" s="625"/>
      <c r="M225" s="626"/>
      <c r="N225" s="627"/>
      <c r="O225" s="8"/>
    </row>
    <row r="226" spans="1:15" x14ac:dyDescent="0.35">
      <c r="A226" s="631"/>
      <c r="B226" s="100" t="s">
        <v>271</v>
      </c>
      <c r="C226" s="661">
        <v>132</v>
      </c>
      <c r="D226" s="2238" t="s">
        <v>698</v>
      </c>
      <c r="E226" s="2258"/>
      <c r="F226" s="4">
        <v>1</v>
      </c>
      <c r="G226" s="5">
        <f>'PDB Bill AMR'!J45</f>
        <v>2506.0210000000002</v>
      </c>
      <c r="H226" s="5">
        <f>'PDB Bill AMR'!K45</f>
        <v>2515.3890000000001</v>
      </c>
      <c r="I226" s="664">
        <f>'PDB Bill AMR'!L45</f>
        <v>9.3679999999999382</v>
      </c>
      <c r="J226" s="616">
        <f>'PDB Bill AMR'!I45</f>
        <v>1440000</v>
      </c>
      <c r="K226" s="696">
        <f>'PDB Bill AMR'!N45</f>
        <v>13489919.999999911</v>
      </c>
      <c r="L226" s="7">
        <f>'PDB Bill AMR'!M45</f>
        <v>0</v>
      </c>
      <c r="M226" s="7"/>
      <c r="N226" s="78"/>
      <c r="O226" s="616"/>
    </row>
    <row r="227" spans="1:15" x14ac:dyDescent="0.35">
      <c r="A227" s="631"/>
      <c r="B227" s="100" t="s">
        <v>271</v>
      </c>
      <c r="C227" s="661">
        <v>132</v>
      </c>
      <c r="D227" s="2238"/>
      <c r="E227" s="2257"/>
      <c r="F227" s="4">
        <v>1</v>
      </c>
      <c r="G227" s="5">
        <f>'PDB Bill AMR'!J46</f>
        <v>9.1839999999999993</v>
      </c>
      <c r="H227" s="5">
        <f>'PDB Bill AMR'!K46</f>
        <v>9.1839999999999993</v>
      </c>
      <c r="I227" s="5">
        <f>'PDB Bill AMR'!L46</f>
        <v>0</v>
      </c>
      <c r="J227" s="616">
        <f>'PDB Bill AMR'!I46</f>
        <v>1440000</v>
      </c>
      <c r="K227" s="696">
        <f>'PDB Bill AMR'!N46</f>
        <v>0</v>
      </c>
      <c r="L227" s="16">
        <f>'PDB Bill AMR'!M46</f>
        <v>0</v>
      </c>
      <c r="M227" s="16"/>
      <c r="N227" s="79"/>
      <c r="O227" s="616"/>
    </row>
    <row r="228" spans="1:15" x14ac:dyDescent="0.35">
      <c r="A228" s="631"/>
      <c r="B228" s="100" t="s">
        <v>272</v>
      </c>
      <c r="C228" s="661">
        <v>132</v>
      </c>
      <c r="D228" s="2238"/>
      <c r="E228" s="2256"/>
      <c r="F228" s="4">
        <v>1</v>
      </c>
      <c r="G228" s="5">
        <f>'PDB Bill AMR'!J47</f>
        <v>1373.548</v>
      </c>
      <c r="H228" s="5">
        <f>'PDB Bill AMR'!K47</f>
        <v>1373.548</v>
      </c>
      <c r="I228" s="5">
        <f>'PDB Bill AMR'!L47</f>
        <v>0</v>
      </c>
      <c r="J228" s="616">
        <f>'PDB Bill AMR'!I47</f>
        <v>1440000</v>
      </c>
      <c r="K228" s="696">
        <f>'PDB Bill AMR'!N47</f>
        <v>0</v>
      </c>
      <c r="L228" s="7">
        <f>'PDB Bill AMR'!M47</f>
        <v>0</v>
      </c>
      <c r="M228" s="7"/>
      <c r="N228" s="78"/>
      <c r="O228" s="616"/>
    </row>
    <row r="229" spans="1:15" x14ac:dyDescent="0.35">
      <c r="A229" s="631"/>
      <c r="B229" s="100" t="s">
        <v>272</v>
      </c>
      <c r="C229" s="661">
        <v>132</v>
      </c>
      <c r="D229" s="2238"/>
      <c r="E229" s="2257"/>
      <c r="F229" s="4">
        <v>1</v>
      </c>
      <c r="G229" s="5">
        <f>'PDB Bill AMR'!J48</f>
        <v>22.279</v>
      </c>
      <c r="H229" s="5">
        <f>'PDB Bill AMR'!K48</f>
        <v>22.279</v>
      </c>
      <c r="I229" s="5">
        <f>'PDB Bill AMR'!L48</f>
        <v>0</v>
      </c>
      <c r="J229" s="616">
        <f>'PDB Bill AMR'!I48</f>
        <v>1440000</v>
      </c>
      <c r="K229" s="697">
        <f>'PDB Bill AMR'!N48</f>
        <v>0</v>
      </c>
      <c r="L229" s="17">
        <f>'PDB Bill AMR'!M48</f>
        <v>0</v>
      </c>
      <c r="M229" s="17"/>
      <c r="N229" s="80"/>
      <c r="O229" s="616"/>
    </row>
    <row r="230" spans="1:15" x14ac:dyDescent="0.35">
      <c r="A230" s="631"/>
      <c r="B230" s="95"/>
      <c r="C230" s="89"/>
      <c r="D230" s="2238"/>
      <c r="E230" s="89"/>
      <c r="F230" s="788"/>
      <c r="G230" s="37"/>
      <c r="H230" s="37"/>
      <c r="I230" s="2242" t="s">
        <v>236</v>
      </c>
      <c r="J230" s="2243"/>
      <c r="K230" s="698">
        <f>SUM(K226:K229)</f>
        <v>13489919.999999911</v>
      </c>
      <c r="L230" s="94">
        <f>SUM(L226:L229)</f>
        <v>0</v>
      </c>
      <c r="M230" s="18"/>
      <c r="N230" s="81"/>
      <c r="O230" s="616"/>
    </row>
    <row r="231" spans="1:15" x14ac:dyDescent="0.35">
      <c r="A231" s="631"/>
      <c r="B231" s="95"/>
      <c r="C231" s="89"/>
      <c r="D231" s="2238"/>
      <c r="E231" s="89"/>
      <c r="F231" s="788"/>
      <c r="G231" s="37"/>
      <c r="H231" s="37"/>
      <c r="I231" s="2244" t="s">
        <v>31</v>
      </c>
      <c r="J231" s="2245"/>
      <c r="K231" s="699">
        <f>K230-L230</f>
        <v>13489919.999999911</v>
      </c>
      <c r="L231" s="40"/>
      <c r="M231" s="41"/>
      <c r="O231" s="616"/>
    </row>
    <row r="232" spans="1:15" ht="23.25" customHeight="1" x14ac:dyDescent="0.3">
      <c r="A232" s="11"/>
      <c r="B232" s="666" t="s">
        <v>1123</v>
      </c>
      <c r="C232" s="625"/>
      <c r="D232" s="2238"/>
      <c r="E232" s="625"/>
      <c r="F232" s="787"/>
      <c r="G232" s="625"/>
      <c r="H232" s="625"/>
      <c r="I232" s="625"/>
      <c r="J232" s="625"/>
      <c r="K232" s="695"/>
      <c r="L232" s="625"/>
      <c r="M232" s="626"/>
      <c r="N232" s="627"/>
      <c r="O232" s="8"/>
    </row>
    <row r="233" spans="1:15" x14ac:dyDescent="0.35">
      <c r="A233" s="631"/>
      <c r="B233" s="100" t="s">
        <v>273</v>
      </c>
      <c r="C233" s="661">
        <v>132</v>
      </c>
      <c r="D233" s="2238"/>
      <c r="E233" s="2256"/>
      <c r="F233" s="4">
        <v>1</v>
      </c>
      <c r="G233" s="5">
        <f>'PDB Bill AMR'!J22</f>
        <v>4641.3810000000003</v>
      </c>
      <c r="H233" s="5">
        <f>'PDB Bill AMR'!K22</f>
        <v>4653.6880000000001</v>
      </c>
      <c r="I233" s="664">
        <f>'PDB Bill AMR'!L22</f>
        <v>12.306999999999789</v>
      </c>
      <c r="J233" s="616">
        <f>'PDB Bill AMR'!I22</f>
        <v>960000</v>
      </c>
      <c r="K233" s="696">
        <f>'PDB Bill AMR'!N22</f>
        <v>11814719.999999797</v>
      </c>
      <c r="L233" s="7">
        <f>'PDB Bill AMR'!M22</f>
        <v>0</v>
      </c>
      <c r="M233" s="7"/>
      <c r="N233" s="78"/>
      <c r="O233" s="616"/>
    </row>
    <row r="234" spans="1:15" x14ac:dyDescent="0.35">
      <c r="A234" s="631"/>
      <c r="B234" s="100" t="s">
        <v>273</v>
      </c>
      <c r="C234" s="661">
        <v>132</v>
      </c>
      <c r="D234" s="2238"/>
      <c r="E234" s="2257"/>
      <c r="F234" s="4">
        <v>1</v>
      </c>
      <c r="G234" s="5">
        <f>'PDB Bill AMR'!J23</f>
        <v>11.003</v>
      </c>
      <c r="H234" s="5">
        <f>'PDB Bill AMR'!K23</f>
        <v>11.003</v>
      </c>
      <c r="I234" s="5">
        <f>'PDB Bill AMR'!L23</f>
        <v>0</v>
      </c>
      <c r="J234" s="616">
        <f>'PDB Bill AMR'!I23</f>
        <v>960000</v>
      </c>
      <c r="K234" s="696">
        <f>'PDB Bill AMR'!N23</f>
        <v>0</v>
      </c>
      <c r="L234" s="16">
        <f>'PDB Bill AMR'!M23</f>
        <v>0</v>
      </c>
      <c r="M234" s="16"/>
      <c r="N234" s="79"/>
      <c r="O234" s="616"/>
    </row>
    <row r="235" spans="1:15" x14ac:dyDescent="0.35">
      <c r="A235" s="631"/>
      <c r="B235" s="95"/>
      <c r="C235" s="89"/>
      <c r="D235" s="2238"/>
      <c r="E235" s="89"/>
      <c r="F235" s="788"/>
      <c r="G235" s="37"/>
      <c r="H235" s="37"/>
      <c r="I235" s="2242" t="s">
        <v>236</v>
      </c>
      <c r="J235" s="2243"/>
      <c r="K235" s="698">
        <f>SUM(K233:K234)</f>
        <v>11814719.999999797</v>
      </c>
      <c r="L235" s="94">
        <f>SUM(L233:L234)</f>
        <v>0</v>
      </c>
      <c r="M235" s="18"/>
      <c r="N235" s="81"/>
      <c r="O235" s="616"/>
    </row>
    <row r="236" spans="1:15" x14ac:dyDescent="0.35">
      <c r="A236" s="631"/>
      <c r="B236" s="95"/>
      <c r="C236" s="89"/>
      <c r="D236" s="2238"/>
      <c r="E236" s="89"/>
      <c r="F236" s="788"/>
      <c r="G236" s="37"/>
      <c r="H236" s="37"/>
      <c r="I236" s="2236" t="s">
        <v>31</v>
      </c>
      <c r="J236" s="2237"/>
      <c r="K236" s="699">
        <f>K235-L235</f>
        <v>11814719.999999797</v>
      </c>
      <c r="L236" s="40"/>
      <c r="M236" s="41"/>
      <c r="O236" s="616"/>
    </row>
    <row r="237" spans="1:15" ht="26.25" customHeight="1" x14ac:dyDescent="0.3">
      <c r="A237" s="11"/>
      <c r="B237" s="666" t="s">
        <v>1124</v>
      </c>
      <c r="C237" s="625"/>
      <c r="D237" s="2238"/>
      <c r="E237" s="667"/>
      <c r="F237" s="787"/>
      <c r="G237" s="625"/>
      <c r="H237" s="625"/>
      <c r="I237" s="625"/>
      <c r="J237" s="625"/>
      <c r="K237" s="695"/>
      <c r="L237" s="625"/>
      <c r="M237" s="626"/>
      <c r="N237" s="627"/>
      <c r="O237" s="8"/>
    </row>
    <row r="238" spans="1:15" x14ac:dyDescent="0.35">
      <c r="A238" s="631"/>
      <c r="B238" s="100" t="s">
        <v>274</v>
      </c>
      <c r="C238" s="661">
        <v>132</v>
      </c>
      <c r="D238" s="2238"/>
      <c r="E238" s="2256"/>
      <c r="F238" s="4">
        <v>1</v>
      </c>
      <c r="G238" s="5">
        <f>'PDB Bill AMR'!J56</f>
        <v>4284.9189999999999</v>
      </c>
      <c r="H238" s="5">
        <f>'PDB Bill AMR'!K56</f>
        <v>4303.6090000000004</v>
      </c>
      <c r="I238" s="664">
        <f>'PDB Bill AMR'!L56</f>
        <v>18.690000000000509</v>
      </c>
      <c r="J238" s="663">
        <f>'PDB Bill AMR'!I56</f>
        <v>960000</v>
      </c>
      <c r="K238" s="696">
        <f>'PDB Bill AMR'!N56</f>
        <v>17942400.000000488</v>
      </c>
      <c r="L238" s="7">
        <f>'PDB Bill AMR'!M56</f>
        <v>0</v>
      </c>
      <c r="M238" s="7"/>
      <c r="N238" s="78"/>
      <c r="O238" s="616"/>
    </row>
    <row r="239" spans="1:15" x14ac:dyDescent="0.35">
      <c r="A239" s="631"/>
      <c r="B239" s="100" t="s">
        <v>274</v>
      </c>
      <c r="C239" s="661">
        <v>132</v>
      </c>
      <c r="D239" s="2238"/>
      <c r="E239" s="2257"/>
      <c r="F239" s="4">
        <v>1</v>
      </c>
      <c r="G239" s="5">
        <f>'PDB Bill AMR'!J57</f>
        <v>1.56</v>
      </c>
      <c r="H239" s="5">
        <f>'PDB Bill AMR'!K57</f>
        <v>1.56</v>
      </c>
      <c r="I239" s="5">
        <f>'PDB Bill AMR'!L57</f>
        <v>0</v>
      </c>
      <c r="J239" s="616">
        <f>'PDB Bill AMR'!I57</f>
        <v>960000</v>
      </c>
      <c r="K239" s="696">
        <f>'PDB Bill AMR'!N57</f>
        <v>0</v>
      </c>
      <c r="L239" s="16">
        <f>'PDB Bill AMR'!M57</f>
        <v>0</v>
      </c>
      <c r="M239" s="16"/>
      <c r="N239" s="79"/>
      <c r="O239" s="616"/>
    </row>
    <row r="240" spans="1:15" x14ac:dyDescent="0.35">
      <c r="A240" s="631"/>
      <c r="B240" s="100" t="s">
        <v>275</v>
      </c>
      <c r="C240" s="661">
        <v>132</v>
      </c>
      <c r="D240" s="2238"/>
      <c r="E240" s="2256"/>
      <c r="F240" s="4">
        <v>1</v>
      </c>
      <c r="G240" s="5">
        <f>'PDB Bill AMR'!J58</f>
        <v>3974.163</v>
      </c>
      <c r="H240" s="5">
        <f>'PDB Bill AMR'!K58</f>
        <v>3991.5340000000001</v>
      </c>
      <c r="I240" s="5">
        <f>'PDB Bill AMR'!L58</f>
        <v>17.371000000000095</v>
      </c>
      <c r="J240" s="616">
        <f>'PDB Bill AMR'!I58</f>
        <v>960000</v>
      </c>
      <c r="K240" s="696">
        <f>'PDB Bill AMR'!N58</f>
        <v>16676160.000000091</v>
      </c>
      <c r="L240" s="7">
        <f>'PDB Bill AMR'!M58</f>
        <v>0</v>
      </c>
      <c r="M240" s="7"/>
      <c r="N240" s="78"/>
      <c r="O240" s="616"/>
    </row>
    <row r="241" spans="1:15" x14ac:dyDescent="0.35">
      <c r="A241" s="631"/>
      <c r="B241" s="100" t="s">
        <v>275</v>
      </c>
      <c r="C241" s="661">
        <v>132</v>
      </c>
      <c r="D241" s="2238"/>
      <c r="E241" s="2257"/>
      <c r="F241" s="4">
        <v>1</v>
      </c>
      <c r="G241" s="5">
        <f>'PDB Bill AMR'!J59</f>
        <v>1.329</v>
      </c>
      <c r="H241" s="5">
        <f>'PDB Bill AMR'!K59</f>
        <v>1.329</v>
      </c>
      <c r="I241" s="5">
        <f>'PDB Bill AMR'!L59</f>
        <v>0</v>
      </c>
      <c r="J241" s="616">
        <f>'PDB Bill AMR'!I59</f>
        <v>960000</v>
      </c>
      <c r="K241" s="697">
        <f>'PDB Bill AMR'!N59</f>
        <v>0</v>
      </c>
      <c r="L241" s="17">
        <f>'PDB Bill AMR'!M59</f>
        <v>0</v>
      </c>
      <c r="M241" s="17"/>
      <c r="N241" s="80"/>
      <c r="O241" s="616"/>
    </row>
    <row r="242" spans="1:15" x14ac:dyDescent="0.35">
      <c r="A242" s="631"/>
      <c r="B242" s="95"/>
      <c r="C242" s="89"/>
      <c r="D242" s="669"/>
      <c r="E242" s="89"/>
      <c r="F242" s="788"/>
      <c r="G242" s="37"/>
      <c r="H242" s="37"/>
      <c r="I242" s="2242" t="s">
        <v>236</v>
      </c>
      <c r="J242" s="2243"/>
      <c r="K242" s="698">
        <f>SUM(K238:K241)</f>
        <v>34618560.000000581</v>
      </c>
      <c r="L242" s="94">
        <f>SUM(L238:L241)</f>
        <v>0</v>
      </c>
      <c r="M242" s="18"/>
      <c r="N242" s="81"/>
      <c r="O242" s="616"/>
    </row>
    <row r="243" spans="1:15" x14ac:dyDescent="0.35">
      <c r="A243" s="631"/>
      <c r="B243" s="95"/>
      <c r="C243" s="89"/>
      <c r="D243" s="89"/>
      <c r="E243" s="89"/>
      <c r="F243" s="788"/>
      <c r="G243" s="37"/>
      <c r="H243" s="37"/>
      <c r="I243" s="2244" t="s">
        <v>31</v>
      </c>
      <c r="J243" s="2245"/>
      <c r="K243" s="699">
        <f>K242-L242</f>
        <v>34618560.000000581</v>
      </c>
      <c r="L243" s="54"/>
      <c r="M243" s="40"/>
      <c r="O243" s="616"/>
    </row>
    <row r="244" spans="1:15" x14ac:dyDescent="0.35">
      <c r="A244" s="631"/>
      <c r="B244" s="624" t="s">
        <v>1125</v>
      </c>
      <c r="C244" s="625"/>
      <c r="D244" s="670"/>
      <c r="E244" s="625"/>
      <c r="F244" s="787"/>
      <c r="G244" s="625"/>
      <c r="H244" s="625"/>
      <c r="I244" s="625"/>
      <c r="J244" s="625"/>
      <c r="K244" s="695"/>
      <c r="L244" s="625"/>
      <c r="M244" s="626"/>
      <c r="N244" s="627"/>
      <c r="O244" s="616"/>
    </row>
    <row r="245" spans="1:15" x14ac:dyDescent="0.35">
      <c r="A245" s="631"/>
      <c r="B245" s="100" t="s">
        <v>25</v>
      </c>
      <c r="C245" s="661">
        <v>132</v>
      </c>
      <c r="D245" s="2238" t="s">
        <v>1084</v>
      </c>
      <c r="E245" s="2256"/>
      <c r="F245" s="59">
        <v>1</v>
      </c>
      <c r="G245" s="60">
        <v>3819.8580000000002</v>
      </c>
      <c r="H245" s="60">
        <v>3819.8580000000002</v>
      </c>
      <c r="I245" s="60">
        <f t="shared" ref="I245:I254" si="8">H245-G245</f>
        <v>0</v>
      </c>
      <c r="J245" s="58">
        <v>1440000</v>
      </c>
      <c r="K245" s="711">
        <f t="shared" ref="K245:K253" si="9">J245*I245*F245</f>
        <v>0</v>
      </c>
      <c r="L245" s="61"/>
      <c r="M245" s="61"/>
      <c r="N245" s="79"/>
      <c r="O245" s="2262" t="s">
        <v>1081</v>
      </c>
    </row>
    <row r="246" spans="1:15" x14ac:dyDescent="0.35">
      <c r="A246" s="631"/>
      <c r="B246" s="100" t="s">
        <v>26</v>
      </c>
      <c r="C246" s="661">
        <v>132</v>
      </c>
      <c r="D246" s="2238"/>
      <c r="E246" s="2257"/>
      <c r="F246" s="59">
        <v>1</v>
      </c>
      <c r="G246" s="60">
        <v>1.7370000000000001</v>
      </c>
      <c r="H246" s="60">
        <v>1.7370000000000001</v>
      </c>
      <c r="I246" s="60">
        <f t="shared" si="8"/>
        <v>0</v>
      </c>
      <c r="J246" s="58">
        <v>1440000</v>
      </c>
      <c r="K246" s="711"/>
      <c r="L246" s="79">
        <f>J246*I246*F246</f>
        <v>0</v>
      </c>
      <c r="M246" s="61"/>
      <c r="N246" s="79"/>
      <c r="O246" s="2263"/>
    </row>
    <row r="247" spans="1:15" x14ac:dyDescent="0.35">
      <c r="A247" s="631"/>
      <c r="B247" s="100" t="s">
        <v>27</v>
      </c>
      <c r="C247" s="661">
        <v>132</v>
      </c>
      <c r="D247" s="2238"/>
      <c r="E247" s="2256"/>
      <c r="F247" s="59">
        <v>1</v>
      </c>
      <c r="G247" s="60">
        <v>3197.8380000000002</v>
      </c>
      <c r="H247" s="60">
        <v>3197.8380000000002</v>
      </c>
      <c r="I247" s="60">
        <f t="shared" si="8"/>
        <v>0</v>
      </c>
      <c r="J247" s="58">
        <v>1440000</v>
      </c>
      <c r="K247" s="711">
        <f t="shared" si="9"/>
        <v>0</v>
      </c>
      <c r="L247" s="79"/>
      <c r="M247" s="61"/>
      <c r="N247" s="79"/>
      <c r="O247" s="2263"/>
    </row>
    <row r="248" spans="1:15" x14ac:dyDescent="0.35">
      <c r="A248" s="631"/>
      <c r="B248" s="100" t="s">
        <v>276</v>
      </c>
      <c r="C248" s="661">
        <v>132</v>
      </c>
      <c r="D248" s="2238"/>
      <c r="E248" s="2257"/>
      <c r="F248" s="59">
        <v>1</v>
      </c>
      <c r="G248" s="60">
        <v>3589.837</v>
      </c>
      <c r="H248" s="60">
        <v>3589.837</v>
      </c>
      <c r="I248" s="60">
        <f t="shared" si="8"/>
        <v>0</v>
      </c>
      <c r="J248" s="58">
        <v>1440000</v>
      </c>
      <c r="K248" s="711"/>
      <c r="L248" s="79">
        <f t="shared" ref="L248:L254" si="10">J248*I248*F248</f>
        <v>0</v>
      </c>
      <c r="M248" s="62"/>
      <c r="N248" s="80"/>
      <c r="O248" s="2263"/>
    </row>
    <row r="249" spans="1:15" x14ac:dyDescent="0.35">
      <c r="A249" s="631"/>
      <c r="B249" s="102" t="s">
        <v>277</v>
      </c>
      <c r="C249" s="661">
        <v>132</v>
      </c>
      <c r="D249" s="2238"/>
      <c r="E249" s="2256"/>
      <c r="F249" s="59">
        <v>1</v>
      </c>
      <c r="G249" s="60">
        <v>146.887</v>
      </c>
      <c r="H249" s="60">
        <v>146.887</v>
      </c>
      <c r="I249" s="60">
        <f t="shared" si="8"/>
        <v>0</v>
      </c>
      <c r="J249" s="63">
        <v>1440000</v>
      </c>
      <c r="K249" s="711">
        <f t="shared" si="9"/>
        <v>0</v>
      </c>
      <c r="L249" s="79"/>
      <c r="M249" s="64"/>
      <c r="N249" s="86"/>
      <c r="O249" s="2263"/>
    </row>
    <row r="250" spans="1:15" x14ac:dyDescent="0.35">
      <c r="A250" s="631"/>
      <c r="B250" s="102" t="s">
        <v>277</v>
      </c>
      <c r="C250" s="661">
        <v>132</v>
      </c>
      <c r="D250" s="2238"/>
      <c r="E250" s="2257"/>
      <c r="F250" s="59">
        <v>1</v>
      </c>
      <c r="G250" s="60">
        <v>5538.8040000000001</v>
      </c>
      <c r="H250" s="60">
        <v>5538.8040000000001</v>
      </c>
      <c r="I250" s="60">
        <f t="shared" si="8"/>
        <v>0</v>
      </c>
      <c r="J250" s="63">
        <v>1440000</v>
      </c>
      <c r="K250" s="711"/>
      <c r="L250" s="79">
        <f t="shared" si="10"/>
        <v>0</v>
      </c>
      <c r="M250" s="64"/>
      <c r="N250" s="86"/>
      <c r="O250" s="2263"/>
    </row>
    <row r="251" spans="1:15" x14ac:dyDescent="0.35">
      <c r="A251" s="631"/>
      <c r="B251" s="102" t="s">
        <v>278</v>
      </c>
      <c r="C251" s="661">
        <v>132</v>
      </c>
      <c r="D251" s="2238"/>
      <c r="E251" s="2256"/>
      <c r="F251" s="59">
        <v>1</v>
      </c>
      <c r="G251" s="60">
        <v>42.484000000000002</v>
      </c>
      <c r="H251" s="60">
        <v>42.484000000000002</v>
      </c>
      <c r="I251" s="60">
        <f t="shared" si="8"/>
        <v>0</v>
      </c>
      <c r="J251" s="63">
        <v>1440000</v>
      </c>
      <c r="K251" s="711">
        <f t="shared" si="9"/>
        <v>0</v>
      </c>
      <c r="L251" s="79"/>
      <c r="M251" s="64"/>
      <c r="N251" s="86"/>
      <c r="O251" s="2263"/>
    </row>
    <row r="252" spans="1:15" x14ac:dyDescent="0.35">
      <c r="A252" s="631"/>
      <c r="B252" s="102" t="s">
        <v>278</v>
      </c>
      <c r="C252" s="661">
        <v>132</v>
      </c>
      <c r="D252" s="2238"/>
      <c r="E252" s="2257"/>
      <c r="F252" s="59">
        <v>1</v>
      </c>
      <c r="G252" s="60">
        <v>1821.3889999999999</v>
      </c>
      <c r="H252" s="60">
        <v>1821.3889999999999</v>
      </c>
      <c r="I252" s="60">
        <f t="shared" si="8"/>
        <v>0</v>
      </c>
      <c r="J252" s="63">
        <v>1440000</v>
      </c>
      <c r="K252" s="711"/>
      <c r="L252" s="79">
        <f t="shared" si="10"/>
        <v>0</v>
      </c>
      <c r="M252" s="64"/>
      <c r="N252" s="86"/>
      <c r="O252" s="2263"/>
    </row>
    <row r="253" spans="1:15" x14ac:dyDescent="0.35">
      <c r="A253" s="631"/>
      <c r="B253" s="102" t="s">
        <v>1410</v>
      </c>
      <c r="C253" s="661">
        <v>132</v>
      </c>
      <c r="D253" s="2238"/>
      <c r="E253" s="2256"/>
      <c r="F253" s="59">
        <v>1</v>
      </c>
      <c r="G253" s="60">
        <v>732658</v>
      </c>
      <c r="H253" s="60">
        <v>732658</v>
      </c>
      <c r="I253" s="60">
        <f t="shared" si="8"/>
        <v>0</v>
      </c>
      <c r="J253" s="63">
        <v>1000</v>
      </c>
      <c r="K253" s="711">
        <f t="shared" si="9"/>
        <v>0</v>
      </c>
      <c r="L253" s="79"/>
      <c r="M253" s="64"/>
      <c r="N253" s="86"/>
      <c r="O253" s="2263"/>
    </row>
    <row r="254" spans="1:15" x14ac:dyDescent="0.35">
      <c r="A254" s="631"/>
      <c r="B254" s="102" t="s">
        <v>1410</v>
      </c>
      <c r="C254" s="661">
        <v>132</v>
      </c>
      <c r="D254" s="2238"/>
      <c r="E254" s="2257"/>
      <c r="F254" s="59">
        <v>1</v>
      </c>
      <c r="G254" s="60">
        <v>0</v>
      </c>
      <c r="H254" s="60">
        <v>0</v>
      </c>
      <c r="I254" s="60">
        <f t="shared" si="8"/>
        <v>0</v>
      </c>
      <c r="J254" s="63">
        <v>1000</v>
      </c>
      <c r="K254" s="711"/>
      <c r="L254" s="79">
        <f t="shared" si="10"/>
        <v>0</v>
      </c>
      <c r="M254" s="64"/>
      <c r="N254" s="86"/>
      <c r="O254" s="2263"/>
    </row>
    <row r="255" spans="1:15" x14ac:dyDescent="0.35">
      <c r="A255" s="631"/>
      <c r="B255" s="95"/>
      <c r="C255" s="89"/>
      <c r="D255" s="2238"/>
      <c r="E255" s="89"/>
      <c r="F255" s="790"/>
      <c r="G255" s="65"/>
      <c r="H255" s="65"/>
      <c r="I255" s="2242" t="s">
        <v>236</v>
      </c>
      <c r="J255" s="2243"/>
      <c r="K255" s="712">
        <f>SUM(K245:K254)</f>
        <v>0</v>
      </c>
      <c r="L255" s="94">
        <f>SUM(L245:L254)</f>
        <v>0</v>
      </c>
      <c r="M255" s="67"/>
      <c r="N255" s="81"/>
      <c r="O255" s="2263"/>
    </row>
    <row r="256" spans="1:15" x14ac:dyDescent="0.35">
      <c r="A256" s="631"/>
      <c r="B256" s="95"/>
      <c r="C256" s="89"/>
      <c r="D256" s="669"/>
      <c r="E256" s="89"/>
      <c r="F256" s="790"/>
      <c r="G256" s="65"/>
      <c r="H256" s="65"/>
      <c r="I256" s="2244" t="s">
        <v>31</v>
      </c>
      <c r="J256" s="2245"/>
      <c r="K256" s="701">
        <f>G275</f>
        <v>0</v>
      </c>
      <c r="L256" s="68"/>
      <c r="M256" s="66"/>
      <c r="N256" s="631"/>
      <c r="O256" s="2264"/>
    </row>
    <row r="257" spans="1:22" x14ac:dyDescent="0.3">
      <c r="A257" s="11"/>
      <c r="B257" s="647" t="s">
        <v>1126</v>
      </c>
      <c r="C257" s="648"/>
      <c r="D257" s="648"/>
      <c r="E257" s="648"/>
      <c r="F257" s="789"/>
      <c r="G257" s="648"/>
      <c r="H257" s="648"/>
      <c r="I257" s="648"/>
      <c r="J257" s="648"/>
      <c r="K257" s="700"/>
      <c r="L257" s="648"/>
      <c r="M257" s="651"/>
      <c r="N257" s="649"/>
      <c r="O257" s="8" t="s">
        <v>283</v>
      </c>
    </row>
    <row r="258" spans="1:22" x14ac:dyDescent="0.35">
      <c r="A258" s="631"/>
      <c r="B258" s="100" t="str">
        <f>'NORTH-1'!B20</f>
        <v xml:space="preserve">132 kV Spare Line Bay-1 </v>
      </c>
      <c r="C258" s="52">
        <v>132</v>
      </c>
      <c r="D258" s="2239" t="s">
        <v>1083</v>
      </c>
      <c r="E258" s="615"/>
      <c r="F258" s="4">
        <v>1</v>
      </c>
      <c r="G258" s="20">
        <f>'NORTH-1'!G20</f>
        <v>0</v>
      </c>
      <c r="H258" s="20">
        <f>'NORTH-1'!H20</f>
        <v>0</v>
      </c>
      <c r="I258" s="20">
        <f>'NORTH-1'!I20</f>
        <v>0</v>
      </c>
      <c r="J258" s="4">
        <f>'NORTH-1'!J20</f>
        <v>1000</v>
      </c>
      <c r="K258" s="696">
        <f>'NORTH-1'!K20</f>
        <v>0</v>
      </c>
      <c r="L258" s="16">
        <f>'NORTH-1'!L20</f>
        <v>0</v>
      </c>
      <c r="M258" s="7"/>
      <c r="N258" s="78"/>
      <c r="O258" s="616" t="s">
        <v>280</v>
      </c>
      <c r="P258" s="16">
        <v>11397000</v>
      </c>
    </row>
    <row r="259" spans="1:22" x14ac:dyDescent="0.35">
      <c r="A259" s="631"/>
      <c r="B259" s="100" t="str">
        <f>'NORTH-1'!B21</f>
        <v>132 kV Ullon Circuit-1</v>
      </c>
      <c r="C259" s="52">
        <v>132</v>
      </c>
      <c r="D259" s="2240"/>
      <c r="E259" s="615"/>
      <c r="F259" s="4">
        <v>1</v>
      </c>
      <c r="G259" s="20">
        <f>'NORTH-1'!G21</f>
        <v>1588161</v>
      </c>
      <c r="H259" s="20">
        <f>'NORTH-1'!H21</f>
        <v>1605976</v>
      </c>
      <c r="I259" s="20">
        <f>'NORTH-1'!I21</f>
        <v>17815</v>
      </c>
      <c r="J259" s="4">
        <f>'NORTH-1'!J21</f>
        <v>1000</v>
      </c>
      <c r="K259" s="696">
        <f>'NORTH-1'!K21</f>
        <v>17815000</v>
      </c>
      <c r="L259" s="16">
        <f>'NORTH-1'!L21</f>
        <v>0</v>
      </c>
      <c r="M259" s="7"/>
      <c r="N259" s="78"/>
      <c r="O259" s="616"/>
      <c r="P259" s="16"/>
    </row>
    <row r="260" spans="1:22" x14ac:dyDescent="0.35">
      <c r="A260" s="631"/>
      <c r="B260" s="100" t="str">
        <f>'NORTH-1'!B22</f>
        <v xml:space="preserve">132 kV Dhaka University </v>
      </c>
      <c r="C260" s="52">
        <v>132</v>
      </c>
      <c r="D260" s="2240"/>
      <c r="E260" s="615"/>
      <c r="F260" s="4">
        <v>1</v>
      </c>
      <c r="G260" s="20">
        <f>'NORTH-1'!G22</f>
        <v>1588</v>
      </c>
      <c r="H260" s="20">
        <f>'NORTH-1'!H22</f>
        <v>1588</v>
      </c>
      <c r="I260" s="20">
        <f>'NORTH-1'!I22</f>
        <v>0</v>
      </c>
      <c r="J260" s="4">
        <f>'NORTH-1'!J22</f>
        <v>1000</v>
      </c>
      <c r="K260" s="696">
        <f>'NORTH-1'!K22</f>
        <v>0</v>
      </c>
      <c r="L260" s="16">
        <f>'NORTH-1'!L22</f>
        <v>0</v>
      </c>
      <c r="M260" s="16"/>
      <c r="N260" s="79"/>
      <c r="O260" s="616" t="s">
        <v>281</v>
      </c>
      <c r="P260" s="16">
        <v>31143000</v>
      </c>
    </row>
    <row r="261" spans="1:22" x14ac:dyDescent="0.35">
      <c r="A261" s="631"/>
      <c r="B261" s="100" t="str">
        <f>'NORTH-1'!B23</f>
        <v xml:space="preserve">132 kV Dhaka University </v>
      </c>
      <c r="C261" s="52">
        <v>132</v>
      </c>
      <c r="D261" s="2240"/>
      <c r="E261" s="615"/>
      <c r="F261" s="4">
        <v>1</v>
      </c>
      <c r="G261" s="20">
        <f>'NORTH-1'!G23</f>
        <v>281129</v>
      </c>
      <c r="H261" s="20">
        <f>'NORTH-1'!H23</f>
        <v>281129</v>
      </c>
      <c r="I261" s="20">
        <f>'NORTH-1'!I23</f>
        <v>0</v>
      </c>
      <c r="J261" s="4">
        <f>'NORTH-1'!J23</f>
        <v>1000</v>
      </c>
      <c r="K261" s="696">
        <f>'NORTH-1'!K23</f>
        <v>0</v>
      </c>
      <c r="L261" s="16">
        <f>'NORTH-1'!L23</f>
        <v>0</v>
      </c>
      <c r="M261" s="16"/>
      <c r="N261" s="79"/>
      <c r="O261" s="616"/>
      <c r="P261" s="16"/>
    </row>
    <row r="262" spans="1:22" x14ac:dyDescent="0.35">
      <c r="A262" s="631"/>
      <c r="B262" s="100" t="str">
        <f>'NORTH-1'!B24</f>
        <v>132 kV Ullon Circuit-2</v>
      </c>
      <c r="C262" s="52">
        <v>132</v>
      </c>
      <c r="D262" s="2240"/>
      <c r="E262" s="615"/>
      <c r="F262" s="4">
        <v>1</v>
      </c>
      <c r="G262" s="20">
        <f>'NORTH-1'!G24</f>
        <v>1964510</v>
      </c>
      <c r="H262" s="20">
        <f>'NORTH-1'!H24</f>
        <v>1976310</v>
      </c>
      <c r="I262" s="20">
        <f>'NORTH-1'!I24</f>
        <v>11800</v>
      </c>
      <c r="J262" s="4">
        <f>'NORTH-1'!J24</f>
        <v>1000</v>
      </c>
      <c r="K262" s="696">
        <f>'NORTH-1'!K24</f>
        <v>11800000</v>
      </c>
      <c r="L262" s="16">
        <f>'NORTH-1'!L24</f>
        <v>0</v>
      </c>
      <c r="M262" s="7"/>
      <c r="N262" s="78"/>
      <c r="O262" s="616" t="s">
        <v>282</v>
      </c>
      <c r="P262" s="16">
        <v>31978000</v>
      </c>
    </row>
    <row r="263" spans="1:22" x14ac:dyDescent="0.35">
      <c r="A263" s="631"/>
      <c r="B263" s="102" t="str">
        <f>'NORTH-1'!B26</f>
        <v>132 kV Ullon Circuit-3</v>
      </c>
      <c r="C263" s="52">
        <v>132</v>
      </c>
      <c r="D263" s="2241"/>
      <c r="E263" s="93"/>
      <c r="F263" s="4">
        <v>1</v>
      </c>
      <c r="G263" s="20">
        <f>'NORTH-1'!G26</f>
        <v>2713247</v>
      </c>
      <c r="H263" s="20">
        <f>'NORTH-1'!H26</f>
        <v>2726673</v>
      </c>
      <c r="I263" s="20">
        <f>'NORTH-1'!I26</f>
        <v>13426</v>
      </c>
      <c r="J263" s="4">
        <f>'NORTH-1'!J26</f>
        <v>1000</v>
      </c>
      <c r="K263" s="696">
        <f>'NORTH-1'!K26</f>
        <v>13426000</v>
      </c>
      <c r="L263" s="16">
        <f>'NORTH-1'!L26</f>
        <v>0</v>
      </c>
      <c r="M263" s="7"/>
      <c r="N263" s="78"/>
      <c r="O263" s="616"/>
      <c r="P263" s="16"/>
    </row>
    <row r="264" spans="1:22" x14ac:dyDescent="0.35">
      <c r="A264" s="631"/>
      <c r="B264" s="95"/>
      <c r="C264" s="89"/>
      <c r="D264" s="89"/>
      <c r="E264" s="89"/>
      <c r="F264" s="788"/>
      <c r="G264" s="37"/>
      <c r="H264" s="37"/>
      <c r="I264" s="37"/>
      <c r="J264" s="95" t="s">
        <v>279</v>
      </c>
      <c r="K264" s="699"/>
      <c r="L264" s="55">
        <f>'NORTH-1'!$K$28</f>
        <v>43041000</v>
      </c>
      <c r="M264" s="633"/>
      <c r="N264" s="631"/>
      <c r="O264" s="616" t="s">
        <v>30</v>
      </c>
      <c r="P264" s="40">
        <f>SUM(P258:P262)</f>
        <v>74518000</v>
      </c>
    </row>
    <row r="265" spans="1:22" x14ac:dyDescent="0.35">
      <c r="A265" s="11"/>
      <c r="B265" s="647" t="s">
        <v>1086</v>
      </c>
      <c r="C265" s="648"/>
      <c r="D265" s="648"/>
      <c r="E265" s="648"/>
      <c r="F265" s="789"/>
      <c r="G265" s="648"/>
      <c r="H265" s="648"/>
      <c r="I265" s="648"/>
      <c r="J265" s="648"/>
      <c r="K265" s="700"/>
      <c r="L265" s="648"/>
      <c r="M265" s="651"/>
      <c r="N265" s="649"/>
      <c r="O265" s="8"/>
      <c r="P265"/>
      <c r="Q265" s="628"/>
      <c r="R265" s="629"/>
      <c r="S265" s="629"/>
      <c r="T265" s="630"/>
      <c r="U265" s="630"/>
      <c r="V265" s="630"/>
    </row>
    <row r="266" spans="1:22" x14ac:dyDescent="0.35">
      <c r="A266" s="631"/>
      <c r="B266" s="100" t="s">
        <v>1075</v>
      </c>
      <c r="C266" s="52">
        <v>132</v>
      </c>
      <c r="D266" s="2140" t="s">
        <v>1085</v>
      </c>
      <c r="E266" s="58"/>
      <c r="F266" s="59"/>
      <c r="G266" s="60"/>
      <c r="H266" s="60"/>
      <c r="I266" s="60"/>
      <c r="J266" s="58"/>
      <c r="K266" s="4"/>
      <c r="L266" s="16">
        <f>J266*I266*F266</f>
        <v>0</v>
      </c>
      <c r="M266" s="16"/>
      <c r="N266" s="78"/>
      <c r="O266" s="616"/>
      <c r="P266"/>
      <c r="Q266" s="628"/>
      <c r="R266" s="629"/>
      <c r="S266" s="629"/>
      <c r="T266" s="630"/>
      <c r="U266" s="630"/>
      <c r="V266" s="630"/>
    </row>
    <row r="267" spans="1:22" x14ac:dyDescent="0.35">
      <c r="A267" s="631"/>
      <c r="B267" s="100" t="s">
        <v>1076</v>
      </c>
      <c r="C267" s="52">
        <v>132</v>
      </c>
      <c r="D267" s="2141"/>
      <c r="E267" s="58"/>
      <c r="F267" s="59"/>
      <c r="G267" s="60"/>
      <c r="H267" s="60"/>
      <c r="I267" s="60"/>
      <c r="J267" s="58"/>
      <c r="K267" s="4"/>
      <c r="L267" s="16">
        <f>J267*I267*F267</f>
        <v>0</v>
      </c>
      <c r="M267" s="16"/>
      <c r="N267" s="78"/>
      <c r="O267" s="616"/>
      <c r="P267"/>
      <c r="Q267" s="628"/>
      <c r="R267" s="629"/>
      <c r="S267" s="629"/>
      <c r="T267" s="630"/>
      <c r="U267" s="630"/>
      <c r="V267" s="630"/>
    </row>
    <row r="268" spans="1:22" x14ac:dyDescent="0.35">
      <c r="A268" s="631"/>
      <c r="B268" s="100" t="s">
        <v>1077</v>
      </c>
      <c r="C268" s="52">
        <v>132</v>
      </c>
      <c r="D268" s="2157"/>
      <c r="E268" s="58"/>
      <c r="F268" s="59"/>
      <c r="G268" s="60"/>
      <c r="H268" s="60"/>
      <c r="I268" s="60"/>
      <c r="J268" s="58"/>
      <c r="K268" s="4"/>
      <c r="L268" s="16">
        <f>J268*I268*F268</f>
        <v>0</v>
      </c>
      <c r="M268" s="16"/>
      <c r="N268" s="78"/>
      <c r="O268" s="616"/>
      <c r="Q268" s="628"/>
      <c r="R268" s="629"/>
      <c r="S268" s="629"/>
      <c r="T268" s="630"/>
      <c r="U268" s="630"/>
      <c r="V268" s="630"/>
    </row>
    <row r="269" spans="1:22" x14ac:dyDescent="0.35">
      <c r="A269" s="631"/>
      <c r="B269" s="95"/>
      <c r="C269" s="89"/>
      <c r="D269" s="89"/>
      <c r="E269" s="65"/>
      <c r="F269" s="790"/>
      <c r="G269" s="65"/>
      <c r="H269" s="65"/>
      <c r="I269" s="65"/>
      <c r="J269" s="95" t="s">
        <v>30</v>
      </c>
      <c r="K269" s="701"/>
      <c r="L269" s="55">
        <f>D276-L264</f>
        <v>16882200.000000291</v>
      </c>
      <c r="M269" s="55"/>
      <c r="N269" s="78"/>
      <c r="O269" s="616"/>
      <c r="Q269" s="628"/>
      <c r="R269" s="629"/>
      <c r="S269" s="629"/>
      <c r="T269" s="630"/>
      <c r="U269" s="630"/>
      <c r="V269" s="630"/>
    </row>
    <row r="270" spans="1:22" ht="16" thickBot="1" x14ac:dyDescent="0.4">
      <c r="A270" s="652"/>
      <c r="B270" s="632"/>
      <c r="C270" s="92"/>
      <c r="D270" s="92"/>
      <c r="O270" s="57"/>
      <c r="P270" s="653"/>
    </row>
    <row r="271" spans="1:22" x14ac:dyDescent="0.35">
      <c r="B271" s="2142" t="s">
        <v>1090</v>
      </c>
      <c r="C271" s="2143"/>
      <c r="D271" s="683" t="s">
        <v>14</v>
      </c>
      <c r="E271"/>
      <c r="F271" s="2144" t="s">
        <v>1091</v>
      </c>
      <c r="G271" s="2145"/>
      <c r="H271" s="2146"/>
      <c r="I271" s="683" t="s">
        <v>14</v>
      </c>
      <c r="K271" s="2147" t="s">
        <v>1092</v>
      </c>
      <c r="L271" s="2148"/>
      <c r="M271" s="684" t="s">
        <v>14</v>
      </c>
    </row>
    <row r="272" spans="1:22" x14ac:dyDescent="0.35">
      <c r="B272" s="2122" t="str">
        <f>B225</f>
        <v>SIDDIRGONJ 132 KV SIDE (TARIFF POINT)</v>
      </c>
      <c r="C272" s="2123"/>
      <c r="D272" s="689">
        <f>K231</f>
        <v>13489919.999999911</v>
      </c>
      <c r="E272"/>
      <c r="F272" s="2124" t="s">
        <v>1093</v>
      </c>
      <c r="G272" s="2125"/>
      <c r="H272" s="2126"/>
      <c r="I272" s="689">
        <f>L264</f>
        <v>43041000</v>
      </c>
      <c r="K272" s="2189" t="s">
        <v>4625</v>
      </c>
      <c r="L272" s="2190"/>
      <c r="M272" s="687">
        <f>I273</f>
        <v>16882200.000000291</v>
      </c>
    </row>
    <row r="273" spans="1:15" x14ac:dyDescent="0.35">
      <c r="B273" s="2122" t="str">
        <f>B232</f>
        <v>HORIPUR 132 SIDE (TARIFF POINT)</v>
      </c>
      <c r="C273" s="2123"/>
      <c r="D273" s="689">
        <f>K236</f>
        <v>11814719.999999797</v>
      </c>
      <c r="E273"/>
      <c r="F273" s="2124" t="s">
        <v>4625</v>
      </c>
      <c r="G273" s="2125"/>
      <c r="H273" s="2126"/>
      <c r="I273" s="687">
        <f>L269</f>
        <v>16882200.000000291</v>
      </c>
      <c r="K273" s="2191" t="s">
        <v>2455</v>
      </c>
      <c r="L273" s="2192"/>
      <c r="M273" s="1908">
        <f>K291</f>
        <v>16704720.000000015</v>
      </c>
    </row>
    <row r="274" spans="1:15" x14ac:dyDescent="0.35">
      <c r="B274" s="2122" t="str">
        <f>B237</f>
        <v>PAMPURA 132 KV SIDE (TARIFF POINT)</v>
      </c>
      <c r="C274" s="2123"/>
      <c r="D274" s="689">
        <f>K243</f>
        <v>34618560.000000581</v>
      </c>
      <c r="E274"/>
      <c r="F274" s="2124" t="s">
        <v>1089</v>
      </c>
      <c r="G274" s="2125"/>
      <c r="H274" s="2126"/>
      <c r="I274" s="689">
        <f>I272+I273</f>
        <v>59923200.000000291</v>
      </c>
      <c r="K274" s="2191" t="s">
        <v>4622</v>
      </c>
      <c r="L274" s="2192"/>
      <c r="M274" s="689">
        <f>M272-M273</f>
        <v>177480.00000027567</v>
      </c>
    </row>
    <row r="275" spans="1:15" ht="16" thickBot="1" x14ac:dyDescent="0.4">
      <c r="B275" s="2122" t="s">
        <v>1118</v>
      </c>
      <c r="C275" s="2123"/>
      <c r="D275" s="722"/>
      <c r="E275"/>
      <c r="F275" s="2124" t="s">
        <v>4623</v>
      </c>
      <c r="G275" s="2125"/>
      <c r="H275" s="2126"/>
      <c r="I275" s="689">
        <f>D276-I274</f>
        <v>0</v>
      </c>
      <c r="K275" s="2193" t="s">
        <v>285</v>
      </c>
      <c r="L275" s="2194"/>
      <c r="M275" s="688">
        <f>M274/M272</f>
        <v>1.0512847851599472E-2</v>
      </c>
    </row>
    <row r="276" spans="1:15" ht="16" thickBot="1" x14ac:dyDescent="0.4">
      <c r="B276" s="2109" t="s">
        <v>4620</v>
      </c>
      <c r="C276" s="2110"/>
      <c r="D276" s="1435">
        <f>SUM(D272:D275)</f>
        <v>59923200.000000291</v>
      </c>
      <c r="E276"/>
      <c r="F276" s="2113" t="s">
        <v>2454</v>
      </c>
      <c r="G276" s="2114"/>
      <c r="H276" s="2115"/>
      <c r="I276" s="690">
        <f>(D276-I274)/I274</f>
        <v>0</v>
      </c>
    </row>
    <row r="277" spans="1:15" x14ac:dyDescent="0.35">
      <c r="B277" s="2116" t="s">
        <v>4624</v>
      </c>
      <c r="C277" s="2117"/>
      <c r="D277" s="1908">
        <f>K291</f>
        <v>16704720.000000015</v>
      </c>
      <c r="E277"/>
      <c r="F277" s="791"/>
      <c r="G277"/>
      <c r="H277"/>
      <c r="I277"/>
      <c r="J277"/>
    </row>
    <row r="278" spans="1:15" x14ac:dyDescent="0.35">
      <c r="B278" s="2116" t="s">
        <v>4621</v>
      </c>
      <c r="C278" s="2117"/>
      <c r="D278" s="1436">
        <f>D276-D277</f>
        <v>43218480.000000276</v>
      </c>
      <c r="E278"/>
      <c r="F278" s="791"/>
      <c r="G278"/>
      <c r="H278"/>
      <c r="I278"/>
      <c r="J278"/>
    </row>
    <row r="279" spans="1:15" ht="16" thickBot="1" x14ac:dyDescent="0.4">
      <c r="B279" s="2120" t="str">
        <f>K275</f>
        <v>LOSS % IN =&gt;</v>
      </c>
      <c r="C279" s="2121"/>
      <c r="D279" s="1899">
        <f>D278/D272</f>
        <v>3.2037610304583395</v>
      </c>
      <c r="E279"/>
      <c r="F279" s="791"/>
      <c r="G279" s="678"/>
      <c r="H279" s="678"/>
      <c r="I279" s="678"/>
      <c r="J279" s="679"/>
    </row>
    <row r="280" spans="1:15" x14ac:dyDescent="0.35">
      <c r="B280" s="1900"/>
      <c r="C280" s="1900"/>
      <c r="D280" s="1901"/>
      <c r="E280"/>
      <c r="N280" s="1451"/>
      <c r="O280"/>
    </row>
    <row r="281" spans="1:15" ht="31.5" customHeight="1" x14ac:dyDescent="0.35">
      <c r="J281" s="654"/>
      <c r="L281"/>
      <c r="M281"/>
      <c r="N281" s="1451"/>
      <c r="O281"/>
    </row>
    <row r="282" spans="1:15" ht="31.5" customHeight="1" x14ac:dyDescent="0.35">
      <c r="J282" s="654"/>
      <c r="M282" s="56"/>
    </row>
    <row r="283" spans="1:15" ht="105" x14ac:dyDescent="0.3">
      <c r="A283" s="2095" t="s">
        <v>1136</v>
      </c>
      <c r="B283" s="2095"/>
      <c r="C283" s="2095"/>
      <c r="D283" s="2095"/>
      <c r="E283" s="2095"/>
      <c r="F283" s="2095"/>
      <c r="G283" s="2095"/>
      <c r="H283" s="2095"/>
      <c r="I283" s="2095"/>
      <c r="J283" s="2095"/>
      <c r="K283" s="2095"/>
      <c r="L283" s="2095"/>
      <c r="M283" s="2095"/>
      <c r="N283" s="2095"/>
      <c r="O283" s="756" t="str">
        <f>$O$6</f>
        <v>Month December-2022</v>
      </c>
    </row>
    <row r="284" spans="1:15" x14ac:dyDescent="0.35">
      <c r="A284" s="2223" t="s">
        <v>0</v>
      </c>
      <c r="B284" s="2224" t="s">
        <v>1</v>
      </c>
      <c r="C284" s="2225" t="s">
        <v>2</v>
      </c>
      <c r="D284" s="2226"/>
      <c r="E284" s="2227"/>
      <c r="F284" s="2228" t="s">
        <v>3</v>
      </c>
      <c r="G284" s="2225" t="s">
        <v>4</v>
      </c>
      <c r="H284" s="2227"/>
      <c r="I284" s="2231"/>
      <c r="J284" s="2232" t="s">
        <v>5</v>
      </c>
      <c r="K284" s="2225" t="s">
        <v>6</v>
      </c>
      <c r="L284" s="2231"/>
      <c r="M284" s="24" t="s">
        <v>32</v>
      </c>
      <c r="N284" s="76"/>
      <c r="O284" s="2084" t="s">
        <v>7</v>
      </c>
    </row>
    <row r="285" spans="1:15" x14ac:dyDescent="0.3">
      <c r="A285" s="2097"/>
      <c r="B285" s="2099"/>
      <c r="C285" s="87" t="s">
        <v>8</v>
      </c>
      <c r="D285" s="718"/>
      <c r="E285" s="87" t="s">
        <v>9</v>
      </c>
      <c r="F285" s="2229"/>
      <c r="G285" s="2">
        <f>'NORTH-1'!$G$8</f>
        <v>44774</v>
      </c>
      <c r="H285" s="2">
        <f>'NORTH-1'!$H$8</f>
        <v>44805</v>
      </c>
      <c r="I285" s="1" t="s">
        <v>10</v>
      </c>
      <c r="J285" s="2097"/>
      <c r="K285" s="1" t="s">
        <v>11</v>
      </c>
      <c r="L285" s="1" t="s">
        <v>12</v>
      </c>
      <c r="M285" s="617" t="s">
        <v>33</v>
      </c>
      <c r="N285" s="76" t="s">
        <v>47</v>
      </c>
      <c r="O285" s="2085"/>
    </row>
    <row r="286" spans="1:15" x14ac:dyDescent="0.3">
      <c r="A286" s="3">
        <v>1</v>
      </c>
      <c r="B286" s="88">
        <v>2</v>
      </c>
      <c r="C286" s="88">
        <v>4</v>
      </c>
      <c r="D286" s="719"/>
      <c r="E286" s="88">
        <v>5</v>
      </c>
      <c r="F286" s="786">
        <v>7</v>
      </c>
      <c r="G286" s="3">
        <v>8</v>
      </c>
      <c r="H286" s="3">
        <v>9</v>
      </c>
      <c r="I286" s="3" t="s">
        <v>13</v>
      </c>
      <c r="J286" s="3">
        <v>11</v>
      </c>
      <c r="K286" s="3" t="s">
        <v>19</v>
      </c>
      <c r="L286" s="3" t="s">
        <v>20</v>
      </c>
      <c r="M286" s="3">
        <v>14</v>
      </c>
      <c r="N286" s="77">
        <v>15</v>
      </c>
      <c r="O286" s="3">
        <v>16</v>
      </c>
    </row>
    <row r="287" spans="1:15" x14ac:dyDescent="0.3">
      <c r="A287" s="11"/>
      <c r="B287" s="624" t="s">
        <v>1109</v>
      </c>
      <c r="C287" s="625"/>
      <c r="D287" s="625"/>
      <c r="E287" s="625"/>
      <c r="F287" s="787"/>
      <c r="G287" s="625"/>
      <c r="H287" s="625"/>
      <c r="I287" s="625"/>
      <c r="J287" s="625"/>
      <c r="K287" s="695"/>
      <c r="L287" s="625"/>
      <c r="M287" s="626"/>
      <c r="N287" s="627"/>
      <c r="O287" s="8"/>
    </row>
    <row r="288" spans="1:15" x14ac:dyDescent="0.35">
      <c r="A288" s="631">
        <v>1</v>
      </c>
      <c r="B288" s="100" t="s">
        <v>3369</v>
      </c>
      <c r="C288" s="52">
        <v>33</v>
      </c>
      <c r="D288" s="1770" t="s">
        <v>339</v>
      </c>
      <c r="E288" s="52" t="s">
        <v>3370</v>
      </c>
      <c r="F288" s="711">
        <v>1</v>
      </c>
      <c r="G288" s="1427">
        <v>1976.4118000000001</v>
      </c>
      <c r="H288" s="1427">
        <v>1994.1764000000001</v>
      </c>
      <c r="I288" s="1427">
        <f>H288-G288</f>
        <v>17.764599999999973</v>
      </c>
      <c r="J288" s="52">
        <v>480000</v>
      </c>
      <c r="K288" s="1428">
        <f>J288*I288*F288</f>
        <v>8527007.999999987</v>
      </c>
      <c r="L288" s="78"/>
      <c r="M288" s="78"/>
      <c r="N288" s="78"/>
      <c r="O288" s="616"/>
    </row>
    <row r="289" spans="1:15" x14ac:dyDescent="0.35">
      <c r="A289" s="631">
        <v>2</v>
      </c>
      <c r="B289" s="100" t="s">
        <v>3371</v>
      </c>
      <c r="C289" s="52">
        <v>33</v>
      </c>
      <c r="D289" s="1771" t="s">
        <v>339</v>
      </c>
      <c r="E289" s="52" t="s">
        <v>3372</v>
      </c>
      <c r="F289" s="711">
        <v>1</v>
      </c>
      <c r="G289" s="1427">
        <v>1902.1072999999999</v>
      </c>
      <c r="H289" s="1427">
        <v>1919.1442</v>
      </c>
      <c r="I289" s="1427">
        <f>H289-G289</f>
        <v>17.03690000000006</v>
      </c>
      <c r="J289" s="52">
        <v>480000</v>
      </c>
      <c r="K289" s="1428">
        <f>J289*I289*F289</f>
        <v>8177712.0000000289</v>
      </c>
      <c r="L289" s="78"/>
      <c r="M289" s="78"/>
      <c r="N289" s="78"/>
      <c r="O289" s="616"/>
    </row>
    <row r="290" spans="1:15" x14ac:dyDescent="0.35">
      <c r="A290" s="631">
        <v>3</v>
      </c>
      <c r="B290" s="100" t="s">
        <v>3373</v>
      </c>
      <c r="C290" s="52">
        <v>33</v>
      </c>
      <c r="D290" s="1772" t="s">
        <v>339</v>
      </c>
      <c r="E290" s="52" t="s">
        <v>3374</v>
      </c>
      <c r="F290" s="711">
        <v>1</v>
      </c>
      <c r="G290" s="1427">
        <v>1533.8620000000001</v>
      </c>
      <c r="H290" s="1427">
        <v>1533.8620000000001</v>
      </c>
      <c r="I290" s="1427">
        <f>H290-G290</f>
        <v>0</v>
      </c>
      <c r="J290" s="52">
        <v>480000</v>
      </c>
      <c r="K290" s="1428">
        <f>J290*I290*F290</f>
        <v>0</v>
      </c>
      <c r="L290" s="78"/>
      <c r="M290" s="78"/>
      <c r="N290" s="78"/>
      <c r="O290" s="616"/>
    </row>
    <row r="291" spans="1:15" x14ac:dyDescent="0.35">
      <c r="A291" s="631"/>
      <c r="B291" s="95"/>
      <c r="C291" s="89"/>
      <c r="D291" s="89"/>
      <c r="E291" s="89"/>
      <c r="F291" s="790"/>
      <c r="G291" s="65"/>
      <c r="H291" s="65"/>
      <c r="I291" s="65"/>
      <c r="J291" s="95" t="s">
        <v>30</v>
      </c>
      <c r="K291" s="1908">
        <f>SUM(K288:K290)</f>
        <v>16704720.000000015</v>
      </c>
      <c r="L291" s="43"/>
      <c r="M291" s="658">
        <f>SUM(M288:M290)</f>
        <v>0</v>
      </c>
      <c r="N291" s="83"/>
      <c r="O291" s="616"/>
    </row>
    <row r="292" spans="1:15" x14ac:dyDescent="0.35">
      <c r="A292" s="631"/>
      <c r="B292" s="647" t="s">
        <v>1109</v>
      </c>
      <c r="C292" s="648"/>
      <c r="D292" s="648"/>
      <c r="E292" s="648"/>
      <c r="F292" s="789"/>
      <c r="G292" s="648"/>
      <c r="H292" s="648"/>
      <c r="I292" s="648"/>
      <c r="J292" s="648"/>
      <c r="K292" s="700"/>
      <c r="L292" s="648"/>
      <c r="M292" s="651"/>
      <c r="N292" s="649"/>
      <c r="O292" s="616"/>
    </row>
    <row r="293" spans="1:15" x14ac:dyDescent="0.3">
      <c r="A293" s="636">
        <v>2</v>
      </c>
      <c r="B293" s="100" t="s">
        <v>3375</v>
      </c>
      <c r="C293" s="52">
        <v>33</v>
      </c>
      <c r="D293" s="1777" t="s">
        <v>326</v>
      </c>
      <c r="E293" s="52" t="s">
        <v>3376</v>
      </c>
      <c r="F293" s="4">
        <v>1</v>
      </c>
      <c r="G293" s="6">
        <v>1358.2916</v>
      </c>
      <c r="H293" s="6">
        <v>1375.1646000000001</v>
      </c>
      <c r="I293" s="20">
        <f t="shared" ref="I293:I300" si="11">H293-G293</f>
        <v>16.873000000000047</v>
      </c>
      <c r="J293" s="616">
        <v>240000</v>
      </c>
      <c r="K293" s="703"/>
      <c r="L293" s="775">
        <f t="shared" ref="L293:L300" si="12">J293*I293*F293</f>
        <v>4049520.0000000112</v>
      </c>
      <c r="M293" s="22"/>
      <c r="N293" s="82" t="s">
        <v>3377</v>
      </c>
      <c r="O293" s="15"/>
    </row>
    <row r="294" spans="1:15" x14ac:dyDescent="0.3">
      <c r="A294" s="636"/>
      <c r="B294" s="100" t="s">
        <v>3378</v>
      </c>
      <c r="C294" s="52">
        <v>33</v>
      </c>
      <c r="D294" s="1773" t="s">
        <v>326</v>
      </c>
      <c r="E294" s="93" t="s">
        <v>3379</v>
      </c>
      <c r="F294" s="4">
        <v>1</v>
      </c>
      <c r="G294" s="6">
        <v>333.20870000000002</v>
      </c>
      <c r="H294" s="6">
        <v>333.29919999999998</v>
      </c>
      <c r="I294" s="20">
        <f t="shared" si="11"/>
        <v>9.0499999999963165E-2</v>
      </c>
      <c r="J294" s="616">
        <v>240000</v>
      </c>
      <c r="K294" s="704"/>
      <c r="L294" s="22">
        <f t="shared" si="12"/>
        <v>21719.99999999116</v>
      </c>
      <c r="M294" s="22"/>
      <c r="N294" s="82"/>
      <c r="O294" s="14"/>
    </row>
    <row r="295" spans="1:15" x14ac:dyDescent="0.3">
      <c r="A295" s="636">
        <v>3</v>
      </c>
      <c r="B295" s="100" t="s">
        <v>109</v>
      </c>
      <c r="C295" s="52">
        <v>33</v>
      </c>
      <c r="D295" s="1773" t="s">
        <v>3380</v>
      </c>
      <c r="E295" s="52" t="s">
        <v>3381</v>
      </c>
      <c r="F295" s="4">
        <v>1</v>
      </c>
      <c r="G295" s="6">
        <v>1163.9027000000001</v>
      </c>
      <c r="H295" s="6">
        <v>1163.9027000000001</v>
      </c>
      <c r="I295" s="20">
        <f t="shared" si="11"/>
        <v>0</v>
      </c>
      <c r="J295" s="616">
        <v>240000</v>
      </c>
      <c r="K295" s="704"/>
      <c r="L295" s="775">
        <f t="shared" si="12"/>
        <v>0</v>
      </c>
      <c r="M295" s="22"/>
      <c r="N295" s="82"/>
      <c r="O295" s="14"/>
    </row>
    <row r="296" spans="1:15" x14ac:dyDescent="0.3">
      <c r="A296" s="636">
        <v>2</v>
      </c>
      <c r="B296" s="100" t="s">
        <v>3382</v>
      </c>
      <c r="C296" s="52">
        <v>33</v>
      </c>
      <c r="D296" s="1773" t="s">
        <v>326</v>
      </c>
      <c r="E296" s="52" t="s">
        <v>3383</v>
      </c>
      <c r="F296" s="4">
        <v>1</v>
      </c>
      <c r="G296" s="6">
        <v>2267.1260000000002</v>
      </c>
      <c r="H296" s="6">
        <v>2295.9499000000001</v>
      </c>
      <c r="I296" s="20">
        <f t="shared" si="11"/>
        <v>28.823899999999867</v>
      </c>
      <c r="J296" s="616">
        <v>240000</v>
      </c>
      <c r="K296" s="703"/>
      <c r="L296" s="22">
        <f t="shared" si="12"/>
        <v>6917735.9999999683</v>
      </c>
      <c r="M296" s="22"/>
      <c r="N296" s="82" t="e">
        <f>(#REF!-#REF!)/#REF!*100</f>
        <v>#REF!</v>
      </c>
      <c r="O296" s="15"/>
    </row>
    <row r="297" spans="1:15" x14ac:dyDescent="0.3">
      <c r="A297" s="636">
        <v>1</v>
      </c>
      <c r="B297" s="100" t="s">
        <v>3384</v>
      </c>
      <c r="C297" s="52">
        <v>33</v>
      </c>
      <c r="D297" s="1773" t="s">
        <v>326</v>
      </c>
      <c r="E297" s="52" t="s">
        <v>3385</v>
      </c>
      <c r="F297" s="4">
        <v>1</v>
      </c>
      <c r="G297" s="6">
        <v>2.3050000000000002</v>
      </c>
      <c r="H297" s="6">
        <v>2.3050000000000002</v>
      </c>
      <c r="I297" s="20">
        <f t="shared" si="11"/>
        <v>0</v>
      </c>
      <c r="J297" s="616">
        <v>240000</v>
      </c>
      <c r="K297" s="704"/>
      <c r="L297" s="22">
        <f t="shared" si="12"/>
        <v>0</v>
      </c>
      <c r="M297" s="22"/>
      <c r="N297" s="82"/>
      <c r="O297" s="10"/>
    </row>
    <row r="298" spans="1:15" x14ac:dyDescent="0.3">
      <c r="A298" s="636"/>
      <c r="B298" s="100" t="s">
        <v>106</v>
      </c>
      <c r="C298" s="52">
        <v>33</v>
      </c>
      <c r="D298" s="1773" t="s">
        <v>326</v>
      </c>
      <c r="E298" s="52">
        <v>6604342</v>
      </c>
      <c r="F298" s="4">
        <v>1</v>
      </c>
      <c r="G298" s="6">
        <v>2164.9899999999998</v>
      </c>
      <c r="H298" s="6">
        <v>2164.9899999999998</v>
      </c>
      <c r="I298" s="20">
        <f t="shared" si="11"/>
        <v>0</v>
      </c>
      <c r="J298" s="616">
        <v>240000</v>
      </c>
      <c r="K298" s="703"/>
      <c r="L298" s="22">
        <f t="shared" si="12"/>
        <v>0</v>
      </c>
      <c r="M298" s="22"/>
      <c r="N298" s="82"/>
      <c r="O298" s="13"/>
    </row>
    <row r="299" spans="1:15" x14ac:dyDescent="0.3">
      <c r="A299" s="636">
        <v>2</v>
      </c>
      <c r="B299" s="101" t="s">
        <v>3365</v>
      </c>
      <c r="C299" s="52">
        <v>33</v>
      </c>
      <c r="D299" s="1773" t="s">
        <v>326</v>
      </c>
      <c r="E299" s="52" t="s">
        <v>3386</v>
      </c>
      <c r="F299" s="4">
        <v>1</v>
      </c>
      <c r="G299" s="6">
        <v>42.404400000000003</v>
      </c>
      <c r="H299" s="6">
        <v>42.683199999999999</v>
      </c>
      <c r="I299" s="20">
        <f t="shared" si="11"/>
        <v>0.27879999999999683</v>
      </c>
      <c r="J299" s="616">
        <v>240000</v>
      </c>
      <c r="K299" s="705"/>
      <c r="L299" s="22">
        <f t="shared" si="12"/>
        <v>66911.999999999243</v>
      </c>
      <c r="M299" s="22"/>
      <c r="N299" s="82"/>
      <c r="O299" s="30"/>
    </row>
    <row r="300" spans="1:15" x14ac:dyDescent="0.3">
      <c r="A300" s="636">
        <v>4</v>
      </c>
      <c r="B300" s="100" t="s">
        <v>3387</v>
      </c>
      <c r="C300" s="52">
        <v>415</v>
      </c>
      <c r="D300" s="1773" t="s">
        <v>326</v>
      </c>
      <c r="E300" s="52" t="s">
        <v>3388</v>
      </c>
      <c r="F300" s="4">
        <v>1</v>
      </c>
      <c r="G300" s="6">
        <v>123918</v>
      </c>
      <c r="H300" s="6">
        <v>125454</v>
      </c>
      <c r="I300" s="20">
        <f t="shared" si="11"/>
        <v>1536</v>
      </c>
      <c r="J300" s="616">
        <v>1</v>
      </c>
      <c r="K300" s="696"/>
      <c r="L300" s="22">
        <f t="shared" si="12"/>
        <v>1536</v>
      </c>
      <c r="M300" s="22"/>
      <c r="N300" s="82"/>
      <c r="O300" s="616"/>
    </row>
    <row r="301" spans="1:15" x14ac:dyDescent="0.3">
      <c r="A301" s="636"/>
      <c r="B301" s="100"/>
      <c r="C301" s="52"/>
      <c r="D301" s="727"/>
      <c r="E301" s="52"/>
      <c r="F301" s="4"/>
      <c r="G301" s="6"/>
      <c r="H301" s="6"/>
      <c r="I301" s="20"/>
      <c r="J301" s="742" t="s">
        <v>1087</v>
      </c>
      <c r="K301" s="742"/>
      <c r="L301" s="43">
        <f>SUM(L293:L300)</f>
        <v>11057423.99999997</v>
      </c>
      <c r="M301" s="43">
        <f>SUM(M293:M300)</f>
        <v>0</v>
      </c>
      <c r="N301" s="82"/>
      <c r="O301" s="616"/>
    </row>
    <row r="302" spans="1:15" x14ac:dyDescent="0.3">
      <c r="A302" s="11"/>
      <c r="B302" s="100" t="s">
        <v>286</v>
      </c>
      <c r="C302" s="52">
        <v>33</v>
      </c>
      <c r="D302" s="2140" t="s">
        <v>1085</v>
      </c>
      <c r="E302" s="52"/>
      <c r="F302" s="4">
        <v>1</v>
      </c>
      <c r="G302" s="21">
        <v>1009.0058</v>
      </c>
      <c r="H302" s="21">
        <v>1021.5959</v>
      </c>
      <c r="I302" s="20">
        <f>H302-G302</f>
        <v>12.590100000000007</v>
      </c>
      <c r="J302" s="616">
        <v>240000</v>
      </c>
      <c r="K302" s="696"/>
      <c r="L302" s="22">
        <f>J302*I302*F302</f>
        <v>3021624.0000000014</v>
      </c>
      <c r="M302" s="22">
        <f>L302*$K$305/$L$305</f>
        <v>0</v>
      </c>
      <c r="N302" s="82"/>
      <c r="O302" s="9"/>
    </row>
    <row r="303" spans="1:15" x14ac:dyDescent="0.35">
      <c r="A303" s="631"/>
      <c r="B303" s="100" t="s">
        <v>287</v>
      </c>
      <c r="C303" s="52">
        <v>33</v>
      </c>
      <c r="D303" s="2141"/>
      <c r="E303" s="52"/>
      <c r="F303" s="4">
        <v>1</v>
      </c>
      <c r="G303" s="21">
        <v>767.36860000000001</v>
      </c>
      <c r="H303" s="21">
        <v>774.45029999999997</v>
      </c>
      <c r="I303" s="20">
        <f>H303-G303</f>
        <v>7.0816999999999553</v>
      </c>
      <c r="J303" s="616">
        <v>240000</v>
      </c>
      <c r="K303" s="696"/>
      <c r="L303" s="22">
        <f>J303*I303*F303</f>
        <v>1699607.9999999893</v>
      </c>
      <c r="M303" s="22">
        <f>L303*$K$305/$L$305</f>
        <v>0</v>
      </c>
      <c r="N303" s="82"/>
      <c r="O303" s="616"/>
    </row>
    <row r="304" spans="1:15" ht="30" x14ac:dyDescent="0.3">
      <c r="A304" s="636"/>
      <c r="B304" s="96"/>
      <c r="C304" s="90"/>
      <c r="D304" s="90"/>
      <c r="E304" s="90"/>
      <c r="F304" s="793"/>
      <c r="G304" s="38"/>
      <c r="H304" s="38"/>
      <c r="I304" s="618"/>
      <c r="J304" s="95" t="str">
        <f>J301</f>
        <v>TOTAL=</v>
      </c>
      <c r="K304" s="696"/>
      <c r="L304" s="43">
        <f>SUM(L302:L303)</f>
        <v>4721231.9999999907</v>
      </c>
      <c r="M304" s="43">
        <f>SUM(M302:M303)</f>
        <v>0</v>
      </c>
      <c r="N304" s="83"/>
      <c r="O304" s="13"/>
    </row>
    <row r="305" spans="1:15" ht="30" x14ac:dyDescent="0.3">
      <c r="A305" s="636"/>
      <c r="B305" s="96"/>
      <c r="C305" s="90"/>
      <c r="D305" s="90"/>
      <c r="E305" s="90"/>
      <c r="F305" s="793"/>
      <c r="G305" s="38"/>
      <c r="H305" s="38"/>
      <c r="I305" s="618"/>
      <c r="J305" s="95" t="s">
        <v>44</v>
      </c>
      <c r="K305" s="658">
        <f>M291*0.999</f>
        <v>0</v>
      </c>
      <c r="L305" s="44">
        <f>L301+L304</f>
        <v>15778655.999999961</v>
      </c>
      <c r="M305" s="44">
        <f>M301+M304</f>
        <v>0</v>
      </c>
      <c r="N305" s="1915">
        <f>(M305-L305)/L305*100</f>
        <v>-100</v>
      </c>
      <c r="O305" s="71">
        <f>K305-L305</f>
        <v>-15778655.999999961</v>
      </c>
    </row>
    <row r="306" spans="1:15" x14ac:dyDescent="0.35">
      <c r="E306" s="2092" t="s">
        <v>211</v>
      </c>
      <c r="F306" s="2092"/>
      <c r="G306" s="2092"/>
      <c r="H306" s="2092"/>
      <c r="I306" s="69" t="s">
        <v>293</v>
      </c>
      <c r="J306" s="69" t="s">
        <v>294</v>
      </c>
    </row>
    <row r="307" spans="1:15" ht="17.5" x14ac:dyDescent="0.35">
      <c r="E307" s="2233" t="s">
        <v>302</v>
      </c>
      <c r="F307" s="2234"/>
      <c r="G307" s="2234"/>
      <c r="H307" s="2235"/>
      <c r="I307" s="103">
        <f>M304</f>
        <v>0</v>
      </c>
      <c r="J307" s="70"/>
    </row>
    <row r="308" spans="1:15" ht="17.5" x14ac:dyDescent="0.35">
      <c r="E308" s="2233" t="s">
        <v>295</v>
      </c>
      <c r="F308" s="2234"/>
      <c r="G308" s="2234"/>
      <c r="H308" s="2235"/>
      <c r="I308" s="103">
        <f>SUM(M293,M294)</f>
        <v>0</v>
      </c>
      <c r="J308" s="70"/>
    </row>
    <row r="309" spans="1:15" ht="17.5" x14ac:dyDescent="0.35">
      <c r="B309" s="635" t="s">
        <v>237</v>
      </c>
      <c r="E309" s="2233" t="s">
        <v>296</v>
      </c>
      <c r="F309" s="2234"/>
      <c r="G309" s="2234"/>
      <c r="H309" s="2235"/>
      <c r="I309" s="103">
        <f>M295</f>
        <v>0</v>
      </c>
      <c r="J309" s="70"/>
    </row>
    <row r="310" spans="1:15" ht="17.5" x14ac:dyDescent="0.35">
      <c r="E310" s="2233" t="s">
        <v>297</v>
      </c>
      <c r="F310" s="2234"/>
      <c r="G310" s="2234"/>
      <c r="H310" s="2235"/>
      <c r="I310" s="103">
        <f>SUM(M296)</f>
        <v>0</v>
      </c>
      <c r="J310" s="70"/>
    </row>
    <row r="311" spans="1:15" ht="17.5" x14ac:dyDescent="0.35">
      <c r="E311" s="2233" t="s">
        <v>290</v>
      </c>
      <c r="F311" s="2234"/>
      <c r="G311" s="2234"/>
      <c r="H311" s="2235"/>
      <c r="I311" s="103">
        <f>SUM(M297)</f>
        <v>0</v>
      </c>
      <c r="J311" s="70"/>
    </row>
    <row r="312" spans="1:15" ht="17.5" x14ac:dyDescent="0.35">
      <c r="E312" s="2233" t="s">
        <v>298</v>
      </c>
      <c r="F312" s="2234"/>
      <c r="G312" s="2234"/>
      <c r="H312" s="2235"/>
      <c r="I312" s="103">
        <f>SUM(M298)</f>
        <v>0</v>
      </c>
      <c r="J312" s="70"/>
    </row>
    <row r="313" spans="1:15" ht="17.5" x14ac:dyDescent="0.35">
      <c r="E313" s="2233" t="s">
        <v>299</v>
      </c>
      <c r="F313" s="2234"/>
      <c r="G313" s="2234"/>
      <c r="H313" s="2235"/>
      <c r="I313" s="103">
        <f>SUM(M299)</f>
        <v>0</v>
      </c>
      <c r="J313" s="70"/>
    </row>
    <row r="314" spans="1:15" ht="17.5" x14ac:dyDescent="0.35">
      <c r="E314" s="2233" t="s">
        <v>300</v>
      </c>
      <c r="F314" s="2234"/>
      <c r="G314" s="2234"/>
      <c r="H314" s="2235"/>
      <c r="I314" s="103">
        <f>SUM(M300)</f>
        <v>0</v>
      </c>
      <c r="J314" s="70"/>
    </row>
    <row r="315" spans="1:15" ht="17.5" x14ac:dyDescent="0.35">
      <c r="E315" s="2233" t="s">
        <v>301</v>
      </c>
      <c r="F315" s="2234"/>
      <c r="G315" s="2234"/>
      <c r="H315" s="2235"/>
      <c r="I315" s="103" t="e">
        <f>SUM(#REF!)</f>
        <v>#REF!</v>
      </c>
      <c r="J315" s="70"/>
    </row>
    <row r="316" spans="1:15" ht="23.25" customHeight="1" x14ac:dyDescent="0.35">
      <c r="E316" s="620"/>
      <c r="H316" s="655" t="s">
        <v>210</v>
      </c>
      <c r="I316" s="656" t="e">
        <f>SUM(I307:I315)</f>
        <v>#REF!</v>
      </c>
      <c r="J316" s="657" t="e">
        <f>I316-M305</f>
        <v>#REF!</v>
      </c>
    </row>
    <row r="319" spans="1:15" ht="105" x14ac:dyDescent="0.3">
      <c r="A319" s="2095" t="s">
        <v>1137</v>
      </c>
      <c r="B319" s="2095"/>
      <c r="C319" s="2095"/>
      <c r="D319" s="2095"/>
      <c r="E319" s="2095"/>
      <c r="F319" s="2095"/>
      <c r="G319" s="2095"/>
      <c r="H319" s="2095"/>
      <c r="I319" s="2095"/>
      <c r="J319" s="2095"/>
      <c r="K319" s="2095"/>
      <c r="L319" s="2095"/>
      <c r="M319" s="2095"/>
      <c r="N319" s="2095"/>
      <c r="O319" s="756" t="str">
        <f>$O$6</f>
        <v>Month December-2022</v>
      </c>
    </row>
    <row r="320" spans="1:15" x14ac:dyDescent="0.35">
      <c r="A320" s="2223" t="s">
        <v>0</v>
      </c>
      <c r="B320" s="2224" t="s">
        <v>1</v>
      </c>
      <c r="C320" s="2225" t="s">
        <v>2</v>
      </c>
      <c r="D320" s="2226"/>
      <c r="E320" s="2227"/>
      <c r="F320" s="2228" t="s">
        <v>3</v>
      </c>
      <c r="G320" s="2225" t="s">
        <v>4</v>
      </c>
      <c r="H320" s="2227"/>
      <c r="I320" s="2231"/>
      <c r="J320" s="2232" t="s">
        <v>5</v>
      </c>
      <c r="K320" s="2225" t="s">
        <v>6</v>
      </c>
      <c r="L320" s="2231"/>
      <c r="M320" s="24" t="s">
        <v>32</v>
      </c>
      <c r="N320" s="76"/>
      <c r="O320" s="2084" t="s">
        <v>7</v>
      </c>
    </row>
    <row r="321" spans="1:15" x14ac:dyDescent="0.3">
      <c r="A321" s="2097"/>
      <c r="B321" s="2099"/>
      <c r="C321" s="87" t="s">
        <v>8</v>
      </c>
      <c r="D321" s="718"/>
      <c r="E321" s="87" t="s">
        <v>9</v>
      </c>
      <c r="F321" s="2229"/>
      <c r="G321" s="2">
        <f>'NORTH-1'!$G$8</f>
        <v>44774</v>
      </c>
      <c r="H321" s="2">
        <f>'NORTH-1'!$H$8</f>
        <v>44805</v>
      </c>
      <c r="I321" s="1" t="s">
        <v>10</v>
      </c>
      <c r="J321" s="2097"/>
      <c r="K321" s="1" t="s">
        <v>11</v>
      </c>
      <c r="L321" s="1" t="s">
        <v>12</v>
      </c>
      <c r="M321" s="617" t="s">
        <v>33</v>
      </c>
      <c r="N321" s="76" t="s">
        <v>47</v>
      </c>
      <c r="O321" s="2085"/>
    </row>
    <row r="322" spans="1:15" x14ac:dyDescent="0.3">
      <c r="A322" s="3">
        <v>1</v>
      </c>
      <c r="B322" s="88">
        <v>2</v>
      </c>
      <c r="C322" s="88">
        <v>4</v>
      </c>
      <c r="D322" s="719"/>
      <c r="E322" s="88">
        <v>5</v>
      </c>
      <c r="F322" s="786">
        <v>7</v>
      </c>
      <c r="G322" s="3">
        <v>8</v>
      </c>
      <c r="H322" s="3">
        <v>9</v>
      </c>
      <c r="I322" s="3" t="s">
        <v>13</v>
      </c>
      <c r="J322" s="3">
        <v>11</v>
      </c>
      <c r="K322" s="3" t="s">
        <v>19</v>
      </c>
      <c r="L322" s="3" t="s">
        <v>20</v>
      </c>
      <c r="M322" s="3">
        <v>14</v>
      </c>
      <c r="N322" s="77">
        <v>15</v>
      </c>
      <c r="O322" s="3">
        <v>16</v>
      </c>
    </row>
    <row r="323" spans="1:15" ht="15" x14ac:dyDescent="0.3">
      <c r="A323" s="636"/>
      <c r="B323" s="624" t="s">
        <v>1127</v>
      </c>
      <c r="C323" s="625"/>
      <c r="D323" s="625"/>
      <c r="E323" s="625"/>
      <c r="F323" s="787"/>
      <c r="G323" s="625"/>
      <c r="H323" s="625"/>
      <c r="I323" s="625"/>
      <c r="J323" s="625"/>
      <c r="K323" s="695"/>
      <c r="L323" s="625"/>
      <c r="M323" s="626"/>
      <c r="N323" s="627"/>
      <c r="O323" s="12"/>
    </row>
    <row r="324" spans="1:15" x14ac:dyDescent="0.3">
      <c r="A324" s="616">
        <v>1</v>
      </c>
      <c r="B324" s="100" t="s">
        <v>3389</v>
      </c>
      <c r="C324" s="73">
        <v>11</v>
      </c>
      <c r="D324" s="1779" t="s">
        <v>339</v>
      </c>
      <c r="E324" s="52" t="s">
        <v>304</v>
      </c>
      <c r="F324" s="4">
        <v>1</v>
      </c>
      <c r="G324" s="5"/>
      <c r="H324" s="5"/>
      <c r="I324" s="21">
        <f>H324-G324</f>
        <v>0</v>
      </c>
      <c r="J324" s="31">
        <v>160000</v>
      </c>
      <c r="K324" s="707">
        <f>J324*I324*F324</f>
        <v>0</v>
      </c>
      <c r="L324" s="22"/>
      <c r="M324" s="22"/>
      <c r="N324" s="83"/>
      <c r="O324" s="12"/>
    </row>
    <row r="325" spans="1:15" x14ac:dyDescent="0.3">
      <c r="A325" s="616">
        <v>2</v>
      </c>
      <c r="B325" s="100" t="s">
        <v>1711</v>
      </c>
      <c r="C325" s="73">
        <v>11</v>
      </c>
      <c r="D325" s="1851" t="s">
        <v>339</v>
      </c>
      <c r="E325" s="52">
        <v>30799464</v>
      </c>
      <c r="F325" s="4">
        <v>1</v>
      </c>
      <c r="G325" s="5"/>
      <c r="H325" s="5"/>
      <c r="I325" s="21">
        <f>H325-G325</f>
        <v>0</v>
      </c>
      <c r="J325" s="31">
        <v>160000</v>
      </c>
      <c r="K325" s="707">
        <f>J325*I325*F325</f>
        <v>0</v>
      </c>
      <c r="L325" s="22"/>
      <c r="M325" s="22"/>
      <c r="N325" s="83"/>
      <c r="O325" s="12"/>
    </row>
    <row r="326" spans="1:15" ht="15" x14ac:dyDescent="0.3">
      <c r="A326" s="636"/>
      <c r="B326" s="620"/>
      <c r="C326" s="90"/>
      <c r="D326" s="90"/>
      <c r="E326" s="90"/>
      <c r="F326" s="793"/>
      <c r="G326" s="38"/>
      <c r="H326" s="38"/>
      <c r="I326" s="38"/>
      <c r="J326" s="96" t="s">
        <v>30</v>
      </c>
      <c r="K326" s="708">
        <f>SUM(K324:K325)</f>
        <v>0</v>
      </c>
      <c r="L326" s="43"/>
      <c r="M326" s="43">
        <f>SUM(M324:M325)</f>
        <v>0</v>
      </c>
      <c r="N326" s="83"/>
      <c r="O326" s="12"/>
    </row>
    <row r="327" spans="1:15" x14ac:dyDescent="0.3">
      <c r="A327" s="23"/>
      <c r="B327" s="647" t="s">
        <v>1127</v>
      </c>
      <c r="C327" s="648"/>
      <c r="D327" s="648"/>
      <c r="E327" s="648"/>
      <c r="F327" s="789"/>
      <c r="G327" s="648"/>
      <c r="H327" s="648"/>
      <c r="I327" s="648"/>
      <c r="J327" s="648"/>
      <c r="K327" s="700"/>
      <c r="L327" s="648"/>
      <c r="M327" s="651"/>
      <c r="N327" s="649"/>
      <c r="O327" s="14"/>
    </row>
    <row r="328" spans="1:15" ht="30" x14ac:dyDescent="0.35">
      <c r="A328" s="631">
        <v>1</v>
      </c>
      <c r="B328" s="100" t="s">
        <v>3390</v>
      </c>
      <c r="C328" s="73">
        <v>11</v>
      </c>
      <c r="D328" s="1781" t="s">
        <v>267</v>
      </c>
      <c r="E328" s="52">
        <v>30799488</v>
      </c>
      <c r="F328" s="4">
        <v>1</v>
      </c>
      <c r="G328" s="6"/>
      <c r="H328" s="6"/>
      <c r="I328" s="20">
        <f t="shared" ref="I328:I336" si="13">H328-G328</f>
        <v>0</v>
      </c>
      <c r="J328" s="616">
        <v>60000</v>
      </c>
      <c r="K328" s="703"/>
      <c r="L328" s="22">
        <f>J328*I328*F328</f>
        <v>0</v>
      </c>
      <c r="M328" s="22"/>
      <c r="N328" s="72" t="s">
        <v>110</v>
      </c>
      <c r="O328" s="15"/>
    </row>
    <row r="329" spans="1:15" ht="30" x14ac:dyDescent="0.35">
      <c r="A329" s="631">
        <v>2</v>
      </c>
      <c r="B329" s="100" t="s">
        <v>3391</v>
      </c>
      <c r="C329" s="73">
        <v>11</v>
      </c>
      <c r="D329" s="1782" t="s">
        <v>267</v>
      </c>
      <c r="E329" s="52">
        <v>307994528</v>
      </c>
      <c r="F329" s="4">
        <v>1</v>
      </c>
      <c r="G329" s="6"/>
      <c r="H329" s="6"/>
      <c r="I329" s="20">
        <f t="shared" si="13"/>
        <v>0</v>
      </c>
      <c r="J329" s="616">
        <v>60000</v>
      </c>
      <c r="K329" s="703"/>
      <c r="L329" s="22">
        <f>J329*I329*F329</f>
        <v>0</v>
      </c>
      <c r="M329" s="22"/>
      <c r="N329" s="72" t="s">
        <v>110</v>
      </c>
      <c r="O329" s="15"/>
    </row>
    <row r="330" spans="1:15" ht="30" x14ac:dyDescent="0.35">
      <c r="A330" s="631">
        <v>3</v>
      </c>
      <c r="B330" s="100" t="s">
        <v>3392</v>
      </c>
      <c r="C330" s="73">
        <v>11</v>
      </c>
      <c r="D330" s="1782" t="s">
        <v>267</v>
      </c>
      <c r="E330" s="52">
        <v>30799497</v>
      </c>
      <c r="F330" s="4">
        <v>1</v>
      </c>
      <c r="G330" s="6"/>
      <c r="H330" s="6"/>
      <c r="I330" s="20">
        <f t="shared" si="13"/>
        <v>0</v>
      </c>
      <c r="J330" s="616">
        <v>60000</v>
      </c>
      <c r="K330" s="703"/>
      <c r="L330" s="22">
        <f>J330*I330*F330</f>
        <v>0</v>
      </c>
      <c r="M330" s="22"/>
      <c r="N330" s="72" t="s">
        <v>110</v>
      </c>
      <c r="O330" s="15"/>
    </row>
    <row r="331" spans="1:15" ht="30" x14ac:dyDescent="0.35">
      <c r="A331" s="631">
        <v>4</v>
      </c>
      <c r="B331" s="100" t="s">
        <v>3393</v>
      </c>
      <c r="C331" s="73">
        <v>11</v>
      </c>
      <c r="D331" s="1782" t="s">
        <v>267</v>
      </c>
      <c r="E331" s="52">
        <v>30799497</v>
      </c>
      <c r="F331" s="4">
        <v>1</v>
      </c>
      <c r="G331" s="6"/>
      <c r="H331" s="6"/>
      <c r="I331" s="20">
        <f t="shared" si="13"/>
        <v>0</v>
      </c>
      <c r="J331" s="616">
        <v>60000</v>
      </c>
      <c r="K331" s="703"/>
      <c r="L331" s="22">
        <v>650000</v>
      </c>
      <c r="M331" s="22"/>
      <c r="N331" s="72" t="s">
        <v>110</v>
      </c>
      <c r="O331" s="15"/>
    </row>
    <row r="332" spans="1:15" ht="30" x14ac:dyDescent="0.35">
      <c r="A332" s="631">
        <v>1</v>
      </c>
      <c r="B332" s="100" t="s">
        <v>3394</v>
      </c>
      <c r="C332" s="73">
        <v>11</v>
      </c>
      <c r="D332" s="1782" t="s">
        <v>267</v>
      </c>
      <c r="E332" s="52">
        <v>30799487</v>
      </c>
      <c r="F332" s="4">
        <v>1</v>
      </c>
      <c r="G332" s="6"/>
      <c r="H332" s="6"/>
      <c r="I332" s="20">
        <f t="shared" si="13"/>
        <v>0</v>
      </c>
      <c r="J332" s="616">
        <v>60000</v>
      </c>
      <c r="K332" s="703"/>
      <c r="L332" s="22">
        <f>J332*I332*F332</f>
        <v>0</v>
      </c>
      <c r="M332" s="22"/>
      <c r="N332" s="72" t="s">
        <v>110</v>
      </c>
      <c r="O332" s="15"/>
    </row>
    <row r="333" spans="1:15" ht="30" x14ac:dyDescent="0.35">
      <c r="A333" s="631">
        <v>2</v>
      </c>
      <c r="B333" s="100" t="s">
        <v>3395</v>
      </c>
      <c r="C333" s="73">
        <v>11</v>
      </c>
      <c r="D333" s="1782" t="s">
        <v>267</v>
      </c>
      <c r="E333" s="52" t="s">
        <v>3396</v>
      </c>
      <c r="F333" s="4">
        <v>1</v>
      </c>
      <c r="G333" s="6"/>
      <c r="H333" s="6"/>
      <c r="I333" s="20">
        <f t="shared" si="13"/>
        <v>0</v>
      </c>
      <c r="J333" s="616">
        <v>60000</v>
      </c>
      <c r="K333" s="703"/>
      <c r="L333" s="22">
        <f>J333*I333*F333</f>
        <v>0</v>
      </c>
      <c r="M333" s="22"/>
      <c r="N333" s="72" t="s">
        <v>110</v>
      </c>
      <c r="O333" s="15"/>
    </row>
    <row r="334" spans="1:15" ht="30" x14ac:dyDescent="0.35">
      <c r="A334" s="631">
        <v>3</v>
      </c>
      <c r="B334" s="100" t="s">
        <v>3397</v>
      </c>
      <c r="C334" s="73">
        <v>11</v>
      </c>
      <c r="D334" s="1782" t="s">
        <v>267</v>
      </c>
      <c r="E334" s="52">
        <v>30799461</v>
      </c>
      <c r="F334" s="4">
        <v>1</v>
      </c>
      <c r="G334" s="6"/>
      <c r="H334" s="6"/>
      <c r="I334" s="20">
        <f t="shared" si="13"/>
        <v>0</v>
      </c>
      <c r="J334" s="616">
        <v>60000</v>
      </c>
      <c r="K334" s="703"/>
      <c r="L334" s="22">
        <f>J334*I334*F334</f>
        <v>0</v>
      </c>
      <c r="M334" s="22"/>
      <c r="N334" s="72" t="s">
        <v>110</v>
      </c>
      <c r="O334" s="15"/>
    </row>
    <row r="335" spans="1:15" x14ac:dyDescent="0.35">
      <c r="A335" s="631">
        <v>4</v>
      </c>
      <c r="B335" s="100" t="s">
        <v>305</v>
      </c>
      <c r="C335" s="73">
        <v>11</v>
      </c>
      <c r="D335" s="1782" t="s">
        <v>326</v>
      </c>
      <c r="E335" s="52">
        <v>5395187</v>
      </c>
      <c r="F335" s="4">
        <v>1</v>
      </c>
      <c r="G335" s="6"/>
      <c r="H335" s="6"/>
      <c r="I335" s="20">
        <f t="shared" si="13"/>
        <v>0</v>
      </c>
      <c r="J335" s="616">
        <v>2</v>
      </c>
      <c r="K335" s="703"/>
      <c r="L335" s="22">
        <f>J335*I335*F335</f>
        <v>0</v>
      </c>
      <c r="M335" s="22"/>
      <c r="N335" s="72" t="s">
        <v>110</v>
      </c>
      <c r="O335" s="15"/>
    </row>
    <row r="336" spans="1:15" x14ac:dyDescent="0.35">
      <c r="A336" s="631">
        <v>5</v>
      </c>
      <c r="B336" s="100" t="s">
        <v>306</v>
      </c>
      <c r="C336" s="73">
        <v>11</v>
      </c>
      <c r="D336" s="1783" t="s">
        <v>326</v>
      </c>
      <c r="E336" s="52">
        <v>5379456</v>
      </c>
      <c r="F336" s="4">
        <v>1</v>
      </c>
      <c r="G336" s="6"/>
      <c r="H336" s="6"/>
      <c r="I336" s="20">
        <f t="shared" si="13"/>
        <v>0</v>
      </c>
      <c r="J336" s="616">
        <v>2</v>
      </c>
      <c r="K336" s="703"/>
      <c r="L336" s="22">
        <f>J336*I336*F336</f>
        <v>0</v>
      </c>
      <c r="M336" s="22"/>
      <c r="N336" s="72" t="s">
        <v>110</v>
      </c>
      <c r="O336" s="15"/>
    </row>
    <row r="337" spans="1:15" ht="30" x14ac:dyDescent="0.3">
      <c r="A337" s="636"/>
      <c r="B337" s="96"/>
      <c r="C337" s="90"/>
      <c r="D337" s="90"/>
      <c r="E337" s="90"/>
      <c r="F337" s="793"/>
      <c r="G337" s="38"/>
      <c r="H337" s="38"/>
      <c r="I337" s="38"/>
      <c r="J337" s="96" t="s">
        <v>44</v>
      </c>
      <c r="K337" s="43">
        <f>M326</f>
        <v>0</v>
      </c>
      <c r="L337" s="45">
        <f>SUM(L328:L336)</f>
        <v>650000</v>
      </c>
      <c r="M337" s="45">
        <f>SUM(M328:M336)</f>
        <v>0</v>
      </c>
      <c r="N337" s="712">
        <f>(M337-L337)/L337*100</f>
        <v>-100</v>
      </c>
      <c r="O337" s="29"/>
    </row>
    <row r="338" spans="1:15" x14ac:dyDescent="0.35">
      <c r="E338" s="2092" t="s">
        <v>211</v>
      </c>
      <c r="F338" s="2092"/>
      <c r="G338" s="2092"/>
      <c r="H338" s="2092"/>
    </row>
    <row r="339" spans="1:15" x14ac:dyDescent="0.35">
      <c r="E339" s="2082" t="s">
        <v>235</v>
      </c>
      <c r="F339" s="2082"/>
      <c r="G339" s="2082"/>
      <c r="H339" s="2082"/>
      <c r="I339" s="643">
        <f>SUM(M328:M336)</f>
        <v>0</v>
      </c>
      <c r="J339" s="645" t="s">
        <v>14</v>
      </c>
    </row>
    <row r="340" spans="1:15" x14ac:dyDescent="0.35">
      <c r="H340" s="642" t="s">
        <v>210</v>
      </c>
      <c r="I340" s="643">
        <f>SUM(I339:I339)</f>
        <v>0</v>
      </c>
      <c r="J340" s="644">
        <f>I340-M337</f>
        <v>0</v>
      </c>
    </row>
    <row r="351" spans="1:15" ht="25" x14ac:dyDescent="0.3">
      <c r="A351" s="46"/>
      <c r="B351" s="2152" t="s">
        <v>1050</v>
      </c>
      <c r="C351" s="2152"/>
      <c r="D351" s="2152"/>
      <c r="E351" s="2152"/>
      <c r="F351" s="2152"/>
      <c r="G351" s="2152"/>
      <c r="H351" s="2152"/>
      <c r="I351" s="2152"/>
      <c r="J351" s="2152"/>
      <c r="K351" s="2152"/>
      <c r="L351" s="2152"/>
      <c r="M351" s="2152"/>
      <c r="N351" s="1913"/>
      <c r="O351" s="28"/>
    </row>
    <row r="354" spans="1:15" ht="105" x14ac:dyDescent="0.3">
      <c r="A354" s="2095" t="s">
        <v>1138</v>
      </c>
      <c r="B354" s="2095"/>
      <c r="C354" s="2095"/>
      <c r="D354" s="2095"/>
      <c r="E354" s="2095"/>
      <c r="F354" s="2095"/>
      <c r="G354" s="2095"/>
      <c r="H354" s="2095"/>
      <c r="I354" s="2095"/>
      <c r="J354" s="2095"/>
      <c r="K354" s="2095"/>
      <c r="L354" s="2095"/>
      <c r="M354" s="2095"/>
      <c r="N354" s="2095"/>
      <c r="O354" s="756" t="str">
        <f>$O$6</f>
        <v>Month December-2022</v>
      </c>
    </row>
    <row r="355" spans="1:15" x14ac:dyDescent="0.35">
      <c r="A355" s="2223" t="s">
        <v>0</v>
      </c>
      <c r="B355" s="2224" t="s">
        <v>1</v>
      </c>
      <c r="C355" s="2225" t="s">
        <v>2</v>
      </c>
      <c r="D355" s="2226"/>
      <c r="E355" s="2227"/>
      <c r="F355" s="2228" t="s">
        <v>3</v>
      </c>
      <c r="G355" s="2225" t="s">
        <v>4</v>
      </c>
      <c r="H355" s="2227"/>
      <c r="I355" s="2231"/>
      <c r="J355" s="2232" t="s">
        <v>5</v>
      </c>
      <c r="K355" s="2225" t="s">
        <v>6</v>
      </c>
      <c r="L355" s="2227"/>
      <c r="M355" s="24" t="s">
        <v>32</v>
      </c>
      <c r="N355" s="76"/>
      <c r="O355" s="2084" t="s">
        <v>7</v>
      </c>
    </row>
    <row r="356" spans="1:15" x14ac:dyDescent="0.3">
      <c r="A356" s="2097"/>
      <c r="B356" s="2099"/>
      <c r="C356" s="87" t="s">
        <v>8</v>
      </c>
      <c r="D356" s="718"/>
      <c r="E356" s="87" t="s">
        <v>9</v>
      </c>
      <c r="F356" s="2229"/>
      <c r="G356" s="2">
        <f>'NORTH-1'!$G$8</f>
        <v>44774</v>
      </c>
      <c r="H356" s="2">
        <f>'NORTH-1'!$H$8</f>
        <v>44805</v>
      </c>
      <c r="I356" s="1" t="s">
        <v>10</v>
      </c>
      <c r="J356" s="2097"/>
      <c r="K356" s="1" t="s">
        <v>11</v>
      </c>
      <c r="L356" s="1" t="s">
        <v>12</v>
      </c>
      <c r="M356" s="617" t="s">
        <v>33</v>
      </c>
      <c r="N356" s="76" t="s">
        <v>47</v>
      </c>
      <c r="O356" s="2085"/>
    </row>
    <row r="357" spans="1:15" x14ac:dyDescent="0.3">
      <c r="A357" s="3">
        <v>1</v>
      </c>
      <c r="B357" s="88">
        <v>2</v>
      </c>
      <c r="C357" s="88">
        <v>4</v>
      </c>
      <c r="D357" s="719"/>
      <c r="E357" s="88">
        <v>5</v>
      </c>
      <c r="F357" s="786">
        <v>7</v>
      </c>
      <c r="G357" s="3">
        <v>8</v>
      </c>
      <c r="H357" s="3">
        <v>9</v>
      </c>
      <c r="I357" s="3" t="s">
        <v>13</v>
      </c>
      <c r="J357" s="3">
        <v>11</v>
      </c>
      <c r="K357" s="3" t="s">
        <v>19</v>
      </c>
      <c r="L357" s="3" t="s">
        <v>20</v>
      </c>
      <c r="M357" s="3">
        <v>14</v>
      </c>
      <c r="N357" s="77">
        <v>15</v>
      </c>
      <c r="O357" s="3">
        <v>16</v>
      </c>
    </row>
    <row r="358" spans="1:15" x14ac:dyDescent="0.3">
      <c r="A358" s="11"/>
      <c r="B358" s="624" t="s">
        <v>1112</v>
      </c>
      <c r="C358" s="625"/>
      <c r="D358" s="625"/>
      <c r="E358" s="625"/>
      <c r="F358" s="787"/>
      <c r="G358" s="625"/>
      <c r="H358" s="625"/>
      <c r="I358" s="625"/>
      <c r="J358" s="625"/>
      <c r="K358" s="695"/>
      <c r="L358" s="625"/>
      <c r="M358" s="626"/>
      <c r="N358" s="627"/>
      <c r="O358" s="8"/>
    </row>
    <row r="359" spans="1:15" x14ac:dyDescent="0.35">
      <c r="A359" s="631">
        <v>1</v>
      </c>
      <c r="B359" s="100" t="s">
        <v>3398</v>
      </c>
      <c r="C359" s="52">
        <v>132</v>
      </c>
      <c r="D359" s="727" t="s">
        <v>326</v>
      </c>
      <c r="E359" s="619" t="s">
        <v>3399</v>
      </c>
      <c r="F359" s="4">
        <v>1</v>
      </c>
      <c r="G359" s="5">
        <v>1612.2850000000001</v>
      </c>
      <c r="H359" s="5">
        <v>1628.14</v>
      </c>
      <c r="I359" s="5">
        <f>H359-G359</f>
        <v>15.855000000000018</v>
      </c>
      <c r="J359" s="616">
        <v>960000</v>
      </c>
      <c r="K359" s="707">
        <f>J359*I359*F359</f>
        <v>15220800.000000017</v>
      </c>
      <c r="L359" s="7"/>
      <c r="M359" s="7"/>
      <c r="N359" s="78"/>
      <c r="O359" s="616"/>
    </row>
    <row r="360" spans="1:15" x14ac:dyDescent="0.35">
      <c r="A360" s="631"/>
      <c r="B360" s="100"/>
      <c r="C360" s="52">
        <v>132</v>
      </c>
      <c r="D360" s="727" t="s">
        <v>339</v>
      </c>
      <c r="E360" s="619"/>
      <c r="F360" s="4">
        <v>1</v>
      </c>
      <c r="G360" s="5"/>
      <c r="H360" s="5"/>
      <c r="I360" s="5">
        <f>H360-G360</f>
        <v>0</v>
      </c>
      <c r="J360" s="616">
        <v>960000</v>
      </c>
      <c r="K360" s="707"/>
      <c r="L360" s="16"/>
      <c r="M360" s="16"/>
      <c r="N360" s="79"/>
      <c r="O360" s="616"/>
    </row>
    <row r="361" spans="1:15" x14ac:dyDescent="0.35">
      <c r="A361" s="631">
        <v>2</v>
      </c>
      <c r="B361" s="100" t="s">
        <v>3400</v>
      </c>
      <c r="C361" s="52">
        <v>132</v>
      </c>
      <c r="D361" s="727" t="s">
        <v>326</v>
      </c>
      <c r="E361" s="619" t="s">
        <v>3401</v>
      </c>
      <c r="F361" s="4">
        <v>1</v>
      </c>
      <c r="G361" s="5">
        <v>1407.479</v>
      </c>
      <c r="H361" s="5">
        <v>1423.23</v>
      </c>
      <c r="I361" s="5">
        <f>H361-G361</f>
        <v>15.750999999999976</v>
      </c>
      <c r="J361" s="616">
        <v>960000</v>
      </c>
      <c r="K361" s="707">
        <f>J361*I361*F361</f>
        <v>15120959.999999978</v>
      </c>
      <c r="L361" s="7"/>
      <c r="M361" s="7"/>
      <c r="N361" s="78"/>
      <c r="O361" s="616"/>
    </row>
    <row r="362" spans="1:15" x14ac:dyDescent="0.35">
      <c r="A362" s="631"/>
      <c r="B362" s="100"/>
      <c r="C362" s="52">
        <v>132</v>
      </c>
      <c r="D362" s="727" t="s">
        <v>339</v>
      </c>
      <c r="E362" s="619"/>
      <c r="F362" s="4">
        <v>1</v>
      </c>
      <c r="G362" s="5"/>
      <c r="H362" s="5"/>
      <c r="I362" s="5">
        <f>H362-G362</f>
        <v>0</v>
      </c>
      <c r="J362" s="616">
        <v>960000</v>
      </c>
      <c r="K362" s="713"/>
      <c r="L362" s="17"/>
      <c r="M362" s="17"/>
      <c r="N362" s="80"/>
      <c r="O362" s="616"/>
    </row>
    <row r="363" spans="1:15" x14ac:dyDescent="0.35">
      <c r="A363" s="631"/>
      <c r="B363" s="95"/>
      <c r="C363" s="89"/>
      <c r="D363" s="89"/>
      <c r="E363" s="89"/>
      <c r="F363" s="788"/>
      <c r="G363" s="37"/>
      <c r="H363" s="37"/>
      <c r="I363" s="2242" t="s">
        <v>236</v>
      </c>
      <c r="J363" s="2243"/>
      <c r="K363" s="99">
        <f>SUM(K359:K362)</f>
        <v>30341759.999999993</v>
      </c>
      <c r="L363" s="94">
        <f>SUM(L359:L362)</f>
        <v>0</v>
      </c>
      <c r="M363" s="18"/>
      <c r="N363" s="81"/>
      <c r="O363" s="616"/>
    </row>
    <row r="364" spans="1:15" x14ac:dyDescent="0.35">
      <c r="A364" s="631"/>
      <c r="B364" s="95"/>
      <c r="C364" s="89"/>
      <c r="D364" s="89"/>
      <c r="E364" s="89"/>
      <c r="F364" s="788"/>
      <c r="G364" s="37"/>
      <c r="H364" s="37"/>
      <c r="I364" s="2244" t="s">
        <v>31</v>
      </c>
      <c r="J364" s="2245"/>
      <c r="K364" s="708">
        <f>K363-L363</f>
        <v>30341759.999999993</v>
      </c>
      <c r="L364" s="40"/>
      <c r="M364" s="41"/>
      <c r="O364" s="616"/>
    </row>
    <row r="365" spans="1:15" x14ac:dyDescent="0.35">
      <c r="A365" s="631"/>
      <c r="B365" s="624" t="s">
        <v>1130</v>
      </c>
      <c r="C365" s="625"/>
      <c r="D365" s="625"/>
      <c r="E365" s="625"/>
      <c r="F365" s="787"/>
      <c r="G365" s="625"/>
      <c r="H365" s="625"/>
      <c r="I365" s="625"/>
      <c r="J365" s="625"/>
      <c r="K365" s="695"/>
      <c r="L365" s="625"/>
      <c r="M365" s="626"/>
      <c r="N365" s="627"/>
      <c r="O365" s="616"/>
    </row>
    <row r="366" spans="1:15" x14ac:dyDescent="0.35">
      <c r="A366" s="631">
        <v>1</v>
      </c>
      <c r="B366" s="100" t="s">
        <v>3402</v>
      </c>
      <c r="C366" s="52">
        <v>132</v>
      </c>
      <c r="D366" s="727" t="s">
        <v>339</v>
      </c>
      <c r="E366" s="93" t="s">
        <v>1051</v>
      </c>
      <c r="F366" s="4">
        <v>1</v>
      </c>
      <c r="G366" s="21">
        <v>1405884</v>
      </c>
      <c r="H366" s="21">
        <v>1421080</v>
      </c>
      <c r="I366" s="21">
        <f>H366-G366</f>
        <v>15196</v>
      </c>
      <c r="J366" s="616">
        <v>1000</v>
      </c>
      <c r="K366" s="707">
        <f>J366*I366*F366</f>
        <v>15196000</v>
      </c>
      <c r="L366" s="7"/>
      <c r="M366" s="61"/>
      <c r="N366" s="79"/>
      <c r="O366" s="616"/>
    </row>
    <row r="367" spans="1:15" x14ac:dyDescent="0.35">
      <c r="A367" s="631"/>
      <c r="B367" s="100"/>
      <c r="C367" s="52">
        <v>132</v>
      </c>
      <c r="D367" s="727" t="s">
        <v>326</v>
      </c>
      <c r="E367" s="93"/>
      <c r="F367" s="4">
        <v>1</v>
      </c>
      <c r="G367" s="5"/>
      <c r="H367" s="5"/>
      <c r="I367" s="21">
        <f>H367-G367</f>
        <v>0</v>
      </c>
      <c r="J367" s="616"/>
      <c r="K367" s="707"/>
      <c r="L367" s="16"/>
      <c r="M367" s="61"/>
      <c r="N367" s="79"/>
      <c r="O367" s="616"/>
    </row>
    <row r="368" spans="1:15" x14ac:dyDescent="0.35">
      <c r="A368" s="631">
        <v>2</v>
      </c>
      <c r="B368" s="100" t="s">
        <v>3403</v>
      </c>
      <c r="C368" s="52">
        <v>132</v>
      </c>
      <c r="D368" s="727" t="s">
        <v>339</v>
      </c>
      <c r="E368" s="93" t="s">
        <v>1052</v>
      </c>
      <c r="F368" s="4">
        <v>1</v>
      </c>
      <c r="G368" s="21">
        <v>1355299</v>
      </c>
      <c r="H368" s="21">
        <v>1370484</v>
      </c>
      <c r="I368" s="21">
        <f>H368-G368</f>
        <v>15185</v>
      </c>
      <c r="J368" s="616">
        <v>1000</v>
      </c>
      <c r="K368" s="707">
        <f>J368*I368*F368</f>
        <v>15185000</v>
      </c>
      <c r="L368" s="7"/>
      <c r="M368" s="61"/>
      <c r="N368" s="79"/>
      <c r="O368" s="616"/>
    </row>
    <row r="369" spans="1:16" x14ac:dyDescent="0.35">
      <c r="A369" s="631"/>
      <c r="B369" s="100"/>
      <c r="C369" s="52">
        <v>132</v>
      </c>
      <c r="D369" s="727" t="s">
        <v>326</v>
      </c>
      <c r="E369" s="93"/>
      <c r="F369" s="4">
        <v>1</v>
      </c>
      <c r="G369" s="5"/>
      <c r="H369" s="5"/>
      <c r="I369" s="21">
        <f>H369-G369</f>
        <v>0</v>
      </c>
      <c r="J369" s="616"/>
      <c r="K369" s="713"/>
      <c r="L369" s="17"/>
      <c r="M369" s="62"/>
      <c r="N369" s="80"/>
      <c r="O369" s="616"/>
    </row>
    <row r="370" spans="1:16" x14ac:dyDescent="0.35">
      <c r="A370" s="631"/>
      <c r="B370" s="95"/>
      <c r="C370" s="89"/>
      <c r="D370" s="89"/>
      <c r="E370" s="89"/>
      <c r="F370" s="788"/>
      <c r="G370" s="37"/>
      <c r="H370" s="37"/>
      <c r="I370" s="2242" t="s">
        <v>236</v>
      </c>
      <c r="J370" s="2243"/>
      <c r="K370" s="99">
        <f>SUM(K366:K369)</f>
        <v>30381000</v>
      </c>
      <c r="L370" s="94">
        <f>SUM(L366:L369)</f>
        <v>0</v>
      </c>
      <c r="M370" s="67"/>
      <c r="N370" s="81"/>
      <c r="O370" s="633"/>
    </row>
    <row r="371" spans="1:16" x14ac:dyDescent="0.35">
      <c r="A371" s="631"/>
      <c r="B371" s="95"/>
      <c r="C371" s="89"/>
      <c r="D371" s="89"/>
      <c r="E371" s="89"/>
      <c r="F371" s="788"/>
      <c r="G371" s="37"/>
      <c r="H371" s="37"/>
      <c r="I371" s="2244" t="s">
        <v>31</v>
      </c>
      <c r="J371" s="2245"/>
      <c r="K371" s="708">
        <f>K370-L370</f>
        <v>30381000</v>
      </c>
      <c r="L371" s="40"/>
      <c r="M371" s="66"/>
      <c r="N371" s="631"/>
      <c r="O371" s="633"/>
      <c r="P371"/>
    </row>
    <row r="372" spans="1:16" x14ac:dyDescent="0.35">
      <c r="A372" s="11"/>
      <c r="B372" s="647" t="s">
        <v>1131</v>
      </c>
      <c r="C372" s="648"/>
      <c r="D372" s="648"/>
      <c r="E372" s="648"/>
      <c r="F372" s="789"/>
      <c r="G372" s="648"/>
      <c r="H372" s="648"/>
      <c r="I372" s="648"/>
      <c r="J372" s="648"/>
      <c r="K372" s="700"/>
      <c r="L372" s="648"/>
      <c r="M372" s="651"/>
      <c r="N372" s="649"/>
      <c r="O372" s="8"/>
      <c r="P372"/>
    </row>
    <row r="373" spans="1:16" x14ac:dyDescent="0.35">
      <c r="A373" s="631"/>
      <c r="B373" s="100" t="s">
        <v>1079</v>
      </c>
      <c r="C373" s="52">
        <v>132</v>
      </c>
      <c r="D373" s="730"/>
      <c r="E373" s="615"/>
      <c r="F373" s="4"/>
      <c r="G373" s="5"/>
      <c r="H373" s="5"/>
      <c r="I373" s="5"/>
      <c r="J373" s="616"/>
      <c r="K373" s="696"/>
      <c r="L373" s="16">
        <f>J373*I373*F373</f>
        <v>0</v>
      </c>
      <c r="M373" s="7"/>
      <c r="N373" s="78"/>
      <c r="O373" s="616"/>
      <c r="P373"/>
    </row>
    <row r="374" spans="1:16" x14ac:dyDescent="0.35">
      <c r="A374" s="631"/>
      <c r="B374" s="100" t="s">
        <v>1078</v>
      </c>
      <c r="C374" s="52">
        <v>132</v>
      </c>
      <c r="D374" s="730"/>
      <c r="E374" s="615"/>
      <c r="F374" s="4"/>
      <c r="G374" s="5"/>
      <c r="H374" s="5"/>
      <c r="I374" s="5"/>
      <c r="J374" s="616"/>
      <c r="K374" s="696"/>
      <c r="L374" s="16">
        <f>J374*I374*F374</f>
        <v>0</v>
      </c>
      <c r="M374" s="16"/>
      <c r="N374" s="79"/>
      <c r="O374" s="616"/>
      <c r="P374"/>
    </row>
    <row r="375" spans="1:16" x14ac:dyDescent="0.35">
      <c r="A375" s="631"/>
      <c r="B375" s="95"/>
      <c r="C375" s="89"/>
      <c r="D375" s="89"/>
      <c r="E375" s="89"/>
      <c r="F375" s="788"/>
      <c r="G375" s="37"/>
      <c r="H375" s="37"/>
      <c r="I375" s="37"/>
      <c r="J375" s="95" t="s">
        <v>279</v>
      </c>
      <c r="K375" s="699"/>
      <c r="L375" s="55">
        <f>SUM(L373:L374)</f>
        <v>0</v>
      </c>
      <c r="M375" s="633"/>
      <c r="N375" s="631"/>
      <c r="O375" s="616"/>
      <c r="P375"/>
    </row>
    <row r="376" spans="1:16" x14ac:dyDescent="0.35">
      <c r="A376" s="11"/>
      <c r="B376" s="647" t="s">
        <v>1132</v>
      </c>
      <c r="C376" s="648"/>
      <c r="D376" s="648"/>
      <c r="E376" s="648"/>
      <c r="F376" s="789"/>
      <c r="G376" s="648"/>
      <c r="H376" s="648"/>
      <c r="I376" s="648"/>
      <c r="J376" s="648"/>
      <c r="K376" s="700"/>
      <c r="L376" s="648"/>
      <c r="M376" s="651"/>
      <c r="N376" s="649"/>
      <c r="O376" s="8"/>
      <c r="P376"/>
    </row>
    <row r="377" spans="1:16" x14ac:dyDescent="0.35">
      <c r="A377" s="631">
        <v>3</v>
      </c>
      <c r="B377" s="100" t="s">
        <v>3404</v>
      </c>
      <c r="C377" s="52">
        <v>132</v>
      </c>
      <c r="D377" s="730" t="s">
        <v>326</v>
      </c>
      <c r="E377" s="615"/>
      <c r="F377" s="4">
        <v>1</v>
      </c>
      <c r="G377" s="21">
        <v>1241132</v>
      </c>
      <c r="H377" s="21">
        <v>1256399</v>
      </c>
      <c r="I377" s="21">
        <f>H377-G377</f>
        <v>15267</v>
      </c>
      <c r="J377" s="616">
        <v>1000</v>
      </c>
      <c r="K377" s="696"/>
      <c r="L377" s="22">
        <f>J377*I377*F377</f>
        <v>15267000</v>
      </c>
      <c r="M377" s="7"/>
      <c r="N377" s="78"/>
      <c r="O377" s="616"/>
      <c r="P377"/>
    </row>
    <row r="378" spans="1:16" x14ac:dyDescent="0.35">
      <c r="A378" s="631">
        <v>4</v>
      </c>
      <c r="B378" s="100" t="s">
        <v>1451</v>
      </c>
      <c r="C378" s="52">
        <v>132</v>
      </c>
      <c r="D378" s="730" t="s">
        <v>326</v>
      </c>
      <c r="E378" s="615"/>
      <c r="F378" s="4">
        <v>1</v>
      </c>
      <c r="G378" s="21">
        <v>1230702</v>
      </c>
      <c r="H378" s="21">
        <v>1245867</v>
      </c>
      <c r="I378" s="21">
        <f>H378-G378</f>
        <v>15165</v>
      </c>
      <c r="J378" s="616">
        <v>1000</v>
      </c>
      <c r="K378" s="696"/>
      <c r="L378" s="22">
        <f>J378*I378*F378</f>
        <v>15165000</v>
      </c>
      <c r="M378" s="7"/>
      <c r="N378" s="79"/>
      <c r="O378" s="616"/>
      <c r="P378"/>
    </row>
    <row r="379" spans="1:16" x14ac:dyDescent="0.35">
      <c r="A379" s="631"/>
      <c r="B379" s="95"/>
      <c r="C379" s="89"/>
      <c r="D379" s="89"/>
      <c r="E379" s="89"/>
      <c r="F379" s="788"/>
      <c r="G379" s="37"/>
      <c r="H379" s="37"/>
      <c r="I379" s="37"/>
      <c r="J379" s="95" t="s">
        <v>279</v>
      </c>
      <c r="K379" s="699"/>
      <c r="L379" s="43">
        <f>SUM(L377:L378)</f>
        <v>30432000</v>
      </c>
      <c r="M379" s="43"/>
      <c r="N379" s="712"/>
      <c r="O379" s="616"/>
    </row>
    <row r="380" spans="1:16" customFormat="1" ht="16" thickBot="1" x14ac:dyDescent="0.4">
      <c r="N380" s="1451"/>
    </row>
    <row r="381" spans="1:16" x14ac:dyDescent="0.35">
      <c r="B381" s="2142" t="s">
        <v>1090</v>
      </c>
      <c r="C381" s="2143"/>
      <c r="D381" s="683" t="s">
        <v>14</v>
      </c>
      <c r="E381"/>
      <c r="F381" s="2144" t="s">
        <v>1091</v>
      </c>
      <c r="G381" s="2145"/>
      <c r="H381" s="2146"/>
      <c r="I381" s="683" t="s">
        <v>14</v>
      </c>
      <c r="K381" s="2147" t="s">
        <v>1092</v>
      </c>
      <c r="L381" s="2148"/>
      <c r="M381" s="684" t="s">
        <v>14</v>
      </c>
    </row>
    <row r="382" spans="1:16" x14ac:dyDescent="0.35">
      <c r="B382" s="2122" t="str">
        <f>B358</f>
        <v>RAMPURA 132 KV SIDE (TARIFF POINT)</v>
      </c>
      <c r="C382" s="2123"/>
      <c r="D382" s="689">
        <f>K364</f>
        <v>30341759.999999993</v>
      </c>
      <c r="E382"/>
      <c r="F382" s="2124" t="s">
        <v>1093</v>
      </c>
      <c r="G382" s="2125"/>
      <c r="H382" s="2126"/>
      <c r="I382" s="689">
        <f>L375</f>
        <v>0</v>
      </c>
      <c r="K382" s="2129" t="s">
        <v>4625</v>
      </c>
      <c r="L382" s="2130"/>
      <c r="M382" s="687">
        <f>I383</f>
        <v>30432000</v>
      </c>
    </row>
    <row r="383" spans="1:16" x14ac:dyDescent="0.35">
      <c r="B383" s="2122" t="s">
        <v>1116</v>
      </c>
      <c r="C383" s="2123"/>
      <c r="D383" s="689"/>
      <c r="E383"/>
      <c r="F383" s="2124" t="s">
        <v>4625</v>
      </c>
      <c r="G383" s="2125"/>
      <c r="H383" s="2126"/>
      <c r="I383" s="687">
        <f>L379</f>
        <v>30432000</v>
      </c>
      <c r="K383" s="2127" t="s">
        <v>2455</v>
      </c>
      <c r="L383" s="2128"/>
      <c r="M383" s="1908">
        <f>D387</f>
        <v>20354000</v>
      </c>
    </row>
    <row r="384" spans="1:16" x14ac:dyDescent="0.35">
      <c r="B384" s="2122" t="s">
        <v>1117</v>
      </c>
      <c r="C384" s="2123"/>
      <c r="D384" s="689"/>
      <c r="E384"/>
      <c r="F384" s="2124" t="s">
        <v>1089</v>
      </c>
      <c r="G384" s="2125"/>
      <c r="H384" s="2126"/>
      <c r="I384" s="689">
        <f>I382+I383</f>
        <v>30432000</v>
      </c>
      <c r="K384" s="2129" t="s">
        <v>4622</v>
      </c>
      <c r="L384" s="2130"/>
      <c r="M384" s="689">
        <f>M382-M383</f>
        <v>10078000</v>
      </c>
    </row>
    <row r="385" spans="1:15" ht="16" thickBot="1" x14ac:dyDescent="0.4">
      <c r="B385" s="2122" t="s">
        <v>1118</v>
      </c>
      <c r="C385" s="2123"/>
      <c r="D385" s="722"/>
      <c r="E385"/>
      <c r="F385" s="2131" t="s">
        <v>4626</v>
      </c>
      <c r="G385" s="2132"/>
      <c r="H385" s="2133"/>
      <c r="I385" s="689">
        <f>D386-I384</f>
        <v>-90240.000000007451</v>
      </c>
      <c r="K385" s="2134" t="s">
        <v>285</v>
      </c>
      <c r="L385" s="2135"/>
      <c r="M385" s="1905">
        <f>M384/M382</f>
        <v>0.331164563617245</v>
      </c>
    </row>
    <row r="386" spans="1:15" ht="16" thickBot="1" x14ac:dyDescent="0.4">
      <c r="B386" s="2109" t="s">
        <v>4620</v>
      </c>
      <c r="C386" s="2110"/>
      <c r="D386" s="1435">
        <f>SUM(D382:D385)</f>
        <v>30341759.999999993</v>
      </c>
      <c r="E386"/>
      <c r="F386" s="2113" t="s">
        <v>2454</v>
      </c>
      <c r="G386" s="2114"/>
      <c r="H386" s="2115"/>
      <c r="I386" s="1904">
        <f>I385/I384</f>
        <v>-2.9652996845428315E-3</v>
      </c>
    </row>
    <row r="387" spans="1:15" x14ac:dyDescent="0.35">
      <c r="B387" s="2116" t="s">
        <v>4624</v>
      </c>
      <c r="C387" s="2117"/>
      <c r="D387" s="1908">
        <f>K400</f>
        <v>20354000</v>
      </c>
      <c r="E387"/>
      <c r="F387" s="791"/>
      <c r="G387"/>
      <c r="H387"/>
      <c r="I387"/>
      <c r="J387"/>
    </row>
    <row r="388" spans="1:15" x14ac:dyDescent="0.35">
      <c r="B388" s="2118" t="s">
        <v>4627</v>
      </c>
      <c r="C388" s="2119"/>
      <c r="D388" s="1436">
        <f>D386-D387</f>
        <v>9987759.9999999925</v>
      </c>
      <c r="E388"/>
      <c r="F388" s="791"/>
      <c r="G388"/>
      <c r="H388"/>
      <c r="I388"/>
      <c r="J388"/>
    </row>
    <row r="389" spans="1:15" ht="16" thickBot="1" x14ac:dyDescent="0.4">
      <c r="B389" s="2120" t="str">
        <f>K385</f>
        <v>LOSS % IN =&gt;</v>
      </c>
      <c r="C389" s="2121"/>
      <c r="D389" s="1899">
        <f>D388/D382</f>
        <v>0.32917536754624632</v>
      </c>
      <c r="E389"/>
      <c r="F389" s="791"/>
      <c r="G389" s="678"/>
      <c r="H389" s="678"/>
      <c r="I389" s="678"/>
      <c r="J389" s="679"/>
    </row>
    <row r="390" spans="1:15" ht="17.5" x14ac:dyDescent="0.35">
      <c r="E390" s="1906"/>
      <c r="F390" s="1906"/>
      <c r="G390" s="1906"/>
      <c r="H390" s="1906"/>
      <c r="I390" s="1907"/>
    </row>
    <row r="391" spans="1:15" ht="17.5" x14ac:dyDescent="0.35">
      <c r="E391" s="1906"/>
      <c r="F391" s="1906"/>
      <c r="G391" s="1906"/>
      <c r="H391" s="1906"/>
      <c r="I391" s="1907"/>
    </row>
    <row r="392" spans="1:15" ht="17.5" x14ac:dyDescent="0.35">
      <c r="E392" s="1906"/>
      <c r="F392" s="1906"/>
      <c r="G392" s="1906"/>
      <c r="H392" s="1906"/>
      <c r="I392" s="1907"/>
    </row>
    <row r="393" spans="1:15" ht="105" x14ac:dyDescent="0.3">
      <c r="A393" s="2095" t="s">
        <v>1139</v>
      </c>
      <c r="B393" s="2095"/>
      <c r="C393" s="2095"/>
      <c r="D393" s="2095"/>
      <c r="E393" s="2095"/>
      <c r="F393" s="2095"/>
      <c r="G393" s="2095"/>
      <c r="H393" s="2095"/>
      <c r="I393" s="2095"/>
      <c r="J393" s="2095"/>
      <c r="K393" s="2095"/>
      <c r="L393" s="2095"/>
      <c r="M393" s="2095"/>
      <c r="N393" s="2095"/>
      <c r="O393" s="756" t="str">
        <f>$O$6</f>
        <v>Month December-2022</v>
      </c>
    </row>
    <row r="394" spans="1:15" x14ac:dyDescent="0.35">
      <c r="A394" s="2223" t="s">
        <v>0</v>
      </c>
      <c r="B394" s="2224" t="s">
        <v>1</v>
      </c>
      <c r="C394" s="2225" t="s">
        <v>2</v>
      </c>
      <c r="D394" s="2226"/>
      <c r="E394" s="2227"/>
      <c r="F394" s="2228" t="s">
        <v>3</v>
      </c>
      <c r="G394" s="2225" t="s">
        <v>4</v>
      </c>
      <c r="H394" s="2227"/>
      <c r="I394" s="2231"/>
      <c r="J394" s="2232" t="s">
        <v>5</v>
      </c>
      <c r="K394" s="2225" t="s">
        <v>6</v>
      </c>
      <c r="L394" s="2231"/>
      <c r="M394" s="24" t="s">
        <v>32</v>
      </c>
      <c r="N394" s="76"/>
      <c r="O394" s="2084" t="s">
        <v>7</v>
      </c>
    </row>
    <row r="395" spans="1:15" x14ac:dyDescent="0.3">
      <c r="A395" s="2097"/>
      <c r="B395" s="2099"/>
      <c r="C395" s="87" t="s">
        <v>8</v>
      </c>
      <c r="D395" s="718"/>
      <c r="E395" s="87" t="s">
        <v>9</v>
      </c>
      <c r="F395" s="2229"/>
      <c r="G395" s="2">
        <f>'NORTH-1'!$G$8</f>
        <v>44774</v>
      </c>
      <c r="H395" s="2">
        <f>'NORTH-1'!$H$8</f>
        <v>44805</v>
      </c>
      <c r="I395" s="1" t="s">
        <v>10</v>
      </c>
      <c r="J395" s="2097"/>
      <c r="K395" s="1" t="s">
        <v>11</v>
      </c>
      <c r="L395" s="1" t="s">
        <v>12</v>
      </c>
      <c r="M395" s="617" t="s">
        <v>33</v>
      </c>
      <c r="N395" s="76" t="s">
        <v>47</v>
      </c>
      <c r="O395" s="2085"/>
    </row>
    <row r="396" spans="1:15" x14ac:dyDescent="0.3">
      <c r="A396" s="3">
        <v>1</v>
      </c>
      <c r="B396" s="88">
        <v>2</v>
      </c>
      <c r="C396" s="88">
        <v>4</v>
      </c>
      <c r="D396" s="719"/>
      <c r="E396" s="88">
        <v>5</v>
      </c>
      <c r="F396" s="786">
        <v>7</v>
      </c>
      <c r="G396" s="3">
        <v>8</v>
      </c>
      <c r="H396" s="3">
        <v>9</v>
      </c>
      <c r="I396" s="3" t="s">
        <v>13</v>
      </c>
      <c r="J396" s="3">
        <v>11</v>
      </c>
      <c r="K396" s="3" t="s">
        <v>19</v>
      </c>
      <c r="L396" s="3" t="s">
        <v>20</v>
      </c>
      <c r="M396" s="3">
        <v>14</v>
      </c>
      <c r="N396" s="77">
        <v>15</v>
      </c>
      <c r="O396" s="3">
        <v>16</v>
      </c>
    </row>
    <row r="397" spans="1:15" x14ac:dyDescent="0.3">
      <c r="A397" s="11"/>
      <c r="B397" s="624" t="s">
        <v>1133</v>
      </c>
      <c r="C397" s="625"/>
      <c r="D397" s="625"/>
      <c r="E397" s="625"/>
      <c r="F397" s="787"/>
      <c r="G397" s="625"/>
      <c r="H397" s="625"/>
      <c r="I397" s="625"/>
      <c r="J397" s="625"/>
      <c r="K397" s="695"/>
      <c r="L397" s="625"/>
      <c r="M397" s="626"/>
      <c r="N397" s="627"/>
      <c r="O397" s="8"/>
    </row>
    <row r="398" spans="1:15" x14ac:dyDescent="0.35">
      <c r="A398" s="631">
        <v>1</v>
      </c>
      <c r="B398" s="100" t="s">
        <v>3369</v>
      </c>
      <c r="C398" s="52">
        <v>33</v>
      </c>
      <c r="D398" s="727" t="s">
        <v>339</v>
      </c>
      <c r="E398" s="52" t="s">
        <v>1054</v>
      </c>
      <c r="F398" s="4">
        <v>1</v>
      </c>
      <c r="G398" s="21">
        <v>1389659</v>
      </c>
      <c r="H398" s="21">
        <v>1404940</v>
      </c>
      <c r="I398" s="21">
        <f>H398-G398</f>
        <v>15281</v>
      </c>
      <c r="J398" s="616">
        <v>1000</v>
      </c>
      <c r="K398" s="696">
        <f>J398*I398*F398</f>
        <v>15281000</v>
      </c>
      <c r="L398" s="22"/>
      <c r="M398" s="7"/>
      <c r="N398" s="78"/>
      <c r="O398" s="616"/>
    </row>
    <row r="399" spans="1:15" x14ac:dyDescent="0.35">
      <c r="A399" s="631">
        <v>2</v>
      </c>
      <c r="B399" s="100" t="s">
        <v>3369</v>
      </c>
      <c r="C399" s="52">
        <v>33</v>
      </c>
      <c r="D399" s="727" t="s">
        <v>339</v>
      </c>
      <c r="E399" s="52" t="s">
        <v>1055</v>
      </c>
      <c r="F399" s="4">
        <v>1</v>
      </c>
      <c r="G399" s="21">
        <v>461234</v>
      </c>
      <c r="H399" s="21">
        <v>466307</v>
      </c>
      <c r="I399" s="21">
        <f>H399-G399</f>
        <v>5073</v>
      </c>
      <c r="J399" s="616">
        <v>1000</v>
      </c>
      <c r="K399" s="696">
        <f>J399*I399*F399</f>
        <v>5073000</v>
      </c>
      <c r="L399" s="22"/>
      <c r="M399" s="7"/>
      <c r="N399" s="79"/>
      <c r="O399" s="616"/>
    </row>
    <row r="400" spans="1:15" x14ac:dyDescent="0.35">
      <c r="A400" s="631"/>
      <c r="B400" s="95"/>
      <c r="C400" s="89"/>
      <c r="D400" s="89"/>
      <c r="E400" s="89"/>
      <c r="F400" s="788"/>
      <c r="G400" s="37"/>
      <c r="H400" s="37"/>
      <c r="I400" s="37"/>
      <c r="J400" s="95" t="s">
        <v>30</v>
      </c>
      <c r="K400" s="1908">
        <f>SUM(K398:K399)</f>
        <v>20354000</v>
      </c>
      <c r="L400" s="43"/>
      <c r="M400" s="40">
        <f>SUM(M398:M399)</f>
        <v>0</v>
      </c>
      <c r="N400" s="712"/>
      <c r="O400" s="616"/>
    </row>
    <row r="401" spans="1:15" x14ac:dyDescent="0.35">
      <c r="A401" s="631"/>
      <c r="B401" s="647" t="s">
        <v>1133</v>
      </c>
      <c r="C401" s="648"/>
      <c r="D401" s="648"/>
      <c r="E401" s="648"/>
      <c r="F401" s="789"/>
      <c r="G401" s="648"/>
      <c r="H401" s="648"/>
      <c r="I401" s="648"/>
      <c r="J401" s="648"/>
      <c r="K401" s="700"/>
      <c r="L401" s="648"/>
      <c r="M401" s="651"/>
      <c r="N401" s="649"/>
      <c r="O401" s="616"/>
    </row>
    <row r="402" spans="1:15" x14ac:dyDescent="0.35">
      <c r="A402" s="631"/>
      <c r="B402" s="662" t="s">
        <v>38</v>
      </c>
      <c r="C402" s="52"/>
      <c r="D402" s="727"/>
      <c r="E402" s="52"/>
      <c r="F402" s="4"/>
      <c r="G402" s="5"/>
      <c r="H402" s="5"/>
      <c r="I402" s="6"/>
      <c r="J402" s="616"/>
      <c r="K402" s="696"/>
      <c r="L402" s="7"/>
      <c r="M402" s="7"/>
      <c r="N402" s="78"/>
      <c r="O402" s="616"/>
    </row>
    <row r="403" spans="1:15" x14ac:dyDescent="0.3">
      <c r="A403" s="11">
        <v>1</v>
      </c>
      <c r="B403" s="100" t="s">
        <v>1056</v>
      </c>
      <c r="C403" s="52">
        <v>33</v>
      </c>
      <c r="D403" s="727" t="s">
        <v>339</v>
      </c>
      <c r="E403" s="52" t="s">
        <v>1057</v>
      </c>
      <c r="F403" s="4">
        <v>1</v>
      </c>
      <c r="G403" s="21">
        <v>379810</v>
      </c>
      <c r="H403" s="21">
        <v>382191</v>
      </c>
      <c r="I403" s="20">
        <f>H403-G403</f>
        <v>2381</v>
      </c>
      <c r="J403" s="616">
        <v>2000</v>
      </c>
      <c r="K403" s="696"/>
      <c r="L403" s="22">
        <f>J403*I403*F403</f>
        <v>4762000</v>
      </c>
      <c r="M403" s="22"/>
      <c r="N403" s="82"/>
      <c r="O403" s="9"/>
    </row>
    <row r="404" spans="1:15" x14ac:dyDescent="0.35">
      <c r="A404" s="631">
        <v>2</v>
      </c>
      <c r="B404" s="100" t="s">
        <v>3405</v>
      </c>
      <c r="C404" s="52">
        <v>33</v>
      </c>
      <c r="D404" s="727" t="s">
        <v>326</v>
      </c>
      <c r="E404" s="52"/>
      <c r="F404" s="4">
        <v>1</v>
      </c>
      <c r="G404" s="21">
        <v>68034</v>
      </c>
      <c r="H404" s="21">
        <v>69053</v>
      </c>
      <c r="I404" s="20">
        <f>H404-G404</f>
        <v>1019</v>
      </c>
      <c r="J404" s="616">
        <v>2000</v>
      </c>
      <c r="K404" s="696"/>
      <c r="L404" s="22">
        <f>J404*I404*F404</f>
        <v>2038000</v>
      </c>
      <c r="M404" s="22"/>
      <c r="N404" s="82"/>
      <c r="O404" s="616"/>
    </row>
    <row r="405" spans="1:15" x14ac:dyDescent="0.35">
      <c r="A405" s="631">
        <v>2</v>
      </c>
      <c r="B405" s="100" t="s">
        <v>3406</v>
      </c>
      <c r="C405" s="52">
        <v>33</v>
      </c>
      <c r="D405" s="727" t="s">
        <v>326</v>
      </c>
      <c r="E405" s="52" t="s">
        <v>1058</v>
      </c>
      <c r="F405" s="4">
        <v>1</v>
      </c>
      <c r="G405" s="21">
        <v>382456</v>
      </c>
      <c r="H405" s="21">
        <v>384878</v>
      </c>
      <c r="I405" s="20">
        <f>H405-G405</f>
        <v>2422</v>
      </c>
      <c r="J405" s="616">
        <v>2000</v>
      </c>
      <c r="K405" s="696"/>
      <c r="L405" s="22">
        <f>J405*I405*F405</f>
        <v>4844000</v>
      </c>
      <c r="M405" s="22"/>
      <c r="N405" s="82"/>
      <c r="O405" s="616"/>
    </row>
    <row r="406" spans="1:15" x14ac:dyDescent="0.3">
      <c r="A406" s="616"/>
      <c r="B406" s="662" t="s">
        <v>39</v>
      </c>
      <c r="C406" s="89"/>
      <c r="D406" s="89"/>
      <c r="E406" s="89"/>
      <c r="F406" s="788"/>
      <c r="G406" s="37"/>
      <c r="H406" s="37"/>
      <c r="I406" s="37"/>
      <c r="J406" s="95" t="s">
        <v>30</v>
      </c>
      <c r="K406" s="696"/>
      <c r="L406" s="43">
        <f>SUM(L403:L405)</f>
        <v>11644000</v>
      </c>
      <c r="M406" s="43">
        <f>SUM(M403:M405)</f>
        <v>0</v>
      </c>
      <c r="N406" s="83"/>
      <c r="O406" s="12"/>
    </row>
    <row r="407" spans="1:15" x14ac:dyDescent="0.3">
      <c r="A407" s="636">
        <v>3</v>
      </c>
      <c r="B407" s="100" t="s">
        <v>3408</v>
      </c>
      <c r="C407" s="52">
        <v>33</v>
      </c>
      <c r="D407" s="727" t="s">
        <v>326</v>
      </c>
      <c r="E407" s="52" t="s">
        <v>3409</v>
      </c>
      <c r="F407" s="4">
        <v>1</v>
      </c>
      <c r="G407" s="6">
        <v>76471</v>
      </c>
      <c r="H407" s="6">
        <v>78835</v>
      </c>
      <c r="I407" s="20">
        <f>H407-G407</f>
        <v>2364</v>
      </c>
      <c r="J407" s="616">
        <v>2000</v>
      </c>
      <c r="K407" s="703"/>
      <c r="L407" s="22">
        <f>J407*I407*F407</f>
        <v>4728000</v>
      </c>
      <c r="M407" s="22"/>
      <c r="N407" s="82"/>
      <c r="O407" s="15"/>
    </row>
    <row r="408" spans="1:15" x14ac:dyDescent="0.3">
      <c r="A408" s="636">
        <v>1</v>
      </c>
      <c r="B408" s="100" t="s">
        <v>3384</v>
      </c>
      <c r="C408" s="52">
        <v>33</v>
      </c>
      <c r="D408" s="727" t="s">
        <v>326</v>
      </c>
      <c r="E408" s="93" t="s">
        <v>1061</v>
      </c>
      <c r="F408" s="4">
        <v>1</v>
      </c>
      <c r="G408" s="6">
        <v>314868</v>
      </c>
      <c r="H408" s="6">
        <v>318541</v>
      </c>
      <c r="I408" s="20">
        <f>H408-G408</f>
        <v>3673</v>
      </c>
      <c r="J408" s="616">
        <v>2000</v>
      </c>
      <c r="K408" s="704"/>
      <c r="L408" s="22">
        <f>J408*I408*F408</f>
        <v>7346000</v>
      </c>
      <c r="M408" s="22"/>
      <c r="N408" s="82"/>
      <c r="O408" s="14"/>
    </row>
    <row r="409" spans="1:15" x14ac:dyDescent="0.3">
      <c r="A409" s="636">
        <v>3</v>
      </c>
      <c r="B409" s="100" t="s">
        <v>3410</v>
      </c>
      <c r="C409" s="52">
        <v>33</v>
      </c>
      <c r="D409" s="727" t="s">
        <v>326</v>
      </c>
      <c r="E409" s="93" t="s">
        <v>1058</v>
      </c>
      <c r="F409" s="4">
        <v>1</v>
      </c>
      <c r="G409" s="6">
        <v>28689</v>
      </c>
      <c r="H409" s="6">
        <v>29311</v>
      </c>
      <c r="I409" s="20">
        <f>H409-G409</f>
        <v>622</v>
      </c>
      <c r="J409" s="616">
        <v>6000</v>
      </c>
      <c r="K409" s="704"/>
      <c r="L409" s="22">
        <f>J409*I409*F409</f>
        <v>3732000</v>
      </c>
      <c r="M409" s="22"/>
      <c r="N409" s="82"/>
      <c r="O409" s="14"/>
    </row>
    <row r="410" spans="1:15" x14ac:dyDescent="0.3">
      <c r="A410" s="636">
        <v>4</v>
      </c>
      <c r="B410" s="100" t="s">
        <v>3411</v>
      </c>
      <c r="C410" s="52">
        <v>33</v>
      </c>
      <c r="D410" s="727" t="s">
        <v>326</v>
      </c>
      <c r="E410" s="52" t="s">
        <v>3412</v>
      </c>
      <c r="F410" s="4">
        <v>1</v>
      </c>
      <c r="G410" s="6">
        <v>73667</v>
      </c>
      <c r="H410" s="6">
        <v>75139</v>
      </c>
      <c r="I410" s="20">
        <f>H410-G410</f>
        <v>1472</v>
      </c>
      <c r="J410" s="616">
        <v>2000</v>
      </c>
      <c r="K410" s="704"/>
      <c r="L410" s="22">
        <f>J410*I410*F410</f>
        <v>2944000</v>
      </c>
      <c r="M410" s="22"/>
      <c r="N410" s="82"/>
      <c r="O410" s="14"/>
    </row>
    <row r="411" spans="1:15" x14ac:dyDescent="0.3">
      <c r="A411" s="636"/>
      <c r="B411" s="96"/>
      <c r="C411" s="90"/>
      <c r="D411" s="90"/>
      <c r="E411" s="90"/>
      <c r="F411" s="793"/>
      <c r="G411" s="38"/>
      <c r="H411" s="38"/>
      <c r="I411" s="618"/>
      <c r="J411" s="95" t="s">
        <v>30</v>
      </c>
      <c r="K411" s="696"/>
      <c r="L411" s="43">
        <f>SUM(L407:L410)</f>
        <v>18750000</v>
      </c>
      <c r="M411" s="43">
        <f>SUM(M407:M410)</f>
        <v>0</v>
      </c>
      <c r="N411" s="83"/>
      <c r="O411" s="13"/>
    </row>
    <row r="412" spans="1:15" ht="17.5" x14ac:dyDescent="0.3">
      <c r="A412" s="636"/>
      <c r="B412" s="96"/>
      <c r="C412" s="90"/>
      <c r="D412" s="90"/>
      <c r="E412" s="90"/>
      <c r="F412" s="793"/>
      <c r="G412" s="38"/>
      <c r="H412" s="38"/>
      <c r="I412" s="2107" t="s">
        <v>44</v>
      </c>
      <c r="J412" s="2108"/>
      <c r="K412" s="698">
        <f>K400</f>
        <v>20354000</v>
      </c>
      <c r="L412" s="44">
        <f>L406+L411</f>
        <v>30394000</v>
      </c>
      <c r="M412" s="44">
        <f>M406+M411</f>
        <v>0</v>
      </c>
      <c r="N412" s="1915">
        <f>(M412-L412)/L412*100</f>
        <v>-100</v>
      </c>
      <c r="O412" s="71">
        <f>K412-L412</f>
        <v>-10040000</v>
      </c>
    </row>
    <row r="413" spans="1:15" x14ac:dyDescent="0.35">
      <c r="E413" s="2092" t="s">
        <v>211</v>
      </c>
      <c r="F413" s="2092"/>
      <c r="G413" s="2092"/>
      <c r="H413" s="2092"/>
      <c r="I413" s="69" t="s">
        <v>293</v>
      </c>
      <c r="J413" s="69" t="s">
        <v>294</v>
      </c>
    </row>
    <row r="414" spans="1:15" ht="17.5" x14ac:dyDescent="0.35">
      <c r="E414" s="2259" t="s">
        <v>1062</v>
      </c>
      <c r="F414" s="2260"/>
      <c r="G414" s="2260"/>
      <c r="H414" s="2261"/>
      <c r="I414" s="103">
        <f>M406</f>
        <v>0</v>
      </c>
      <c r="J414" s="70"/>
    </row>
    <row r="415" spans="1:15" ht="17.5" x14ac:dyDescent="0.35">
      <c r="E415" s="2259" t="s">
        <v>1059</v>
      </c>
      <c r="F415" s="2260"/>
      <c r="G415" s="2260"/>
      <c r="H415" s="2261"/>
      <c r="I415" s="103">
        <f>M407</f>
        <v>0</v>
      </c>
      <c r="J415" s="70"/>
    </row>
    <row r="416" spans="1:15" ht="17.5" x14ac:dyDescent="0.35">
      <c r="E416" s="2259" t="s">
        <v>1060</v>
      </c>
      <c r="F416" s="2260"/>
      <c r="G416" s="2260"/>
      <c r="H416" s="2261"/>
      <c r="I416" s="103">
        <f>M408</f>
        <v>0</v>
      </c>
      <c r="J416" s="70"/>
    </row>
    <row r="417" spans="1:15" ht="17.5" x14ac:dyDescent="0.35">
      <c r="E417" s="2259" t="s">
        <v>1063</v>
      </c>
      <c r="F417" s="2260"/>
      <c r="G417" s="2260"/>
      <c r="H417" s="2261"/>
      <c r="I417" s="103">
        <f>SUM(M409:M410)</f>
        <v>0</v>
      </c>
      <c r="J417" s="70"/>
    </row>
    <row r="418" spans="1:15" ht="17.5" x14ac:dyDescent="0.35">
      <c r="E418" s="620"/>
      <c r="H418" s="655" t="s">
        <v>210</v>
      </c>
      <c r="I418" s="656">
        <f>SUM(I414:I417)</f>
        <v>0</v>
      </c>
      <c r="J418" s="657">
        <f>I418-M412</f>
        <v>0</v>
      </c>
    </row>
    <row r="421" spans="1:15" ht="105" x14ac:dyDescent="0.3">
      <c r="A421" s="2095" t="s">
        <v>1140</v>
      </c>
      <c r="B421" s="2095"/>
      <c r="C421" s="2095"/>
      <c r="D421" s="2095"/>
      <c r="E421" s="2095"/>
      <c r="F421" s="2095"/>
      <c r="G421" s="2095"/>
      <c r="H421" s="2095"/>
      <c r="I421" s="2095"/>
      <c r="J421" s="2095"/>
      <c r="K421" s="2095"/>
      <c r="L421" s="2095"/>
      <c r="M421" s="2095"/>
      <c r="N421" s="2095"/>
      <c r="O421" s="756" t="str">
        <f>$O$6</f>
        <v>Month December-2022</v>
      </c>
    </row>
    <row r="422" spans="1:15" x14ac:dyDescent="0.35">
      <c r="A422" s="2223" t="s">
        <v>0</v>
      </c>
      <c r="B422" s="2224" t="s">
        <v>1</v>
      </c>
      <c r="C422" s="2225" t="s">
        <v>2</v>
      </c>
      <c r="D422" s="2226"/>
      <c r="E422" s="2227"/>
      <c r="F422" s="2228" t="s">
        <v>3</v>
      </c>
      <c r="G422" s="2225" t="s">
        <v>4</v>
      </c>
      <c r="H422" s="2227"/>
      <c r="I422" s="2231"/>
      <c r="J422" s="2232" t="s">
        <v>5</v>
      </c>
      <c r="K422" s="2225" t="s">
        <v>6</v>
      </c>
      <c r="L422" s="2231"/>
      <c r="M422" s="24" t="s">
        <v>32</v>
      </c>
      <c r="N422" s="76"/>
      <c r="O422" s="2084" t="s">
        <v>7</v>
      </c>
    </row>
    <row r="423" spans="1:15" x14ac:dyDescent="0.3">
      <c r="A423" s="2097"/>
      <c r="B423" s="2099"/>
      <c r="C423" s="87" t="s">
        <v>8</v>
      </c>
      <c r="D423" s="718"/>
      <c r="E423" s="87" t="s">
        <v>9</v>
      </c>
      <c r="F423" s="2229"/>
      <c r="G423" s="2">
        <f>'NORTH-1'!$G$8</f>
        <v>44774</v>
      </c>
      <c r="H423" s="2">
        <f>'NORTH-1'!$H$8</f>
        <v>44805</v>
      </c>
      <c r="I423" s="1" t="s">
        <v>10</v>
      </c>
      <c r="J423" s="2097"/>
      <c r="K423" s="1" t="s">
        <v>11</v>
      </c>
      <c r="L423" s="1" t="s">
        <v>12</v>
      </c>
      <c r="M423" s="617" t="s">
        <v>33</v>
      </c>
      <c r="N423" s="76" t="s">
        <v>47</v>
      </c>
      <c r="O423" s="2085"/>
    </row>
    <row r="424" spans="1:15" x14ac:dyDescent="0.3">
      <c r="A424" s="3">
        <v>1</v>
      </c>
      <c r="B424" s="88">
        <v>2</v>
      </c>
      <c r="C424" s="88">
        <v>4</v>
      </c>
      <c r="D424" s="719"/>
      <c r="E424" s="88">
        <v>5</v>
      </c>
      <c r="F424" s="786">
        <v>7</v>
      </c>
      <c r="G424" s="3">
        <v>8</v>
      </c>
      <c r="H424" s="3">
        <v>9</v>
      </c>
      <c r="I424" s="3" t="s">
        <v>13</v>
      </c>
      <c r="J424" s="3">
        <v>11</v>
      </c>
      <c r="K424" s="3" t="s">
        <v>19</v>
      </c>
      <c r="L424" s="3" t="s">
        <v>20</v>
      </c>
      <c r="M424" s="3">
        <v>14</v>
      </c>
      <c r="N424" s="77">
        <v>15</v>
      </c>
      <c r="O424" s="3">
        <v>16</v>
      </c>
    </row>
    <row r="425" spans="1:15" ht="18.75" customHeight="1" x14ac:dyDescent="0.35">
      <c r="A425" s="631"/>
      <c r="B425" s="624" t="s">
        <v>1134</v>
      </c>
      <c r="C425" s="625"/>
      <c r="D425" s="625"/>
      <c r="E425" s="625"/>
      <c r="F425" s="787"/>
      <c r="G425" s="625"/>
      <c r="H425" s="625"/>
      <c r="I425" s="625"/>
      <c r="J425" s="625"/>
      <c r="K425" s="695"/>
      <c r="L425" s="625"/>
      <c r="M425" s="626"/>
      <c r="N425" s="627"/>
      <c r="O425" s="616"/>
    </row>
    <row r="426" spans="1:15" x14ac:dyDescent="0.3">
      <c r="A426" s="616">
        <v>1</v>
      </c>
      <c r="B426" s="100" t="s">
        <v>3389</v>
      </c>
      <c r="C426" s="73">
        <v>11</v>
      </c>
      <c r="D426" s="729" t="s">
        <v>339</v>
      </c>
      <c r="E426" s="52" t="s">
        <v>3413</v>
      </c>
      <c r="F426" s="4">
        <v>1</v>
      </c>
      <c r="G426" s="20">
        <v>352826.2</v>
      </c>
      <c r="H426" s="20">
        <v>355119.2</v>
      </c>
      <c r="I426" s="21">
        <f>H426-G426</f>
        <v>2293</v>
      </c>
      <c r="J426" s="31">
        <v>2000</v>
      </c>
      <c r="K426" s="707">
        <f>J426*I426*F426</f>
        <v>4586000</v>
      </c>
      <c r="L426" s="22"/>
      <c r="M426" s="22"/>
      <c r="N426" s="83"/>
      <c r="O426" s="12"/>
    </row>
    <row r="427" spans="1:15" x14ac:dyDescent="0.3">
      <c r="A427" s="616">
        <v>2</v>
      </c>
      <c r="B427" s="100" t="s">
        <v>1711</v>
      </c>
      <c r="C427" s="73">
        <v>11</v>
      </c>
      <c r="D427" s="729" t="s">
        <v>339</v>
      </c>
      <c r="E427" s="52" t="s">
        <v>3414</v>
      </c>
      <c r="F427" s="4">
        <v>1</v>
      </c>
      <c r="G427" s="20">
        <v>355589.2</v>
      </c>
      <c r="H427" s="20">
        <v>357999</v>
      </c>
      <c r="I427" s="21">
        <f>H427-G427</f>
        <v>2409.7999999999884</v>
      </c>
      <c r="J427" s="31">
        <v>2000</v>
      </c>
      <c r="K427" s="707">
        <f>J427*I427*F427</f>
        <v>4819599.9999999767</v>
      </c>
      <c r="L427" s="22"/>
      <c r="M427" s="22"/>
      <c r="N427" s="83"/>
      <c r="O427" s="12"/>
    </row>
    <row r="428" spans="1:15" x14ac:dyDescent="0.3">
      <c r="A428" s="616">
        <v>3</v>
      </c>
      <c r="B428" s="659" t="s">
        <v>3415</v>
      </c>
      <c r="C428" s="73">
        <v>11</v>
      </c>
      <c r="D428" s="729" t="s">
        <v>339</v>
      </c>
      <c r="E428" s="52">
        <v>6604399</v>
      </c>
      <c r="F428" s="4">
        <v>1</v>
      </c>
      <c r="G428" s="20">
        <v>4600.84</v>
      </c>
      <c r="H428" s="20">
        <v>4612.05</v>
      </c>
      <c r="I428" s="21">
        <f>H428-G428</f>
        <v>11.210000000000036</v>
      </c>
      <c r="J428" s="31">
        <v>180000</v>
      </c>
      <c r="K428" s="707">
        <f>J428*I428*F428</f>
        <v>2017800.0000000065</v>
      </c>
      <c r="L428" s="22"/>
      <c r="M428" s="22"/>
      <c r="N428" s="83"/>
      <c r="O428" s="12"/>
    </row>
    <row r="429" spans="1:15" ht="15" x14ac:dyDescent="0.3">
      <c r="A429" s="636"/>
      <c r="B429" s="620"/>
      <c r="C429" s="90"/>
      <c r="D429" s="90"/>
      <c r="E429" s="90"/>
      <c r="F429" s="793"/>
      <c r="G429" s="38"/>
      <c r="H429" s="38"/>
      <c r="I429" s="38"/>
      <c r="J429" s="96" t="s">
        <v>30</v>
      </c>
      <c r="K429" s="708">
        <f>SUM(K426:K428)</f>
        <v>11423399.999999985</v>
      </c>
      <c r="L429" s="43"/>
      <c r="M429" s="43">
        <f>SUM(M426:M428)</f>
        <v>0</v>
      </c>
      <c r="N429" s="83"/>
      <c r="O429" s="12"/>
    </row>
    <row r="430" spans="1:15" ht="19.5" customHeight="1" x14ac:dyDescent="0.35">
      <c r="A430" s="631"/>
      <c r="B430" s="624" t="s">
        <v>1134</v>
      </c>
      <c r="C430" s="625"/>
      <c r="D430" s="625"/>
      <c r="E430" s="625"/>
      <c r="F430" s="787"/>
      <c r="G430" s="625"/>
      <c r="H430" s="625"/>
      <c r="I430" s="625"/>
      <c r="J430" s="625"/>
      <c r="K430" s="695"/>
      <c r="L430" s="625"/>
      <c r="M430" s="626"/>
      <c r="N430" s="627"/>
      <c r="O430" s="616"/>
    </row>
    <row r="431" spans="1:15" ht="17.25" customHeight="1" x14ac:dyDescent="0.35">
      <c r="A431" s="631">
        <v>1</v>
      </c>
      <c r="B431" s="100" t="s">
        <v>3416</v>
      </c>
      <c r="C431" s="73">
        <v>11</v>
      </c>
      <c r="D431" s="729" t="s">
        <v>105</v>
      </c>
      <c r="E431" s="52">
        <v>34140453696</v>
      </c>
      <c r="F431" s="4">
        <v>1</v>
      </c>
      <c r="G431" s="660">
        <v>17648.8</v>
      </c>
      <c r="H431" s="660">
        <v>18676.3</v>
      </c>
      <c r="I431" s="20">
        <f t="shared" ref="I431:I446" si="14">H431-G431</f>
        <v>1027.5</v>
      </c>
      <c r="J431" s="616">
        <v>1000</v>
      </c>
      <c r="K431" s="703"/>
      <c r="L431" s="22">
        <f t="shared" ref="L431:L446" si="15">J431*I431*F431</f>
        <v>1027500</v>
      </c>
      <c r="M431" s="22"/>
      <c r="N431" s="72" t="s">
        <v>105</v>
      </c>
      <c r="O431" s="15"/>
    </row>
    <row r="432" spans="1:15" ht="17.25" customHeight="1" x14ac:dyDescent="0.35">
      <c r="A432" s="631">
        <v>2</v>
      </c>
      <c r="B432" s="100" t="s">
        <v>3417</v>
      </c>
      <c r="C432" s="73">
        <v>11</v>
      </c>
      <c r="D432" s="729" t="s">
        <v>105</v>
      </c>
      <c r="E432" s="52" t="s">
        <v>3418</v>
      </c>
      <c r="F432" s="4">
        <v>1</v>
      </c>
      <c r="G432" s="660">
        <v>87380.5</v>
      </c>
      <c r="H432" s="660">
        <v>88454.8</v>
      </c>
      <c r="I432" s="20">
        <f t="shared" si="14"/>
        <v>1074.3000000000029</v>
      </c>
      <c r="J432" s="616">
        <v>1000</v>
      </c>
      <c r="K432" s="703"/>
      <c r="L432" s="22">
        <f t="shared" si="15"/>
        <v>1074300.0000000028</v>
      </c>
      <c r="M432" s="22"/>
      <c r="N432" s="72" t="s">
        <v>105</v>
      </c>
      <c r="O432" s="15"/>
    </row>
    <row r="433" spans="1:15" ht="17.25" customHeight="1" x14ac:dyDescent="0.35">
      <c r="A433" s="631">
        <v>3</v>
      </c>
      <c r="B433" s="100" t="s">
        <v>3419</v>
      </c>
      <c r="C433" s="73">
        <v>11</v>
      </c>
      <c r="D433" s="729" t="s">
        <v>105</v>
      </c>
      <c r="E433" s="52">
        <v>34140313076</v>
      </c>
      <c r="F433" s="4">
        <v>1</v>
      </c>
      <c r="G433" s="660">
        <v>14688</v>
      </c>
      <c r="H433" s="660">
        <v>15472.143</v>
      </c>
      <c r="I433" s="20">
        <f t="shared" si="14"/>
        <v>784.14300000000003</v>
      </c>
      <c r="J433" s="616">
        <v>1000</v>
      </c>
      <c r="K433" s="703"/>
      <c r="L433" s="22">
        <f t="shared" si="15"/>
        <v>784143</v>
      </c>
      <c r="M433" s="22"/>
      <c r="N433" s="72" t="s">
        <v>105</v>
      </c>
      <c r="O433" s="15"/>
    </row>
    <row r="434" spans="1:15" ht="17.25" customHeight="1" x14ac:dyDescent="0.35">
      <c r="A434" s="631"/>
      <c r="B434" s="100" t="s">
        <v>3384</v>
      </c>
      <c r="C434" s="73">
        <v>11</v>
      </c>
      <c r="D434" s="729"/>
      <c r="E434" s="52" t="s">
        <v>1065</v>
      </c>
      <c r="F434" s="4">
        <v>1</v>
      </c>
      <c r="G434" s="660">
        <v>16345.9</v>
      </c>
      <c r="H434" s="660">
        <v>17451.2</v>
      </c>
      <c r="I434" s="20">
        <f t="shared" si="14"/>
        <v>1105.3000000000011</v>
      </c>
      <c r="J434" s="616">
        <v>1000</v>
      </c>
      <c r="K434" s="703"/>
      <c r="L434" s="22">
        <f t="shared" si="15"/>
        <v>1105300.0000000012</v>
      </c>
      <c r="M434" s="22"/>
      <c r="N434" s="72" t="s">
        <v>96</v>
      </c>
      <c r="O434" s="15"/>
    </row>
    <row r="435" spans="1:15" ht="17.25" customHeight="1" x14ac:dyDescent="0.35">
      <c r="A435" s="631">
        <v>5</v>
      </c>
      <c r="B435" s="100" t="s">
        <v>3420</v>
      </c>
      <c r="C435" s="73">
        <v>11</v>
      </c>
      <c r="D435" s="729" t="s">
        <v>105</v>
      </c>
      <c r="E435" s="52">
        <v>34140313075</v>
      </c>
      <c r="F435" s="4">
        <v>1</v>
      </c>
      <c r="G435" s="660">
        <v>14792.7</v>
      </c>
      <c r="H435" s="660">
        <v>15660.4</v>
      </c>
      <c r="I435" s="20">
        <f t="shared" si="14"/>
        <v>867.69999999999891</v>
      </c>
      <c r="J435" s="616">
        <v>1000</v>
      </c>
      <c r="K435" s="703"/>
      <c r="L435" s="22">
        <f t="shared" si="15"/>
        <v>867699.99999999895</v>
      </c>
      <c r="M435" s="22"/>
      <c r="N435" s="72" t="s">
        <v>105</v>
      </c>
      <c r="O435" s="15"/>
    </row>
    <row r="436" spans="1:15" ht="17.25" customHeight="1" x14ac:dyDescent="0.35">
      <c r="A436" s="631">
        <v>6</v>
      </c>
      <c r="B436" s="100" t="s">
        <v>3421</v>
      </c>
      <c r="C436" s="73">
        <v>11</v>
      </c>
      <c r="D436" s="729" t="s">
        <v>98</v>
      </c>
      <c r="E436" s="52" t="s">
        <v>3422</v>
      </c>
      <c r="F436" s="4">
        <v>100</v>
      </c>
      <c r="G436" s="660">
        <v>75202.100000000006</v>
      </c>
      <c r="H436" s="660">
        <v>75837.7</v>
      </c>
      <c r="I436" s="20">
        <f t="shared" si="14"/>
        <v>635.59999999999127</v>
      </c>
      <c r="J436" s="616">
        <v>1</v>
      </c>
      <c r="K436" s="703"/>
      <c r="L436" s="22">
        <f t="shared" si="15"/>
        <v>63559.999999999127</v>
      </c>
      <c r="M436" s="22"/>
      <c r="N436" s="72" t="s">
        <v>98</v>
      </c>
      <c r="O436" s="15"/>
    </row>
    <row r="437" spans="1:15" ht="17.25" customHeight="1" x14ac:dyDescent="0.35">
      <c r="A437" s="631">
        <v>7</v>
      </c>
      <c r="B437" s="100" t="s">
        <v>3423</v>
      </c>
      <c r="C437" s="73">
        <v>11</v>
      </c>
      <c r="D437" s="729" t="s">
        <v>105</v>
      </c>
      <c r="E437" s="52">
        <v>34140453695</v>
      </c>
      <c r="F437" s="4">
        <v>1</v>
      </c>
      <c r="G437" s="660">
        <v>1402.92</v>
      </c>
      <c r="H437" s="660">
        <v>1540.02</v>
      </c>
      <c r="I437" s="20">
        <f t="shared" si="14"/>
        <v>137.09999999999991</v>
      </c>
      <c r="J437" s="616">
        <v>1000</v>
      </c>
      <c r="K437" s="703"/>
      <c r="L437" s="22">
        <f t="shared" si="15"/>
        <v>137099.99999999991</v>
      </c>
      <c r="M437" s="22"/>
      <c r="N437" s="72" t="s">
        <v>105</v>
      </c>
      <c r="O437" s="15"/>
    </row>
    <row r="438" spans="1:15" ht="17.25" customHeight="1" x14ac:dyDescent="0.35">
      <c r="A438" s="631">
        <v>1</v>
      </c>
      <c r="B438" s="100" t="s">
        <v>3424</v>
      </c>
      <c r="C438" s="73">
        <v>11</v>
      </c>
      <c r="D438" s="729" t="s">
        <v>105</v>
      </c>
      <c r="E438" s="52">
        <v>34140313080</v>
      </c>
      <c r="F438" s="4">
        <v>1</v>
      </c>
      <c r="G438" s="660">
        <v>7383.12</v>
      </c>
      <c r="H438" s="660">
        <v>7790.2080999999998</v>
      </c>
      <c r="I438" s="20">
        <f t="shared" si="14"/>
        <v>407.08809999999994</v>
      </c>
      <c r="J438" s="616">
        <v>1000</v>
      </c>
      <c r="K438" s="703"/>
      <c r="L438" s="22">
        <f t="shared" si="15"/>
        <v>407088.09999999992</v>
      </c>
      <c r="M438" s="22"/>
      <c r="N438" s="72" t="s">
        <v>105</v>
      </c>
      <c r="O438" s="15"/>
    </row>
    <row r="439" spans="1:15" ht="17.25" customHeight="1" x14ac:dyDescent="0.35">
      <c r="A439" s="631">
        <v>2</v>
      </c>
      <c r="B439" s="100" t="s">
        <v>105</v>
      </c>
      <c r="C439" s="73">
        <v>11</v>
      </c>
      <c r="D439" s="729"/>
      <c r="E439" s="52" t="s">
        <v>1066</v>
      </c>
      <c r="F439" s="4">
        <v>1</v>
      </c>
      <c r="G439" s="660">
        <v>2378.6</v>
      </c>
      <c r="H439" s="660">
        <v>2534.8000000000002</v>
      </c>
      <c r="I439" s="20">
        <f t="shared" si="14"/>
        <v>156.20000000000027</v>
      </c>
      <c r="J439" s="616">
        <v>1000</v>
      </c>
      <c r="K439" s="703" t="s">
        <v>3425</v>
      </c>
      <c r="L439" s="22">
        <f t="shared" si="15"/>
        <v>156200.00000000026</v>
      </c>
      <c r="M439" s="22"/>
      <c r="N439" s="72" t="s">
        <v>98</v>
      </c>
      <c r="O439" s="15"/>
    </row>
    <row r="440" spans="1:15" ht="17.25" customHeight="1" x14ac:dyDescent="0.35">
      <c r="A440" s="631"/>
      <c r="B440" s="100" t="s">
        <v>3426</v>
      </c>
      <c r="C440" s="73">
        <v>11</v>
      </c>
      <c r="D440" s="729"/>
      <c r="E440" s="52" t="s">
        <v>3427</v>
      </c>
      <c r="F440" s="4">
        <v>1</v>
      </c>
      <c r="G440" s="660">
        <v>19074.2</v>
      </c>
      <c r="H440" s="660">
        <v>20360</v>
      </c>
      <c r="I440" s="20">
        <f t="shared" si="14"/>
        <v>1285.7999999999993</v>
      </c>
      <c r="J440" s="616">
        <v>1000</v>
      </c>
      <c r="K440" s="703"/>
      <c r="L440" s="22">
        <f t="shared" si="15"/>
        <v>1285799.9999999993</v>
      </c>
      <c r="M440" s="22"/>
      <c r="N440" s="72" t="s">
        <v>118</v>
      </c>
      <c r="O440" s="15"/>
    </row>
    <row r="441" spans="1:15" ht="17.25" customHeight="1" x14ac:dyDescent="0.35">
      <c r="A441" s="631"/>
      <c r="B441" s="100" t="s">
        <v>3428</v>
      </c>
      <c r="C441" s="73">
        <v>11</v>
      </c>
      <c r="D441" s="729"/>
      <c r="E441" s="52" t="s">
        <v>1064</v>
      </c>
      <c r="F441" s="4"/>
      <c r="G441" s="660">
        <v>16339.6</v>
      </c>
      <c r="H441" s="660">
        <v>16339.6</v>
      </c>
      <c r="I441" s="20">
        <f t="shared" si="14"/>
        <v>0</v>
      </c>
      <c r="J441" s="616">
        <v>1000</v>
      </c>
      <c r="K441" s="703"/>
      <c r="L441" s="22">
        <f t="shared" si="15"/>
        <v>0</v>
      </c>
      <c r="M441" s="22"/>
      <c r="N441" s="72" t="s">
        <v>118</v>
      </c>
      <c r="O441" s="15"/>
    </row>
    <row r="442" spans="1:15" ht="17.25" customHeight="1" x14ac:dyDescent="0.35">
      <c r="A442" s="631">
        <v>5</v>
      </c>
      <c r="B442" s="100" t="s">
        <v>3429</v>
      </c>
      <c r="C442" s="73">
        <v>11</v>
      </c>
      <c r="D442" s="729" t="s">
        <v>105</v>
      </c>
      <c r="E442" s="52">
        <v>34140313073</v>
      </c>
      <c r="F442" s="4">
        <v>1</v>
      </c>
      <c r="G442" s="660">
        <v>424.43</v>
      </c>
      <c r="H442" s="660">
        <v>1508.56</v>
      </c>
      <c r="I442" s="20">
        <f t="shared" si="14"/>
        <v>1084.1299999999999</v>
      </c>
      <c r="J442" s="616">
        <v>1000</v>
      </c>
      <c r="K442" s="703"/>
      <c r="L442" s="22">
        <f t="shared" si="15"/>
        <v>1084129.9999999998</v>
      </c>
      <c r="M442" s="22"/>
      <c r="N442" s="72" t="s">
        <v>105</v>
      </c>
      <c r="O442" s="15"/>
    </row>
    <row r="443" spans="1:15" ht="17.25" customHeight="1" x14ac:dyDescent="0.35">
      <c r="A443" s="631">
        <v>6</v>
      </c>
      <c r="B443" s="100" t="s">
        <v>3430</v>
      </c>
      <c r="C443" s="73">
        <v>11</v>
      </c>
      <c r="D443" s="729" t="s">
        <v>105</v>
      </c>
      <c r="E443" s="52">
        <v>34140453691</v>
      </c>
      <c r="F443" s="4">
        <v>1</v>
      </c>
      <c r="G443" s="660">
        <v>84.37</v>
      </c>
      <c r="H443" s="660">
        <v>562.42999999999995</v>
      </c>
      <c r="I443" s="20">
        <f t="shared" si="14"/>
        <v>478.05999999999995</v>
      </c>
      <c r="J443" s="616">
        <v>1000</v>
      </c>
      <c r="K443" s="703"/>
      <c r="L443" s="22">
        <f t="shared" si="15"/>
        <v>478059.99999999994</v>
      </c>
      <c r="M443" s="22"/>
      <c r="N443" s="72" t="s">
        <v>105</v>
      </c>
      <c r="O443" s="15"/>
    </row>
    <row r="444" spans="1:15" ht="17.25" customHeight="1" x14ac:dyDescent="0.35">
      <c r="A444" s="631">
        <v>1</v>
      </c>
      <c r="B444" s="100" t="s">
        <v>3431</v>
      </c>
      <c r="C444" s="73">
        <v>11</v>
      </c>
      <c r="D444" s="729" t="s">
        <v>105</v>
      </c>
      <c r="E444" s="52">
        <v>61903686</v>
      </c>
      <c r="F444" s="4">
        <v>1</v>
      </c>
      <c r="G444" s="660">
        <v>677647</v>
      </c>
      <c r="H444" s="660">
        <v>683167</v>
      </c>
      <c r="I444" s="20">
        <f t="shared" si="14"/>
        <v>5520</v>
      </c>
      <c r="J444" s="616">
        <v>200</v>
      </c>
      <c r="K444" s="703"/>
      <c r="L444" s="22">
        <f t="shared" si="15"/>
        <v>1104000</v>
      </c>
      <c r="M444" s="22"/>
      <c r="N444" s="72" t="s">
        <v>105</v>
      </c>
      <c r="O444" s="15"/>
    </row>
    <row r="445" spans="1:15" ht="17.25" customHeight="1" x14ac:dyDescent="0.35">
      <c r="A445" s="631">
        <v>2</v>
      </c>
      <c r="B445" s="100" t="s">
        <v>3432</v>
      </c>
      <c r="C445" s="73">
        <v>11</v>
      </c>
      <c r="D445" s="729" t="s">
        <v>105</v>
      </c>
      <c r="E445" s="52">
        <v>61903558</v>
      </c>
      <c r="F445" s="4">
        <v>1</v>
      </c>
      <c r="G445" s="660">
        <v>719863</v>
      </c>
      <c r="H445" s="660">
        <v>724250</v>
      </c>
      <c r="I445" s="20">
        <f t="shared" si="14"/>
        <v>4387</v>
      </c>
      <c r="J445" s="616">
        <v>200</v>
      </c>
      <c r="K445" s="703"/>
      <c r="L445" s="22">
        <f t="shared" si="15"/>
        <v>877400</v>
      </c>
      <c r="M445" s="22"/>
      <c r="N445" s="72" t="s">
        <v>105</v>
      </c>
      <c r="O445" s="15"/>
    </row>
    <row r="446" spans="1:15" ht="17.25" customHeight="1" x14ac:dyDescent="0.35">
      <c r="A446" s="631">
        <v>3</v>
      </c>
      <c r="B446" s="100" t="s">
        <v>3433</v>
      </c>
      <c r="C446" s="74">
        <v>11</v>
      </c>
      <c r="D446" s="731"/>
      <c r="E446" s="52">
        <v>63394003</v>
      </c>
      <c r="F446" s="4">
        <v>1</v>
      </c>
      <c r="G446" s="660">
        <v>693627</v>
      </c>
      <c r="H446" s="660">
        <v>703416</v>
      </c>
      <c r="I446" s="20">
        <f t="shared" si="14"/>
        <v>9789</v>
      </c>
      <c r="J446" s="616">
        <v>1</v>
      </c>
      <c r="K446" s="703"/>
      <c r="L446" s="22">
        <f t="shared" si="15"/>
        <v>9789</v>
      </c>
      <c r="M446" s="22"/>
      <c r="N446" s="72" t="s">
        <v>105</v>
      </c>
      <c r="O446" s="15"/>
    </row>
    <row r="447" spans="1:15" ht="17.25" customHeight="1" x14ac:dyDescent="0.3">
      <c r="A447" s="636"/>
      <c r="B447" s="96"/>
      <c r="C447" s="90"/>
      <c r="D447" s="90"/>
      <c r="E447" s="90"/>
      <c r="F447" s="793"/>
      <c r="G447" s="38"/>
      <c r="H447" s="38"/>
      <c r="I447" s="38"/>
      <c r="J447" s="96" t="s">
        <v>30</v>
      </c>
      <c r="K447" s="708">
        <f>K429</f>
        <v>11423399.999999985</v>
      </c>
      <c r="L447" s="43">
        <f>SUM(L431:L446)</f>
        <v>10462070.1</v>
      </c>
      <c r="M447" s="43">
        <f>SUM(M431:M446)</f>
        <v>0</v>
      </c>
      <c r="N447" s="83"/>
      <c r="O447" s="13"/>
    </row>
    <row r="448" spans="1:15" ht="30" x14ac:dyDescent="0.3">
      <c r="A448" s="636"/>
      <c r="B448" s="96"/>
      <c r="C448" s="90"/>
      <c r="D448" s="90"/>
      <c r="E448" s="90"/>
      <c r="F448" s="793"/>
      <c r="G448" s="38"/>
      <c r="H448" s="38"/>
      <c r="I448" s="38"/>
      <c r="J448" s="96" t="s">
        <v>44</v>
      </c>
      <c r="K448" s="709">
        <f>M429</f>
        <v>0</v>
      </c>
      <c r="L448" s="45">
        <f>L447</f>
        <v>10462070.1</v>
      </c>
      <c r="M448" s="45">
        <f>M447</f>
        <v>0</v>
      </c>
      <c r="N448" s="712">
        <f>(M448-L448)/L448*100</f>
        <v>-100</v>
      </c>
      <c r="O448" s="29"/>
    </row>
    <row r="449" spans="1:16" x14ac:dyDescent="0.35">
      <c r="E449" s="2092" t="s">
        <v>211</v>
      </c>
      <c r="F449" s="2092"/>
      <c r="G449" s="2092"/>
      <c r="H449" s="2092"/>
    </row>
    <row r="450" spans="1:16" x14ac:dyDescent="0.35">
      <c r="E450" s="2153" t="s">
        <v>1067</v>
      </c>
      <c r="F450" s="2154"/>
      <c r="G450" s="2154"/>
      <c r="H450" s="2155"/>
      <c r="I450" s="643">
        <f>SUM(M433,M443)</f>
        <v>0</v>
      </c>
      <c r="J450" s="645" t="s">
        <v>14</v>
      </c>
    </row>
    <row r="451" spans="1:16" x14ac:dyDescent="0.35">
      <c r="E451" s="2153" t="s">
        <v>1068</v>
      </c>
      <c r="F451" s="2154"/>
      <c r="G451" s="2154"/>
      <c r="H451" s="2155"/>
      <c r="I451" s="643">
        <f>SUM(M436)</f>
        <v>0</v>
      </c>
      <c r="J451" s="645"/>
    </row>
    <row r="452" spans="1:16" x14ac:dyDescent="0.35">
      <c r="E452" s="2153" t="s">
        <v>1069</v>
      </c>
      <c r="F452" s="2154"/>
      <c r="G452" s="2154"/>
      <c r="H452" s="2155"/>
      <c r="I452" s="643">
        <f>SUM(M431:M432,M434:M435,M438:M441,M444:M446)</f>
        <v>0</v>
      </c>
      <c r="J452" s="645"/>
    </row>
    <row r="453" spans="1:16" x14ac:dyDescent="0.35">
      <c r="E453" s="2153" t="s">
        <v>1070</v>
      </c>
      <c r="F453" s="2154"/>
      <c r="G453" s="2154"/>
      <c r="H453" s="2155"/>
      <c r="I453" s="643">
        <f>SUM(M437,M442)</f>
        <v>0</v>
      </c>
      <c r="J453" s="645"/>
    </row>
    <row r="454" spans="1:16" x14ac:dyDescent="0.35">
      <c r="H454" s="642" t="s">
        <v>210</v>
      </c>
      <c r="I454" s="643">
        <f>SUM(I450:I453)</f>
        <v>0</v>
      </c>
      <c r="J454" s="644">
        <f>I454-M448</f>
        <v>0</v>
      </c>
    </row>
    <row r="464" spans="1:16" ht="25" x14ac:dyDescent="0.3">
      <c r="A464" s="2152" t="s">
        <v>1141</v>
      </c>
      <c r="B464" s="2152"/>
      <c r="C464" s="2152"/>
      <c r="D464" s="2152"/>
      <c r="E464" s="2152"/>
      <c r="F464" s="2152"/>
      <c r="G464" s="2152"/>
      <c r="H464" s="2152"/>
      <c r="I464" s="2152"/>
      <c r="J464" s="2152"/>
      <c r="K464" s="2152"/>
      <c r="L464" s="2152"/>
      <c r="M464" s="2152"/>
      <c r="N464" s="2152"/>
      <c r="O464" s="743"/>
      <c r="P464" s="744"/>
    </row>
    <row r="467" spans="1:15" ht="105" x14ac:dyDescent="0.3">
      <c r="A467" s="2095" t="s">
        <v>1142</v>
      </c>
      <c r="B467" s="2095"/>
      <c r="C467" s="2095"/>
      <c r="D467" s="2095"/>
      <c r="E467" s="2095"/>
      <c r="F467" s="2095"/>
      <c r="G467" s="2095"/>
      <c r="H467" s="2095"/>
      <c r="I467" s="2095"/>
      <c r="J467" s="2095"/>
      <c r="K467" s="2095"/>
      <c r="L467" s="2095"/>
      <c r="M467" s="2095"/>
      <c r="N467" s="2095"/>
      <c r="O467" s="756" t="str">
        <f>$O$6</f>
        <v>Month December-2022</v>
      </c>
    </row>
    <row r="468" spans="1:15" x14ac:dyDescent="0.35">
      <c r="A468" s="2096" t="s">
        <v>0</v>
      </c>
      <c r="B468" s="2098" t="s">
        <v>1</v>
      </c>
      <c r="C468" s="2100" t="s">
        <v>2</v>
      </c>
      <c r="D468" s="2101"/>
      <c r="E468" s="2102"/>
      <c r="F468" s="2230" t="s">
        <v>3</v>
      </c>
      <c r="G468" s="2100" t="s">
        <v>4</v>
      </c>
      <c r="H468" s="2102"/>
      <c r="I468" s="2085"/>
      <c r="J468" s="2103" t="s">
        <v>5</v>
      </c>
      <c r="K468" s="2100" t="s">
        <v>6</v>
      </c>
      <c r="L468" s="2085"/>
      <c r="M468" s="97" t="s">
        <v>32</v>
      </c>
      <c r="N468" s="98"/>
      <c r="O468" s="2084" t="s">
        <v>7</v>
      </c>
    </row>
    <row r="469" spans="1:15" x14ac:dyDescent="0.3">
      <c r="A469" s="2097"/>
      <c r="B469" s="2099"/>
      <c r="C469" s="2086" t="s">
        <v>1108</v>
      </c>
      <c r="D469" s="2087"/>
      <c r="E469" s="87" t="s">
        <v>9</v>
      </c>
      <c r="F469" s="2229"/>
      <c r="G469" s="2">
        <f>'NORTH-1'!$G$8</f>
        <v>44774</v>
      </c>
      <c r="H469" s="2">
        <f>'NORTH-1'!$H$8</f>
        <v>44805</v>
      </c>
      <c r="I469" s="1" t="s">
        <v>10</v>
      </c>
      <c r="J469" s="2097"/>
      <c r="K469" s="1" t="s">
        <v>11</v>
      </c>
      <c r="L469" s="1" t="s">
        <v>12</v>
      </c>
      <c r="M469" s="617" t="s">
        <v>33</v>
      </c>
      <c r="N469" s="76" t="s">
        <v>47</v>
      </c>
      <c r="O469" s="2085"/>
    </row>
    <row r="470" spans="1:15" x14ac:dyDescent="0.3">
      <c r="A470" s="3">
        <v>1</v>
      </c>
      <c r="B470" s="88">
        <v>2</v>
      </c>
      <c r="C470" s="2088">
        <v>4</v>
      </c>
      <c r="D470" s="2089"/>
      <c r="E470" s="88">
        <v>5</v>
      </c>
      <c r="F470" s="786">
        <v>7</v>
      </c>
      <c r="G470" s="3">
        <v>8</v>
      </c>
      <c r="H470" s="3">
        <v>9</v>
      </c>
      <c r="I470" s="3" t="s">
        <v>13</v>
      </c>
      <c r="J470" s="3">
        <v>11</v>
      </c>
      <c r="K470" s="3" t="s">
        <v>19</v>
      </c>
      <c r="L470" s="3" t="s">
        <v>20</v>
      </c>
      <c r="M470" s="3">
        <v>14</v>
      </c>
      <c r="N470" s="77">
        <v>15</v>
      </c>
      <c r="O470" s="3">
        <v>16</v>
      </c>
    </row>
    <row r="471" spans="1:15" x14ac:dyDescent="0.35">
      <c r="A471" s="631"/>
      <c r="B471" s="624" t="s">
        <v>3437</v>
      </c>
      <c r="C471" s="625"/>
      <c r="D471" s="625"/>
      <c r="E471" s="625"/>
      <c r="F471" s="787"/>
      <c r="G471" s="625"/>
      <c r="H471" s="625"/>
      <c r="I471" s="625"/>
      <c r="J471" s="625"/>
      <c r="K471" s="695"/>
      <c r="L471" s="625"/>
      <c r="M471" s="626"/>
      <c r="N471" s="627"/>
      <c r="O471" s="616"/>
    </row>
    <row r="472" spans="1:15" x14ac:dyDescent="0.3">
      <c r="A472" s="11"/>
      <c r="B472" s="100" t="str">
        <f t="shared" ref="B472:C474" si="16">B62</f>
        <v>33 kV Tejgaon U/G Feeder-1</v>
      </c>
      <c r="C472" s="52">
        <f t="shared" si="16"/>
        <v>33</v>
      </c>
      <c r="D472" s="1859" t="s">
        <v>698</v>
      </c>
      <c r="E472" s="52">
        <f t="shared" ref="E472:H473" si="17">E62</f>
        <v>76026300</v>
      </c>
      <c r="F472" s="4">
        <f t="shared" si="17"/>
        <v>1</v>
      </c>
      <c r="G472" s="20">
        <f t="shared" si="17"/>
        <v>6606.8</v>
      </c>
      <c r="H472" s="20">
        <f t="shared" si="17"/>
        <v>6614.72</v>
      </c>
      <c r="I472" s="20">
        <f>H472-G472</f>
        <v>7.9200000000000728</v>
      </c>
      <c r="J472" s="616">
        <f>J62</f>
        <v>360000</v>
      </c>
      <c r="K472" s="696">
        <f>J472*I472*F472</f>
        <v>2851200.0000000261</v>
      </c>
      <c r="L472" s="22"/>
      <c r="M472" s="22">
        <f>M62</f>
        <v>0</v>
      </c>
      <c r="N472" s="82"/>
      <c r="O472" s="9"/>
    </row>
    <row r="473" spans="1:15" x14ac:dyDescent="0.35">
      <c r="A473" s="631"/>
      <c r="B473" s="100" t="str">
        <f t="shared" si="16"/>
        <v>33 kV Tejgaon U/G Feeder-2</v>
      </c>
      <c r="C473" s="52">
        <f t="shared" si="16"/>
        <v>33</v>
      </c>
      <c r="D473" s="668"/>
      <c r="E473" s="52" t="str">
        <f t="shared" si="17"/>
        <v>06604453</v>
      </c>
      <c r="F473" s="4">
        <f t="shared" si="17"/>
        <v>1</v>
      </c>
      <c r="G473" s="20">
        <f t="shared" si="17"/>
        <v>6241.31</v>
      </c>
      <c r="H473" s="20">
        <f t="shared" si="17"/>
        <v>6268.1</v>
      </c>
      <c r="I473" s="20">
        <f>H473-G473</f>
        <v>26.789999999999964</v>
      </c>
      <c r="J473" s="616">
        <f>J63</f>
        <v>360000</v>
      </c>
      <c r="K473" s="696">
        <f>J473*I473*F473</f>
        <v>9644399.999999987</v>
      </c>
      <c r="L473" s="22"/>
      <c r="M473" s="22">
        <f>M63</f>
        <v>0</v>
      </c>
      <c r="N473" s="82"/>
      <c r="O473" s="616"/>
    </row>
    <row r="474" spans="1:15" x14ac:dyDescent="0.35">
      <c r="A474" s="631"/>
      <c r="B474" s="100" t="str">
        <f t="shared" si="16"/>
        <v>Bashundhara City</v>
      </c>
      <c r="C474" s="52">
        <f t="shared" si="16"/>
        <v>33</v>
      </c>
      <c r="D474" s="1755"/>
      <c r="E474" s="52">
        <f>E64</f>
        <v>660434</v>
      </c>
      <c r="F474" s="4">
        <f>F64</f>
        <v>1</v>
      </c>
      <c r="G474" s="20">
        <v>2164.9899999999998</v>
      </c>
      <c r="H474" s="20">
        <v>2164.9899999999998</v>
      </c>
      <c r="I474" s="20">
        <f>H474-G474</f>
        <v>0</v>
      </c>
      <c r="J474" s="616">
        <f>J64</f>
        <v>180000</v>
      </c>
      <c r="K474" s="696">
        <f>J474*I474*F474</f>
        <v>0</v>
      </c>
      <c r="L474" s="22"/>
      <c r="M474" s="22">
        <f>M64</f>
        <v>0</v>
      </c>
      <c r="N474" s="82"/>
      <c r="O474" s="616"/>
    </row>
    <row r="475" spans="1:15" x14ac:dyDescent="0.35">
      <c r="A475" s="631"/>
      <c r="B475" s="102"/>
      <c r="C475" s="91"/>
      <c r="D475" s="726"/>
      <c r="E475" s="745"/>
      <c r="F475" s="746"/>
      <c r="G475" s="747"/>
      <c r="H475" s="747"/>
      <c r="I475" s="747"/>
      <c r="J475" s="748" t="s">
        <v>30</v>
      </c>
      <c r="K475" s="750">
        <f>SUM(K472:K473)</f>
        <v>12495600.000000013</v>
      </c>
      <c r="L475" s="750">
        <f>SUM(L472:L473)</f>
        <v>0</v>
      </c>
      <c r="M475" s="750">
        <f>SUM(M472:M473)</f>
        <v>0</v>
      </c>
      <c r="N475" s="1914"/>
      <c r="O475" s="616"/>
    </row>
    <row r="476" spans="1:15" x14ac:dyDescent="0.3">
      <c r="A476" s="616"/>
      <c r="B476" s="624" t="s">
        <v>1355</v>
      </c>
      <c r="C476" s="625"/>
      <c r="D476" s="625"/>
      <c r="E476" s="625"/>
      <c r="F476" s="787"/>
      <c r="G476" s="625"/>
      <c r="H476" s="625"/>
      <c r="I476" s="625"/>
      <c r="J476" s="732"/>
      <c r="K476" s="733"/>
      <c r="L476" s="734"/>
      <c r="M476" s="734"/>
      <c r="N476" s="627"/>
      <c r="O476" s="12"/>
    </row>
    <row r="477" spans="1:15" x14ac:dyDescent="0.3">
      <c r="A477" s="616">
        <v>1</v>
      </c>
      <c r="B477" s="100" t="s">
        <v>3434</v>
      </c>
      <c r="C477" s="52">
        <v>33</v>
      </c>
      <c r="D477" s="1770" t="s">
        <v>339</v>
      </c>
      <c r="E477" s="52">
        <v>76026300</v>
      </c>
      <c r="F477" s="4">
        <v>1</v>
      </c>
      <c r="G477" s="21">
        <f>G235</f>
        <v>0</v>
      </c>
      <c r="H477" s="21">
        <f>H235</f>
        <v>0</v>
      </c>
      <c r="I477" s="20">
        <f>H477-G477</f>
        <v>0</v>
      </c>
      <c r="J477" s="616">
        <v>360000</v>
      </c>
      <c r="K477" s="696">
        <f>J477*I477*F477</f>
        <v>0</v>
      </c>
      <c r="L477" s="22"/>
      <c r="M477" s="22"/>
      <c r="N477" s="82"/>
      <c r="O477" s="12"/>
    </row>
    <row r="478" spans="1:15" x14ac:dyDescent="0.3">
      <c r="A478" s="616">
        <v>2</v>
      </c>
      <c r="B478" s="100" t="s">
        <v>3435</v>
      </c>
      <c r="C478" s="52">
        <v>33</v>
      </c>
      <c r="D478" s="1771" t="s">
        <v>339</v>
      </c>
      <c r="E478" s="52" t="s">
        <v>3320</v>
      </c>
      <c r="F478" s="4">
        <v>1</v>
      </c>
      <c r="G478" s="21">
        <f>G236</f>
        <v>0</v>
      </c>
      <c r="H478" s="21">
        <f>H236</f>
        <v>0</v>
      </c>
      <c r="I478" s="20">
        <f>H478-G478</f>
        <v>0</v>
      </c>
      <c r="J478" s="616">
        <v>360000</v>
      </c>
      <c r="K478" s="696">
        <f>J478*I478*F478</f>
        <v>0</v>
      </c>
      <c r="L478" s="22"/>
      <c r="M478" s="22"/>
      <c r="N478" s="82"/>
      <c r="O478" s="12"/>
    </row>
    <row r="479" spans="1:15" x14ac:dyDescent="0.3">
      <c r="A479" s="616">
        <v>3</v>
      </c>
      <c r="B479" s="100" t="s">
        <v>3436</v>
      </c>
      <c r="C479" s="52">
        <v>33</v>
      </c>
      <c r="D479" s="1772" t="s">
        <v>339</v>
      </c>
      <c r="E479" s="52">
        <v>660434</v>
      </c>
      <c r="F479" s="4">
        <v>1</v>
      </c>
      <c r="G479" s="21">
        <v>2164.9899999999998</v>
      </c>
      <c r="H479" s="21">
        <v>2164.9899999999998</v>
      </c>
      <c r="I479" s="20">
        <f>H479-G479</f>
        <v>0</v>
      </c>
      <c r="J479" s="616">
        <v>240000</v>
      </c>
      <c r="K479" s="696">
        <f>J479*I479*F479</f>
        <v>0</v>
      </c>
      <c r="L479" s="22"/>
      <c r="M479" s="22"/>
      <c r="N479" s="82"/>
      <c r="O479" s="12"/>
    </row>
    <row r="480" spans="1:15" x14ac:dyDescent="0.3">
      <c r="A480" s="616"/>
      <c r="B480" s="102"/>
      <c r="C480" s="91"/>
      <c r="D480" s="726"/>
      <c r="E480" s="91"/>
      <c r="F480" s="47"/>
      <c r="G480" s="48"/>
      <c r="H480" s="48"/>
      <c r="I480" s="36"/>
      <c r="J480" s="96" t="s">
        <v>30</v>
      </c>
      <c r="K480" s="706"/>
      <c r="L480" s="43">
        <f>SUM(L477:L479)</f>
        <v>0</v>
      </c>
      <c r="M480" s="43">
        <f>SUM(M477:M479)</f>
        <v>0</v>
      </c>
      <c r="N480" s="85"/>
      <c r="O480" s="12"/>
    </row>
    <row r="481" spans="1:15" x14ac:dyDescent="0.3">
      <c r="A481" s="616"/>
      <c r="B481" s="647" t="s">
        <v>1356</v>
      </c>
      <c r="C481" s="648"/>
      <c r="D481" s="648"/>
      <c r="E481" s="648"/>
      <c r="F481" s="789"/>
      <c r="G481" s="648"/>
      <c r="H481" s="648"/>
      <c r="I481" s="648"/>
      <c r="J481" s="648"/>
      <c r="K481" s="700"/>
      <c r="L481" s="648"/>
      <c r="M481" s="651"/>
      <c r="N481" s="649"/>
      <c r="O481" s="8"/>
    </row>
    <row r="482" spans="1:15" x14ac:dyDescent="0.3">
      <c r="A482" s="616"/>
      <c r="B482" s="100" t="s">
        <v>1079</v>
      </c>
      <c r="C482" s="52">
        <v>132</v>
      </c>
      <c r="D482" s="2138" t="s">
        <v>1083</v>
      </c>
      <c r="E482" s="615"/>
      <c r="F482" s="4"/>
      <c r="G482" s="5"/>
      <c r="H482" s="5"/>
      <c r="I482" s="5"/>
      <c r="J482" s="616"/>
      <c r="K482" s="696"/>
      <c r="L482" s="16">
        <f>J482*I482*F482</f>
        <v>0</v>
      </c>
      <c r="M482" s="7"/>
      <c r="N482" s="78"/>
      <c r="O482" s="616"/>
    </row>
    <row r="483" spans="1:15" x14ac:dyDescent="0.3">
      <c r="A483" s="616"/>
      <c r="B483" s="100" t="s">
        <v>1078</v>
      </c>
      <c r="C483" s="52">
        <v>132</v>
      </c>
      <c r="D483" s="2139"/>
      <c r="E483" s="615"/>
      <c r="F483" s="4"/>
      <c r="G483" s="5"/>
      <c r="H483" s="5"/>
      <c r="I483" s="5"/>
      <c r="J483" s="616"/>
      <c r="K483" s="696"/>
      <c r="L483" s="16">
        <f>J483*I483*F483</f>
        <v>0</v>
      </c>
      <c r="M483" s="16"/>
      <c r="N483" s="79"/>
      <c r="O483" s="616"/>
    </row>
    <row r="484" spans="1:15" x14ac:dyDescent="0.35">
      <c r="A484" s="616"/>
      <c r="B484" s="95"/>
      <c r="C484" s="89"/>
      <c r="D484" s="89"/>
      <c r="E484" s="89"/>
      <c r="F484" s="788"/>
      <c r="G484" s="37"/>
      <c r="H484" s="37"/>
      <c r="I484" s="37"/>
      <c r="J484" s="95" t="s">
        <v>279</v>
      </c>
      <c r="K484" s="699"/>
      <c r="L484" s="55">
        <f>SUM(L482:L483)</f>
        <v>0</v>
      </c>
      <c r="M484" s="633"/>
      <c r="N484" s="631"/>
      <c r="O484" s="616"/>
    </row>
    <row r="485" spans="1:15" x14ac:dyDescent="0.3">
      <c r="A485" s="616"/>
      <c r="B485" s="102"/>
      <c r="C485" s="91"/>
      <c r="D485" s="726"/>
      <c r="E485" s="91"/>
      <c r="F485" s="47"/>
      <c r="G485" s="48"/>
      <c r="H485" s="48"/>
      <c r="I485" s="36"/>
      <c r="J485" s="96"/>
      <c r="K485" s="706"/>
      <c r="L485" s="43"/>
      <c r="M485" s="43"/>
      <c r="N485" s="85"/>
      <c r="O485" s="12"/>
    </row>
    <row r="486" spans="1:15" x14ac:dyDescent="0.3">
      <c r="A486" s="636"/>
      <c r="B486" s="647" t="s">
        <v>1357</v>
      </c>
      <c r="C486" s="648"/>
      <c r="D486" s="648"/>
      <c r="E486" s="648"/>
      <c r="F486" s="789"/>
      <c r="G486" s="648"/>
      <c r="H486" s="648"/>
      <c r="I486" s="648"/>
      <c r="J486" s="50"/>
      <c r="K486" s="710"/>
      <c r="L486" s="51"/>
      <c r="M486" s="51"/>
      <c r="N486" s="649"/>
      <c r="O486" s="12"/>
    </row>
    <row r="487" spans="1:15" ht="15.75" customHeight="1" x14ac:dyDescent="0.3">
      <c r="A487" s="616">
        <v>1</v>
      </c>
      <c r="B487" s="100" t="s">
        <v>3357</v>
      </c>
      <c r="C487" s="52">
        <v>33</v>
      </c>
      <c r="D487" s="1774" t="s">
        <v>326</v>
      </c>
      <c r="E487" s="52" t="s">
        <v>255</v>
      </c>
      <c r="F487" s="4">
        <v>1</v>
      </c>
      <c r="G487" s="21">
        <v>521656.9</v>
      </c>
      <c r="H487" s="21">
        <v>532374</v>
      </c>
      <c r="I487" s="21">
        <f>H487-G487</f>
        <v>10717.099999999977</v>
      </c>
      <c r="J487" s="31">
        <v>270</v>
      </c>
      <c r="K487" s="707"/>
      <c r="L487" s="22">
        <f>J487*I487*F487</f>
        <v>2893616.9999999935</v>
      </c>
      <c r="M487" s="22"/>
      <c r="N487" s="83"/>
      <c r="O487" s="12"/>
    </row>
    <row r="488" spans="1:15" x14ac:dyDescent="0.3">
      <c r="A488" s="616">
        <v>2</v>
      </c>
      <c r="B488" s="100" t="s">
        <v>3358</v>
      </c>
      <c r="C488" s="52">
        <v>33</v>
      </c>
      <c r="D488" s="1775" t="s">
        <v>326</v>
      </c>
      <c r="E488" s="52" t="s">
        <v>256</v>
      </c>
      <c r="F488" s="4">
        <v>1</v>
      </c>
      <c r="G488" s="21">
        <v>122491.2</v>
      </c>
      <c r="H488" s="21">
        <v>158142.9</v>
      </c>
      <c r="I488" s="21">
        <f>H488-G488</f>
        <v>35651.699999999997</v>
      </c>
      <c r="J488" s="31">
        <v>180</v>
      </c>
      <c r="K488" s="707"/>
      <c r="L488" s="22">
        <f>J488*I488*F488</f>
        <v>6417305.9999999991</v>
      </c>
      <c r="M488" s="22"/>
      <c r="N488" s="83"/>
      <c r="O488" s="12"/>
    </row>
    <row r="489" spans="1:15" x14ac:dyDescent="0.3">
      <c r="A489" s="616">
        <v>3</v>
      </c>
      <c r="B489" s="100" t="s">
        <v>3438</v>
      </c>
      <c r="C489" s="52">
        <v>33</v>
      </c>
      <c r="D489" s="1776" t="s">
        <v>326</v>
      </c>
      <c r="E489" s="52" t="s">
        <v>3439</v>
      </c>
      <c r="F489" s="4">
        <v>1</v>
      </c>
      <c r="G489" s="21">
        <v>987.15740000000005</v>
      </c>
      <c r="H489" s="21">
        <v>1005.56843</v>
      </c>
      <c r="I489" s="21">
        <f>H489-G489</f>
        <v>18.411029999999982</v>
      </c>
      <c r="J489" s="31">
        <v>180000</v>
      </c>
      <c r="K489" s="707"/>
      <c r="L489" s="22">
        <f>J489*I489*F489</f>
        <v>3313985.3999999966</v>
      </c>
      <c r="M489" s="22"/>
      <c r="N489" s="83"/>
      <c r="O489" s="12"/>
    </row>
    <row r="490" spans="1:15" ht="15" x14ac:dyDescent="0.3">
      <c r="A490" s="636"/>
      <c r="B490" s="96"/>
      <c r="C490" s="90"/>
      <c r="D490" s="90"/>
      <c r="E490" s="90"/>
      <c r="F490" s="793"/>
      <c r="G490" s="38"/>
      <c r="H490" s="38"/>
      <c r="I490" s="38"/>
      <c r="J490" s="96" t="s">
        <v>30</v>
      </c>
      <c r="K490" s="708"/>
      <c r="L490" s="43">
        <f>SUM(L487:L489)</f>
        <v>12624908.399999989</v>
      </c>
      <c r="M490" s="43">
        <f>SUM(M487:M489)</f>
        <v>0</v>
      </c>
      <c r="N490" s="712"/>
      <c r="O490" s="12"/>
    </row>
    <row r="491" spans="1:15" thickBot="1" x14ac:dyDescent="0.35">
      <c r="A491" s="702"/>
      <c r="B491" s="736"/>
      <c r="C491" s="92"/>
      <c r="D491" s="92"/>
      <c r="E491" s="92"/>
      <c r="F491" s="795"/>
      <c r="G491" s="737"/>
      <c r="H491" s="737"/>
      <c r="I491" s="737"/>
      <c r="J491" s="736"/>
      <c r="K491" s="738"/>
      <c r="L491" s="739"/>
      <c r="M491" s="739"/>
      <c r="N491" s="1914"/>
      <c r="O491" s="740"/>
    </row>
    <row r="492" spans="1:15" ht="15" x14ac:dyDescent="0.35">
      <c r="A492" s="702"/>
      <c r="B492" s="2142" t="s">
        <v>1339</v>
      </c>
      <c r="C492" s="2143"/>
      <c r="D492" s="683" t="s">
        <v>14</v>
      </c>
      <c r="E492"/>
      <c r="F492" s="2144" t="s">
        <v>1350</v>
      </c>
      <c r="G492" s="2145"/>
      <c r="H492" s="2146"/>
      <c r="I492" s="683" t="s">
        <v>14</v>
      </c>
      <c r="K492" s="2147" t="s">
        <v>1092</v>
      </c>
      <c r="L492" s="2148"/>
      <c r="M492" s="684" t="s">
        <v>14</v>
      </c>
      <c r="N492" s="1914"/>
      <c r="O492" s="740"/>
    </row>
    <row r="493" spans="1:15" ht="15" x14ac:dyDescent="0.35">
      <c r="A493" s="702"/>
      <c r="B493" s="2122" t="str">
        <f>B471</f>
        <v xml:space="preserve"> 33 KV SIDE</v>
      </c>
      <c r="C493" s="2123"/>
      <c r="D493" s="689">
        <f>K475</f>
        <v>12495600.000000013</v>
      </c>
      <c r="E493"/>
      <c r="F493" s="2124" t="s">
        <v>1093</v>
      </c>
      <c r="G493" s="2125"/>
      <c r="H493" s="2126"/>
      <c r="I493" s="685">
        <f>L484</f>
        <v>0</v>
      </c>
      <c r="K493" s="2160" t="str">
        <f>F494</f>
        <v>TEJGOAN 33 KV NET IMPORT</v>
      </c>
      <c r="L493" s="2161"/>
      <c r="M493" s="687">
        <f>I494</f>
        <v>12495600.000000013</v>
      </c>
      <c r="N493" s="1914"/>
      <c r="O493" s="740"/>
    </row>
    <row r="494" spans="1:15" ht="15" x14ac:dyDescent="0.35">
      <c r="A494" s="702"/>
      <c r="B494" s="2122" t="s">
        <v>1116</v>
      </c>
      <c r="C494" s="2123"/>
      <c r="D494" s="741"/>
      <c r="E494"/>
      <c r="F494" s="2124" t="s">
        <v>1358</v>
      </c>
      <c r="G494" s="2125"/>
      <c r="H494" s="2126"/>
      <c r="I494" s="687">
        <f>D497-I493</f>
        <v>12495600.000000013</v>
      </c>
      <c r="K494" s="2162" t="s">
        <v>1359</v>
      </c>
      <c r="L494" s="2163"/>
      <c r="M494" s="685">
        <f>M533</f>
        <v>0</v>
      </c>
      <c r="N494" s="1914"/>
      <c r="O494" s="740"/>
    </row>
    <row r="495" spans="1:15" ht="15" x14ac:dyDescent="0.35">
      <c r="A495" s="702"/>
      <c r="B495" s="2122" t="s">
        <v>1117</v>
      </c>
      <c r="C495" s="2123"/>
      <c r="D495" s="721"/>
      <c r="E495"/>
      <c r="F495" s="2124" t="s">
        <v>1089</v>
      </c>
      <c r="G495" s="2125"/>
      <c r="H495" s="2126"/>
      <c r="I495" s="685">
        <f>I493+I494</f>
        <v>12495600.000000013</v>
      </c>
      <c r="K495" s="2127" t="s">
        <v>284</v>
      </c>
      <c r="L495" s="2128"/>
      <c r="M495" s="685">
        <f>M493-M494</f>
        <v>12495600.000000013</v>
      </c>
      <c r="N495" s="1914"/>
      <c r="O495" s="740"/>
    </row>
    <row r="496" spans="1:15" ht="16" thickBot="1" x14ac:dyDescent="0.4">
      <c r="A496" s="702"/>
      <c r="B496" s="2122" t="s">
        <v>1118</v>
      </c>
      <c r="C496" s="2123"/>
      <c r="D496" s="722"/>
      <c r="E496"/>
      <c r="F496" s="2113" t="s">
        <v>1546</v>
      </c>
      <c r="G496" s="2114"/>
      <c r="H496" s="2115"/>
      <c r="I496" s="690">
        <f>(D497-I495)/I495</f>
        <v>0</v>
      </c>
      <c r="K496" s="2134" t="s">
        <v>285</v>
      </c>
      <c r="L496" s="2135"/>
      <c r="M496" s="688">
        <f>M495/M493</f>
        <v>1</v>
      </c>
      <c r="N496" s="1914"/>
      <c r="O496" s="740"/>
    </row>
    <row r="497" spans="1:15" thickBot="1" x14ac:dyDescent="0.4">
      <c r="A497" s="702"/>
      <c r="B497" s="2158" t="s">
        <v>1082</v>
      </c>
      <c r="C497" s="2159"/>
      <c r="D497" s="686">
        <f>SUM(D493:D495)</f>
        <v>12495600.000000013</v>
      </c>
      <c r="E497"/>
      <c r="N497" s="1914"/>
      <c r="O497" s="740"/>
    </row>
    <row r="498" spans="1:15" ht="15" x14ac:dyDescent="0.3">
      <c r="A498" s="702"/>
      <c r="B498" s="736"/>
      <c r="C498" s="92"/>
      <c r="D498" s="92"/>
      <c r="E498" s="92"/>
      <c r="F498" s="795"/>
      <c r="G498" s="737"/>
      <c r="H498" s="737"/>
      <c r="I498" s="737"/>
      <c r="J498" s="736"/>
      <c r="K498" s="738"/>
      <c r="L498" s="739"/>
      <c r="M498" s="739"/>
      <c r="N498" s="1914"/>
      <c r="O498" s="740"/>
    </row>
    <row r="499" spans="1:15" x14ac:dyDescent="0.35">
      <c r="B499" s="632"/>
      <c r="C499" s="620"/>
      <c r="D499" s="728"/>
      <c r="E499" s="620"/>
      <c r="N499" s="1469"/>
    </row>
    <row r="500" spans="1:15" x14ac:dyDescent="0.35">
      <c r="B500" s="632"/>
      <c r="C500" s="620"/>
      <c r="D500" s="728"/>
      <c r="E500" s="620"/>
      <c r="N500" s="1469"/>
    </row>
    <row r="501" spans="1:15" ht="105" x14ac:dyDescent="0.3">
      <c r="A501" s="2095" t="s">
        <v>1585</v>
      </c>
      <c r="B501" s="2095"/>
      <c r="C501" s="2095"/>
      <c r="D501" s="2095"/>
      <c r="E501" s="2095"/>
      <c r="F501" s="2095"/>
      <c r="G501" s="2095"/>
      <c r="H501" s="2095"/>
      <c r="I501" s="2095"/>
      <c r="J501" s="2095"/>
      <c r="K501" s="2095"/>
      <c r="L501" s="2095"/>
      <c r="M501" s="2095"/>
      <c r="N501" s="2095"/>
      <c r="O501" s="756" t="str">
        <f>$O$6</f>
        <v>Month December-2022</v>
      </c>
    </row>
    <row r="502" spans="1:15" x14ac:dyDescent="0.35">
      <c r="A502" s="2096" t="s">
        <v>0</v>
      </c>
      <c r="B502" s="2098" t="s">
        <v>1</v>
      </c>
      <c r="C502" s="2100" t="s">
        <v>2</v>
      </c>
      <c r="D502" s="2101"/>
      <c r="E502" s="2102"/>
      <c r="F502" s="2230" t="s">
        <v>3</v>
      </c>
      <c r="G502" s="2100" t="s">
        <v>4</v>
      </c>
      <c r="H502" s="2102"/>
      <c r="I502" s="2085"/>
      <c r="J502" s="2103" t="s">
        <v>5</v>
      </c>
      <c r="K502" s="2100" t="s">
        <v>6</v>
      </c>
      <c r="L502" s="2085"/>
      <c r="M502" s="97" t="s">
        <v>32</v>
      </c>
      <c r="N502" s="98"/>
      <c r="O502" s="2084" t="s">
        <v>7</v>
      </c>
    </row>
    <row r="503" spans="1:15" x14ac:dyDescent="0.3">
      <c r="A503" s="2097"/>
      <c r="B503" s="2099"/>
      <c r="C503" s="2086" t="s">
        <v>1108</v>
      </c>
      <c r="D503" s="2087"/>
      <c r="E503" s="87" t="s">
        <v>9</v>
      </c>
      <c r="F503" s="2229"/>
      <c r="G503" s="2">
        <f>'NORTH-1'!$G$8</f>
        <v>44774</v>
      </c>
      <c r="H503" s="2">
        <f>'NORTH-1'!$H$8</f>
        <v>44805</v>
      </c>
      <c r="I503" s="1" t="s">
        <v>10</v>
      </c>
      <c r="J503" s="2097"/>
      <c r="K503" s="1" t="s">
        <v>11</v>
      </c>
      <c r="L503" s="1" t="s">
        <v>12</v>
      </c>
      <c r="M503" s="617" t="s">
        <v>33</v>
      </c>
      <c r="N503" s="76" t="s">
        <v>47</v>
      </c>
      <c r="O503" s="2085"/>
    </row>
    <row r="504" spans="1:15" x14ac:dyDescent="0.3">
      <c r="A504" s="3">
        <v>1</v>
      </c>
      <c r="B504" s="88">
        <v>2</v>
      </c>
      <c r="C504" s="2088">
        <v>4</v>
      </c>
      <c r="D504" s="2089"/>
      <c r="E504" s="88">
        <v>5</v>
      </c>
      <c r="F504" s="786">
        <v>7</v>
      </c>
      <c r="G504" s="3">
        <v>8</v>
      </c>
      <c r="H504" s="3">
        <v>9</v>
      </c>
      <c r="I504" s="3" t="s">
        <v>13</v>
      </c>
      <c r="J504" s="3">
        <v>11</v>
      </c>
      <c r="K504" s="3" t="s">
        <v>19</v>
      </c>
      <c r="L504" s="3" t="s">
        <v>20</v>
      </c>
      <c r="M504" s="3">
        <v>14</v>
      </c>
      <c r="N504" s="77">
        <v>15</v>
      </c>
      <c r="O504" s="3">
        <v>16</v>
      </c>
    </row>
    <row r="505" spans="1:15" x14ac:dyDescent="0.35">
      <c r="A505" s="631"/>
      <c r="B505" s="624" t="s">
        <v>1586</v>
      </c>
      <c r="C505" s="625"/>
      <c r="D505" s="625"/>
      <c r="E505" s="625"/>
      <c r="F505" s="787"/>
      <c r="G505" s="625"/>
      <c r="H505" s="625"/>
      <c r="I505" s="625"/>
      <c r="J505" s="625"/>
      <c r="K505" s="695"/>
      <c r="L505" s="625"/>
      <c r="M505" s="626"/>
      <c r="N505" s="627"/>
      <c r="O505" s="616"/>
    </row>
    <row r="506" spans="1:15" x14ac:dyDescent="0.35">
      <c r="A506" s="631">
        <v>1</v>
      </c>
      <c r="B506" s="100" t="s">
        <v>3440</v>
      </c>
      <c r="C506" s="52">
        <v>11</v>
      </c>
      <c r="D506" s="1859" t="s">
        <v>339</v>
      </c>
      <c r="E506" s="52" t="s">
        <v>253</v>
      </c>
      <c r="F506" s="797">
        <v>1</v>
      </c>
      <c r="G506" s="21">
        <v>567909.1</v>
      </c>
      <c r="H506" s="21">
        <v>590944.19999999995</v>
      </c>
      <c r="I506" s="21">
        <f>H506-G506</f>
        <v>23035.099999999977</v>
      </c>
      <c r="J506" s="616">
        <v>180</v>
      </c>
      <c r="K506" s="696">
        <f>J506*I506*F506</f>
        <v>4146317.9999999958</v>
      </c>
      <c r="L506" s="22"/>
      <c r="M506" s="22"/>
      <c r="N506" s="82"/>
      <c r="O506" s="616"/>
    </row>
    <row r="507" spans="1:15" x14ac:dyDescent="0.35">
      <c r="A507" s="631">
        <v>2</v>
      </c>
      <c r="B507" s="100" t="s">
        <v>3441</v>
      </c>
      <c r="C507" s="52">
        <v>11</v>
      </c>
      <c r="D507" s="668" t="s">
        <v>339</v>
      </c>
      <c r="E507" s="52" t="s">
        <v>254</v>
      </c>
      <c r="F507" s="797">
        <v>1</v>
      </c>
      <c r="G507" s="21">
        <v>478147.5</v>
      </c>
      <c r="H507" s="21">
        <v>503934.2</v>
      </c>
      <c r="I507" s="21">
        <f>H507-G507</f>
        <v>25786.700000000012</v>
      </c>
      <c r="J507" s="616">
        <v>180</v>
      </c>
      <c r="K507" s="696">
        <f>J507*I507*F507</f>
        <v>4641606.0000000019</v>
      </c>
      <c r="L507" s="22"/>
      <c r="M507" s="22"/>
      <c r="N507" s="82"/>
      <c r="O507" s="616"/>
    </row>
    <row r="508" spans="1:15" x14ac:dyDescent="0.35">
      <c r="A508" s="631">
        <v>3</v>
      </c>
      <c r="B508" s="100" t="s">
        <v>3442</v>
      </c>
      <c r="C508" s="52">
        <v>11</v>
      </c>
      <c r="D508" s="1755" t="s">
        <v>339</v>
      </c>
      <c r="E508" s="52" t="s">
        <v>3443</v>
      </c>
      <c r="F508" s="797">
        <v>1</v>
      </c>
      <c r="G508" s="48">
        <v>178574.8</v>
      </c>
      <c r="H508" s="48">
        <v>181863.3</v>
      </c>
      <c r="I508" s="21">
        <f>H508-G508</f>
        <v>3288.5</v>
      </c>
      <c r="J508" s="616">
        <v>1000</v>
      </c>
      <c r="K508" s="696">
        <f>J508*I508*F508</f>
        <v>3288500</v>
      </c>
      <c r="L508" s="49"/>
      <c r="M508" s="22"/>
      <c r="N508" s="85"/>
      <c r="O508" s="616"/>
    </row>
    <row r="509" spans="1:15" x14ac:dyDescent="0.35">
      <c r="A509" s="631"/>
      <c r="B509" s="102"/>
      <c r="C509" s="91"/>
      <c r="D509" s="726"/>
      <c r="E509" s="91"/>
      <c r="F509" s="47"/>
      <c r="G509" s="48"/>
      <c r="H509" s="48"/>
      <c r="I509" s="48"/>
      <c r="J509" s="39" t="s">
        <v>30</v>
      </c>
      <c r="K509" s="708">
        <f>SUM(K506:K508)</f>
        <v>12076423.999999998</v>
      </c>
      <c r="L509" s="49"/>
      <c r="M509" s="43">
        <f>SUM(M506:M508)</f>
        <v>0</v>
      </c>
      <c r="N509" s="85"/>
      <c r="O509" s="616"/>
    </row>
    <row r="510" spans="1:15" x14ac:dyDescent="0.35">
      <c r="A510" s="631"/>
      <c r="B510" s="647" t="s">
        <v>1586</v>
      </c>
      <c r="C510" s="648"/>
      <c r="D510" s="648"/>
      <c r="E510" s="648"/>
      <c r="F510" s="789"/>
      <c r="G510" s="648"/>
      <c r="H510" s="648"/>
      <c r="I510" s="648"/>
      <c r="J510" s="50"/>
      <c r="K510" s="710"/>
      <c r="L510" s="51"/>
      <c r="M510" s="51"/>
      <c r="N510" s="649"/>
      <c r="O510" s="616"/>
    </row>
    <row r="511" spans="1:15" x14ac:dyDescent="0.35">
      <c r="A511" s="631">
        <v>1</v>
      </c>
      <c r="B511" s="100" t="s">
        <v>3444</v>
      </c>
      <c r="C511" s="73">
        <v>11</v>
      </c>
      <c r="D511" s="1781"/>
      <c r="E511" s="52" t="s">
        <v>260</v>
      </c>
      <c r="F511" s="4">
        <v>1</v>
      </c>
      <c r="G511" s="6">
        <v>66163.100000000006</v>
      </c>
      <c r="H511" s="6">
        <v>80042</v>
      </c>
      <c r="I511" s="20">
        <f t="shared" ref="I511:I532" si="18">H511-G511</f>
        <v>13878.899999999994</v>
      </c>
      <c r="J511" s="616">
        <v>60</v>
      </c>
      <c r="K511" s="703"/>
      <c r="L511" s="22">
        <f t="shared" ref="L511:L532" si="19">J511*I511*F511</f>
        <v>832733.99999999965</v>
      </c>
      <c r="M511" s="22"/>
      <c r="N511" s="72" t="s">
        <v>106</v>
      </c>
      <c r="O511" s="15"/>
    </row>
    <row r="512" spans="1:15" x14ac:dyDescent="0.35">
      <c r="A512" s="631">
        <v>2</v>
      </c>
      <c r="B512" s="100" t="s">
        <v>3445</v>
      </c>
      <c r="C512" s="73">
        <v>11</v>
      </c>
      <c r="D512" s="1782"/>
      <c r="E512" s="52" t="s">
        <v>265</v>
      </c>
      <c r="F512" s="4">
        <v>1</v>
      </c>
      <c r="G512" s="6">
        <v>813263.1</v>
      </c>
      <c r="H512" s="6">
        <v>822612.2</v>
      </c>
      <c r="I512" s="20">
        <f t="shared" si="18"/>
        <v>9349.0999999999767</v>
      </c>
      <c r="J512" s="616">
        <v>60</v>
      </c>
      <c r="K512" s="703"/>
      <c r="L512" s="22">
        <f t="shared" si="19"/>
        <v>560945.9999999986</v>
      </c>
      <c r="M512" s="22"/>
      <c r="N512" s="72" t="s">
        <v>106</v>
      </c>
      <c r="O512" s="15"/>
    </row>
    <row r="513" spans="1:15" x14ac:dyDescent="0.35">
      <c r="A513" s="631">
        <v>3</v>
      </c>
      <c r="B513" s="100" t="s">
        <v>3446</v>
      </c>
      <c r="C513" s="73">
        <v>11</v>
      </c>
      <c r="D513" s="1782"/>
      <c r="E513" s="52" t="s">
        <v>263</v>
      </c>
      <c r="F513" s="4">
        <v>1</v>
      </c>
      <c r="G513" s="6">
        <v>785112.1</v>
      </c>
      <c r="H513" s="6">
        <v>806829.5</v>
      </c>
      <c r="I513" s="20">
        <f t="shared" si="18"/>
        <v>21717.400000000023</v>
      </c>
      <c r="J513" s="616">
        <v>60</v>
      </c>
      <c r="K513" s="703"/>
      <c r="L513" s="22">
        <f t="shared" si="19"/>
        <v>1303044.0000000014</v>
      </c>
      <c r="M513" s="22"/>
      <c r="N513" s="72" t="s">
        <v>106</v>
      </c>
      <c r="O513" s="15"/>
    </row>
    <row r="514" spans="1:15" x14ac:dyDescent="0.35">
      <c r="A514" s="631">
        <v>4</v>
      </c>
      <c r="B514" s="100" t="s">
        <v>3447</v>
      </c>
      <c r="C514" s="73">
        <v>11</v>
      </c>
      <c r="D514" s="1782"/>
      <c r="E514" s="52" t="s">
        <v>3448</v>
      </c>
      <c r="F514" s="4">
        <v>1</v>
      </c>
      <c r="G514" s="6">
        <v>51824866</v>
      </c>
      <c r="H514" s="6">
        <v>53077545</v>
      </c>
      <c r="I514" s="20">
        <f t="shared" si="18"/>
        <v>1252679</v>
      </c>
      <c r="J514" s="616">
        <v>1</v>
      </c>
      <c r="K514" s="703"/>
      <c r="L514" s="22">
        <f t="shared" si="19"/>
        <v>1252679</v>
      </c>
      <c r="M514" s="22"/>
      <c r="N514" s="72" t="s">
        <v>106</v>
      </c>
      <c r="O514" s="15"/>
    </row>
    <row r="515" spans="1:15" x14ac:dyDescent="0.35">
      <c r="A515" s="631">
        <v>5</v>
      </c>
      <c r="B515" s="1917" t="s">
        <v>3449</v>
      </c>
      <c r="C515" s="73">
        <v>11</v>
      </c>
      <c r="D515" s="1782"/>
      <c r="E515" s="52"/>
      <c r="F515" s="4">
        <v>1</v>
      </c>
      <c r="G515" s="6">
        <v>643108.19999999995</v>
      </c>
      <c r="H515" s="6">
        <v>644079.69999999995</v>
      </c>
      <c r="I515" s="20">
        <f t="shared" si="18"/>
        <v>971.5</v>
      </c>
      <c r="J515" s="616">
        <v>1</v>
      </c>
      <c r="K515" s="703" t="s">
        <v>3450</v>
      </c>
      <c r="L515" s="22">
        <f t="shared" si="19"/>
        <v>971.5</v>
      </c>
      <c r="M515" s="22"/>
      <c r="N515" s="72" t="s">
        <v>106</v>
      </c>
      <c r="O515" s="15"/>
    </row>
    <row r="516" spans="1:15" x14ac:dyDescent="0.35">
      <c r="A516" s="631">
        <v>1</v>
      </c>
      <c r="B516" s="100" t="s">
        <v>3451</v>
      </c>
      <c r="C516" s="73">
        <v>11</v>
      </c>
      <c r="D516" s="1782"/>
      <c r="E516" s="52" t="s">
        <v>261</v>
      </c>
      <c r="F516" s="4">
        <v>1</v>
      </c>
      <c r="G516" s="6">
        <v>539048.19999999995</v>
      </c>
      <c r="H516" s="6">
        <v>564909.4</v>
      </c>
      <c r="I516" s="20">
        <f t="shared" si="18"/>
        <v>25861.20000000007</v>
      </c>
      <c r="J516" s="616">
        <v>60</v>
      </c>
      <c r="K516" s="703"/>
      <c r="L516" s="784">
        <f t="shared" si="19"/>
        <v>1551672.0000000042</v>
      </c>
      <c r="M516" s="22"/>
      <c r="N516" s="72" t="s">
        <v>106</v>
      </c>
      <c r="O516" s="15"/>
    </row>
    <row r="517" spans="1:15" x14ac:dyDescent="0.35">
      <c r="A517" s="631">
        <v>2</v>
      </c>
      <c r="B517" s="100" t="s">
        <v>3452</v>
      </c>
      <c r="C517" s="73">
        <v>11</v>
      </c>
      <c r="D517" s="1782"/>
      <c r="E517" s="52" t="s">
        <v>264</v>
      </c>
      <c r="F517" s="4">
        <v>1</v>
      </c>
      <c r="G517" s="6">
        <v>805576.4</v>
      </c>
      <c r="H517" s="6">
        <v>811529</v>
      </c>
      <c r="I517" s="20">
        <f t="shared" si="18"/>
        <v>5952.5999999999767</v>
      </c>
      <c r="J517" s="616">
        <v>60</v>
      </c>
      <c r="K517" s="703"/>
      <c r="L517" s="22">
        <f t="shared" si="19"/>
        <v>357155.9999999986</v>
      </c>
      <c r="M517" s="22"/>
      <c r="N517" s="72" t="s">
        <v>106</v>
      </c>
      <c r="O517" s="15"/>
    </row>
    <row r="518" spans="1:15" x14ac:dyDescent="0.35">
      <c r="A518" s="631">
        <v>3</v>
      </c>
      <c r="B518" s="100" t="s">
        <v>3453</v>
      </c>
      <c r="C518" s="73">
        <v>11</v>
      </c>
      <c r="D518" s="1782"/>
      <c r="E518" s="52" t="s">
        <v>266</v>
      </c>
      <c r="F518" s="4">
        <v>1</v>
      </c>
      <c r="G518" s="6">
        <v>810213.7</v>
      </c>
      <c r="H518" s="6">
        <v>832617.2</v>
      </c>
      <c r="I518" s="20">
        <f t="shared" si="18"/>
        <v>22403.5</v>
      </c>
      <c r="J518" s="616">
        <v>60</v>
      </c>
      <c r="K518" s="703"/>
      <c r="L518" s="22">
        <f t="shared" si="19"/>
        <v>1344210</v>
      </c>
      <c r="M518" s="22"/>
      <c r="N518" s="72" t="s">
        <v>106</v>
      </c>
      <c r="O518" s="15"/>
    </row>
    <row r="519" spans="1:15" x14ac:dyDescent="0.35">
      <c r="A519" s="631">
        <v>4</v>
      </c>
      <c r="B519" s="100" t="s">
        <v>3454</v>
      </c>
      <c r="C519" s="73">
        <v>11</v>
      </c>
      <c r="D519" s="1782"/>
      <c r="E519" s="52" t="s">
        <v>3455</v>
      </c>
      <c r="F519" s="4">
        <v>1</v>
      </c>
      <c r="G519" s="6">
        <v>58607395</v>
      </c>
      <c r="H519" s="6">
        <v>59021192</v>
      </c>
      <c r="I519" s="20">
        <f t="shared" si="18"/>
        <v>413797</v>
      </c>
      <c r="J519" s="616">
        <v>1</v>
      </c>
      <c r="K519" s="703"/>
      <c r="L519" s="22">
        <f t="shared" si="19"/>
        <v>413797</v>
      </c>
      <c r="M519" s="22"/>
      <c r="N519" s="72" t="s">
        <v>106</v>
      </c>
      <c r="O519" s="15"/>
    </row>
    <row r="520" spans="1:15" x14ac:dyDescent="0.35">
      <c r="A520" s="631">
        <v>5</v>
      </c>
      <c r="B520" s="100" t="s">
        <v>3456</v>
      </c>
      <c r="C520" s="73">
        <v>11</v>
      </c>
      <c r="D520" s="1782"/>
      <c r="E520" s="52"/>
      <c r="F520" s="4">
        <v>1</v>
      </c>
      <c r="G520" s="6">
        <v>378099.9</v>
      </c>
      <c r="H520" s="6">
        <v>391593.1</v>
      </c>
      <c r="I520" s="20">
        <f t="shared" si="18"/>
        <v>13493.199999999953</v>
      </c>
      <c r="J520" s="616">
        <v>60</v>
      </c>
      <c r="K520" s="703"/>
      <c r="L520" s="22">
        <f t="shared" si="19"/>
        <v>809591.99999999721</v>
      </c>
      <c r="M520" s="22"/>
      <c r="N520" s="72" t="s">
        <v>106</v>
      </c>
      <c r="O520" s="15"/>
    </row>
    <row r="521" spans="1:15" x14ac:dyDescent="0.35">
      <c r="A521" s="631">
        <v>6</v>
      </c>
      <c r="B521" s="100" t="s">
        <v>3457</v>
      </c>
      <c r="C521" s="73">
        <v>11</v>
      </c>
      <c r="D521" s="1782"/>
      <c r="E521" s="52" t="s">
        <v>3458</v>
      </c>
      <c r="F521" s="4">
        <v>1</v>
      </c>
      <c r="G521" s="6">
        <v>61127345</v>
      </c>
      <c r="H521" s="6">
        <v>61422843</v>
      </c>
      <c r="I521" s="20">
        <f t="shared" si="18"/>
        <v>295498</v>
      </c>
      <c r="J521" s="616">
        <v>1</v>
      </c>
      <c r="K521" s="703"/>
      <c r="L521" s="22">
        <f t="shared" si="19"/>
        <v>295498</v>
      </c>
      <c r="M521" s="22"/>
      <c r="N521" s="72" t="s">
        <v>106</v>
      </c>
      <c r="O521" s="15"/>
    </row>
    <row r="522" spans="1:15" x14ac:dyDescent="0.35">
      <c r="A522" s="631">
        <v>7</v>
      </c>
      <c r="B522" s="100" t="s">
        <v>3459</v>
      </c>
      <c r="C522" s="73">
        <v>11</v>
      </c>
      <c r="D522" s="1782"/>
      <c r="E522" s="52"/>
      <c r="F522" s="4">
        <v>1</v>
      </c>
      <c r="G522" s="6">
        <v>242239</v>
      </c>
      <c r="H522" s="6">
        <v>248870</v>
      </c>
      <c r="I522" s="20">
        <f t="shared" si="18"/>
        <v>6631</v>
      </c>
      <c r="J522" s="616">
        <v>60</v>
      </c>
      <c r="K522" s="703"/>
      <c r="L522" s="22">
        <f t="shared" si="19"/>
        <v>397860</v>
      </c>
      <c r="M522" s="22"/>
      <c r="N522" s="72" t="s">
        <v>106</v>
      </c>
      <c r="O522" s="15"/>
    </row>
    <row r="523" spans="1:15" x14ac:dyDescent="0.35">
      <c r="A523" s="631">
        <v>1</v>
      </c>
      <c r="B523" s="100" t="s">
        <v>3460</v>
      </c>
      <c r="C523" s="73">
        <v>11</v>
      </c>
      <c r="D523" s="1782"/>
      <c r="E523" s="52" t="s">
        <v>3461</v>
      </c>
      <c r="F523" s="4">
        <v>1</v>
      </c>
      <c r="G523" s="6">
        <v>29741.9</v>
      </c>
      <c r="H523" s="6">
        <v>30193.3</v>
      </c>
      <c r="I523" s="20">
        <f t="shared" si="18"/>
        <v>451.39999999999782</v>
      </c>
      <c r="J523" s="616">
        <v>1000</v>
      </c>
      <c r="K523" s="703"/>
      <c r="L523" s="22">
        <f t="shared" si="19"/>
        <v>451399.99999999779</v>
      </c>
      <c r="M523" s="22"/>
      <c r="N523" s="72" t="s">
        <v>106</v>
      </c>
      <c r="O523" s="15"/>
    </row>
    <row r="524" spans="1:15" x14ac:dyDescent="0.35">
      <c r="A524" s="631">
        <v>2</v>
      </c>
      <c r="B524" s="100" t="s">
        <v>1361</v>
      </c>
      <c r="C524" s="73">
        <v>11</v>
      </c>
      <c r="D524" s="1782"/>
      <c r="E524" s="52"/>
      <c r="F524" s="4">
        <v>1</v>
      </c>
      <c r="G524" s="6">
        <v>428</v>
      </c>
      <c r="H524" s="6">
        <v>474.5</v>
      </c>
      <c r="I524" s="20">
        <f t="shared" si="18"/>
        <v>46.5</v>
      </c>
      <c r="J524" s="616">
        <v>1</v>
      </c>
      <c r="K524" s="703"/>
      <c r="L524" s="22">
        <f t="shared" si="19"/>
        <v>46.5</v>
      </c>
      <c r="M524" s="22"/>
      <c r="N524" s="72" t="s">
        <v>106</v>
      </c>
      <c r="O524" s="15"/>
    </row>
    <row r="525" spans="1:15" x14ac:dyDescent="0.35">
      <c r="A525" s="631">
        <v>3</v>
      </c>
      <c r="B525" s="100" t="s">
        <v>3462</v>
      </c>
      <c r="C525" s="73">
        <v>11</v>
      </c>
      <c r="D525" s="1782"/>
      <c r="E525" s="52"/>
      <c r="F525" s="4">
        <v>1</v>
      </c>
      <c r="G525" s="6">
        <v>7604778</v>
      </c>
      <c r="H525" s="6">
        <v>7667998</v>
      </c>
      <c r="I525" s="20">
        <f t="shared" si="18"/>
        <v>63220</v>
      </c>
      <c r="J525" s="616">
        <v>1</v>
      </c>
      <c r="K525" s="703"/>
      <c r="L525" s="22">
        <f t="shared" si="19"/>
        <v>63220</v>
      </c>
      <c r="M525" s="22"/>
      <c r="N525" s="72" t="s">
        <v>106</v>
      </c>
      <c r="O525" s="15"/>
    </row>
    <row r="526" spans="1:15" x14ac:dyDescent="0.35">
      <c r="A526" s="631">
        <v>4</v>
      </c>
      <c r="B526" s="100" t="s">
        <v>3463</v>
      </c>
      <c r="C526" s="73">
        <v>11</v>
      </c>
      <c r="D526" s="1782"/>
      <c r="E526" s="52" t="s">
        <v>3464</v>
      </c>
      <c r="F526" s="4">
        <v>1</v>
      </c>
      <c r="G526" s="6">
        <v>15395585</v>
      </c>
      <c r="H526" s="6">
        <v>15554078</v>
      </c>
      <c r="I526" s="20">
        <f t="shared" si="18"/>
        <v>158493</v>
      </c>
      <c r="J526" s="616">
        <v>1</v>
      </c>
      <c r="K526" s="703"/>
      <c r="L526" s="22">
        <f t="shared" si="19"/>
        <v>158493</v>
      </c>
      <c r="M526" s="22"/>
      <c r="N526" s="72" t="s">
        <v>106</v>
      </c>
      <c r="O526" s="15"/>
    </row>
    <row r="527" spans="1:15" x14ac:dyDescent="0.35">
      <c r="A527" s="631">
        <v>5</v>
      </c>
      <c r="B527" s="100" t="s">
        <v>3465</v>
      </c>
      <c r="C527" s="73">
        <v>11</v>
      </c>
      <c r="D527" s="1782"/>
      <c r="E527" s="52" t="s">
        <v>3466</v>
      </c>
      <c r="F527" s="4">
        <v>1</v>
      </c>
      <c r="G527" s="6">
        <v>83085930</v>
      </c>
      <c r="H527" s="6">
        <v>83981860</v>
      </c>
      <c r="I527" s="20">
        <f t="shared" si="18"/>
        <v>895930</v>
      </c>
      <c r="J527" s="616">
        <v>1</v>
      </c>
      <c r="K527" s="703"/>
      <c r="L527" s="22">
        <f t="shared" si="19"/>
        <v>895930</v>
      </c>
      <c r="M527" s="22"/>
      <c r="N527" s="72" t="s">
        <v>106</v>
      </c>
      <c r="O527" s="15"/>
    </row>
    <row r="528" spans="1:15" x14ac:dyDescent="0.35">
      <c r="A528" s="631">
        <v>6</v>
      </c>
      <c r="B528" s="1917" t="s">
        <v>3467</v>
      </c>
      <c r="C528" s="73">
        <v>11</v>
      </c>
      <c r="D528" s="1782"/>
      <c r="E528" s="52"/>
      <c r="F528" s="4">
        <v>1</v>
      </c>
      <c r="G528" s="6">
        <v>15.8</v>
      </c>
      <c r="H528" s="6">
        <v>30.3</v>
      </c>
      <c r="I528" s="20">
        <f t="shared" si="18"/>
        <v>14.5</v>
      </c>
      <c r="J528" s="616"/>
      <c r="K528" s="703"/>
      <c r="L528" s="22">
        <f>J528*I528*F528</f>
        <v>0</v>
      </c>
      <c r="M528" s="22"/>
      <c r="N528" s="72" t="s">
        <v>106</v>
      </c>
      <c r="O528" s="15"/>
    </row>
    <row r="529" spans="1:15" x14ac:dyDescent="0.35">
      <c r="A529" s="631">
        <v>7</v>
      </c>
      <c r="B529" s="100" t="s">
        <v>3468</v>
      </c>
      <c r="C529" s="73">
        <v>11</v>
      </c>
      <c r="D529" s="1782"/>
      <c r="E529" s="52" t="s">
        <v>3469</v>
      </c>
      <c r="F529" s="4">
        <v>1</v>
      </c>
      <c r="G529" s="6">
        <v>4158649</v>
      </c>
      <c r="H529" s="6">
        <v>4243201</v>
      </c>
      <c r="I529" s="20">
        <f t="shared" si="18"/>
        <v>84552</v>
      </c>
      <c r="J529" s="616">
        <v>1</v>
      </c>
      <c r="K529" s="703"/>
      <c r="L529" s="22">
        <f t="shared" si="19"/>
        <v>84552</v>
      </c>
      <c r="M529" s="22"/>
      <c r="N529" s="72" t="s">
        <v>106</v>
      </c>
      <c r="O529" s="15"/>
    </row>
    <row r="530" spans="1:15" x14ac:dyDescent="0.35">
      <c r="A530" s="631">
        <v>8</v>
      </c>
      <c r="B530" s="100" t="s">
        <v>3470</v>
      </c>
      <c r="C530" s="73">
        <v>11</v>
      </c>
      <c r="D530" s="1782"/>
      <c r="E530" s="52"/>
      <c r="F530" s="4">
        <v>1</v>
      </c>
      <c r="G530" s="6">
        <v>46491.8</v>
      </c>
      <c r="H530" s="6">
        <v>47240.6</v>
      </c>
      <c r="I530" s="20">
        <f t="shared" si="18"/>
        <v>748.79999999999563</v>
      </c>
      <c r="J530" s="616">
        <v>1000</v>
      </c>
      <c r="K530" s="703"/>
      <c r="L530" s="22">
        <f t="shared" si="19"/>
        <v>748799.99999999558</v>
      </c>
      <c r="M530" s="22"/>
      <c r="N530" s="72" t="s">
        <v>106</v>
      </c>
      <c r="O530" s="15"/>
    </row>
    <row r="531" spans="1:15" x14ac:dyDescent="0.35">
      <c r="A531" s="631"/>
      <c r="B531" s="100" t="s">
        <v>1363</v>
      </c>
      <c r="C531" s="73">
        <v>11</v>
      </c>
      <c r="D531" s="1782"/>
      <c r="E531" s="52"/>
      <c r="F531" s="4">
        <v>1</v>
      </c>
      <c r="G531" s="6">
        <v>1333.4</v>
      </c>
      <c r="H531" s="6">
        <v>1602.9</v>
      </c>
      <c r="I531" s="20">
        <f t="shared" si="18"/>
        <v>269.5</v>
      </c>
      <c r="J531" s="616">
        <v>1000</v>
      </c>
      <c r="K531" s="703"/>
      <c r="L531" s="22">
        <f t="shared" si="19"/>
        <v>269500</v>
      </c>
      <c r="M531" s="22"/>
      <c r="N531" s="72" t="s">
        <v>106</v>
      </c>
      <c r="O531" s="15"/>
    </row>
    <row r="532" spans="1:15" x14ac:dyDescent="0.35">
      <c r="A532" s="631">
        <v>9</v>
      </c>
      <c r="B532" s="100" t="s">
        <v>1362</v>
      </c>
      <c r="C532" s="73">
        <v>11</v>
      </c>
      <c r="D532" s="1783"/>
      <c r="E532" s="52"/>
      <c r="F532" s="4">
        <v>1</v>
      </c>
      <c r="G532" s="6">
        <v>8328.7000000000007</v>
      </c>
      <c r="H532" s="6">
        <v>8854.5</v>
      </c>
      <c r="I532" s="20">
        <f t="shared" si="18"/>
        <v>525.79999999999927</v>
      </c>
      <c r="J532" s="616">
        <v>1000</v>
      </c>
      <c r="K532" s="703"/>
      <c r="L532" s="22">
        <f t="shared" si="19"/>
        <v>525799.9999999993</v>
      </c>
      <c r="M532" s="22"/>
      <c r="N532" s="72" t="s">
        <v>106</v>
      </c>
      <c r="O532" s="15"/>
    </row>
    <row r="533" spans="1:15" ht="28" x14ac:dyDescent="0.3">
      <c r="A533" s="636"/>
      <c r="B533" s="96"/>
      <c r="C533" s="90"/>
      <c r="D533" s="90"/>
      <c r="E533" s="90"/>
      <c r="F533" s="793"/>
      <c r="G533" s="38"/>
      <c r="H533" s="38"/>
      <c r="I533" s="38"/>
      <c r="J533" s="53" t="s">
        <v>44</v>
      </c>
      <c r="K533" s="43">
        <f>K509</f>
        <v>12076423.999999998</v>
      </c>
      <c r="L533" s="43">
        <f>SUM(L511:L532)</f>
        <v>12317900.999999994</v>
      </c>
      <c r="M533" s="43">
        <f>SUM(M511:M532)</f>
        <v>0</v>
      </c>
      <c r="N533" s="712">
        <f>(M533-L533)/L533*100</f>
        <v>-100</v>
      </c>
      <c r="O533" s="29"/>
    </row>
    <row r="534" spans="1:15" x14ac:dyDescent="0.35">
      <c r="A534"/>
      <c r="B534"/>
      <c r="C534"/>
      <c r="D534"/>
      <c r="E534"/>
      <c r="F534" s="791"/>
      <c r="G534"/>
      <c r="H534"/>
      <c r="I534"/>
      <c r="J534"/>
      <c r="K534"/>
      <c r="L534"/>
      <c r="M534"/>
      <c r="N534" s="1451"/>
      <c r="O534"/>
    </row>
    <row r="535" spans="1:15" x14ac:dyDescent="0.35">
      <c r="E535"/>
      <c r="F535" s="2092" t="s">
        <v>1099</v>
      </c>
      <c r="G535" s="2092"/>
      <c r="H535" s="2092"/>
      <c r="I535" s="677" t="s">
        <v>14</v>
      </c>
    </row>
    <row r="536" spans="1:15" x14ac:dyDescent="0.35">
      <c r="E536"/>
      <c r="F536" s="2153" t="s">
        <v>232</v>
      </c>
      <c r="G536" s="2154"/>
      <c r="H536" s="2155"/>
      <c r="I536" s="643">
        <f>SUM(M511:M512,M515)</f>
        <v>0</v>
      </c>
      <c r="O536" s="620" t="s">
        <v>237</v>
      </c>
    </row>
    <row r="537" spans="1:15" x14ac:dyDescent="0.35">
      <c r="E537"/>
      <c r="F537" s="2153" t="s">
        <v>268</v>
      </c>
      <c r="G537" s="2154"/>
      <c r="H537" s="2155"/>
      <c r="I537" s="643">
        <f>SUM(M513:M514,M516,M518,M519,M521)</f>
        <v>0</v>
      </c>
    </row>
    <row r="538" spans="1:15" ht="16" thickBot="1" x14ac:dyDescent="0.4">
      <c r="E538"/>
      <c r="F538" s="2153" t="s">
        <v>269</v>
      </c>
      <c r="G538" s="2154"/>
      <c r="H538" s="2155"/>
      <c r="I538" s="643">
        <f>SUM(M517,M520)</f>
        <v>0</v>
      </c>
    </row>
    <row r="539" spans="1:15" ht="20.5" thickBot="1" x14ac:dyDescent="0.4">
      <c r="F539" s="2156" t="s">
        <v>210</v>
      </c>
      <c r="G539" s="2156"/>
      <c r="H539" s="2156"/>
      <c r="I539" s="656">
        <f>SUM(I536:I538)</f>
        <v>0</v>
      </c>
      <c r="J539" s="682">
        <f>I539-M533</f>
        <v>0</v>
      </c>
    </row>
    <row r="548" spans="1:15" x14ac:dyDescent="0.35">
      <c r="H548" s="620" t="s">
        <v>1047</v>
      </c>
    </row>
    <row r="555" spans="1:15" ht="105" x14ac:dyDescent="0.3">
      <c r="A555" s="2095" t="s">
        <v>1143</v>
      </c>
      <c r="B555" s="2095"/>
      <c r="C555" s="2095"/>
      <c r="D555" s="2095"/>
      <c r="E555" s="2095"/>
      <c r="F555" s="2095"/>
      <c r="G555" s="2095"/>
      <c r="H555" s="2095"/>
      <c r="I555" s="2095"/>
      <c r="J555" s="2095"/>
      <c r="K555" s="2095"/>
      <c r="L555" s="2095"/>
      <c r="M555" s="2095"/>
      <c r="N555" s="2095"/>
      <c r="O555" s="756" t="str">
        <f>$O$6</f>
        <v>Month December-2022</v>
      </c>
    </row>
    <row r="556" spans="1:15" x14ac:dyDescent="0.35">
      <c r="A556" s="2096" t="s">
        <v>0</v>
      </c>
      <c r="B556" s="2098" t="s">
        <v>1</v>
      </c>
      <c r="C556" s="2100" t="s">
        <v>2</v>
      </c>
      <c r="D556" s="2101"/>
      <c r="E556" s="2102"/>
      <c r="F556" s="2230" t="s">
        <v>3</v>
      </c>
      <c r="G556" s="2100" t="s">
        <v>4</v>
      </c>
      <c r="H556" s="2102"/>
      <c r="I556" s="2085"/>
      <c r="J556" s="2103" t="s">
        <v>5</v>
      </c>
      <c r="K556" s="2100" t="s">
        <v>6</v>
      </c>
      <c r="L556" s="2085"/>
      <c r="M556" s="97" t="s">
        <v>32</v>
      </c>
      <c r="N556" s="98"/>
      <c r="O556" s="2084" t="s">
        <v>7</v>
      </c>
    </row>
    <row r="557" spans="1:15" x14ac:dyDescent="0.3">
      <c r="A557" s="2097"/>
      <c r="B557" s="2099"/>
      <c r="C557" s="2086" t="s">
        <v>1108</v>
      </c>
      <c r="D557" s="2087"/>
      <c r="E557" s="87" t="s">
        <v>9</v>
      </c>
      <c r="F557" s="2229"/>
      <c r="G557" s="2">
        <f>'NORTH-1'!$G$8</f>
        <v>44774</v>
      </c>
      <c r="H557" s="2">
        <f>'NORTH-1'!$H$8</f>
        <v>44805</v>
      </c>
      <c r="I557" s="1" t="s">
        <v>10</v>
      </c>
      <c r="J557" s="2097"/>
      <c r="K557" s="1" t="s">
        <v>11</v>
      </c>
      <c r="L557" s="1" t="s">
        <v>12</v>
      </c>
      <c r="M557" s="617" t="s">
        <v>33</v>
      </c>
      <c r="N557" s="76" t="s">
        <v>47</v>
      </c>
      <c r="O557" s="2085"/>
    </row>
    <row r="558" spans="1:15" x14ac:dyDescent="0.3">
      <c r="A558" s="3">
        <v>1</v>
      </c>
      <c r="B558" s="88">
        <v>2</v>
      </c>
      <c r="C558" s="2088">
        <v>4</v>
      </c>
      <c r="D558" s="2089"/>
      <c r="E558" s="88">
        <v>5</v>
      </c>
      <c r="F558" s="786">
        <v>7</v>
      </c>
      <c r="G558" s="3">
        <v>8</v>
      </c>
      <c r="H558" s="3">
        <v>9</v>
      </c>
      <c r="I558" s="3" t="s">
        <v>13</v>
      </c>
      <c r="J558" s="3">
        <v>11</v>
      </c>
      <c r="K558" s="3" t="s">
        <v>19</v>
      </c>
      <c r="L558" s="3" t="s">
        <v>20</v>
      </c>
      <c r="M558" s="3">
        <v>14</v>
      </c>
      <c r="N558" s="77">
        <v>15</v>
      </c>
      <c r="O558" s="3">
        <v>16</v>
      </c>
    </row>
    <row r="559" spans="1:15" x14ac:dyDescent="0.35">
      <c r="A559" s="631"/>
      <c r="B559" s="624" t="s">
        <v>1348</v>
      </c>
      <c r="C559" s="625"/>
      <c r="D559" s="625"/>
      <c r="E559" s="625"/>
      <c r="F559" s="787"/>
      <c r="G559" s="625"/>
      <c r="H559" s="625"/>
      <c r="I559" s="625"/>
      <c r="J559" s="625"/>
      <c r="K559" s="695"/>
      <c r="L559" s="625"/>
      <c r="M559" s="626"/>
      <c r="N559" s="627"/>
      <c r="O559" s="616"/>
    </row>
    <row r="560" spans="1:15" x14ac:dyDescent="0.3">
      <c r="A560" s="11"/>
      <c r="B560" s="100" t="s">
        <v>1456</v>
      </c>
      <c r="C560" s="52">
        <f>C140</f>
        <v>0</v>
      </c>
      <c r="D560" s="2220" t="s">
        <v>698</v>
      </c>
      <c r="E560" s="52">
        <f t="shared" ref="E560:M560" si="20">E140</f>
        <v>0</v>
      </c>
      <c r="F560" s="4">
        <f t="shared" si="20"/>
        <v>0</v>
      </c>
      <c r="G560" s="20">
        <f t="shared" si="20"/>
        <v>0</v>
      </c>
      <c r="H560" s="20">
        <f t="shared" si="20"/>
        <v>0</v>
      </c>
      <c r="I560" s="20">
        <f t="shared" si="20"/>
        <v>0</v>
      </c>
      <c r="J560" s="616">
        <f t="shared" si="20"/>
        <v>0</v>
      </c>
      <c r="K560" s="696">
        <f t="shared" si="20"/>
        <v>0</v>
      </c>
      <c r="L560" s="22">
        <f t="shared" si="20"/>
        <v>0</v>
      </c>
      <c r="M560" s="22">
        <f t="shared" si="20"/>
        <v>0</v>
      </c>
      <c r="N560" s="82"/>
      <c r="O560" s="9"/>
    </row>
    <row r="561" spans="1:15" x14ac:dyDescent="0.35">
      <c r="A561" s="631"/>
      <c r="B561" s="100" t="s">
        <v>1457</v>
      </c>
      <c r="C561" s="52">
        <f>C141</f>
        <v>0</v>
      </c>
      <c r="D561" s="2221"/>
      <c r="E561" s="52">
        <f t="shared" ref="E561:M561" si="21">E141</f>
        <v>0</v>
      </c>
      <c r="F561" s="4">
        <f t="shared" si="21"/>
        <v>0</v>
      </c>
      <c r="G561" s="20">
        <f t="shared" si="21"/>
        <v>0</v>
      </c>
      <c r="H561" s="20">
        <f t="shared" si="21"/>
        <v>0</v>
      </c>
      <c r="I561" s="20">
        <f t="shared" si="21"/>
        <v>0</v>
      </c>
      <c r="J561" s="616">
        <f t="shared" si="21"/>
        <v>0</v>
      </c>
      <c r="K561" s="696">
        <f t="shared" si="21"/>
        <v>0</v>
      </c>
      <c r="L561" s="22">
        <f t="shared" si="21"/>
        <v>0</v>
      </c>
      <c r="M561" s="22">
        <f t="shared" si="21"/>
        <v>0</v>
      </c>
      <c r="N561" s="82"/>
      <c r="O561" s="616"/>
    </row>
    <row r="562" spans="1:15" x14ac:dyDescent="0.35">
      <c r="A562" s="631"/>
      <c r="B562" s="102"/>
      <c r="C562" s="91"/>
      <c r="D562" s="726"/>
      <c r="E562" s="745"/>
      <c r="F562" s="746"/>
      <c r="G562" s="747"/>
      <c r="H562" s="747"/>
      <c r="I562" s="747"/>
      <c r="J562" s="748" t="s">
        <v>30</v>
      </c>
      <c r="K562" s="749"/>
      <c r="L562" s="750">
        <f>SUM(L560:L561)</f>
        <v>0</v>
      </c>
      <c r="M562" s="750">
        <v>9041302.718646463</v>
      </c>
      <c r="N562" s="1914"/>
      <c r="O562" s="616"/>
    </row>
    <row r="563" spans="1:15" x14ac:dyDescent="0.3">
      <c r="A563" s="616"/>
      <c r="B563" s="624" t="s">
        <v>1461</v>
      </c>
      <c r="C563" s="625"/>
      <c r="D563" s="625"/>
      <c r="E563" s="625"/>
      <c r="F563" s="787"/>
      <c r="G563" s="625"/>
      <c r="H563" s="625"/>
      <c r="I563" s="625"/>
      <c r="J563" s="732"/>
      <c r="K563" s="733"/>
      <c r="L563" s="734"/>
      <c r="M563" s="734"/>
      <c r="N563" s="627"/>
      <c r="O563" s="12"/>
    </row>
    <row r="564" spans="1:15" x14ac:dyDescent="0.3">
      <c r="A564" s="616">
        <v>1</v>
      </c>
      <c r="B564" s="100" t="s">
        <v>3471</v>
      </c>
      <c r="C564" s="52">
        <v>33</v>
      </c>
      <c r="D564" s="2105" t="s">
        <v>339</v>
      </c>
      <c r="E564" s="52" t="s">
        <v>3472</v>
      </c>
      <c r="F564" s="4">
        <v>1</v>
      </c>
      <c r="G564" s="21">
        <v>24728.91</v>
      </c>
      <c r="H564" s="21">
        <v>41479.93</v>
      </c>
      <c r="I564" s="20">
        <f>H564-G564</f>
        <v>16751.02</v>
      </c>
      <c r="J564" s="616">
        <v>270</v>
      </c>
      <c r="K564" s="696">
        <f>J564*I564*F564</f>
        <v>4522775.4000000004</v>
      </c>
      <c r="L564" s="22"/>
      <c r="M564" s="22"/>
      <c r="N564" s="82"/>
      <c r="O564" s="12"/>
    </row>
    <row r="565" spans="1:15" x14ac:dyDescent="0.3">
      <c r="A565" s="616">
        <v>2</v>
      </c>
      <c r="B565" s="100" t="s">
        <v>3473</v>
      </c>
      <c r="C565" s="52">
        <v>33</v>
      </c>
      <c r="D565" s="2106" t="s">
        <v>339</v>
      </c>
      <c r="E565" s="52" t="s">
        <v>3474</v>
      </c>
      <c r="F565" s="4">
        <v>1</v>
      </c>
      <c r="G565" s="21">
        <v>81269.33</v>
      </c>
      <c r="H565" s="21">
        <v>100667.45</v>
      </c>
      <c r="I565" s="20">
        <f>H565-G565</f>
        <v>19398.119999999995</v>
      </c>
      <c r="J565" s="616">
        <v>270</v>
      </c>
      <c r="K565" s="696">
        <f>J565*I565*F565</f>
        <v>5237492.3999999985</v>
      </c>
      <c r="L565" s="22"/>
      <c r="M565" s="22"/>
      <c r="N565" s="82"/>
      <c r="O565" s="12"/>
    </row>
    <row r="566" spans="1:15" x14ac:dyDescent="0.3">
      <c r="A566" s="616"/>
      <c r="B566" s="102"/>
      <c r="C566" s="91"/>
      <c r="D566" s="726"/>
      <c r="E566" s="91"/>
      <c r="F566" s="47"/>
      <c r="G566" s="48"/>
      <c r="H566" s="48"/>
      <c r="I566" s="36"/>
      <c r="J566" s="96" t="s">
        <v>30</v>
      </c>
      <c r="K566" s="43">
        <f>K564+K565</f>
        <v>9760267.7999999989</v>
      </c>
      <c r="L566" s="43"/>
      <c r="M566" s="43"/>
      <c r="N566" s="85"/>
      <c r="O566" s="12"/>
    </row>
    <row r="567" spans="1:15" x14ac:dyDescent="0.3">
      <c r="A567" s="616"/>
      <c r="B567" s="647" t="s">
        <v>1462</v>
      </c>
      <c r="C567" s="648"/>
      <c r="D567" s="648"/>
      <c r="E567" s="648"/>
      <c r="F567" s="789"/>
      <c r="G567" s="648"/>
      <c r="H567" s="648"/>
      <c r="I567" s="648"/>
      <c r="J567" s="648"/>
      <c r="K567" s="700"/>
      <c r="L567" s="648"/>
      <c r="M567" s="651"/>
      <c r="N567" s="649"/>
      <c r="O567" s="8"/>
    </row>
    <row r="568" spans="1:15" x14ac:dyDescent="0.3">
      <c r="A568" s="616"/>
      <c r="B568" s="100" t="s">
        <v>1079</v>
      </c>
      <c r="C568" s="52">
        <v>132</v>
      </c>
      <c r="D568" s="2138" t="s">
        <v>1083</v>
      </c>
      <c r="E568" s="615"/>
      <c r="F568" s="4"/>
      <c r="G568" s="5"/>
      <c r="H568" s="5"/>
      <c r="I568" s="5"/>
      <c r="J568" s="616"/>
      <c r="K568" s="696"/>
      <c r="L568" s="16">
        <f>J568*I568*F568</f>
        <v>0</v>
      </c>
      <c r="M568" s="7"/>
      <c r="N568" s="78"/>
      <c r="O568" s="616"/>
    </row>
    <row r="569" spans="1:15" x14ac:dyDescent="0.3">
      <c r="A569" s="616"/>
      <c r="B569" s="100" t="s">
        <v>1078</v>
      </c>
      <c r="C569" s="52">
        <v>132</v>
      </c>
      <c r="D569" s="2139"/>
      <c r="E569" s="615"/>
      <c r="F569" s="4"/>
      <c r="G569" s="5"/>
      <c r="H569" s="5"/>
      <c r="I569" s="5"/>
      <c r="J569" s="616"/>
      <c r="K569" s="696"/>
      <c r="L569" s="16">
        <f>J569*I569*F569</f>
        <v>0</v>
      </c>
      <c r="M569" s="16"/>
      <c r="N569" s="79"/>
      <c r="O569" s="616"/>
    </row>
    <row r="570" spans="1:15" x14ac:dyDescent="0.35">
      <c r="A570" s="616"/>
      <c r="B570" s="95"/>
      <c r="C570" s="89"/>
      <c r="D570" s="89"/>
      <c r="E570" s="89"/>
      <c r="F570" s="788"/>
      <c r="G570" s="37"/>
      <c r="H570" s="37"/>
      <c r="I570" s="37"/>
      <c r="J570" s="95" t="s">
        <v>279</v>
      </c>
      <c r="K570" s="699"/>
      <c r="L570" s="55">
        <f>SUM(L568:L569)</f>
        <v>0</v>
      </c>
      <c r="M570" s="633"/>
      <c r="N570" s="631"/>
      <c r="O570" s="616"/>
    </row>
    <row r="571" spans="1:15" x14ac:dyDescent="0.3">
      <c r="A571" s="616"/>
      <c r="B571" s="102"/>
      <c r="C571" s="91"/>
      <c r="D571" s="726"/>
      <c r="E571" s="91"/>
      <c r="F571" s="47"/>
      <c r="G571" s="48"/>
      <c r="H571" s="48"/>
      <c r="I571" s="36"/>
      <c r="J571" s="96"/>
      <c r="K571" s="706"/>
      <c r="L571" s="43"/>
      <c r="M571" s="43"/>
      <c r="N571" s="85"/>
      <c r="O571" s="12"/>
    </row>
    <row r="572" spans="1:15" x14ac:dyDescent="0.3">
      <c r="A572" s="636"/>
      <c r="B572" s="647" t="s">
        <v>1463</v>
      </c>
      <c r="C572" s="648"/>
      <c r="D572" s="648"/>
      <c r="E572" s="648"/>
      <c r="F572" s="789"/>
      <c r="G572" s="648"/>
      <c r="H572" s="648"/>
      <c r="I572" s="648"/>
      <c r="J572" s="50"/>
      <c r="K572" s="710"/>
      <c r="L572" s="51"/>
      <c r="M572" s="51"/>
      <c r="N572" s="649"/>
      <c r="O572" s="12"/>
    </row>
    <row r="573" spans="1:15" x14ac:dyDescent="0.3">
      <c r="A573" s="616">
        <v>1</v>
      </c>
      <c r="B573" s="100" t="s">
        <v>3475</v>
      </c>
      <c r="C573" s="52">
        <v>33</v>
      </c>
      <c r="D573" s="2140" t="s">
        <v>326</v>
      </c>
      <c r="E573" s="52" t="s">
        <v>3476</v>
      </c>
      <c r="F573" s="4">
        <v>1</v>
      </c>
      <c r="G573" s="21">
        <v>46361.23</v>
      </c>
      <c r="H573" s="21">
        <v>71306.570000000007</v>
      </c>
      <c r="I573" s="21">
        <f>H573-G573</f>
        <v>24945.340000000004</v>
      </c>
      <c r="J573" s="31">
        <v>180</v>
      </c>
      <c r="K573" s="707"/>
      <c r="L573" s="22">
        <f>J573*I573*F573</f>
        <v>4490161.2000000011</v>
      </c>
      <c r="M573" s="22"/>
      <c r="N573" s="83"/>
      <c r="O573" s="12"/>
    </row>
    <row r="574" spans="1:15" x14ac:dyDescent="0.3">
      <c r="A574" s="616">
        <v>2</v>
      </c>
      <c r="B574" s="100" t="s">
        <v>3477</v>
      </c>
      <c r="C574" s="52">
        <v>33</v>
      </c>
      <c r="D574" s="2157" t="s">
        <v>326</v>
      </c>
      <c r="E574" s="52" t="s">
        <v>3478</v>
      </c>
      <c r="F574" s="4">
        <v>1</v>
      </c>
      <c r="G574" s="21">
        <v>92699.65</v>
      </c>
      <c r="H574" s="21">
        <v>122053.04</v>
      </c>
      <c r="I574" s="21">
        <f>H574-G574</f>
        <v>29353.39</v>
      </c>
      <c r="J574" s="31">
        <v>180</v>
      </c>
      <c r="K574" s="707"/>
      <c r="L574" s="22">
        <f>J574*I574*F574</f>
        <v>5283610.2</v>
      </c>
      <c r="M574" s="22"/>
      <c r="N574" s="83"/>
      <c r="O574" s="12"/>
    </row>
    <row r="575" spans="1:15" ht="15" x14ac:dyDescent="0.3">
      <c r="A575" s="636"/>
      <c r="B575" s="96"/>
      <c r="C575" s="90"/>
      <c r="D575" s="90"/>
      <c r="E575" s="90"/>
      <c r="F575" s="793"/>
      <c r="G575" s="38"/>
      <c r="H575" s="38"/>
      <c r="I575" s="38"/>
      <c r="J575" s="96" t="s">
        <v>30</v>
      </c>
      <c r="K575" s="708"/>
      <c r="L575" s="43">
        <f>SUM(L573:L574)</f>
        <v>9773771.4000000022</v>
      </c>
      <c r="M575" s="43">
        <f>SUM(M573:M574)</f>
        <v>0</v>
      </c>
      <c r="N575" s="712"/>
      <c r="O575" s="12"/>
    </row>
    <row r="576" spans="1:15" thickBot="1" x14ac:dyDescent="0.35">
      <c r="A576" s="702"/>
      <c r="B576" s="736"/>
      <c r="C576" s="92"/>
      <c r="D576" s="92"/>
      <c r="E576" s="92"/>
      <c r="F576" s="795"/>
      <c r="G576" s="737"/>
      <c r="H576" s="737"/>
      <c r="I576" s="737"/>
      <c r="J576" s="736"/>
      <c r="K576" s="738"/>
      <c r="L576" s="739"/>
      <c r="M576" s="739"/>
      <c r="N576" s="1914"/>
      <c r="O576" s="740"/>
    </row>
    <row r="577" spans="1:15" ht="15" x14ac:dyDescent="0.35">
      <c r="A577" s="702"/>
      <c r="B577" s="2142" t="s">
        <v>1339</v>
      </c>
      <c r="C577" s="2143"/>
      <c r="D577" s="683" t="s">
        <v>14</v>
      </c>
      <c r="E577"/>
      <c r="F577" s="2144" t="s">
        <v>1350</v>
      </c>
      <c r="G577" s="2145"/>
      <c r="H577" s="2146"/>
      <c r="I577" s="683" t="s">
        <v>14</v>
      </c>
      <c r="K577" s="2147" t="s">
        <v>1092</v>
      </c>
      <c r="L577" s="2148"/>
      <c r="M577" s="684" t="s">
        <v>14</v>
      </c>
      <c r="N577" s="1914"/>
      <c r="O577" s="740"/>
    </row>
    <row r="578" spans="1:15" ht="15" x14ac:dyDescent="0.35">
      <c r="A578" s="702"/>
      <c r="B578" s="2122" t="str">
        <f>B559</f>
        <v>Satmosjid 33 KV SIDE</v>
      </c>
      <c r="C578" s="2123"/>
      <c r="D578" s="689">
        <f>K566</f>
        <v>9760267.7999999989</v>
      </c>
      <c r="E578"/>
      <c r="F578" s="2124" t="s">
        <v>1093</v>
      </c>
      <c r="G578" s="2125"/>
      <c r="H578" s="2126"/>
      <c r="I578" s="685">
        <f>L570</f>
        <v>0</v>
      </c>
      <c r="K578" s="2160" t="str">
        <f>F579</f>
        <v>ASADGATE 33 KV NET IMPORT</v>
      </c>
      <c r="L578" s="2161"/>
      <c r="M578" s="687">
        <f>I579</f>
        <v>9760267.7999999989</v>
      </c>
      <c r="N578" s="1914" t="s">
        <v>237</v>
      </c>
      <c r="O578" s="740"/>
    </row>
    <row r="579" spans="1:15" ht="15" x14ac:dyDescent="0.35">
      <c r="A579" s="702"/>
      <c r="B579" s="2122" t="s">
        <v>1116</v>
      </c>
      <c r="C579" s="2123"/>
      <c r="D579" s="741"/>
      <c r="E579"/>
      <c r="F579" s="2124" t="s">
        <v>1593</v>
      </c>
      <c r="G579" s="2125"/>
      <c r="H579" s="2126"/>
      <c r="I579" s="685">
        <f>D582-I578</f>
        <v>9760267.7999999989</v>
      </c>
      <c r="K579" s="2162" t="s">
        <v>1594</v>
      </c>
      <c r="L579" s="2163"/>
      <c r="M579" s="685">
        <f>M612</f>
        <v>0</v>
      </c>
      <c r="N579" s="1914"/>
      <c r="O579" s="740"/>
    </row>
    <row r="580" spans="1:15" ht="15" x14ac:dyDescent="0.35">
      <c r="A580" s="702"/>
      <c r="B580" s="2122" t="s">
        <v>1117</v>
      </c>
      <c r="C580" s="2123"/>
      <c r="D580" s="721"/>
      <c r="E580"/>
      <c r="F580" s="2124" t="s">
        <v>1089</v>
      </c>
      <c r="G580" s="2125"/>
      <c r="H580" s="2126"/>
      <c r="I580" s="685">
        <f>I578+I579</f>
        <v>9760267.7999999989</v>
      </c>
      <c r="K580" s="2127" t="s">
        <v>284</v>
      </c>
      <c r="L580" s="2128"/>
      <c r="M580" s="685">
        <f>M578-M579</f>
        <v>9760267.7999999989</v>
      </c>
      <c r="N580" s="1914"/>
      <c r="O580" s="740"/>
    </row>
    <row r="581" spans="1:15" ht="16" thickBot="1" x14ac:dyDescent="0.4">
      <c r="A581" s="702"/>
      <c r="B581" s="2122" t="s">
        <v>1118</v>
      </c>
      <c r="C581" s="2123"/>
      <c r="D581" s="722"/>
      <c r="E581"/>
      <c r="F581" s="2113" t="s">
        <v>1546</v>
      </c>
      <c r="G581" s="2114"/>
      <c r="H581" s="2115"/>
      <c r="I581" s="690">
        <f>(D582-I580)/I580</f>
        <v>0</v>
      </c>
      <c r="K581" s="2134" t="s">
        <v>285</v>
      </c>
      <c r="L581" s="2135"/>
      <c r="M581" s="688">
        <f>M580/M578</f>
        <v>1</v>
      </c>
      <c r="N581" s="1914"/>
      <c r="O581" s="740"/>
    </row>
    <row r="582" spans="1:15" thickBot="1" x14ac:dyDescent="0.4">
      <c r="A582" s="702"/>
      <c r="B582" s="2158" t="s">
        <v>1082</v>
      </c>
      <c r="C582" s="2159"/>
      <c r="D582" s="686">
        <f>SUM(D578:D580)</f>
        <v>9760267.7999999989</v>
      </c>
      <c r="E582"/>
      <c r="N582" s="1914"/>
      <c r="O582" s="740"/>
    </row>
    <row r="583" spans="1:15" ht="15" x14ac:dyDescent="0.3">
      <c r="A583" s="702"/>
      <c r="B583" s="736"/>
      <c r="C583" s="92"/>
      <c r="D583" s="92"/>
      <c r="E583" s="92"/>
      <c r="F583" s="795"/>
      <c r="G583" s="737"/>
      <c r="H583" s="737"/>
      <c r="I583" s="737"/>
      <c r="J583" s="736"/>
      <c r="K583" s="738"/>
      <c r="L583" s="739"/>
      <c r="M583" s="739"/>
      <c r="N583" s="1914"/>
      <c r="O583" s="740"/>
    </row>
    <row r="584" spans="1:15" x14ac:dyDescent="0.35">
      <c r="B584" s="632"/>
      <c r="C584" s="620"/>
      <c r="D584" s="728"/>
      <c r="E584" s="620"/>
      <c r="N584" s="1469"/>
    </row>
    <row r="585" spans="1:15" x14ac:dyDescent="0.35">
      <c r="B585" s="632"/>
      <c r="C585" s="620"/>
      <c r="D585" s="728"/>
      <c r="E585" s="620"/>
      <c r="N585" s="1469"/>
    </row>
    <row r="586" spans="1:15" ht="105" x14ac:dyDescent="0.3">
      <c r="A586" s="2095" t="s">
        <v>1144</v>
      </c>
      <c r="B586" s="2095"/>
      <c r="C586" s="2095"/>
      <c r="D586" s="2095"/>
      <c r="E586" s="2095"/>
      <c r="F586" s="2095"/>
      <c r="G586" s="2095"/>
      <c r="H586" s="2095"/>
      <c r="I586" s="2095"/>
      <c r="J586" s="2095"/>
      <c r="K586" s="2095"/>
      <c r="L586" s="2095"/>
      <c r="M586" s="2095"/>
      <c r="N586" s="2095"/>
      <c r="O586" s="756" t="str">
        <f>$O$6</f>
        <v>Month December-2022</v>
      </c>
    </row>
    <row r="587" spans="1:15" x14ac:dyDescent="0.35">
      <c r="A587" s="2096" t="s">
        <v>0</v>
      </c>
      <c r="B587" s="2098" t="s">
        <v>1</v>
      </c>
      <c r="C587" s="2100" t="s">
        <v>2</v>
      </c>
      <c r="D587" s="2101"/>
      <c r="E587" s="2102"/>
      <c r="F587" s="2230" t="s">
        <v>3</v>
      </c>
      <c r="G587" s="2100" t="s">
        <v>4</v>
      </c>
      <c r="H587" s="2102"/>
      <c r="I587" s="2085"/>
      <c r="J587" s="2103" t="s">
        <v>5</v>
      </c>
      <c r="K587" s="2100" t="s">
        <v>6</v>
      </c>
      <c r="L587" s="2085"/>
      <c r="M587" s="97" t="s">
        <v>32</v>
      </c>
      <c r="N587" s="98"/>
      <c r="O587" s="2084" t="s">
        <v>7</v>
      </c>
    </row>
    <row r="588" spans="1:15" x14ac:dyDescent="0.3">
      <c r="A588" s="2097"/>
      <c r="B588" s="2099"/>
      <c r="C588" s="2086" t="s">
        <v>1108</v>
      </c>
      <c r="D588" s="2087"/>
      <c r="E588" s="87" t="s">
        <v>9</v>
      </c>
      <c r="F588" s="2229"/>
      <c r="G588" s="2">
        <f>'NORTH-1'!$G$8</f>
        <v>44774</v>
      </c>
      <c r="H588" s="2">
        <f>'NORTH-1'!$H$8</f>
        <v>44805</v>
      </c>
      <c r="I588" s="1" t="s">
        <v>10</v>
      </c>
      <c r="J588" s="2097"/>
      <c r="K588" s="1" t="s">
        <v>11</v>
      </c>
      <c r="L588" s="1" t="s">
        <v>12</v>
      </c>
      <c r="M588" s="617" t="s">
        <v>33</v>
      </c>
      <c r="N588" s="76" t="s">
        <v>47</v>
      </c>
      <c r="O588" s="2085"/>
    </row>
    <row r="589" spans="1:15" x14ac:dyDescent="0.3">
      <c r="A589" s="3">
        <v>1</v>
      </c>
      <c r="B589" s="88">
        <v>2</v>
      </c>
      <c r="C589" s="2088">
        <v>4</v>
      </c>
      <c r="D589" s="2089"/>
      <c r="E589" s="88">
        <v>5</v>
      </c>
      <c r="F589" s="786">
        <v>7</v>
      </c>
      <c r="G589" s="3">
        <v>8</v>
      </c>
      <c r="H589" s="3">
        <v>9</v>
      </c>
      <c r="I589" s="3" t="s">
        <v>13</v>
      </c>
      <c r="J589" s="3">
        <v>11</v>
      </c>
      <c r="K589" s="3" t="s">
        <v>19</v>
      </c>
      <c r="L589" s="3" t="s">
        <v>20</v>
      </c>
      <c r="M589" s="3">
        <v>14</v>
      </c>
      <c r="N589" s="77">
        <v>15</v>
      </c>
      <c r="O589" s="3">
        <v>16</v>
      </c>
    </row>
    <row r="590" spans="1:15" x14ac:dyDescent="0.35">
      <c r="A590" s="631"/>
      <c r="B590" s="624" t="s">
        <v>1458</v>
      </c>
      <c r="C590" s="625"/>
      <c r="D590" s="625"/>
      <c r="E590" s="625"/>
      <c r="F590" s="787"/>
      <c r="G590" s="625"/>
      <c r="H590" s="625"/>
      <c r="I590" s="625"/>
      <c r="J590" s="625"/>
      <c r="K590" s="695"/>
      <c r="L590" s="625"/>
      <c r="M590" s="626"/>
      <c r="N590" s="627"/>
      <c r="O590" s="616"/>
    </row>
    <row r="591" spans="1:15" x14ac:dyDescent="0.35">
      <c r="A591" s="631">
        <v>1</v>
      </c>
      <c r="B591" s="100" t="s">
        <v>3440</v>
      </c>
      <c r="C591" s="52">
        <v>11</v>
      </c>
      <c r="D591" s="1770" t="s">
        <v>339</v>
      </c>
      <c r="E591" s="52" t="s">
        <v>3479</v>
      </c>
      <c r="F591" s="4">
        <v>1</v>
      </c>
      <c r="G591" s="21">
        <v>21362.1</v>
      </c>
      <c r="H591" s="21">
        <v>46103.17</v>
      </c>
      <c r="I591" s="21">
        <f>H591-G591</f>
        <v>24741.07</v>
      </c>
      <c r="J591" s="616">
        <v>180</v>
      </c>
      <c r="K591" s="696">
        <f>J591*I591*F591</f>
        <v>4453392.5999999996</v>
      </c>
      <c r="L591" s="22"/>
      <c r="M591" s="22"/>
      <c r="N591" s="82"/>
      <c r="O591" s="616"/>
    </row>
    <row r="592" spans="1:15" x14ac:dyDescent="0.35">
      <c r="A592" s="631">
        <v>2</v>
      </c>
      <c r="B592" s="100" t="s">
        <v>3441</v>
      </c>
      <c r="C592" s="52">
        <v>11</v>
      </c>
      <c r="D592" s="1772" t="s">
        <v>339</v>
      </c>
      <c r="E592" s="52" t="s">
        <v>3480</v>
      </c>
      <c r="F592" s="4">
        <v>1</v>
      </c>
      <c r="G592" s="21">
        <v>96052.72</v>
      </c>
      <c r="H592" s="21">
        <v>125226.88</v>
      </c>
      <c r="I592" s="21">
        <f>H592-G592</f>
        <v>29174.160000000003</v>
      </c>
      <c r="J592" s="616">
        <v>180</v>
      </c>
      <c r="K592" s="696">
        <f>J592*I592*F592</f>
        <v>5251348.8000000007</v>
      </c>
      <c r="L592" s="22"/>
      <c r="M592" s="22"/>
      <c r="N592" s="82"/>
      <c r="O592" s="616"/>
    </row>
    <row r="593" spans="1:15" x14ac:dyDescent="0.35">
      <c r="A593" s="631"/>
      <c r="B593" s="102"/>
      <c r="C593" s="91"/>
      <c r="D593" s="726"/>
      <c r="E593" s="91"/>
      <c r="F593" s="47"/>
      <c r="G593" s="48"/>
      <c r="H593" s="48"/>
      <c r="I593" s="48"/>
      <c r="J593" s="39" t="s">
        <v>30</v>
      </c>
      <c r="K593" s="43">
        <f>SUM(K591:K592)</f>
        <v>9704741.4000000004</v>
      </c>
      <c r="L593" s="49"/>
      <c r="M593" s="43"/>
      <c r="N593" s="85"/>
      <c r="O593" s="616"/>
    </row>
    <row r="594" spans="1:15" x14ac:dyDescent="0.35">
      <c r="A594" s="631"/>
      <c r="B594" s="647" t="s">
        <v>1458</v>
      </c>
      <c r="C594" s="648"/>
      <c r="D594" s="648"/>
      <c r="E594" s="648"/>
      <c r="F594" s="789"/>
      <c r="G594" s="648"/>
      <c r="H594" s="648"/>
      <c r="I594" s="648"/>
      <c r="J594" s="50"/>
      <c r="K594" s="710"/>
      <c r="L594" s="51"/>
      <c r="M594" s="51"/>
      <c r="N594" s="649"/>
      <c r="O594" s="616"/>
    </row>
    <row r="595" spans="1:15" x14ac:dyDescent="0.35">
      <c r="A595" s="631">
        <v>1</v>
      </c>
      <c r="B595" s="100" t="s">
        <v>1459</v>
      </c>
      <c r="C595" s="73">
        <v>11</v>
      </c>
      <c r="D595" s="1959"/>
      <c r="E595" s="52" t="s">
        <v>3481</v>
      </c>
      <c r="F595" s="4">
        <v>1</v>
      </c>
      <c r="G595" s="6">
        <v>50811.35</v>
      </c>
      <c r="H595" s="6">
        <v>52655.35</v>
      </c>
      <c r="I595" s="20">
        <f t="shared" ref="I595:I611" si="22">H595-G595</f>
        <v>1844</v>
      </c>
      <c r="J595" s="616">
        <v>60</v>
      </c>
      <c r="K595" s="703"/>
      <c r="L595" s="22">
        <f t="shared" ref="L595:L611" si="23">J595*I595*F595</f>
        <v>110640</v>
      </c>
      <c r="M595" s="22"/>
      <c r="N595" s="72" t="s">
        <v>4693</v>
      </c>
      <c r="O595" s="15"/>
    </row>
    <row r="596" spans="1:15" x14ac:dyDescent="0.35">
      <c r="A596" s="631">
        <v>2</v>
      </c>
      <c r="B596" s="100" t="s">
        <v>3482</v>
      </c>
      <c r="C596" s="73">
        <v>11</v>
      </c>
      <c r="D596" s="1782"/>
      <c r="E596" s="52" t="s">
        <v>3483</v>
      </c>
      <c r="F596" s="4">
        <v>1</v>
      </c>
      <c r="G596" s="6">
        <v>51656.81</v>
      </c>
      <c r="H596" s="6">
        <v>63528.15</v>
      </c>
      <c r="I596" s="20">
        <f t="shared" si="22"/>
        <v>11871.340000000004</v>
      </c>
      <c r="J596" s="616">
        <v>60</v>
      </c>
      <c r="K596" s="703"/>
      <c r="L596" s="22">
        <f t="shared" si="23"/>
        <v>712280.40000000026</v>
      </c>
      <c r="M596" s="22"/>
      <c r="N596" s="72" t="s">
        <v>50</v>
      </c>
      <c r="O596" s="15"/>
    </row>
    <row r="597" spans="1:15" x14ac:dyDescent="0.35">
      <c r="A597" s="631">
        <v>3</v>
      </c>
      <c r="B597" s="100" t="s">
        <v>3484</v>
      </c>
      <c r="C597" s="73">
        <v>11</v>
      </c>
      <c r="D597" s="1782"/>
      <c r="E597" s="52" t="s">
        <v>3485</v>
      </c>
      <c r="F597" s="4">
        <v>1</v>
      </c>
      <c r="G597" s="6">
        <v>11038.82</v>
      </c>
      <c r="H597" s="6">
        <v>23091.200000000001</v>
      </c>
      <c r="I597" s="20">
        <f t="shared" si="22"/>
        <v>12052.380000000001</v>
      </c>
      <c r="J597" s="616">
        <v>60</v>
      </c>
      <c r="K597" s="703"/>
      <c r="L597" s="22">
        <f t="shared" si="23"/>
        <v>723142.8</v>
      </c>
      <c r="M597" s="22"/>
      <c r="N597" s="72" t="s">
        <v>4693</v>
      </c>
      <c r="O597" s="15"/>
    </row>
    <row r="598" spans="1:15" x14ac:dyDescent="0.35">
      <c r="A598" s="631">
        <v>4</v>
      </c>
      <c r="B598" s="100" t="s">
        <v>3486</v>
      </c>
      <c r="C598" s="73">
        <v>11</v>
      </c>
      <c r="D598" s="1782"/>
      <c r="E598" s="52" t="s">
        <v>3487</v>
      </c>
      <c r="F598" s="4">
        <v>1</v>
      </c>
      <c r="G598" s="6">
        <v>76057.37</v>
      </c>
      <c r="H598" s="6">
        <v>85947.97</v>
      </c>
      <c r="I598" s="20">
        <f t="shared" si="22"/>
        <v>9890.6000000000058</v>
      </c>
      <c r="J598" s="616">
        <v>60</v>
      </c>
      <c r="K598" s="703"/>
      <c r="L598" s="22">
        <f t="shared" si="23"/>
        <v>593436.00000000035</v>
      </c>
      <c r="M598" s="22"/>
      <c r="N598" s="72" t="s">
        <v>107</v>
      </c>
      <c r="O598" s="15"/>
    </row>
    <row r="599" spans="1:15" x14ac:dyDescent="0.35">
      <c r="A599" s="631">
        <v>5</v>
      </c>
      <c r="B599" s="100" t="s">
        <v>3488</v>
      </c>
      <c r="C599" s="73">
        <v>11</v>
      </c>
      <c r="D599" s="1782"/>
      <c r="E599" s="52" t="s">
        <v>3489</v>
      </c>
      <c r="F599" s="4">
        <v>1</v>
      </c>
      <c r="G599" s="6">
        <v>13531.24</v>
      </c>
      <c r="H599" s="6">
        <v>13651.22</v>
      </c>
      <c r="I599" s="20">
        <f t="shared" si="22"/>
        <v>119.97999999999956</v>
      </c>
      <c r="J599" s="616">
        <v>60</v>
      </c>
      <c r="K599" s="703"/>
      <c r="L599" s="22">
        <f t="shared" si="23"/>
        <v>7198.7999999999738</v>
      </c>
      <c r="M599" s="22"/>
      <c r="N599" s="72" t="s">
        <v>50</v>
      </c>
      <c r="O599" s="15"/>
    </row>
    <row r="600" spans="1:15" x14ac:dyDescent="0.35">
      <c r="A600" s="631">
        <v>6</v>
      </c>
      <c r="B600" s="100" t="s">
        <v>3490</v>
      </c>
      <c r="C600" s="73">
        <v>11</v>
      </c>
      <c r="D600" s="1782"/>
      <c r="E600" s="52" t="s">
        <v>3491</v>
      </c>
      <c r="F600" s="4">
        <v>1</v>
      </c>
      <c r="G600" s="6">
        <v>10861.79</v>
      </c>
      <c r="H600" s="6">
        <v>22946.6</v>
      </c>
      <c r="I600" s="20">
        <f t="shared" si="22"/>
        <v>12084.809999999998</v>
      </c>
      <c r="J600" s="616">
        <v>60</v>
      </c>
      <c r="K600" s="703"/>
      <c r="L600" s="22">
        <f t="shared" si="23"/>
        <v>725088.59999999986</v>
      </c>
      <c r="M600" s="22"/>
      <c r="N600" s="72" t="s">
        <v>112</v>
      </c>
      <c r="O600" s="15"/>
    </row>
    <row r="601" spans="1:15" x14ac:dyDescent="0.35">
      <c r="A601" s="631">
        <v>7</v>
      </c>
      <c r="B601" s="100" t="s">
        <v>3492</v>
      </c>
      <c r="C601" s="73">
        <v>11</v>
      </c>
      <c r="D601" s="1782"/>
      <c r="E601" s="52" t="s">
        <v>3493</v>
      </c>
      <c r="F601" s="4">
        <v>1</v>
      </c>
      <c r="G601" s="6">
        <v>72047.11</v>
      </c>
      <c r="H601" s="6">
        <v>96221</v>
      </c>
      <c r="I601" s="20">
        <f t="shared" si="22"/>
        <v>24173.89</v>
      </c>
      <c r="J601" s="616">
        <v>60</v>
      </c>
      <c r="K601" s="703"/>
      <c r="L601" s="22">
        <f t="shared" si="23"/>
        <v>1450433.4</v>
      </c>
      <c r="M601" s="22"/>
      <c r="N601" s="72" t="s">
        <v>112</v>
      </c>
      <c r="O601" s="15"/>
    </row>
    <row r="602" spans="1:15" x14ac:dyDescent="0.35">
      <c r="A602" s="631">
        <v>8</v>
      </c>
      <c r="B602" s="100" t="s">
        <v>3494</v>
      </c>
      <c r="C602" s="73">
        <v>11</v>
      </c>
      <c r="D602" s="1782"/>
      <c r="E602" s="52" t="s">
        <v>3495</v>
      </c>
      <c r="F602" s="4">
        <v>1</v>
      </c>
      <c r="G602" s="6">
        <v>67410.34</v>
      </c>
      <c r="H602" s="6">
        <v>69815.520000000004</v>
      </c>
      <c r="I602" s="20">
        <f t="shared" si="22"/>
        <v>2405.1800000000076</v>
      </c>
      <c r="J602" s="616">
        <v>60</v>
      </c>
      <c r="K602" s="703"/>
      <c r="L602" s="22">
        <f t="shared" si="23"/>
        <v>144310.80000000045</v>
      </c>
      <c r="M602" s="22"/>
      <c r="N602" s="72" t="s">
        <v>112</v>
      </c>
      <c r="O602" s="15"/>
    </row>
    <row r="603" spans="1:15" x14ac:dyDescent="0.35">
      <c r="A603" s="631">
        <v>9</v>
      </c>
      <c r="B603" s="100" t="s">
        <v>3496</v>
      </c>
      <c r="C603" s="73">
        <v>11</v>
      </c>
      <c r="D603" s="1782"/>
      <c r="E603" s="52" t="s">
        <v>3497</v>
      </c>
      <c r="F603" s="4">
        <v>1</v>
      </c>
      <c r="G603" s="6">
        <v>71547.08</v>
      </c>
      <c r="H603" s="6">
        <v>78146.48</v>
      </c>
      <c r="I603" s="20">
        <f t="shared" si="22"/>
        <v>6599.3999999999942</v>
      </c>
      <c r="J603" s="616">
        <v>60</v>
      </c>
      <c r="K603" s="703"/>
      <c r="L603" s="22">
        <f t="shared" si="23"/>
        <v>395963.99999999965</v>
      </c>
      <c r="M603" s="22"/>
      <c r="N603" s="72" t="s">
        <v>4693</v>
      </c>
      <c r="O603" s="15"/>
    </row>
    <row r="604" spans="1:15" x14ac:dyDescent="0.35">
      <c r="A604" s="631">
        <v>10</v>
      </c>
      <c r="B604" s="100" t="s">
        <v>3498</v>
      </c>
      <c r="C604" s="73">
        <v>11</v>
      </c>
      <c r="D604" s="1782"/>
      <c r="E604" s="52" t="s">
        <v>3499</v>
      </c>
      <c r="F604" s="4">
        <v>1</v>
      </c>
      <c r="G604" s="6">
        <v>77182.720000000001</v>
      </c>
      <c r="H604" s="6">
        <v>90478.66</v>
      </c>
      <c r="I604" s="20">
        <f t="shared" si="22"/>
        <v>13295.940000000002</v>
      </c>
      <c r="J604" s="616">
        <v>60</v>
      </c>
      <c r="K604" s="703"/>
      <c r="L604" s="22">
        <f t="shared" si="23"/>
        <v>797756.40000000014</v>
      </c>
      <c r="M604" s="22"/>
      <c r="N604" s="72" t="s">
        <v>107</v>
      </c>
      <c r="O604" s="15"/>
    </row>
    <row r="605" spans="1:15" x14ac:dyDescent="0.35">
      <c r="A605" s="631">
        <v>11</v>
      </c>
      <c r="B605" s="100" t="s">
        <v>3500</v>
      </c>
      <c r="C605" s="73">
        <v>11</v>
      </c>
      <c r="D605" s="1782"/>
      <c r="E605" s="52" t="s">
        <v>3501</v>
      </c>
      <c r="F605" s="4">
        <v>1</v>
      </c>
      <c r="G605" s="6">
        <v>89647.34</v>
      </c>
      <c r="H605" s="6">
        <v>103261.17</v>
      </c>
      <c r="I605" s="20">
        <f t="shared" si="22"/>
        <v>13613.830000000002</v>
      </c>
      <c r="J605" s="616">
        <v>60</v>
      </c>
      <c r="K605" s="703"/>
      <c r="L605" s="22">
        <f t="shared" si="23"/>
        <v>816829.8</v>
      </c>
      <c r="M605" s="22"/>
      <c r="N605" s="72" t="s">
        <v>107</v>
      </c>
      <c r="O605" s="15"/>
    </row>
    <row r="606" spans="1:15" x14ac:dyDescent="0.35">
      <c r="A606" s="631">
        <v>12</v>
      </c>
      <c r="B606" s="100" t="s">
        <v>3502</v>
      </c>
      <c r="C606" s="73">
        <v>11</v>
      </c>
      <c r="D606" s="1782"/>
      <c r="E606" s="52" t="s">
        <v>3503</v>
      </c>
      <c r="F606" s="4">
        <v>1</v>
      </c>
      <c r="G606" s="6">
        <v>6318.92</v>
      </c>
      <c r="H606" s="6">
        <v>23328.47</v>
      </c>
      <c r="I606" s="20">
        <f t="shared" si="22"/>
        <v>17009.550000000003</v>
      </c>
      <c r="J606" s="616">
        <v>60</v>
      </c>
      <c r="K606" s="703"/>
      <c r="L606" s="22">
        <f t="shared" si="23"/>
        <v>1020573.0000000002</v>
      </c>
      <c r="M606" s="22"/>
      <c r="N606" s="72" t="s">
        <v>112</v>
      </c>
      <c r="O606" s="15"/>
    </row>
    <row r="607" spans="1:15" x14ac:dyDescent="0.35">
      <c r="A607" s="631">
        <v>13</v>
      </c>
      <c r="B607" s="100" t="s">
        <v>3504</v>
      </c>
      <c r="C607" s="73">
        <v>11</v>
      </c>
      <c r="D607" s="1782"/>
      <c r="E607" s="52" t="s">
        <v>3505</v>
      </c>
      <c r="F607" s="4">
        <v>1</v>
      </c>
      <c r="G607" s="6">
        <v>17808.41</v>
      </c>
      <c r="H607" s="6">
        <v>27131.79</v>
      </c>
      <c r="I607" s="20">
        <f t="shared" si="22"/>
        <v>9323.380000000001</v>
      </c>
      <c r="J607" s="616">
        <v>60</v>
      </c>
      <c r="K607" s="703"/>
      <c r="L607" s="22">
        <f t="shared" si="23"/>
        <v>559402.80000000005</v>
      </c>
      <c r="M607" s="22"/>
      <c r="N607" s="72" t="s">
        <v>107</v>
      </c>
      <c r="O607" s="15"/>
    </row>
    <row r="608" spans="1:15" x14ac:dyDescent="0.35">
      <c r="A608" s="631">
        <v>14</v>
      </c>
      <c r="B608" s="100" t="s">
        <v>3506</v>
      </c>
      <c r="C608" s="73">
        <v>11</v>
      </c>
      <c r="D608" s="1782"/>
      <c r="E608" s="52" t="s">
        <v>3507</v>
      </c>
      <c r="F608" s="4">
        <v>1</v>
      </c>
      <c r="G608" s="6">
        <v>95312.09</v>
      </c>
      <c r="H608" s="6">
        <v>97447.67</v>
      </c>
      <c r="I608" s="20">
        <f t="shared" si="22"/>
        <v>2135.5800000000017</v>
      </c>
      <c r="J608" s="616">
        <v>60</v>
      </c>
      <c r="K608" s="703"/>
      <c r="L608" s="22">
        <f t="shared" si="23"/>
        <v>128134.8000000001</v>
      </c>
      <c r="M608" s="22"/>
      <c r="N608" s="72" t="s">
        <v>112</v>
      </c>
      <c r="O608" s="15"/>
    </row>
    <row r="609" spans="1:15" x14ac:dyDescent="0.35">
      <c r="A609" s="631">
        <v>15</v>
      </c>
      <c r="B609" s="100" t="s">
        <v>3508</v>
      </c>
      <c r="C609" s="73">
        <v>11</v>
      </c>
      <c r="D609" s="1782"/>
      <c r="E609" s="52" t="s">
        <v>3509</v>
      </c>
      <c r="F609" s="4">
        <v>1</v>
      </c>
      <c r="G609" s="6">
        <v>27345.919999999998</v>
      </c>
      <c r="H609" s="6">
        <v>50395.78</v>
      </c>
      <c r="I609" s="20">
        <f t="shared" si="22"/>
        <v>23049.86</v>
      </c>
      <c r="J609" s="616">
        <v>60</v>
      </c>
      <c r="K609" s="703"/>
      <c r="L609" s="22">
        <f t="shared" si="23"/>
        <v>1382991.6</v>
      </c>
      <c r="M609" s="22"/>
      <c r="N609" s="72" t="s">
        <v>112</v>
      </c>
      <c r="O609" s="15"/>
    </row>
    <row r="610" spans="1:15" x14ac:dyDescent="0.35">
      <c r="A610" s="631">
        <v>16</v>
      </c>
      <c r="B610" s="100" t="s">
        <v>3510</v>
      </c>
      <c r="C610" s="73">
        <v>11</v>
      </c>
      <c r="D610" s="1782"/>
      <c r="E610" s="52" t="s">
        <v>3511</v>
      </c>
      <c r="F610" s="4">
        <v>1</v>
      </c>
      <c r="G610" s="6">
        <v>38879.51</v>
      </c>
      <c r="H610" s="6">
        <v>41152.65</v>
      </c>
      <c r="I610" s="20">
        <f t="shared" si="22"/>
        <v>2273.1399999999994</v>
      </c>
      <c r="J610" s="616">
        <v>60</v>
      </c>
      <c r="K610" s="703"/>
      <c r="L610" s="22">
        <f t="shared" si="23"/>
        <v>136388.39999999997</v>
      </c>
      <c r="M610" s="22"/>
      <c r="N610" s="72" t="s">
        <v>112</v>
      </c>
      <c r="O610" s="15"/>
    </row>
    <row r="611" spans="1:15" x14ac:dyDescent="0.35">
      <c r="A611" s="631">
        <v>17</v>
      </c>
      <c r="B611" s="100" t="s">
        <v>3512</v>
      </c>
      <c r="C611" s="73">
        <v>11</v>
      </c>
      <c r="D611" s="1783"/>
      <c r="E611" s="52"/>
      <c r="F611" s="4">
        <v>1</v>
      </c>
      <c r="G611" s="6">
        <v>599968</v>
      </c>
      <c r="H611" s="6">
        <v>603717</v>
      </c>
      <c r="I611" s="20">
        <f t="shared" si="22"/>
        <v>3749</v>
      </c>
      <c r="J611" s="616">
        <v>1</v>
      </c>
      <c r="K611" s="703"/>
      <c r="L611" s="22">
        <f t="shared" si="23"/>
        <v>3749</v>
      </c>
      <c r="M611" s="22"/>
      <c r="N611" s="72" t="s">
        <v>107</v>
      </c>
      <c r="O611" s="15"/>
    </row>
    <row r="612" spans="1:15" ht="28" x14ac:dyDescent="0.3">
      <c r="A612" s="636"/>
      <c r="B612" s="96"/>
      <c r="C612" s="90"/>
      <c r="D612" s="90"/>
      <c r="E612" s="90"/>
      <c r="F612" s="793"/>
      <c r="G612" s="38"/>
      <c r="H612" s="38"/>
      <c r="I612" s="38"/>
      <c r="J612" s="53" t="s">
        <v>44</v>
      </c>
      <c r="K612" s="43">
        <f>K593</f>
        <v>9704741.4000000004</v>
      </c>
      <c r="L612" s="43">
        <f>SUM(L595:L611)</f>
        <v>9708320.6000000015</v>
      </c>
      <c r="M612" s="43">
        <f>SUM(M595:M611)</f>
        <v>0</v>
      </c>
      <c r="N612" s="712">
        <f>(M612-L612)/L612*100</f>
        <v>-100</v>
      </c>
      <c r="O612" s="29"/>
    </row>
    <row r="613" spans="1:15" x14ac:dyDescent="0.35">
      <c r="A613"/>
      <c r="B613"/>
      <c r="C613"/>
      <c r="D613"/>
      <c r="E613"/>
      <c r="F613" s="791"/>
      <c r="G613"/>
      <c r="H613"/>
      <c r="I613"/>
      <c r="J613"/>
      <c r="K613"/>
      <c r="L613"/>
      <c r="M613"/>
      <c r="N613" s="1451"/>
      <c r="O613"/>
    </row>
    <row r="614" spans="1:15" x14ac:dyDescent="0.35">
      <c r="E614"/>
      <c r="F614" s="2092" t="s">
        <v>1099</v>
      </c>
      <c r="G614" s="2092"/>
      <c r="H614" s="2092"/>
      <c r="I614" s="677" t="s">
        <v>14</v>
      </c>
    </row>
    <row r="615" spans="1:15" x14ac:dyDescent="0.35">
      <c r="E615"/>
      <c r="F615" s="2153" t="s">
        <v>232</v>
      </c>
      <c r="G615" s="2154"/>
      <c r="H615" s="2155"/>
      <c r="I615" s="643">
        <f>SUM(M595:M602,M605)</f>
        <v>0</v>
      </c>
      <c r="O615" s="620" t="s">
        <v>237</v>
      </c>
    </row>
    <row r="616" spans="1:15" x14ac:dyDescent="0.35">
      <c r="E616"/>
      <c r="F616" s="2153" t="s">
        <v>268</v>
      </c>
      <c r="G616" s="2154"/>
      <c r="H616" s="2155"/>
      <c r="I616" s="643">
        <f>SUM(M603:M604,M606,M608,M609,M611)</f>
        <v>0</v>
      </c>
    </row>
    <row r="617" spans="1:15" ht="16" thickBot="1" x14ac:dyDescent="0.4">
      <c r="E617"/>
      <c r="F617" s="2153" t="s">
        <v>269</v>
      </c>
      <c r="G617" s="2154"/>
      <c r="H617" s="2155"/>
      <c r="I617" s="643">
        <f>SUM(M607,M610)</f>
        <v>0</v>
      </c>
    </row>
    <row r="618" spans="1:15" ht="20.5" thickBot="1" x14ac:dyDescent="0.4">
      <c r="F618" s="2156" t="s">
        <v>210</v>
      </c>
      <c r="G618" s="2156"/>
      <c r="H618" s="2156"/>
      <c r="I618" s="656">
        <f>SUM(I615:I617)</f>
        <v>0</v>
      </c>
      <c r="J618" s="682">
        <f>I618-M612</f>
        <v>0</v>
      </c>
    </row>
    <row r="634" spans="1:15" ht="105" x14ac:dyDescent="0.3">
      <c r="A634" s="2095" t="s">
        <v>1595</v>
      </c>
      <c r="B634" s="2095"/>
      <c r="C634" s="2095"/>
      <c r="D634" s="2095"/>
      <c r="E634" s="2095"/>
      <c r="F634" s="2095"/>
      <c r="G634" s="2095"/>
      <c r="H634" s="2095"/>
      <c r="I634" s="2095"/>
      <c r="J634" s="2095"/>
      <c r="K634" s="2095"/>
      <c r="L634" s="2095"/>
      <c r="M634" s="2095"/>
      <c r="N634" s="2095"/>
      <c r="O634" s="756" t="str">
        <f>$O$6</f>
        <v>Month December-2022</v>
      </c>
    </row>
    <row r="635" spans="1:15" x14ac:dyDescent="0.35">
      <c r="A635" s="2096" t="s">
        <v>0</v>
      </c>
      <c r="B635" s="2098" t="s">
        <v>1</v>
      </c>
      <c r="C635" s="2100" t="s">
        <v>2</v>
      </c>
      <c r="D635" s="2101"/>
      <c r="E635" s="2102"/>
      <c r="F635" s="2230" t="s">
        <v>3</v>
      </c>
      <c r="G635" s="2100" t="s">
        <v>4</v>
      </c>
      <c r="H635" s="2102"/>
      <c r="I635" s="2085"/>
      <c r="J635" s="2103" t="s">
        <v>5</v>
      </c>
      <c r="K635" s="2100" t="s">
        <v>6</v>
      </c>
      <c r="L635" s="2085"/>
      <c r="M635" s="97" t="s">
        <v>32</v>
      </c>
      <c r="N635" s="98"/>
      <c r="O635" s="2084" t="s">
        <v>7</v>
      </c>
    </row>
    <row r="636" spans="1:15" x14ac:dyDescent="0.3">
      <c r="A636" s="2097"/>
      <c r="B636" s="2099"/>
      <c r="C636" s="2086" t="s">
        <v>1108</v>
      </c>
      <c r="D636" s="2087"/>
      <c r="E636" s="87" t="s">
        <v>9</v>
      </c>
      <c r="F636" s="2229"/>
      <c r="G636" s="2">
        <f>'NORTH-1'!$G$8</f>
        <v>44774</v>
      </c>
      <c r="H636" s="2">
        <f>'NORTH-1'!$H$8</f>
        <v>44805</v>
      </c>
      <c r="I636" s="1" t="s">
        <v>10</v>
      </c>
      <c r="J636" s="2097"/>
      <c r="K636" s="1" t="s">
        <v>11</v>
      </c>
      <c r="L636" s="1" t="s">
        <v>12</v>
      </c>
      <c r="M636" s="617" t="s">
        <v>33</v>
      </c>
      <c r="N636" s="76" t="s">
        <v>47</v>
      </c>
      <c r="O636" s="2085"/>
    </row>
    <row r="637" spans="1:15" x14ac:dyDescent="0.3">
      <c r="A637" s="3">
        <v>1</v>
      </c>
      <c r="B637" s="88">
        <v>2</v>
      </c>
      <c r="C637" s="2088">
        <v>4</v>
      </c>
      <c r="D637" s="2089"/>
      <c r="E637" s="88">
        <v>5</v>
      </c>
      <c r="F637" s="786">
        <v>7</v>
      </c>
      <c r="G637" s="3">
        <v>8</v>
      </c>
      <c r="H637" s="3">
        <v>9</v>
      </c>
      <c r="I637" s="3" t="s">
        <v>13</v>
      </c>
      <c r="J637" s="3">
        <v>11</v>
      </c>
      <c r="K637" s="3" t="s">
        <v>19</v>
      </c>
      <c r="L637" s="3" t="s">
        <v>20</v>
      </c>
      <c r="M637" s="3">
        <v>14</v>
      </c>
      <c r="N637" s="77">
        <v>15</v>
      </c>
      <c r="O637" s="3">
        <v>16</v>
      </c>
    </row>
    <row r="638" spans="1:15" x14ac:dyDescent="0.35">
      <c r="A638" s="631"/>
      <c r="B638" s="624" t="s">
        <v>3437</v>
      </c>
      <c r="C638" s="625"/>
      <c r="D638" s="625"/>
      <c r="E638" s="625"/>
      <c r="F638" s="787"/>
      <c r="G638" s="625"/>
      <c r="H638" s="625"/>
      <c r="I638" s="625"/>
      <c r="J638" s="625"/>
      <c r="K638" s="695"/>
      <c r="L638" s="625"/>
      <c r="M638" s="626"/>
      <c r="N638" s="627"/>
      <c r="O638" s="616"/>
    </row>
    <row r="639" spans="1:15" x14ac:dyDescent="0.3">
      <c r="A639" s="11"/>
      <c r="B639" s="100">
        <f t="shared" ref="B639:C641" si="24">B216</f>
        <v>0</v>
      </c>
      <c r="C639" s="52">
        <f t="shared" si="24"/>
        <v>0</v>
      </c>
      <c r="D639" s="1859" t="s">
        <v>698</v>
      </c>
      <c r="E639" s="52">
        <f t="shared" ref="E639:M639" si="25">E216</f>
        <v>0</v>
      </c>
      <c r="F639" s="4">
        <f t="shared" si="25"/>
        <v>0</v>
      </c>
      <c r="G639" s="20">
        <f t="shared" si="25"/>
        <v>0</v>
      </c>
      <c r="H639" s="20">
        <f t="shared" si="25"/>
        <v>0</v>
      </c>
      <c r="I639" s="20">
        <f t="shared" si="25"/>
        <v>0</v>
      </c>
      <c r="J639" s="616">
        <f t="shared" si="25"/>
        <v>0</v>
      </c>
      <c r="K639" s="696">
        <f t="shared" si="25"/>
        <v>0</v>
      </c>
      <c r="L639" s="22">
        <f t="shared" si="25"/>
        <v>0</v>
      </c>
      <c r="M639" s="22">
        <f t="shared" si="25"/>
        <v>0</v>
      </c>
      <c r="N639" s="82"/>
      <c r="O639" s="9"/>
    </row>
    <row r="640" spans="1:15" x14ac:dyDescent="0.35">
      <c r="A640" s="631"/>
      <c r="B640" s="100">
        <f t="shared" si="24"/>
        <v>0</v>
      </c>
      <c r="C640" s="52">
        <f t="shared" si="24"/>
        <v>0</v>
      </c>
      <c r="D640" s="668"/>
      <c r="E640" s="52">
        <f t="shared" ref="E640:M640" si="26">E217</f>
        <v>0</v>
      </c>
      <c r="F640" s="4">
        <f t="shared" si="26"/>
        <v>0</v>
      </c>
      <c r="G640" s="20">
        <f t="shared" si="26"/>
        <v>0</v>
      </c>
      <c r="H640" s="20">
        <f t="shared" si="26"/>
        <v>0</v>
      </c>
      <c r="I640" s="20">
        <f t="shared" si="26"/>
        <v>0</v>
      </c>
      <c r="J640" s="616">
        <f t="shared" si="26"/>
        <v>0</v>
      </c>
      <c r="K640" s="696">
        <f t="shared" si="26"/>
        <v>0</v>
      </c>
      <c r="L640" s="22">
        <f t="shared" si="26"/>
        <v>0</v>
      </c>
      <c r="M640" s="22">
        <f t="shared" si="26"/>
        <v>0</v>
      </c>
      <c r="N640" s="82"/>
      <c r="O640" s="616"/>
    </row>
    <row r="641" spans="1:15" x14ac:dyDescent="0.35">
      <c r="A641" s="631"/>
      <c r="B641" s="100" t="str">
        <f t="shared" si="24"/>
        <v>Ullon 132/33 KV 3 x 35/50 MVA Substation.(Central)   Phone No. 9333940,55128099(dpdc)</v>
      </c>
      <c r="C641" s="52">
        <f t="shared" si="24"/>
        <v>0</v>
      </c>
      <c r="D641" s="1755"/>
      <c r="E641" s="52">
        <f t="shared" ref="E641:M641" si="27">E218</f>
        <v>0</v>
      </c>
      <c r="F641" s="4">
        <f t="shared" si="27"/>
        <v>0</v>
      </c>
      <c r="G641" s="20">
        <f t="shared" si="27"/>
        <v>0</v>
      </c>
      <c r="H641" s="20">
        <f t="shared" si="27"/>
        <v>0</v>
      </c>
      <c r="I641" s="20">
        <f t="shared" si="27"/>
        <v>0</v>
      </c>
      <c r="J641" s="616">
        <f t="shared" si="27"/>
        <v>0</v>
      </c>
      <c r="K641" s="696">
        <f t="shared" si="27"/>
        <v>0</v>
      </c>
      <c r="L641" s="22">
        <f t="shared" si="27"/>
        <v>0</v>
      </c>
      <c r="M641" s="22">
        <f t="shared" si="27"/>
        <v>0</v>
      </c>
      <c r="N641" s="82"/>
      <c r="O641" s="616"/>
    </row>
    <row r="642" spans="1:15" x14ac:dyDescent="0.35">
      <c r="A642" s="631"/>
      <c r="B642" s="102"/>
      <c r="C642" s="91"/>
      <c r="D642" s="726"/>
      <c r="E642" s="745"/>
      <c r="F642" s="746"/>
      <c r="G642" s="747"/>
      <c r="H642" s="747"/>
      <c r="I642" s="747"/>
      <c r="J642" s="748" t="s">
        <v>30</v>
      </c>
      <c r="K642" s="749"/>
      <c r="L642" s="750">
        <f>SUM(L639:L640)</f>
        <v>0</v>
      </c>
      <c r="M642" s="750">
        <f>SUM(M639:M640)</f>
        <v>0</v>
      </c>
      <c r="N642" s="1914" t="e">
        <f>(M642-L642)/L642*100</f>
        <v>#DIV/0!</v>
      </c>
      <c r="O642" s="616"/>
    </row>
    <row r="643" spans="1:15" x14ac:dyDescent="0.3">
      <c r="A643" s="616"/>
      <c r="B643" s="624" t="s">
        <v>1596</v>
      </c>
      <c r="C643" s="625"/>
      <c r="D643" s="625"/>
      <c r="E643" s="625"/>
      <c r="F643" s="787"/>
      <c r="G643" s="625"/>
      <c r="H643" s="625"/>
      <c r="I643" s="625"/>
      <c r="J643" s="732"/>
      <c r="K643" s="733"/>
      <c r="L643" s="734"/>
      <c r="M643" s="734"/>
      <c r="N643" s="627"/>
      <c r="O643" s="12"/>
    </row>
    <row r="644" spans="1:15" x14ac:dyDescent="0.3">
      <c r="A644" s="616">
        <v>1</v>
      </c>
      <c r="B644" s="100" t="s">
        <v>3513</v>
      </c>
      <c r="C644" s="52">
        <v>33</v>
      </c>
      <c r="D644" s="2105" t="s">
        <v>339</v>
      </c>
      <c r="E644" s="52"/>
      <c r="F644" s="4">
        <v>1</v>
      </c>
      <c r="G644" s="21">
        <v>2085800</v>
      </c>
      <c r="H644" s="21">
        <v>6786300</v>
      </c>
      <c r="I644" s="20">
        <f>H644-G644</f>
        <v>4700500</v>
      </c>
      <c r="J644" s="616">
        <v>1</v>
      </c>
      <c r="K644" s="696">
        <f>J644*I644*F644</f>
        <v>4700500</v>
      </c>
      <c r="L644" s="22"/>
      <c r="M644" s="22"/>
      <c r="N644" s="82"/>
      <c r="O644" s="12"/>
    </row>
    <row r="645" spans="1:15" x14ac:dyDescent="0.3">
      <c r="A645" s="616">
        <v>2</v>
      </c>
      <c r="B645" s="100" t="s">
        <v>3514</v>
      </c>
      <c r="C645" s="52">
        <v>33</v>
      </c>
      <c r="D645" s="2106" t="s">
        <v>339</v>
      </c>
      <c r="E645" s="52"/>
      <c r="F645" s="4">
        <v>1</v>
      </c>
      <c r="G645" s="21">
        <v>6792890</v>
      </c>
      <c r="H645" s="21">
        <v>9723910</v>
      </c>
      <c r="I645" s="20">
        <f>H645-G645</f>
        <v>2931020</v>
      </c>
      <c r="J645" s="616">
        <v>1</v>
      </c>
      <c r="K645" s="696">
        <f>J645*I645*F645</f>
        <v>2931020</v>
      </c>
      <c r="L645" s="22"/>
      <c r="M645" s="22"/>
      <c r="N645" s="82"/>
      <c r="O645" s="12"/>
    </row>
    <row r="646" spans="1:15" x14ac:dyDescent="0.3">
      <c r="A646" s="616">
        <v>3</v>
      </c>
      <c r="B646" s="100" t="s">
        <v>3515</v>
      </c>
      <c r="C646" s="52">
        <v>33</v>
      </c>
      <c r="D646" s="2151" t="s">
        <v>339</v>
      </c>
      <c r="E646" s="52"/>
      <c r="F646" s="4">
        <v>1</v>
      </c>
      <c r="G646" s="21">
        <v>639920</v>
      </c>
      <c r="H646" s="21">
        <v>639920</v>
      </c>
      <c r="I646" s="20">
        <f>H646-G646</f>
        <v>0</v>
      </c>
      <c r="J646" s="616">
        <v>1</v>
      </c>
      <c r="K646" s="696">
        <f>J646*I646*F646</f>
        <v>0</v>
      </c>
      <c r="L646" s="22"/>
      <c r="M646" s="22"/>
      <c r="N646" s="82"/>
      <c r="O646" s="12"/>
    </row>
    <row r="647" spans="1:15" x14ac:dyDescent="0.3">
      <c r="A647" s="616"/>
      <c r="B647" s="102"/>
      <c r="C647" s="91"/>
      <c r="D647" s="726"/>
      <c r="E647" s="91"/>
      <c r="F647" s="47"/>
      <c r="G647" s="48"/>
      <c r="H647" s="48"/>
      <c r="I647" s="36"/>
      <c r="J647" s="96" t="s">
        <v>30</v>
      </c>
      <c r="K647" s="43">
        <f>SUM(K644:K646)</f>
        <v>7631520</v>
      </c>
      <c r="L647" s="43">
        <f>SUM(L644:L646)</f>
        <v>0</v>
      </c>
      <c r="M647" s="43">
        <f>SUM(M644:M646)</f>
        <v>0</v>
      </c>
      <c r="N647" s="85"/>
      <c r="O647" s="12"/>
    </row>
    <row r="648" spans="1:15" x14ac:dyDescent="0.3">
      <c r="A648" s="616"/>
      <c r="B648" s="647" t="s">
        <v>1597</v>
      </c>
      <c r="C648" s="648"/>
      <c r="D648" s="648"/>
      <c r="E648" s="648"/>
      <c r="F648" s="789"/>
      <c r="G648" s="648"/>
      <c r="H648" s="648"/>
      <c r="I648" s="648"/>
      <c r="J648" s="648"/>
      <c r="K648" s="700"/>
      <c r="L648" s="648"/>
      <c r="M648" s="651"/>
      <c r="N648" s="649"/>
      <c r="O648" s="8"/>
    </row>
    <row r="649" spans="1:15" x14ac:dyDescent="0.3">
      <c r="A649" s="616"/>
      <c r="B649" s="100" t="s">
        <v>1079</v>
      </c>
      <c r="C649" s="52">
        <v>132</v>
      </c>
      <c r="D649" s="2138" t="s">
        <v>1083</v>
      </c>
      <c r="E649" s="615"/>
      <c r="F649" s="4"/>
      <c r="G649" s="5"/>
      <c r="H649" s="5"/>
      <c r="I649" s="5"/>
      <c r="J649" s="616"/>
      <c r="K649" s="696"/>
      <c r="L649" s="16">
        <f>J649*I649*F649</f>
        <v>0</v>
      </c>
      <c r="M649" s="7"/>
      <c r="N649" s="78"/>
      <c r="O649" s="616"/>
    </row>
    <row r="650" spans="1:15" x14ac:dyDescent="0.3">
      <c r="A650" s="616"/>
      <c r="B650" s="100" t="s">
        <v>1078</v>
      </c>
      <c r="C650" s="52">
        <v>132</v>
      </c>
      <c r="D650" s="2139"/>
      <c r="E650" s="615"/>
      <c r="F650" s="4"/>
      <c r="G650" s="5"/>
      <c r="H650" s="5"/>
      <c r="I650" s="5"/>
      <c r="J650" s="616"/>
      <c r="K650" s="696"/>
      <c r="L650" s="16">
        <f>J650*I650*F650</f>
        <v>0</v>
      </c>
      <c r="M650" s="16"/>
      <c r="N650" s="79"/>
      <c r="O650" s="616"/>
    </row>
    <row r="651" spans="1:15" x14ac:dyDescent="0.35">
      <c r="A651" s="616"/>
      <c r="B651" s="95"/>
      <c r="C651" s="89"/>
      <c r="D651" s="89"/>
      <c r="E651" s="89"/>
      <c r="F651" s="788"/>
      <c r="G651" s="37"/>
      <c r="H651" s="37"/>
      <c r="I651" s="37"/>
      <c r="J651" s="95" t="s">
        <v>279</v>
      </c>
      <c r="K651" s="699"/>
      <c r="L651" s="55">
        <f>SUM(L649:L650)</f>
        <v>0</v>
      </c>
      <c r="M651" s="633"/>
      <c r="N651" s="631"/>
      <c r="O651" s="616"/>
    </row>
    <row r="652" spans="1:15" x14ac:dyDescent="0.3">
      <c r="A652" s="616"/>
      <c r="B652" s="102"/>
      <c r="C652" s="91"/>
      <c r="D652" s="726"/>
      <c r="E652" s="91"/>
      <c r="F652" s="47"/>
      <c r="G652" s="48"/>
      <c r="H652" s="48"/>
      <c r="I652" s="36"/>
      <c r="J652" s="96"/>
      <c r="K652" s="706"/>
      <c r="L652" s="43"/>
      <c r="M652" s="43"/>
      <c r="N652" s="85"/>
      <c r="O652" s="12"/>
    </row>
    <row r="653" spans="1:15" x14ac:dyDescent="0.3">
      <c r="A653" s="636"/>
      <c r="B653" s="647" t="s">
        <v>1598</v>
      </c>
      <c r="C653" s="648"/>
      <c r="D653" s="648"/>
      <c r="E653" s="648"/>
      <c r="F653" s="789"/>
      <c r="G653" s="648"/>
      <c r="H653" s="648"/>
      <c r="I653" s="648"/>
      <c r="J653" s="50"/>
      <c r="K653" s="710"/>
      <c r="L653" s="51"/>
      <c r="M653" s="51"/>
      <c r="N653" s="649"/>
      <c r="O653" s="12"/>
    </row>
    <row r="654" spans="1:15" ht="15.75" customHeight="1" x14ac:dyDescent="0.3">
      <c r="A654" s="616">
        <v>1</v>
      </c>
      <c r="B654" s="100" t="s">
        <v>3516</v>
      </c>
      <c r="C654" s="52">
        <v>33</v>
      </c>
      <c r="D654" s="1774" t="s">
        <v>326</v>
      </c>
      <c r="E654" s="52">
        <v>14</v>
      </c>
      <c r="F654" s="4">
        <v>1</v>
      </c>
      <c r="G654" s="21">
        <v>8084980</v>
      </c>
      <c r="H654" s="21">
        <v>12787920</v>
      </c>
      <c r="I654" s="21">
        <f>H654-G654</f>
        <v>4702940</v>
      </c>
      <c r="J654" s="31">
        <v>1</v>
      </c>
      <c r="K654" s="707"/>
      <c r="L654" s="22">
        <f>J654*I654*F654</f>
        <v>4702940</v>
      </c>
      <c r="M654" s="22"/>
      <c r="N654" s="83"/>
      <c r="O654" s="12"/>
    </row>
    <row r="655" spans="1:15" x14ac:dyDescent="0.3">
      <c r="A655" s="616">
        <v>2</v>
      </c>
      <c r="B655" s="100" t="s">
        <v>3517</v>
      </c>
      <c r="C655" s="52">
        <v>33</v>
      </c>
      <c r="D655" s="1776" t="s">
        <v>326</v>
      </c>
      <c r="E655" s="52">
        <v>74</v>
      </c>
      <c r="F655" s="4">
        <v>1</v>
      </c>
      <c r="G655" s="21">
        <v>3658760</v>
      </c>
      <c r="H655" s="21">
        <v>6589920</v>
      </c>
      <c r="I655" s="21">
        <f>H655-G655</f>
        <v>2931160</v>
      </c>
      <c r="J655" s="31">
        <v>1</v>
      </c>
      <c r="K655" s="707"/>
      <c r="L655" s="22">
        <f>J655*I655*F655</f>
        <v>2931160</v>
      </c>
      <c r="M655" s="22"/>
      <c r="N655" s="83"/>
      <c r="O655" s="12"/>
    </row>
    <row r="656" spans="1:15" ht="15" x14ac:dyDescent="0.3">
      <c r="A656" s="636"/>
      <c r="B656" s="96"/>
      <c r="C656" s="90"/>
      <c r="D656" s="90"/>
      <c r="E656" s="90"/>
      <c r="F656" s="793"/>
      <c r="G656" s="38"/>
      <c r="H656" s="38"/>
      <c r="I656" s="38"/>
      <c r="J656" s="96" t="s">
        <v>30</v>
      </c>
      <c r="K656" s="708"/>
      <c r="L656" s="43">
        <f>SUM(L654:L655)</f>
        <v>7634100</v>
      </c>
      <c r="M656" s="43">
        <f>SUM(M654:M655)</f>
        <v>0</v>
      </c>
      <c r="N656" s="712">
        <f>(M656-L656)/L656*100</f>
        <v>-100</v>
      </c>
      <c r="O656" s="12"/>
    </row>
    <row r="657" spans="1:15" thickBot="1" x14ac:dyDescent="0.35">
      <c r="A657" s="702"/>
      <c r="B657" s="736"/>
      <c r="C657" s="92"/>
      <c r="D657" s="92"/>
      <c r="E657" s="92"/>
      <c r="F657" s="795"/>
      <c r="G657" s="737"/>
      <c r="H657" s="737"/>
      <c r="I657" s="737"/>
      <c r="J657" s="736"/>
      <c r="K657" s="738"/>
      <c r="L657" s="739"/>
      <c r="M657" s="739"/>
      <c r="N657" s="1914"/>
      <c r="O657" s="740"/>
    </row>
    <row r="658" spans="1:15" ht="15" x14ac:dyDescent="0.35">
      <c r="A658" s="702"/>
      <c r="B658" s="2142" t="s">
        <v>1339</v>
      </c>
      <c r="C658" s="2143"/>
      <c r="D658" s="683" t="s">
        <v>14</v>
      </c>
      <c r="E658"/>
      <c r="F658" s="2144" t="s">
        <v>1350</v>
      </c>
      <c r="G658" s="2145"/>
      <c r="H658" s="2146"/>
      <c r="I658" s="683" t="s">
        <v>14</v>
      </c>
      <c r="K658" s="2147" t="s">
        <v>1092</v>
      </c>
      <c r="L658" s="2148"/>
      <c r="M658" s="684" t="s">
        <v>14</v>
      </c>
      <c r="N658" s="1914"/>
      <c r="O658" s="740"/>
    </row>
    <row r="659" spans="1:15" ht="15" x14ac:dyDescent="0.35">
      <c r="A659" s="702"/>
      <c r="B659" s="2122" t="str">
        <f>B638</f>
        <v xml:space="preserve"> 33 KV SIDE</v>
      </c>
      <c r="C659" s="2123"/>
      <c r="D659" s="689">
        <f>K647</f>
        <v>7631520</v>
      </c>
      <c r="E659"/>
      <c r="F659" s="2124" t="s">
        <v>1093</v>
      </c>
      <c r="G659" s="2125"/>
      <c r="H659" s="2126"/>
      <c r="I659" s="685">
        <f>L651</f>
        <v>0</v>
      </c>
      <c r="K659" s="2160" t="str">
        <f>F660</f>
        <v>BANASREE 33 KV NET IMPORT</v>
      </c>
      <c r="L659" s="2161"/>
      <c r="M659" s="687">
        <f>I660</f>
        <v>7631520</v>
      </c>
      <c r="N659" s="1914"/>
      <c r="O659" s="740"/>
    </row>
    <row r="660" spans="1:15" ht="15" x14ac:dyDescent="0.35">
      <c r="A660" s="702"/>
      <c r="B660" s="2122" t="s">
        <v>1116</v>
      </c>
      <c r="C660" s="2123"/>
      <c r="D660" s="741"/>
      <c r="E660"/>
      <c r="F660" s="2124" t="s">
        <v>1599</v>
      </c>
      <c r="G660" s="2125"/>
      <c r="H660" s="2126"/>
      <c r="I660" s="685">
        <f>D663-I659</f>
        <v>7631520</v>
      </c>
      <c r="K660" s="2162" t="s">
        <v>1600</v>
      </c>
      <c r="L660" s="2163"/>
      <c r="M660" s="685">
        <f>M688</f>
        <v>0</v>
      </c>
      <c r="N660" s="1914"/>
      <c r="O660" s="740"/>
    </row>
    <row r="661" spans="1:15" ht="15" x14ac:dyDescent="0.35">
      <c r="A661" s="702"/>
      <c r="B661" s="2122" t="s">
        <v>1117</v>
      </c>
      <c r="C661" s="2123"/>
      <c r="D661" s="721"/>
      <c r="E661"/>
      <c r="F661" s="2124" t="s">
        <v>1089</v>
      </c>
      <c r="G661" s="2125"/>
      <c r="H661" s="2126"/>
      <c r="I661" s="685">
        <f>I659+I660</f>
        <v>7631520</v>
      </c>
      <c r="K661" s="2127" t="s">
        <v>284</v>
      </c>
      <c r="L661" s="2128"/>
      <c r="M661" s="685">
        <f>M659-M660</f>
        <v>7631520</v>
      </c>
      <c r="N661" s="1914"/>
      <c r="O661" s="740"/>
    </row>
    <row r="662" spans="1:15" ht="16" thickBot="1" x14ac:dyDescent="0.4">
      <c r="A662" s="702"/>
      <c r="B662" s="2122" t="s">
        <v>1118</v>
      </c>
      <c r="C662" s="2123"/>
      <c r="D662" s="722"/>
      <c r="E662"/>
      <c r="F662" s="2113" t="s">
        <v>1546</v>
      </c>
      <c r="G662" s="2114"/>
      <c r="H662" s="2115"/>
      <c r="I662" s="690">
        <f>(D663-I661)/I661</f>
        <v>0</v>
      </c>
      <c r="K662" s="2134" t="s">
        <v>285</v>
      </c>
      <c r="L662" s="2135"/>
      <c r="M662" s="688">
        <f>M661/M659</f>
        <v>1</v>
      </c>
      <c r="N662" s="1914"/>
      <c r="O662" s="740"/>
    </row>
    <row r="663" spans="1:15" thickBot="1" x14ac:dyDescent="0.4">
      <c r="A663" s="702"/>
      <c r="B663" s="2158" t="s">
        <v>1082</v>
      </c>
      <c r="C663" s="2159"/>
      <c r="D663" s="686">
        <f>SUM(D659:D661)</f>
        <v>7631520</v>
      </c>
      <c r="E663"/>
      <c r="N663" s="1914"/>
      <c r="O663" s="740"/>
    </row>
    <row r="664" spans="1:15" ht="15" x14ac:dyDescent="0.3">
      <c r="A664" s="702"/>
      <c r="B664" s="736"/>
      <c r="C664" s="92"/>
      <c r="D664" s="92"/>
      <c r="E664" s="92"/>
      <c r="F664" s="795"/>
      <c r="G664" s="737"/>
      <c r="H664" s="737"/>
      <c r="I664" s="737"/>
      <c r="J664" s="736"/>
      <c r="K664" s="738"/>
      <c r="L664" s="739"/>
      <c r="M664" s="739"/>
      <c r="N664" s="1914"/>
      <c r="O664" s="740"/>
    </row>
    <row r="665" spans="1:15" x14ac:dyDescent="0.35">
      <c r="B665" s="632"/>
      <c r="C665" s="620"/>
      <c r="D665" s="728"/>
      <c r="E665" s="620"/>
      <c r="N665" s="1469"/>
    </row>
    <row r="666" spans="1:15" x14ac:dyDescent="0.35">
      <c r="B666" s="632"/>
      <c r="C666" s="620"/>
      <c r="D666" s="728"/>
      <c r="E666" s="620"/>
      <c r="N666" s="1469"/>
    </row>
    <row r="667" spans="1:15" ht="105" x14ac:dyDescent="0.3">
      <c r="A667" s="2095" t="s">
        <v>1145</v>
      </c>
      <c r="B667" s="2095"/>
      <c r="C667" s="2095"/>
      <c r="D667" s="2095"/>
      <c r="E667" s="2095"/>
      <c r="F667" s="2095"/>
      <c r="G667" s="2095"/>
      <c r="H667" s="2095"/>
      <c r="I667" s="2095"/>
      <c r="J667" s="2095"/>
      <c r="K667" s="2095"/>
      <c r="L667" s="2095"/>
      <c r="M667" s="2095"/>
      <c r="N667" s="2095"/>
      <c r="O667" s="756" t="str">
        <f>$O$6</f>
        <v>Month December-2022</v>
      </c>
    </row>
    <row r="668" spans="1:15" x14ac:dyDescent="0.35">
      <c r="A668" s="2096" t="s">
        <v>0</v>
      </c>
      <c r="B668" s="2098" t="s">
        <v>1</v>
      </c>
      <c r="C668" s="2100" t="s">
        <v>2</v>
      </c>
      <c r="D668" s="2101"/>
      <c r="E668" s="2102"/>
      <c r="F668" s="2230" t="s">
        <v>3</v>
      </c>
      <c r="G668" s="2100" t="s">
        <v>4</v>
      </c>
      <c r="H668" s="2102"/>
      <c r="I668" s="2085"/>
      <c r="J668" s="2103" t="s">
        <v>5</v>
      </c>
      <c r="K668" s="2100" t="s">
        <v>6</v>
      </c>
      <c r="L668" s="2085"/>
      <c r="M668" s="97" t="s">
        <v>32</v>
      </c>
      <c r="N668" s="98"/>
      <c r="O668" s="2084" t="s">
        <v>7</v>
      </c>
    </row>
    <row r="669" spans="1:15" x14ac:dyDescent="0.3">
      <c r="A669" s="2097"/>
      <c r="B669" s="2099"/>
      <c r="C669" s="2086" t="s">
        <v>1108</v>
      </c>
      <c r="D669" s="2087"/>
      <c r="E669" s="87" t="s">
        <v>9</v>
      </c>
      <c r="F669" s="2229"/>
      <c r="G669" s="2">
        <f>'NORTH-1'!$G$8</f>
        <v>44774</v>
      </c>
      <c r="H669" s="2">
        <f>'NORTH-1'!$H$8</f>
        <v>44805</v>
      </c>
      <c r="I669" s="1" t="s">
        <v>10</v>
      </c>
      <c r="J669" s="2097"/>
      <c r="K669" s="1" t="s">
        <v>11</v>
      </c>
      <c r="L669" s="1" t="s">
        <v>12</v>
      </c>
      <c r="M669" s="617" t="s">
        <v>33</v>
      </c>
      <c r="N669" s="76" t="s">
        <v>47</v>
      </c>
      <c r="O669" s="2085"/>
    </row>
    <row r="670" spans="1:15" x14ac:dyDescent="0.3">
      <c r="A670" s="3">
        <v>1</v>
      </c>
      <c r="B670" s="88">
        <v>2</v>
      </c>
      <c r="C670" s="2088">
        <v>4</v>
      </c>
      <c r="D670" s="2089"/>
      <c r="E670" s="88">
        <v>5</v>
      </c>
      <c r="F670" s="786">
        <v>7</v>
      </c>
      <c r="G670" s="3">
        <v>8</v>
      </c>
      <c r="H670" s="3">
        <v>9</v>
      </c>
      <c r="I670" s="3" t="s">
        <v>13</v>
      </c>
      <c r="J670" s="3">
        <v>11</v>
      </c>
      <c r="K670" s="3" t="s">
        <v>19</v>
      </c>
      <c r="L670" s="3" t="s">
        <v>20</v>
      </c>
      <c r="M670" s="3">
        <v>14</v>
      </c>
      <c r="N670" s="77">
        <v>15</v>
      </c>
      <c r="O670" s="3">
        <v>16</v>
      </c>
    </row>
    <row r="671" spans="1:15" x14ac:dyDescent="0.35">
      <c r="A671" s="631"/>
      <c r="B671" s="624" t="s">
        <v>1601</v>
      </c>
      <c r="C671" s="625"/>
      <c r="D671" s="625"/>
      <c r="E671" s="625"/>
      <c r="F671" s="787"/>
      <c r="G671" s="625"/>
      <c r="H671" s="625"/>
      <c r="I671" s="625"/>
      <c r="J671" s="625"/>
      <c r="K671" s="695"/>
      <c r="L671" s="625"/>
      <c r="M671" s="626"/>
      <c r="N671" s="627"/>
      <c r="O671" s="616"/>
    </row>
    <row r="672" spans="1:15" x14ac:dyDescent="0.35">
      <c r="A672" s="631">
        <v>1</v>
      </c>
      <c r="B672" s="100" t="s">
        <v>3518</v>
      </c>
      <c r="C672" s="52">
        <v>11</v>
      </c>
      <c r="D672" s="1770" t="s">
        <v>339</v>
      </c>
      <c r="E672" s="52">
        <v>141</v>
      </c>
      <c r="F672" s="4">
        <v>1</v>
      </c>
      <c r="G672" s="21">
        <v>7987800</v>
      </c>
      <c r="H672" s="21">
        <v>12655000</v>
      </c>
      <c r="I672" s="21">
        <f>H672-G672</f>
        <v>4667200</v>
      </c>
      <c r="J672" s="616">
        <v>1</v>
      </c>
      <c r="K672" s="696">
        <f>J672*I672*F672</f>
        <v>4667200</v>
      </c>
      <c r="L672" s="22"/>
      <c r="M672" s="22"/>
      <c r="N672" s="82"/>
      <c r="O672" s="616"/>
    </row>
    <row r="673" spans="1:15" x14ac:dyDescent="0.35">
      <c r="A673" s="631">
        <v>2</v>
      </c>
      <c r="B673" s="100" t="s">
        <v>3519</v>
      </c>
      <c r="C673" s="52">
        <v>11</v>
      </c>
      <c r="D673" s="1772" t="s">
        <v>339</v>
      </c>
      <c r="E673" s="52">
        <v>198</v>
      </c>
      <c r="F673" s="4">
        <v>1</v>
      </c>
      <c r="G673" s="21"/>
      <c r="H673" s="21"/>
      <c r="I673" s="21">
        <f>H673-G673</f>
        <v>0</v>
      </c>
      <c r="J673" s="616">
        <v>1</v>
      </c>
      <c r="K673" s="696">
        <f>J673*I673*F673</f>
        <v>0</v>
      </c>
      <c r="L673" s="22"/>
      <c r="M673" s="22"/>
      <c r="N673" s="82"/>
      <c r="O673" s="616"/>
    </row>
    <row r="674" spans="1:15" x14ac:dyDescent="0.35">
      <c r="A674" s="631"/>
      <c r="B674" s="102"/>
      <c r="C674" s="91"/>
      <c r="D674" s="726"/>
      <c r="E674" s="91"/>
      <c r="F674" s="47"/>
      <c r="G674" s="48"/>
      <c r="H674" s="48"/>
      <c r="I674" s="48"/>
      <c r="J674" s="39" t="s">
        <v>30</v>
      </c>
      <c r="K674" s="708">
        <f>SUM(K672:K673)</f>
        <v>4667200</v>
      </c>
      <c r="L674" s="49"/>
      <c r="M674" s="43">
        <f>SUM(M672:M673)</f>
        <v>0</v>
      </c>
      <c r="N674" s="85"/>
      <c r="O674" s="616"/>
    </row>
    <row r="675" spans="1:15" x14ac:dyDescent="0.35">
      <c r="A675" s="631"/>
      <c r="B675" s="647" t="s">
        <v>1601</v>
      </c>
      <c r="C675" s="648"/>
      <c r="D675" s="648"/>
      <c r="E675" s="648"/>
      <c r="F675" s="789"/>
      <c r="G675" s="648"/>
      <c r="H675" s="648"/>
      <c r="I675" s="648"/>
      <c r="J675" s="50"/>
      <c r="K675" s="710"/>
      <c r="L675" s="51"/>
      <c r="M675" s="51"/>
      <c r="N675" s="649"/>
      <c r="O675" s="616"/>
    </row>
    <row r="676" spans="1:15" ht="15.75" customHeight="1" x14ac:dyDescent="0.35">
      <c r="A676" s="631">
        <v>1</v>
      </c>
      <c r="B676" s="100" t="s">
        <v>3520</v>
      </c>
      <c r="C676" s="73">
        <v>11</v>
      </c>
      <c r="D676" s="1781"/>
      <c r="E676" s="52">
        <v>141</v>
      </c>
      <c r="F676" s="4">
        <v>1</v>
      </c>
      <c r="G676" s="6">
        <v>1731820</v>
      </c>
      <c r="H676" s="6">
        <v>3907560</v>
      </c>
      <c r="I676" s="20">
        <f t="shared" ref="I676:I687" si="28">H676-G676</f>
        <v>2175740</v>
      </c>
      <c r="J676" s="616">
        <v>1</v>
      </c>
      <c r="K676" s="703"/>
      <c r="L676" s="22">
        <f t="shared" ref="L676:L687" si="29">J676*I676*F676</f>
        <v>2175740</v>
      </c>
      <c r="M676" s="22"/>
      <c r="N676" s="72" t="s">
        <v>118</v>
      </c>
      <c r="O676" s="15"/>
    </row>
    <row r="677" spans="1:15" x14ac:dyDescent="0.35">
      <c r="A677" s="631">
        <v>2</v>
      </c>
      <c r="B677" s="100" t="s">
        <v>3521</v>
      </c>
      <c r="C677" s="73">
        <v>11</v>
      </c>
      <c r="D677" s="1782"/>
      <c r="E677" s="52">
        <v>68</v>
      </c>
      <c r="F677" s="4">
        <v>1</v>
      </c>
      <c r="G677" s="6">
        <v>5810620</v>
      </c>
      <c r="H677" s="6">
        <v>6299720</v>
      </c>
      <c r="I677" s="20">
        <f t="shared" si="28"/>
        <v>489100</v>
      </c>
      <c r="J677" s="616">
        <v>1</v>
      </c>
      <c r="K677" s="703"/>
      <c r="L677" s="22">
        <f t="shared" si="29"/>
        <v>489100</v>
      </c>
      <c r="M677" s="22"/>
      <c r="N677" s="72" t="s">
        <v>118</v>
      </c>
      <c r="O677" s="15"/>
    </row>
    <row r="678" spans="1:15" x14ac:dyDescent="0.35">
      <c r="A678" s="631">
        <v>3</v>
      </c>
      <c r="B678" s="100" t="s">
        <v>3522</v>
      </c>
      <c r="C678" s="73">
        <v>11</v>
      </c>
      <c r="D678" s="1782"/>
      <c r="E678" s="52">
        <v>168</v>
      </c>
      <c r="F678" s="4">
        <v>1</v>
      </c>
      <c r="G678" s="6">
        <v>8508940</v>
      </c>
      <c r="H678" s="6">
        <v>8839360</v>
      </c>
      <c r="I678" s="20">
        <f t="shared" si="28"/>
        <v>330420</v>
      </c>
      <c r="J678" s="616">
        <v>1</v>
      </c>
      <c r="K678" s="703"/>
      <c r="L678" s="22">
        <f t="shared" si="29"/>
        <v>330420</v>
      </c>
      <c r="M678" s="22"/>
      <c r="N678" s="72" t="s">
        <v>96</v>
      </c>
      <c r="O678" s="15"/>
    </row>
    <row r="679" spans="1:15" x14ac:dyDescent="0.35">
      <c r="A679" s="631">
        <v>4</v>
      </c>
      <c r="B679" s="100" t="s">
        <v>3523</v>
      </c>
      <c r="C679" s="73">
        <v>11</v>
      </c>
      <c r="D679" s="1782"/>
      <c r="E679" s="52">
        <v>62</v>
      </c>
      <c r="F679" s="4">
        <v>1</v>
      </c>
      <c r="G679" s="6">
        <v>5496840</v>
      </c>
      <c r="H679" s="6">
        <v>6786070</v>
      </c>
      <c r="I679" s="20">
        <f t="shared" si="28"/>
        <v>1289230</v>
      </c>
      <c r="J679" s="616">
        <v>1</v>
      </c>
      <c r="K679" s="703"/>
      <c r="L679" s="22">
        <f t="shared" si="29"/>
        <v>1289230</v>
      </c>
      <c r="M679" s="22"/>
      <c r="N679" s="72" t="s">
        <v>118</v>
      </c>
      <c r="O679" s="15"/>
    </row>
    <row r="680" spans="1:15" x14ac:dyDescent="0.35">
      <c r="A680" s="631">
        <v>5</v>
      </c>
      <c r="B680" s="100" t="s">
        <v>3524</v>
      </c>
      <c r="C680" s="73">
        <v>11</v>
      </c>
      <c r="D680" s="1782"/>
      <c r="E680" s="52"/>
      <c r="F680" s="4">
        <v>1</v>
      </c>
      <c r="G680" s="6">
        <v>3644840</v>
      </c>
      <c r="H680" s="6">
        <v>4030800</v>
      </c>
      <c r="I680" s="20">
        <f t="shared" si="28"/>
        <v>385960</v>
      </c>
      <c r="J680" s="616">
        <v>1</v>
      </c>
      <c r="K680" s="703"/>
      <c r="L680" s="22">
        <f t="shared" si="29"/>
        <v>385960</v>
      </c>
      <c r="M680" s="22"/>
      <c r="N680" s="72" t="s">
        <v>118</v>
      </c>
      <c r="O680" s="15"/>
    </row>
    <row r="681" spans="1:15" x14ac:dyDescent="0.35">
      <c r="A681" s="631">
        <v>6</v>
      </c>
      <c r="B681" s="100" t="s">
        <v>3525</v>
      </c>
      <c r="C681" s="73">
        <v>11</v>
      </c>
      <c r="D681" s="1782"/>
      <c r="E681" s="52">
        <v>46</v>
      </c>
      <c r="F681" s="4">
        <v>1</v>
      </c>
      <c r="G681" s="6">
        <v>6587580</v>
      </c>
      <c r="H681" s="6">
        <v>7777200</v>
      </c>
      <c r="I681" s="20">
        <f t="shared" si="28"/>
        <v>1189620</v>
      </c>
      <c r="J681" s="616">
        <v>1</v>
      </c>
      <c r="K681" s="703"/>
      <c r="L681" s="22">
        <f t="shared" si="29"/>
        <v>1189620</v>
      </c>
      <c r="M681" s="22"/>
      <c r="N681" s="72" t="s">
        <v>118</v>
      </c>
      <c r="O681" s="15"/>
    </row>
    <row r="682" spans="1:15" x14ac:dyDescent="0.35">
      <c r="A682" s="631">
        <v>7</v>
      </c>
      <c r="B682" s="100" t="s">
        <v>3526</v>
      </c>
      <c r="C682" s="73">
        <v>11</v>
      </c>
      <c r="D682" s="1782"/>
      <c r="E682" s="52">
        <v>47</v>
      </c>
      <c r="F682" s="4">
        <v>1</v>
      </c>
      <c r="G682" s="6">
        <v>2583600</v>
      </c>
      <c r="H682" s="6">
        <v>3177800</v>
      </c>
      <c r="I682" s="20">
        <f t="shared" si="28"/>
        <v>594200</v>
      </c>
      <c r="J682" s="616">
        <v>1</v>
      </c>
      <c r="K682" s="703"/>
      <c r="L682" s="22">
        <f t="shared" si="29"/>
        <v>594200</v>
      </c>
      <c r="M682" s="22"/>
      <c r="N682" s="72" t="s">
        <v>118</v>
      </c>
      <c r="O682" s="15"/>
    </row>
    <row r="683" spans="1:15" x14ac:dyDescent="0.35">
      <c r="A683" s="631">
        <v>8</v>
      </c>
      <c r="B683" s="100" t="s">
        <v>3527</v>
      </c>
      <c r="C683" s="73">
        <v>11</v>
      </c>
      <c r="D683" s="1782"/>
      <c r="E683" s="52"/>
      <c r="F683" s="4">
        <v>1</v>
      </c>
      <c r="G683" s="6">
        <v>9983320</v>
      </c>
      <c r="H683" s="6">
        <v>10407520</v>
      </c>
      <c r="I683" s="20">
        <f t="shared" si="28"/>
        <v>424200</v>
      </c>
      <c r="J683" s="616">
        <v>1</v>
      </c>
      <c r="K683" s="703"/>
      <c r="L683" s="22">
        <f t="shared" si="29"/>
        <v>424200</v>
      </c>
      <c r="M683" s="22"/>
      <c r="N683" s="72" t="s">
        <v>118</v>
      </c>
      <c r="O683" s="15"/>
    </row>
    <row r="684" spans="1:15" x14ac:dyDescent="0.35">
      <c r="A684" s="631">
        <v>9</v>
      </c>
      <c r="B684" s="100" t="s">
        <v>3528</v>
      </c>
      <c r="C684" s="73">
        <v>11</v>
      </c>
      <c r="D684" s="1782"/>
      <c r="E684" s="52"/>
      <c r="F684" s="4">
        <v>1</v>
      </c>
      <c r="G684" s="6">
        <v>6990800</v>
      </c>
      <c r="H684" s="6">
        <v>7471560</v>
      </c>
      <c r="I684" s="20">
        <f t="shared" si="28"/>
        <v>480760</v>
      </c>
      <c r="J684" s="616">
        <v>1</v>
      </c>
      <c r="K684" s="703"/>
      <c r="L684" s="22">
        <f t="shared" si="29"/>
        <v>480760</v>
      </c>
      <c r="M684" s="22"/>
      <c r="N684" s="72" t="s">
        <v>4661</v>
      </c>
      <c r="O684" s="15"/>
    </row>
    <row r="685" spans="1:15" x14ac:dyDescent="0.35">
      <c r="A685" s="631">
        <v>10</v>
      </c>
      <c r="B685" s="100" t="s">
        <v>3529</v>
      </c>
      <c r="C685" s="73">
        <v>11</v>
      </c>
      <c r="D685" s="1782"/>
      <c r="E685" s="52"/>
      <c r="F685" s="4">
        <v>1</v>
      </c>
      <c r="G685" s="6">
        <v>9422740</v>
      </c>
      <c r="H685" s="6">
        <v>9645120</v>
      </c>
      <c r="I685" s="20">
        <f t="shared" si="28"/>
        <v>222380</v>
      </c>
      <c r="J685" s="616">
        <v>1</v>
      </c>
      <c r="K685" s="703"/>
      <c r="L685" s="22">
        <f t="shared" si="29"/>
        <v>222380</v>
      </c>
      <c r="M685" s="22"/>
      <c r="N685" s="72" t="s">
        <v>4661</v>
      </c>
      <c r="O685" s="15"/>
    </row>
    <row r="686" spans="1:15" x14ac:dyDescent="0.35">
      <c r="A686" s="631">
        <v>11</v>
      </c>
      <c r="B686" s="100" t="s">
        <v>305</v>
      </c>
      <c r="C686" s="73">
        <v>415</v>
      </c>
      <c r="D686" s="1782"/>
      <c r="E686" s="52">
        <v>7734</v>
      </c>
      <c r="F686" s="4">
        <v>1</v>
      </c>
      <c r="G686" s="6">
        <v>2849</v>
      </c>
      <c r="H686" s="6">
        <v>2849</v>
      </c>
      <c r="I686" s="20">
        <f t="shared" si="28"/>
        <v>0</v>
      </c>
      <c r="J686" s="616">
        <v>1</v>
      </c>
      <c r="K686" s="703"/>
      <c r="L686" s="22">
        <f t="shared" si="29"/>
        <v>0</v>
      </c>
      <c r="M686" s="22"/>
      <c r="N686" s="72" t="s">
        <v>118</v>
      </c>
      <c r="O686" s="15"/>
    </row>
    <row r="687" spans="1:15" x14ac:dyDescent="0.35">
      <c r="A687" s="631">
        <v>12</v>
      </c>
      <c r="B687" s="100" t="s">
        <v>306</v>
      </c>
      <c r="C687" s="73">
        <v>415</v>
      </c>
      <c r="D687" s="1783"/>
      <c r="E687" s="52"/>
      <c r="F687" s="4">
        <v>1</v>
      </c>
      <c r="G687" s="6"/>
      <c r="H687" s="6"/>
      <c r="I687" s="20">
        <f t="shared" si="28"/>
        <v>0</v>
      </c>
      <c r="J687" s="616">
        <v>1</v>
      </c>
      <c r="K687" s="703"/>
      <c r="L687" s="22">
        <f t="shared" si="29"/>
        <v>0</v>
      </c>
      <c r="M687" s="22"/>
      <c r="N687" s="72" t="s">
        <v>118</v>
      </c>
      <c r="O687" s="15"/>
    </row>
    <row r="688" spans="1:15" ht="28" x14ac:dyDescent="0.3">
      <c r="A688" s="636"/>
      <c r="B688" s="96"/>
      <c r="C688" s="90"/>
      <c r="D688" s="90"/>
      <c r="E688" s="90"/>
      <c r="F688" s="793"/>
      <c r="G688" s="38"/>
      <c r="H688" s="38"/>
      <c r="I688" s="38"/>
      <c r="J688" s="53" t="s">
        <v>44</v>
      </c>
      <c r="K688" s="43">
        <f>K674</f>
        <v>4667200</v>
      </c>
      <c r="L688" s="43">
        <f>SUM(L676:L687)</f>
        <v>7581610</v>
      </c>
      <c r="M688" s="43">
        <f>SUM(M676:M687)</f>
        <v>0</v>
      </c>
      <c r="N688" s="712">
        <f>(M688-L688)/L688*100</f>
        <v>-100</v>
      </c>
      <c r="O688" s="29"/>
    </row>
    <row r="689" spans="1:15" x14ac:dyDescent="0.35">
      <c r="A689"/>
      <c r="B689"/>
      <c r="C689"/>
      <c r="D689"/>
      <c r="E689"/>
      <c r="F689" s="791"/>
      <c r="G689"/>
      <c r="H689"/>
      <c r="I689"/>
      <c r="J689"/>
      <c r="K689"/>
      <c r="L689"/>
      <c r="M689"/>
      <c r="N689" s="1451"/>
      <c r="O689"/>
    </row>
    <row r="690" spans="1:15" x14ac:dyDescent="0.35">
      <c r="E690"/>
      <c r="F690" s="2092" t="s">
        <v>1099</v>
      </c>
      <c r="G690" s="2092"/>
      <c r="H690" s="2092"/>
      <c r="I690" s="677" t="s">
        <v>14</v>
      </c>
    </row>
    <row r="691" spans="1:15" x14ac:dyDescent="0.35">
      <c r="E691"/>
      <c r="F691" s="2153" t="s">
        <v>232</v>
      </c>
      <c r="G691" s="2154"/>
      <c r="H691" s="2155"/>
      <c r="I691" s="643">
        <f>SUM(M676:M677,M680)</f>
        <v>0</v>
      </c>
      <c r="O691" s="620" t="s">
        <v>237</v>
      </c>
    </row>
    <row r="692" spans="1:15" x14ac:dyDescent="0.35">
      <c r="E692"/>
      <c r="F692" s="2153" t="s">
        <v>268</v>
      </c>
      <c r="G692" s="2154"/>
      <c r="H692" s="2155"/>
      <c r="I692" s="643">
        <f>SUM(M678:M679,M681,M683,M684,M687)</f>
        <v>0</v>
      </c>
    </row>
    <row r="693" spans="1:15" ht="16" thickBot="1" x14ac:dyDescent="0.4">
      <c r="E693"/>
      <c r="F693" s="2153" t="s">
        <v>269</v>
      </c>
      <c r="G693" s="2154"/>
      <c r="H693" s="2155"/>
      <c r="I693" s="643">
        <f>SUM(M682,M685)</f>
        <v>0</v>
      </c>
    </row>
    <row r="694" spans="1:15" ht="20.5" thickBot="1" x14ac:dyDescent="0.4">
      <c r="F694" s="2156" t="s">
        <v>210</v>
      </c>
      <c r="G694" s="2156"/>
      <c r="H694" s="2156"/>
      <c r="I694" s="656">
        <f>SUM(I691:I693)</f>
        <v>0</v>
      </c>
      <c r="J694" s="682">
        <f>I694-M688</f>
        <v>0</v>
      </c>
    </row>
    <row r="710" spans="1:15" ht="105" x14ac:dyDescent="0.3">
      <c r="A710" s="2095" t="s">
        <v>1146</v>
      </c>
      <c r="B710" s="2095"/>
      <c r="C710" s="2095"/>
      <c r="D710" s="2095"/>
      <c r="E710" s="2095"/>
      <c r="F710" s="2095"/>
      <c r="G710" s="2095"/>
      <c r="H710" s="2095"/>
      <c r="I710" s="2095"/>
      <c r="J710" s="2095"/>
      <c r="K710" s="2095"/>
      <c r="L710" s="2095"/>
      <c r="M710" s="2095"/>
      <c r="N710" s="2095"/>
      <c r="O710" s="756" t="str">
        <f>$O$6</f>
        <v>Month December-2022</v>
      </c>
    </row>
    <row r="711" spans="1:15" x14ac:dyDescent="0.35">
      <c r="A711" s="2096" t="s">
        <v>0</v>
      </c>
      <c r="B711" s="2098" t="s">
        <v>1</v>
      </c>
      <c r="C711" s="2100" t="s">
        <v>2</v>
      </c>
      <c r="D711" s="2101"/>
      <c r="E711" s="2102"/>
      <c r="F711" s="2230" t="s">
        <v>3</v>
      </c>
      <c r="G711" s="2100" t="s">
        <v>4</v>
      </c>
      <c r="H711" s="2102"/>
      <c r="I711" s="2085"/>
      <c r="J711" s="2103" t="s">
        <v>5</v>
      </c>
      <c r="K711" s="2100" t="s">
        <v>6</v>
      </c>
      <c r="L711" s="2085"/>
      <c r="M711" s="97" t="s">
        <v>32</v>
      </c>
      <c r="N711" s="98"/>
      <c r="O711" s="2084" t="s">
        <v>7</v>
      </c>
    </row>
    <row r="712" spans="1:15" x14ac:dyDescent="0.3">
      <c r="A712" s="2097"/>
      <c r="B712" s="2099"/>
      <c r="C712" s="2086" t="s">
        <v>1108</v>
      </c>
      <c r="D712" s="2087"/>
      <c r="E712" s="87" t="s">
        <v>9</v>
      </c>
      <c r="F712" s="2229"/>
      <c r="G712" s="2">
        <f>'NORTH-1'!$G$8</f>
        <v>44774</v>
      </c>
      <c r="H712" s="2">
        <f>'NORTH-1'!$H$8</f>
        <v>44805</v>
      </c>
      <c r="I712" s="1" t="s">
        <v>10</v>
      </c>
      <c r="J712" s="2097"/>
      <c r="K712" s="1" t="s">
        <v>11</v>
      </c>
      <c r="L712" s="1" t="s">
        <v>12</v>
      </c>
      <c r="M712" s="617" t="s">
        <v>33</v>
      </c>
      <c r="N712" s="76" t="s">
        <v>47</v>
      </c>
      <c r="O712" s="2085"/>
    </row>
    <row r="713" spans="1:15" x14ac:dyDescent="0.3">
      <c r="A713" s="3">
        <v>1</v>
      </c>
      <c r="B713" s="88">
        <v>2</v>
      </c>
      <c r="C713" s="2088">
        <v>4</v>
      </c>
      <c r="D713" s="2089"/>
      <c r="E713" s="88">
        <v>5</v>
      </c>
      <c r="F713" s="786">
        <v>7</v>
      </c>
      <c r="G713" s="3">
        <v>8</v>
      </c>
      <c r="H713" s="3">
        <v>9</v>
      </c>
      <c r="I713" s="3" t="s">
        <v>13</v>
      </c>
      <c r="J713" s="3">
        <v>11</v>
      </c>
      <c r="K713" s="3" t="s">
        <v>19</v>
      </c>
      <c r="L713" s="3" t="s">
        <v>20</v>
      </c>
      <c r="M713" s="3">
        <v>14</v>
      </c>
      <c r="N713" s="77">
        <v>15</v>
      </c>
      <c r="O713" s="3">
        <v>16</v>
      </c>
    </row>
    <row r="714" spans="1:15" x14ac:dyDescent="0.35">
      <c r="A714" s="631"/>
      <c r="B714" s="624" t="s">
        <v>1109</v>
      </c>
      <c r="C714" s="625"/>
      <c r="D714" s="625"/>
      <c r="E714" s="625"/>
      <c r="F714" s="787"/>
      <c r="G714" s="625"/>
      <c r="H714" s="625"/>
      <c r="I714" s="625"/>
      <c r="J714" s="625"/>
      <c r="K714" s="695"/>
      <c r="L714" s="625"/>
      <c r="M714" s="626"/>
      <c r="N714" s="627"/>
      <c r="O714" s="616"/>
    </row>
    <row r="715" spans="1:15" x14ac:dyDescent="0.3">
      <c r="A715" s="11">
        <v>1</v>
      </c>
      <c r="B715" s="100" t="s">
        <v>3513</v>
      </c>
      <c r="C715" s="52">
        <v>33</v>
      </c>
      <c r="D715" s="819" t="s">
        <v>339</v>
      </c>
      <c r="E715" s="52" t="s">
        <v>3530</v>
      </c>
      <c r="F715" s="4">
        <v>1</v>
      </c>
      <c r="G715" s="20">
        <v>314868</v>
      </c>
      <c r="H715" s="20">
        <v>318541</v>
      </c>
      <c r="I715" s="20">
        <f>H715-G715</f>
        <v>3673</v>
      </c>
      <c r="J715" s="616">
        <v>2000</v>
      </c>
      <c r="K715" s="696">
        <f>J715*I715*F715</f>
        <v>7346000</v>
      </c>
      <c r="L715" s="22"/>
      <c r="M715" s="22"/>
      <c r="N715" s="82"/>
      <c r="O715" s="9"/>
    </row>
    <row r="716" spans="1:15" x14ac:dyDescent="0.3">
      <c r="A716" s="11">
        <v>2</v>
      </c>
      <c r="B716" s="102" t="s">
        <v>3515</v>
      </c>
      <c r="C716" s="91">
        <v>33</v>
      </c>
      <c r="D716" s="819" t="s">
        <v>339</v>
      </c>
      <c r="E716" s="745" t="s">
        <v>3531</v>
      </c>
      <c r="F716" s="746">
        <v>1</v>
      </c>
      <c r="G716" s="1860">
        <v>2.3050000000000002</v>
      </c>
      <c r="H716" s="1860">
        <v>2.3050000000000002</v>
      </c>
      <c r="I716" s="1860">
        <f>H716-G716</f>
        <v>0</v>
      </c>
      <c r="J716" s="663">
        <v>240000</v>
      </c>
      <c r="K716" s="1861">
        <f>J716*I716*F716</f>
        <v>0</v>
      </c>
      <c r="L716" s="1862"/>
      <c r="M716" s="1862"/>
      <c r="N716" s="1863"/>
      <c r="O716" s="9"/>
    </row>
    <row r="717" spans="1:15" x14ac:dyDescent="0.35">
      <c r="A717" s="631"/>
      <c r="B717" s="102"/>
      <c r="C717" s="91"/>
      <c r="D717" s="726"/>
      <c r="E717" s="745"/>
      <c r="F717" s="746"/>
      <c r="G717" s="747"/>
      <c r="H717" s="747"/>
      <c r="I717" s="747"/>
      <c r="J717" s="748" t="s">
        <v>30</v>
      </c>
      <c r="K717" s="750">
        <f>SUM(K715:K716)</f>
        <v>7346000</v>
      </c>
      <c r="L717" s="750">
        <f>SUM(L715:L716)</f>
        <v>0</v>
      </c>
      <c r="M717" s="750">
        <f>SUM(M715:M715)</f>
        <v>0</v>
      </c>
      <c r="N717" s="1914"/>
      <c r="O717" s="616"/>
    </row>
    <row r="718" spans="1:15" x14ac:dyDescent="0.3">
      <c r="A718" s="616"/>
      <c r="B718" s="624" t="s">
        <v>1430</v>
      </c>
      <c r="C718" s="625"/>
      <c r="D718" s="625"/>
      <c r="E718" s="625"/>
      <c r="F718" s="787"/>
      <c r="G718" s="625"/>
      <c r="H718" s="625"/>
      <c r="I718" s="625"/>
      <c r="J718" s="732"/>
      <c r="K718" s="733"/>
      <c r="L718" s="734"/>
      <c r="M718" s="734"/>
      <c r="N718" s="627"/>
      <c r="O718" s="12"/>
    </row>
    <row r="719" spans="1:15" x14ac:dyDescent="0.3">
      <c r="A719" s="616">
        <v>1</v>
      </c>
      <c r="B719" s="100" t="s">
        <v>3513</v>
      </c>
      <c r="C719" s="52">
        <v>33</v>
      </c>
      <c r="D719" s="2105" t="s">
        <v>339</v>
      </c>
      <c r="E719" s="52" t="s">
        <v>3532</v>
      </c>
      <c r="F719" s="4">
        <v>1</v>
      </c>
      <c r="G719" s="21">
        <v>38490399</v>
      </c>
      <c r="H719" s="21">
        <v>45861158</v>
      </c>
      <c r="I719" s="20">
        <f>H719-G719</f>
        <v>7370759</v>
      </c>
      <c r="J719" s="616">
        <v>1</v>
      </c>
      <c r="K719" s="696">
        <f>J719*I719*F719</f>
        <v>7370759</v>
      </c>
      <c r="L719" s="22"/>
      <c r="M719" s="22"/>
      <c r="N719" s="82"/>
      <c r="O719" s="12"/>
    </row>
    <row r="720" spans="1:15" x14ac:dyDescent="0.3">
      <c r="A720" s="616">
        <v>2</v>
      </c>
      <c r="B720" s="100" t="s">
        <v>3515</v>
      </c>
      <c r="C720" s="52">
        <v>33</v>
      </c>
      <c r="D720" s="2106" t="s">
        <v>339</v>
      </c>
      <c r="E720" s="52" t="s">
        <v>3533</v>
      </c>
      <c r="F720" s="4">
        <v>1</v>
      </c>
      <c r="G720" s="21">
        <v>49598106</v>
      </c>
      <c r="H720" s="21">
        <v>49598106</v>
      </c>
      <c r="I720" s="20">
        <f>H720-G720</f>
        <v>0</v>
      </c>
      <c r="J720" s="616">
        <v>1</v>
      </c>
      <c r="K720" s="696">
        <f>J720*I720*F720</f>
        <v>0</v>
      </c>
      <c r="L720" s="22"/>
      <c r="M720" s="22"/>
      <c r="N720" s="82"/>
      <c r="O720" s="12"/>
    </row>
    <row r="721" spans="1:15" x14ac:dyDescent="0.3">
      <c r="A721" s="616"/>
      <c r="B721" s="102"/>
      <c r="C721" s="91"/>
      <c r="D721" s="726"/>
      <c r="E721" s="91"/>
      <c r="F721" s="47"/>
      <c r="G721" s="48"/>
      <c r="H721" s="48"/>
      <c r="I721" s="36"/>
      <c r="J721" s="96" t="s">
        <v>30</v>
      </c>
      <c r="K721" s="43">
        <f>SUM(K719:K720)</f>
        <v>7370759</v>
      </c>
      <c r="L721" s="43">
        <f>SUM(L719:L720)</f>
        <v>0</v>
      </c>
      <c r="M721" s="43">
        <f>SUM(M719:M720)</f>
        <v>0</v>
      </c>
      <c r="N721" s="85"/>
      <c r="O721" s="12"/>
    </row>
    <row r="722" spans="1:15" x14ac:dyDescent="0.3">
      <c r="A722" s="616"/>
      <c r="B722" s="647" t="s">
        <v>1431</v>
      </c>
      <c r="C722" s="648"/>
      <c r="D722" s="648"/>
      <c r="E722" s="648"/>
      <c r="F722" s="789"/>
      <c r="G722" s="648"/>
      <c r="H722" s="648"/>
      <c r="I722" s="648"/>
      <c r="J722" s="648"/>
      <c r="K722" s="700"/>
      <c r="L722" s="648"/>
      <c r="M722" s="651"/>
      <c r="N722" s="649"/>
      <c r="O722" s="8"/>
    </row>
    <row r="723" spans="1:15" x14ac:dyDescent="0.3">
      <c r="A723" s="616"/>
      <c r="B723" s="100" t="s">
        <v>1079</v>
      </c>
      <c r="C723" s="52">
        <v>132</v>
      </c>
      <c r="D723" s="2138" t="s">
        <v>1083</v>
      </c>
      <c r="E723" s="615"/>
      <c r="F723" s="4"/>
      <c r="G723" s="5"/>
      <c r="H723" s="5"/>
      <c r="I723" s="5"/>
      <c r="J723" s="616"/>
      <c r="K723" s="696"/>
      <c r="L723" s="16">
        <f>J723*I723*F723</f>
        <v>0</v>
      </c>
      <c r="M723" s="7"/>
      <c r="N723" s="78"/>
      <c r="O723" s="616"/>
    </row>
    <row r="724" spans="1:15" x14ac:dyDescent="0.3">
      <c r="A724" s="616"/>
      <c r="B724" s="100" t="s">
        <v>1078</v>
      </c>
      <c r="C724" s="52">
        <v>132</v>
      </c>
      <c r="D724" s="2139"/>
      <c r="E724" s="615"/>
      <c r="F724" s="4"/>
      <c r="G724" s="5"/>
      <c r="H724" s="5"/>
      <c r="I724" s="5"/>
      <c r="J724" s="616"/>
      <c r="K724" s="696"/>
      <c r="L724" s="16">
        <f>J724*I724*F724</f>
        <v>0</v>
      </c>
      <c r="M724" s="16"/>
      <c r="N724" s="79"/>
      <c r="O724" s="616"/>
    </row>
    <row r="725" spans="1:15" x14ac:dyDescent="0.35">
      <c r="A725" s="616"/>
      <c r="B725" s="95"/>
      <c r="C725" s="89"/>
      <c r="D725" s="89"/>
      <c r="E725" s="89"/>
      <c r="F725" s="788"/>
      <c r="G725" s="37"/>
      <c r="H725" s="37"/>
      <c r="I725" s="37"/>
      <c r="J725" s="95" t="s">
        <v>279</v>
      </c>
      <c r="K725" s="699"/>
      <c r="L725" s="55">
        <f>SUM(L723:L724)</f>
        <v>0</v>
      </c>
      <c r="M725" s="633"/>
      <c r="N725" s="631"/>
      <c r="O725" s="616"/>
    </row>
    <row r="726" spans="1:15" x14ac:dyDescent="0.3">
      <c r="A726" s="616"/>
      <c r="B726" s="102"/>
      <c r="C726" s="91"/>
      <c r="D726" s="726"/>
      <c r="E726" s="91"/>
      <c r="F726" s="47"/>
      <c r="G726" s="48"/>
      <c r="H726" s="48"/>
      <c r="I726" s="36"/>
      <c r="J726" s="96"/>
      <c r="K726" s="706"/>
      <c r="L726" s="43"/>
      <c r="M726" s="43"/>
      <c r="N726" s="85"/>
      <c r="O726" s="12"/>
    </row>
    <row r="727" spans="1:15" x14ac:dyDescent="0.3">
      <c r="A727" s="636"/>
      <c r="B727" s="647" t="s">
        <v>1432</v>
      </c>
      <c r="C727" s="648"/>
      <c r="D727" s="648"/>
      <c r="E727" s="648"/>
      <c r="F727" s="789"/>
      <c r="G727" s="648"/>
      <c r="H727" s="648"/>
      <c r="I727" s="648"/>
      <c r="J727" s="50"/>
      <c r="K727" s="710"/>
      <c r="L727" s="51"/>
      <c r="M727" s="51"/>
      <c r="N727" s="649"/>
      <c r="O727" s="12"/>
    </row>
    <row r="728" spans="1:15" ht="15.75" customHeight="1" x14ac:dyDescent="0.3">
      <c r="A728" s="616">
        <v>1</v>
      </c>
      <c r="B728" s="100" t="s">
        <v>3516</v>
      </c>
      <c r="C728" s="52">
        <v>33</v>
      </c>
      <c r="D728" s="1774" t="s">
        <v>326</v>
      </c>
      <c r="E728" s="52" t="s">
        <v>3534</v>
      </c>
      <c r="F728" s="4">
        <v>1</v>
      </c>
      <c r="G728" s="21">
        <v>93439845</v>
      </c>
      <c r="H728" s="21">
        <v>96151948</v>
      </c>
      <c r="I728" s="21">
        <f>H728-G728</f>
        <v>2712103</v>
      </c>
      <c r="J728" s="31">
        <v>1</v>
      </c>
      <c r="K728" s="707"/>
      <c r="L728" s="22">
        <f>J728*I728*F728</f>
        <v>2712103</v>
      </c>
      <c r="M728" s="22"/>
      <c r="N728" s="83" t="s">
        <v>3407</v>
      </c>
      <c r="O728" s="12"/>
    </row>
    <row r="729" spans="1:15" ht="18" customHeight="1" x14ac:dyDescent="0.3">
      <c r="A729" s="616">
        <v>2</v>
      </c>
      <c r="B729" s="100" t="s">
        <v>3517</v>
      </c>
      <c r="C729" s="52">
        <v>33</v>
      </c>
      <c r="D729" s="1775" t="s">
        <v>326</v>
      </c>
      <c r="E729" s="52" t="s">
        <v>3532</v>
      </c>
      <c r="F729" s="4">
        <v>1</v>
      </c>
      <c r="G729" s="21">
        <v>58430770</v>
      </c>
      <c r="H729" s="21">
        <v>68389296</v>
      </c>
      <c r="I729" s="21">
        <f>H729-G729</f>
        <v>9958526</v>
      </c>
      <c r="J729" s="31">
        <v>1</v>
      </c>
      <c r="K729" s="707"/>
      <c r="L729" s="22">
        <f>J729*I729*F729</f>
        <v>9958526</v>
      </c>
      <c r="M729" s="22"/>
      <c r="N729" s="83"/>
      <c r="O729" s="12"/>
    </row>
    <row r="730" spans="1:15" ht="18" customHeight="1" x14ac:dyDescent="0.3">
      <c r="A730" s="616">
        <v>3</v>
      </c>
      <c r="B730" s="100" t="s">
        <v>3535</v>
      </c>
      <c r="C730" s="52">
        <v>33</v>
      </c>
      <c r="D730" s="1776" t="s">
        <v>326</v>
      </c>
      <c r="E730" s="52" t="s">
        <v>3536</v>
      </c>
      <c r="F730" s="4">
        <v>1</v>
      </c>
      <c r="G730" s="21">
        <v>10707.07</v>
      </c>
      <c r="H730" s="21">
        <v>10801.35</v>
      </c>
      <c r="I730" s="21">
        <f>H730-G730</f>
        <v>94.280000000000655</v>
      </c>
      <c r="J730" s="31">
        <v>120000</v>
      </c>
      <c r="K730" s="707"/>
      <c r="L730" s="22">
        <f>J730*I730*F730</f>
        <v>11313600.000000078</v>
      </c>
      <c r="M730" s="22"/>
      <c r="N730" s="83" t="e">
        <f>(K727-L731)/K727*100</f>
        <v>#DIV/0!</v>
      </c>
      <c r="O730" s="12"/>
    </row>
    <row r="731" spans="1:15" ht="15" x14ac:dyDescent="0.3">
      <c r="A731" s="636"/>
      <c r="B731" s="96"/>
      <c r="C731" s="90"/>
      <c r="D731" s="90"/>
      <c r="E731" s="90"/>
      <c r="F731" s="793"/>
      <c r="G731" s="38"/>
      <c r="H731" s="38"/>
      <c r="I731" s="38"/>
      <c r="J731" s="96" t="s">
        <v>30</v>
      </c>
      <c r="K731" s="708"/>
      <c r="L731" s="43">
        <f>SUM(L728:L730)</f>
        <v>23984229.000000078</v>
      </c>
      <c r="M731" s="43">
        <f>SUM(M728:M729)</f>
        <v>0</v>
      </c>
      <c r="N731" s="712">
        <f>(M731-L731)/L731*100</f>
        <v>-100</v>
      </c>
      <c r="O731" s="12"/>
    </row>
    <row r="732" spans="1:15" thickBot="1" x14ac:dyDescent="0.35">
      <c r="A732" s="702"/>
      <c r="B732" s="736"/>
      <c r="C732" s="92"/>
      <c r="D732" s="92"/>
      <c r="E732" s="92"/>
      <c r="F732" s="795"/>
      <c r="G732" s="737"/>
      <c r="H732" s="737"/>
      <c r="I732" s="737"/>
      <c r="J732" s="736"/>
      <c r="K732" s="738"/>
      <c r="L732" s="739"/>
      <c r="M732" s="739"/>
      <c r="N732" s="1914"/>
      <c r="O732" s="740"/>
    </row>
    <row r="733" spans="1:15" ht="15" x14ac:dyDescent="0.35">
      <c r="A733" s="702"/>
      <c r="B733" s="2142" t="s">
        <v>1339</v>
      </c>
      <c r="C733" s="2143"/>
      <c r="D733" s="683" t="s">
        <v>14</v>
      </c>
      <c r="E733"/>
      <c r="F733" s="2144" t="s">
        <v>1350</v>
      </c>
      <c r="G733" s="2145"/>
      <c r="H733" s="2146"/>
      <c r="I733" s="683" t="s">
        <v>14</v>
      </c>
      <c r="K733" s="2147" t="s">
        <v>1092</v>
      </c>
      <c r="L733" s="2148"/>
      <c r="M733" s="684" t="s">
        <v>14</v>
      </c>
      <c r="N733" s="1914"/>
      <c r="O733" s="740"/>
    </row>
    <row r="734" spans="1:15" ht="15" x14ac:dyDescent="0.35">
      <c r="A734" s="702"/>
      <c r="B734" s="2122" t="str">
        <f>B714</f>
        <v>ULLON 33 KV SIDE</v>
      </c>
      <c r="C734" s="2123"/>
      <c r="D734" s="689">
        <f>K721</f>
        <v>7370759</v>
      </c>
      <c r="E734"/>
      <c r="F734" s="2124" t="s">
        <v>1093</v>
      </c>
      <c r="G734" s="2125"/>
      <c r="H734" s="2126"/>
      <c r="I734" s="685">
        <f>L725</f>
        <v>0</v>
      </c>
      <c r="K734" s="2160" t="str">
        <f>F735</f>
        <v>GORAN 33 KV NET IMPORT</v>
      </c>
      <c r="L734" s="2161"/>
      <c r="M734" s="687">
        <f>I735</f>
        <v>7370759</v>
      </c>
      <c r="N734" s="1914"/>
      <c r="O734" s="740"/>
    </row>
    <row r="735" spans="1:15" ht="15" x14ac:dyDescent="0.35">
      <c r="A735" s="702"/>
      <c r="B735" s="2122" t="s">
        <v>1116</v>
      </c>
      <c r="C735" s="2123"/>
      <c r="D735" s="741"/>
      <c r="E735"/>
      <c r="F735" s="2124" t="s">
        <v>1433</v>
      </c>
      <c r="G735" s="2125"/>
      <c r="H735" s="2126"/>
      <c r="I735" s="685">
        <f>D738-I734</f>
        <v>7370759</v>
      </c>
      <c r="K735" s="2162" t="s">
        <v>1434</v>
      </c>
      <c r="L735" s="2163"/>
      <c r="M735" s="685">
        <f>M761</f>
        <v>0</v>
      </c>
      <c r="N735" s="1914"/>
      <c r="O735" s="740"/>
    </row>
    <row r="736" spans="1:15" ht="15" x14ac:dyDescent="0.35">
      <c r="A736" s="702"/>
      <c r="B736" s="2122" t="s">
        <v>1117</v>
      </c>
      <c r="C736" s="2123"/>
      <c r="D736" s="741"/>
      <c r="E736"/>
      <c r="F736" s="2124" t="s">
        <v>1089</v>
      </c>
      <c r="G736" s="2125"/>
      <c r="H736" s="2126"/>
      <c r="I736" s="685">
        <f>I734+I735</f>
        <v>7370759</v>
      </c>
      <c r="K736" s="2127" t="s">
        <v>284</v>
      </c>
      <c r="L736" s="2128"/>
      <c r="M736" s="685">
        <f>M734-M735</f>
        <v>7370759</v>
      </c>
      <c r="N736" s="1914"/>
      <c r="O736" s="740"/>
    </row>
    <row r="737" spans="1:15" ht="16" thickBot="1" x14ac:dyDescent="0.4">
      <c r="A737" s="702"/>
      <c r="B737" s="2122" t="s">
        <v>1118</v>
      </c>
      <c r="C737" s="2123"/>
      <c r="D737" s="722"/>
      <c r="E737"/>
      <c r="F737" s="2113" t="s">
        <v>1546</v>
      </c>
      <c r="G737" s="2114"/>
      <c r="H737" s="2115"/>
      <c r="I737" s="690">
        <f>(D738-I736)/I736</f>
        <v>0</v>
      </c>
      <c r="K737" s="2134" t="s">
        <v>285</v>
      </c>
      <c r="L737" s="2135"/>
      <c r="M737" s="688">
        <f>M736/M734</f>
        <v>1</v>
      </c>
      <c r="N737" s="1914"/>
      <c r="O737" s="740"/>
    </row>
    <row r="738" spans="1:15" thickBot="1" x14ac:dyDescent="0.4">
      <c r="A738" s="702"/>
      <c r="B738" s="2158" t="s">
        <v>1082</v>
      </c>
      <c r="C738" s="2159"/>
      <c r="D738" s="686">
        <f>SUM(D734:D736)</f>
        <v>7370759</v>
      </c>
      <c r="E738"/>
      <c r="N738" s="1914"/>
      <c r="O738" s="740"/>
    </row>
    <row r="739" spans="1:15" ht="15" x14ac:dyDescent="0.3">
      <c r="A739" s="702"/>
      <c r="B739" s="736"/>
      <c r="C739" s="92"/>
      <c r="D739" s="92"/>
      <c r="E739" s="92"/>
      <c r="F739" s="795"/>
      <c r="G739" s="737"/>
      <c r="H739" s="737"/>
      <c r="I739" s="737"/>
      <c r="J739" s="736"/>
      <c r="K739" s="738"/>
      <c r="L739" s="739"/>
      <c r="M739" s="739"/>
      <c r="N739" s="1914"/>
      <c r="O739" s="740"/>
    </row>
    <row r="740" spans="1:15" x14ac:dyDescent="0.35">
      <c r="B740" s="632"/>
      <c r="C740" s="620"/>
      <c r="D740" s="728"/>
      <c r="E740" s="620"/>
      <c r="N740" s="1469"/>
    </row>
    <row r="741" spans="1:15" x14ac:dyDescent="0.35">
      <c r="B741" s="632"/>
      <c r="C741" s="620"/>
      <c r="D741" s="728"/>
      <c r="E741" s="620"/>
      <c r="N741" s="1469"/>
    </row>
    <row r="742" spans="1:15" ht="105" x14ac:dyDescent="0.3">
      <c r="A742" s="2095" t="s">
        <v>1147</v>
      </c>
      <c r="B742" s="2095"/>
      <c r="C742" s="2095"/>
      <c r="D742" s="2095"/>
      <c r="E742" s="2095"/>
      <c r="F742" s="2095"/>
      <c r="G742" s="2095"/>
      <c r="H742" s="2095"/>
      <c r="I742" s="2095"/>
      <c r="J742" s="2095"/>
      <c r="K742" s="2095"/>
      <c r="L742" s="2095"/>
      <c r="M742" s="2095"/>
      <c r="N742" s="2095"/>
      <c r="O742" s="756" t="str">
        <f>$O$6</f>
        <v>Month December-2022</v>
      </c>
    </row>
    <row r="743" spans="1:15" x14ac:dyDescent="0.35">
      <c r="A743" s="2096" t="s">
        <v>0</v>
      </c>
      <c r="B743" s="2098" t="s">
        <v>1</v>
      </c>
      <c r="C743" s="2100" t="s">
        <v>2</v>
      </c>
      <c r="D743" s="2101"/>
      <c r="E743" s="2102"/>
      <c r="F743" s="2230" t="s">
        <v>3</v>
      </c>
      <c r="G743" s="2100" t="s">
        <v>4</v>
      </c>
      <c r="H743" s="2102"/>
      <c r="I743" s="2085"/>
      <c r="J743" s="2103" t="s">
        <v>5</v>
      </c>
      <c r="K743" s="2100" t="s">
        <v>6</v>
      </c>
      <c r="L743" s="2085"/>
      <c r="M743" s="97" t="s">
        <v>32</v>
      </c>
      <c r="N743" s="98"/>
      <c r="O743" s="2084" t="s">
        <v>7</v>
      </c>
    </row>
    <row r="744" spans="1:15" x14ac:dyDescent="0.3">
      <c r="A744" s="2097"/>
      <c r="B744" s="2099"/>
      <c r="C744" s="2086" t="s">
        <v>1108</v>
      </c>
      <c r="D744" s="2087"/>
      <c r="E744" s="87" t="s">
        <v>9</v>
      </c>
      <c r="F744" s="2229"/>
      <c r="G744" s="2">
        <f>'NORTH-1'!$G$8</f>
        <v>44774</v>
      </c>
      <c r="H744" s="2">
        <f>'NORTH-1'!$H$8</f>
        <v>44805</v>
      </c>
      <c r="I744" s="1" t="s">
        <v>10</v>
      </c>
      <c r="J744" s="2097"/>
      <c r="K744" s="1" t="s">
        <v>11</v>
      </c>
      <c r="L744" s="1" t="s">
        <v>12</v>
      </c>
      <c r="M744" s="617" t="s">
        <v>33</v>
      </c>
      <c r="N744" s="76" t="s">
        <v>47</v>
      </c>
      <c r="O744" s="2085"/>
    </row>
    <row r="745" spans="1:15" x14ac:dyDescent="0.3">
      <c r="A745" s="3">
        <v>1</v>
      </c>
      <c r="B745" s="88">
        <v>2</v>
      </c>
      <c r="C745" s="2088">
        <v>4</v>
      </c>
      <c r="D745" s="2089"/>
      <c r="E745" s="88">
        <v>5</v>
      </c>
      <c r="F745" s="786">
        <v>7</v>
      </c>
      <c r="G745" s="3">
        <v>8</v>
      </c>
      <c r="H745" s="3">
        <v>9</v>
      </c>
      <c r="I745" s="3" t="s">
        <v>13</v>
      </c>
      <c r="J745" s="3">
        <v>11</v>
      </c>
      <c r="K745" s="3" t="s">
        <v>19</v>
      </c>
      <c r="L745" s="3" t="s">
        <v>20</v>
      </c>
      <c r="M745" s="3">
        <v>14</v>
      </c>
      <c r="N745" s="77">
        <v>15</v>
      </c>
      <c r="O745" s="3">
        <v>16</v>
      </c>
    </row>
    <row r="746" spans="1:15" x14ac:dyDescent="0.35">
      <c r="A746" s="631"/>
      <c r="B746" s="624" t="s">
        <v>1435</v>
      </c>
      <c r="C746" s="625"/>
      <c r="D746" s="625"/>
      <c r="E746" s="625"/>
      <c r="F746" s="787"/>
      <c r="G746" s="625"/>
      <c r="H746" s="625"/>
      <c r="I746" s="625"/>
      <c r="J746" s="625"/>
      <c r="K746" s="695"/>
      <c r="L746" s="625"/>
      <c r="M746" s="626"/>
      <c r="N746" s="627"/>
      <c r="O746" s="616"/>
    </row>
    <row r="747" spans="1:15" x14ac:dyDescent="0.35">
      <c r="A747" s="631"/>
      <c r="B747" s="100" t="s">
        <v>251</v>
      </c>
      <c r="C747" s="52">
        <v>11</v>
      </c>
      <c r="D747" s="1859" t="s">
        <v>698</v>
      </c>
      <c r="E747" s="52"/>
      <c r="F747" s="4">
        <v>1</v>
      </c>
      <c r="G747" s="21">
        <v>34078118</v>
      </c>
      <c r="H747" s="21">
        <v>36786996</v>
      </c>
      <c r="I747" s="21">
        <f>H747-G747</f>
        <v>2708878</v>
      </c>
      <c r="J747" s="616">
        <v>1</v>
      </c>
      <c r="K747" s="696">
        <f>J747*I747*F747</f>
        <v>2708878</v>
      </c>
      <c r="L747" s="22"/>
      <c r="M747" s="22"/>
      <c r="N747" s="82"/>
      <c r="O747" s="616"/>
    </row>
    <row r="748" spans="1:15" x14ac:dyDescent="0.35">
      <c r="A748" s="631"/>
      <c r="B748" s="100" t="s">
        <v>252</v>
      </c>
      <c r="C748" s="52">
        <v>11</v>
      </c>
      <c r="D748" s="668"/>
      <c r="E748" s="52"/>
      <c r="F748" s="4">
        <v>1</v>
      </c>
      <c r="G748" s="21">
        <v>66012527</v>
      </c>
      <c r="H748" s="21">
        <v>68389296</v>
      </c>
      <c r="I748" s="21">
        <f>H748-G748</f>
        <v>2376769</v>
      </c>
      <c r="J748" s="616">
        <v>1</v>
      </c>
      <c r="K748" s="696">
        <f>J748*I748*F748</f>
        <v>2376769</v>
      </c>
      <c r="L748" s="22"/>
      <c r="M748" s="22"/>
      <c r="N748" s="82"/>
      <c r="O748" s="616"/>
    </row>
    <row r="749" spans="1:15" x14ac:dyDescent="0.35">
      <c r="A749" s="631"/>
      <c r="B749" s="100" t="s">
        <v>1360</v>
      </c>
      <c r="C749" s="52">
        <v>11</v>
      </c>
      <c r="D749" s="1755"/>
      <c r="E749" s="52"/>
      <c r="F749" s="4">
        <v>1</v>
      </c>
      <c r="G749" s="21">
        <v>46282666</v>
      </c>
      <c r="H749" s="21">
        <v>48536978</v>
      </c>
      <c r="I749" s="21">
        <f>H749-G749</f>
        <v>2254312</v>
      </c>
      <c r="J749" s="616">
        <v>1</v>
      </c>
      <c r="K749" s="696">
        <f>J749*I749*F749</f>
        <v>2254312</v>
      </c>
      <c r="L749" s="22"/>
      <c r="M749" s="22"/>
      <c r="N749" s="85"/>
      <c r="O749" s="616"/>
    </row>
    <row r="750" spans="1:15" x14ac:dyDescent="0.35">
      <c r="A750" s="631"/>
      <c r="B750" s="102"/>
      <c r="C750" s="91"/>
      <c r="D750" s="726"/>
      <c r="E750" s="91"/>
      <c r="F750" s="47"/>
      <c r="G750" s="48"/>
      <c r="H750" s="48"/>
      <c r="I750" s="48"/>
      <c r="J750" s="39" t="s">
        <v>30</v>
      </c>
      <c r="K750" s="43">
        <f>SUM(K747:K749)</f>
        <v>7339959</v>
      </c>
      <c r="L750" s="49"/>
      <c r="M750" s="43">
        <f>L731</f>
        <v>23984229.000000078</v>
      </c>
      <c r="N750" s="4"/>
      <c r="O750" s="616"/>
    </row>
    <row r="751" spans="1:15" x14ac:dyDescent="0.35">
      <c r="A751" s="631"/>
      <c r="B751" s="647" t="s">
        <v>1435</v>
      </c>
      <c r="C751" s="648"/>
      <c r="D751" s="648"/>
      <c r="E751" s="648"/>
      <c r="F751" s="789"/>
      <c r="G751" s="648"/>
      <c r="H751" s="648"/>
      <c r="I751" s="648"/>
      <c r="J751" s="50"/>
      <c r="K751" s="710"/>
      <c r="L751" s="51"/>
      <c r="M751" s="51"/>
      <c r="N751" s="649"/>
      <c r="O751" s="616"/>
    </row>
    <row r="752" spans="1:15" ht="15.75" customHeight="1" x14ac:dyDescent="0.35">
      <c r="A752" s="631">
        <v>1</v>
      </c>
      <c r="B752" s="100" t="s">
        <v>3537</v>
      </c>
      <c r="C752" s="73">
        <v>11</v>
      </c>
      <c r="D752" s="1781"/>
      <c r="E752" s="52" t="s">
        <v>3538</v>
      </c>
      <c r="F752" s="4">
        <v>1</v>
      </c>
      <c r="G752" s="660"/>
      <c r="H752" s="660"/>
      <c r="I752" s="20">
        <f t="shared" ref="I752:I760" si="30">H752-G752</f>
        <v>0</v>
      </c>
      <c r="J752" s="616">
        <v>1</v>
      </c>
      <c r="K752" s="703"/>
      <c r="L752" s="775">
        <f>J752*I752*F752</f>
        <v>0</v>
      </c>
      <c r="M752" s="22"/>
      <c r="N752" s="72" t="s">
        <v>118</v>
      </c>
      <c r="O752" s="15"/>
    </row>
    <row r="753" spans="1:15" x14ac:dyDescent="0.35">
      <c r="A753" s="631">
        <v>2</v>
      </c>
      <c r="B753" s="100" t="s">
        <v>3539</v>
      </c>
      <c r="C753" s="73">
        <v>11</v>
      </c>
      <c r="D753" s="1782"/>
      <c r="E753" s="52" t="s">
        <v>3540</v>
      </c>
      <c r="F753" s="4">
        <v>1</v>
      </c>
      <c r="G753" s="660">
        <v>29837980</v>
      </c>
      <c r="H753" s="660">
        <v>30693312</v>
      </c>
      <c r="I753" s="20">
        <f t="shared" si="30"/>
        <v>855332</v>
      </c>
      <c r="J753" s="616">
        <v>1</v>
      </c>
      <c r="K753" s="703"/>
      <c r="L753" s="22">
        <f t="shared" ref="L753:L760" si="31">J753*I753*F753</f>
        <v>855332</v>
      </c>
      <c r="M753" s="22"/>
      <c r="N753" s="72" t="s">
        <v>96</v>
      </c>
      <c r="O753" s="15"/>
    </row>
    <row r="754" spans="1:15" x14ac:dyDescent="0.35">
      <c r="A754" s="631">
        <v>3</v>
      </c>
      <c r="B754" s="100" t="s">
        <v>3541</v>
      </c>
      <c r="C754" s="73">
        <v>11</v>
      </c>
      <c r="D754" s="1782"/>
      <c r="E754" s="52" t="s">
        <v>3542</v>
      </c>
      <c r="F754" s="4">
        <v>1</v>
      </c>
      <c r="G754" s="660">
        <v>47364147</v>
      </c>
      <c r="H754" s="660">
        <v>47966346</v>
      </c>
      <c r="I754" s="20">
        <f t="shared" si="30"/>
        <v>602199</v>
      </c>
      <c r="J754" s="616">
        <v>1</v>
      </c>
      <c r="K754" s="703"/>
      <c r="L754" s="22">
        <f t="shared" si="31"/>
        <v>602199</v>
      </c>
      <c r="M754" s="22"/>
      <c r="N754" s="72" t="s">
        <v>118</v>
      </c>
      <c r="O754" s="15"/>
    </row>
    <row r="755" spans="1:15" x14ac:dyDescent="0.35">
      <c r="A755" s="631">
        <v>4</v>
      </c>
      <c r="B755" s="100" t="s">
        <v>3543</v>
      </c>
      <c r="C755" s="73">
        <v>11</v>
      </c>
      <c r="D755" s="1782"/>
      <c r="E755" s="52" t="s">
        <v>3425</v>
      </c>
      <c r="F755" s="4">
        <v>1</v>
      </c>
      <c r="G755" s="660">
        <v>81228297</v>
      </c>
      <c r="H755" s="660">
        <v>82245156</v>
      </c>
      <c r="I755" s="20">
        <f t="shared" si="30"/>
        <v>1016859</v>
      </c>
      <c r="J755" s="616">
        <v>1</v>
      </c>
      <c r="K755" s="703"/>
      <c r="L755" s="22">
        <f t="shared" si="31"/>
        <v>1016859</v>
      </c>
      <c r="M755" s="22"/>
      <c r="N755" s="72" t="s">
        <v>118</v>
      </c>
      <c r="O755" s="15"/>
    </row>
    <row r="756" spans="1:15" x14ac:dyDescent="0.35">
      <c r="A756" s="631">
        <v>5</v>
      </c>
      <c r="B756" s="100" t="s">
        <v>3544</v>
      </c>
      <c r="C756" s="73">
        <v>11</v>
      </c>
      <c r="D756" s="1782"/>
      <c r="E756" s="52" t="s">
        <v>3545</v>
      </c>
      <c r="F756" s="4">
        <v>1</v>
      </c>
      <c r="G756" s="660">
        <v>2338291</v>
      </c>
      <c r="H756" s="660">
        <v>3692241</v>
      </c>
      <c r="I756" s="20">
        <f t="shared" si="30"/>
        <v>1353950</v>
      </c>
      <c r="J756" s="616">
        <v>1</v>
      </c>
      <c r="K756" s="703"/>
      <c r="L756" s="22">
        <f t="shared" si="31"/>
        <v>1353950</v>
      </c>
      <c r="M756" s="22"/>
      <c r="N756" s="72" t="s">
        <v>118</v>
      </c>
      <c r="O756" s="15"/>
    </row>
    <row r="757" spans="1:15" x14ac:dyDescent="0.35">
      <c r="A757" s="631">
        <v>6</v>
      </c>
      <c r="B757" s="100" t="s">
        <v>3546</v>
      </c>
      <c r="C757" s="73">
        <v>11</v>
      </c>
      <c r="D757" s="1782"/>
      <c r="E757" s="52" t="s">
        <v>3547</v>
      </c>
      <c r="F757" s="4">
        <v>1</v>
      </c>
      <c r="G757" s="660">
        <v>39586593</v>
      </c>
      <c r="H757" s="660">
        <v>41037401</v>
      </c>
      <c r="I757" s="20">
        <f t="shared" si="30"/>
        <v>1450808</v>
      </c>
      <c r="J757" s="616">
        <v>1</v>
      </c>
      <c r="K757" s="703"/>
      <c r="L757" s="22">
        <f t="shared" si="31"/>
        <v>1450808</v>
      </c>
      <c r="M757" s="22"/>
      <c r="N757" s="72" t="s">
        <v>118</v>
      </c>
      <c r="O757" s="15"/>
    </row>
    <row r="758" spans="1:15" x14ac:dyDescent="0.35">
      <c r="A758" s="631">
        <v>7</v>
      </c>
      <c r="B758" s="100" t="s">
        <v>3548</v>
      </c>
      <c r="C758" s="73">
        <v>11</v>
      </c>
      <c r="D758" s="1782"/>
      <c r="E758" s="52" t="s">
        <v>3549</v>
      </c>
      <c r="F758" s="4">
        <v>1</v>
      </c>
      <c r="G758" s="660">
        <v>6324821</v>
      </c>
      <c r="H758" s="660">
        <v>7121882</v>
      </c>
      <c r="I758" s="20">
        <f t="shared" si="30"/>
        <v>797061</v>
      </c>
      <c r="J758" s="616">
        <v>1</v>
      </c>
      <c r="K758" s="703"/>
      <c r="L758" s="22">
        <f t="shared" si="31"/>
        <v>797061</v>
      </c>
      <c r="M758" s="22"/>
      <c r="N758" s="72" t="s">
        <v>118</v>
      </c>
      <c r="O758" s="15"/>
    </row>
    <row r="759" spans="1:15" x14ac:dyDescent="0.35">
      <c r="A759" s="631">
        <v>8</v>
      </c>
      <c r="B759" s="100" t="s">
        <v>3550</v>
      </c>
      <c r="C759" s="73">
        <v>415</v>
      </c>
      <c r="D759" s="1782"/>
      <c r="E759" s="52">
        <v>3043122</v>
      </c>
      <c r="F759" s="4">
        <v>1</v>
      </c>
      <c r="G759" s="660">
        <v>7023.2</v>
      </c>
      <c r="H759" s="660">
        <v>7023.2</v>
      </c>
      <c r="I759" s="20">
        <f t="shared" si="30"/>
        <v>0</v>
      </c>
      <c r="J759" s="616">
        <v>80</v>
      </c>
      <c r="K759" s="703"/>
      <c r="L759" s="22">
        <f t="shared" si="31"/>
        <v>0</v>
      </c>
      <c r="M759" s="22"/>
      <c r="N759" s="72" t="s">
        <v>118</v>
      </c>
      <c r="O759" s="15"/>
    </row>
    <row r="760" spans="1:15" x14ac:dyDescent="0.35">
      <c r="A760" s="631">
        <v>9</v>
      </c>
      <c r="B760" s="100" t="s">
        <v>3551</v>
      </c>
      <c r="C760" s="73">
        <v>415</v>
      </c>
      <c r="D760" s="1782"/>
      <c r="E760" s="52">
        <v>3043146</v>
      </c>
      <c r="F760" s="4">
        <v>1</v>
      </c>
      <c r="G760" s="660">
        <v>4393.8</v>
      </c>
      <c r="H760" s="660">
        <v>4393.8</v>
      </c>
      <c r="I760" s="20">
        <f t="shared" si="30"/>
        <v>0</v>
      </c>
      <c r="J760" s="616">
        <v>80</v>
      </c>
      <c r="K760" s="703"/>
      <c r="L760" s="22">
        <f t="shared" si="31"/>
        <v>0</v>
      </c>
      <c r="M760" s="22"/>
      <c r="N760" s="72" t="s">
        <v>118</v>
      </c>
      <c r="O760" s="15"/>
    </row>
    <row r="761" spans="1:15" ht="28" x14ac:dyDescent="0.3">
      <c r="A761" s="636"/>
      <c r="B761" s="96" t="s">
        <v>237</v>
      </c>
      <c r="C761" s="90"/>
      <c r="D761" s="90"/>
      <c r="E761" s="90"/>
      <c r="F761" s="793"/>
      <c r="G761" s="38"/>
      <c r="H761" s="38"/>
      <c r="I761" s="38"/>
      <c r="J761" s="53" t="s">
        <v>44</v>
      </c>
      <c r="K761" s="43">
        <f>K750</f>
        <v>7339959</v>
      </c>
      <c r="L761" s="43">
        <f>SUM(L752:L760)</f>
        <v>6076209</v>
      </c>
      <c r="M761" s="43">
        <f>SUM(M752:M760)</f>
        <v>0</v>
      </c>
      <c r="N761" s="712">
        <f>(M761-L761)/L761*100</f>
        <v>-100</v>
      </c>
      <c r="O761" s="29"/>
    </row>
    <row r="762" spans="1:15" x14ac:dyDescent="0.35">
      <c r="A762"/>
      <c r="B762"/>
      <c r="C762"/>
      <c r="D762"/>
      <c r="E762"/>
      <c r="F762" s="791"/>
      <c r="G762"/>
      <c r="H762"/>
      <c r="I762"/>
      <c r="J762"/>
      <c r="K762"/>
      <c r="L762"/>
      <c r="M762"/>
      <c r="N762" s="1451"/>
      <c r="O762"/>
    </row>
    <row r="763" spans="1:15" x14ac:dyDescent="0.35">
      <c r="E763"/>
      <c r="F763" s="2092" t="s">
        <v>1099</v>
      </c>
      <c r="G763" s="2092"/>
      <c r="H763" s="2092"/>
      <c r="I763" s="677" t="s">
        <v>14</v>
      </c>
    </row>
    <row r="764" spans="1:15" x14ac:dyDescent="0.35">
      <c r="E764"/>
      <c r="F764" s="2153" t="s">
        <v>232</v>
      </c>
      <c r="G764" s="2154"/>
      <c r="H764" s="2155"/>
      <c r="I764" s="643">
        <f>SUM(M752:M753,M756)</f>
        <v>0</v>
      </c>
      <c r="O764" s="620" t="s">
        <v>237</v>
      </c>
    </row>
    <row r="765" spans="1:15" x14ac:dyDescent="0.35">
      <c r="E765"/>
      <c r="F765" s="2153" t="s">
        <v>268</v>
      </c>
      <c r="G765" s="2154"/>
      <c r="H765" s="2155"/>
      <c r="I765" s="643" t="e">
        <f>SUM(M754:M755,M757,M759,M760,#REF!)</f>
        <v>#REF!</v>
      </c>
    </row>
    <row r="766" spans="1:15" ht="16" thickBot="1" x14ac:dyDescent="0.4">
      <c r="E766"/>
      <c r="F766" s="2153" t="s">
        <v>269</v>
      </c>
      <c r="G766" s="2154"/>
      <c r="H766" s="2155"/>
      <c r="I766" s="643" t="e">
        <f>SUM(M758,#REF!)</f>
        <v>#REF!</v>
      </c>
    </row>
    <row r="767" spans="1:15" ht="20.5" thickBot="1" x14ac:dyDescent="0.4">
      <c r="F767" s="2156" t="s">
        <v>210</v>
      </c>
      <c r="G767" s="2156"/>
      <c r="H767" s="2156"/>
      <c r="I767" s="656" t="e">
        <f>SUM(I764:I766)</f>
        <v>#REF!</v>
      </c>
      <c r="J767" s="682" t="e">
        <f>I767-M761</f>
        <v>#REF!</v>
      </c>
    </row>
    <row r="778" spans="1:15" x14ac:dyDescent="0.35">
      <c r="M778" s="620" t="s">
        <v>237</v>
      </c>
    </row>
    <row r="783" spans="1:15" ht="105" x14ac:dyDescent="0.3">
      <c r="A783" s="2095" t="s">
        <v>1602</v>
      </c>
      <c r="B783" s="2095"/>
      <c r="C783" s="2095"/>
      <c r="D783" s="2095"/>
      <c r="E783" s="2095"/>
      <c r="F783" s="2095"/>
      <c r="G783" s="2095"/>
      <c r="H783" s="2095"/>
      <c r="I783" s="2095"/>
      <c r="J783" s="2095"/>
      <c r="K783" s="2095"/>
      <c r="L783" s="2095"/>
      <c r="M783" s="2095"/>
      <c r="N783" s="2095"/>
      <c r="O783" s="756" t="str">
        <f>$O$6</f>
        <v>Month December-2022</v>
      </c>
    </row>
    <row r="784" spans="1:15" x14ac:dyDescent="0.35">
      <c r="A784" s="2096" t="s">
        <v>0</v>
      </c>
      <c r="B784" s="2098" t="s">
        <v>1</v>
      </c>
      <c r="C784" s="2100" t="s">
        <v>2</v>
      </c>
      <c r="D784" s="2101"/>
      <c r="E784" s="2102"/>
      <c r="F784" s="2230" t="s">
        <v>3</v>
      </c>
      <c r="G784" s="2100" t="s">
        <v>4</v>
      </c>
      <c r="H784" s="2102"/>
      <c r="I784" s="2085"/>
      <c r="J784" s="2103" t="s">
        <v>5</v>
      </c>
      <c r="K784" s="2100" t="s">
        <v>6</v>
      </c>
      <c r="L784" s="2085"/>
      <c r="M784" s="97" t="s">
        <v>32</v>
      </c>
      <c r="N784" s="98"/>
      <c r="O784" s="2084" t="s">
        <v>7</v>
      </c>
    </row>
    <row r="785" spans="1:15" x14ac:dyDescent="0.3">
      <c r="A785" s="2097"/>
      <c r="B785" s="2099"/>
      <c r="C785" s="2086" t="s">
        <v>1108</v>
      </c>
      <c r="D785" s="2087"/>
      <c r="E785" s="87" t="s">
        <v>9</v>
      </c>
      <c r="F785" s="2229"/>
      <c r="G785" s="2">
        <f>'NORTH-1'!$G$8</f>
        <v>44774</v>
      </c>
      <c r="H785" s="2">
        <f>'NORTH-1'!$H$8</f>
        <v>44805</v>
      </c>
      <c r="I785" s="1" t="s">
        <v>10</v>
      </c>
      <c r="J785" s="2097"/>
      <c r="K785" s="1" t="s">
        <v>11</v>
      </c>
      <c r="L785" s="1" t="s">
        <v>12</v>
      </c>
      <c r="M785" s="617" t="s">
        <v>33</v>
      </c>
      <c r="N785" s="76" t="s">
        <v>47</v>
      </c>
      <c r="O785" s="2085"/>
    </row>
    <row r="786" spans="1:15" x14ac:dyDescent="0.3">
      <c r="A786" s="3">
        <v>1</v>
      </c>
      <c r="B786" s="88">
        <v>2</v>
      </c>
      <c r="C786" s="2088">
        <v>4</v>
      </c>
      <c r="D786" s="2089"/>
      <c r="E786" s="88">
        <v>5</v>
      </c>
      <c r="F786" s="786">
        <v>7</v>
      </c>
      <c r="G786" s="3">
        <v>8</v>
      </c>
      <c r="H786" s="3">
        <v>9</v>
      </c>
      <c r="I786" s="3" t="s">
        <v>13</v>
      </c>
      <c r="J786" s="3">
        <v>11</v>
      </c>
      <c r="K786" s="3" t="s">
        <v>19</v>
      </c>
      <c r="L786" s="3" t="s">
        <v>20</v>
      </c>
      <c r="M786" s="3">
        <v>14</v>
      </c>
      <c r="N786" s="77">
        <v>15</v>
      </c>
      <c r="O786" s="3">
        <v>16</v>
      </c>
    </row>
    <row r="787" spans="1:15" x14ac:dyDescent="0.35">
      <c r="A787" s="631"/>
      <c r="B787" s="624" t="s">
        <v>3437</v>
      </c>
      <c r="C787" s="625"/>
      <c r="D787" s="625"/>
      <c r="E787" s="625"/>
      <c r="F787" s="787"/>
      <c r="G787" s="625"/>
      <c r="H787" s="625"/>
      <c r="I787" s="625"/>
      <c r="J787" s="625"/>
      <c r="K787" s="695"/>
      <c r="L787" s="625"/>
      <c r="M787" s="626"/>
      <c r="N787" s="627"/>
      <c r="O787" s="616"/>
    </row>
    <row r="788" spans="1:15" x14ac:dyDescent="0.3">
      <c r="A788" s="11">
        <v>1</v>
      </c>
      <c r="B788" s="100" t="s">
        <v>3471</v>
      </c>
      <c r="C788" s="52">
        <v>33</v>
      </c>
      <c r="D788" s="2220" t="s">
        <v>339</v>
      </c>
      <c r="E788" s="52"/>
      <c r="F788" s="4">
        <v>1</v>
      </c>
      <c r="G788" s="20"/>
      <c r="H788" s="20"/>
      <c r="I788" s="20">
        <f>H788-G788</f>
        <v>0</v>
      </c>
      <c r="J788" s="616"/>
      <c r="K788" s="696">
        <f>J788*I788*F788</f>
        <v>0</v>
      </c>
      <c r="L788" s="22"/>
      <c r="M788" s="22"/>
      <c r="N788" s="82"/>
      <c r="O788" s="9"/>
    </row>
    <row r="789" spans="1:15" x14ac:dyDescent="0.3">
      <c r="A789" s="11">
        <v>2</v>
      </c>
      <c r="B789" s="100" t="s">
        <v>3552</v>
      </c>
      <c r="C789" s="52">
        <v>33</v>
      </c>
      <c r="D789" s="2221" t="s">
        <v>339</v>
      </c>
      <c r="E789" s="52" t="s">
        <v>3553</v>
      </c>
      <c r="F789" s="4">
        <v>1</v>
      </c>
      <c r="G789" s="20"/>
      <c r="H789" s="20"/>
      <c r="I789" s="20">
        <f>H789-G789</f>
        <v>0</v>
      </c>
      <c r="J789" s="616">
        <v>1000</v>
      </c>
      <c r="K789" s="696">
        <f>J789*I789*F789</f>
        <v>0</v>
      </c>
      <c r="L789" s="22"/>
      <c r="M789" s="22"/>
      <c r="N789" s="82"/>
      <c r="O789" s="9"/>
    </row>
    <row r="790" spans="1:15" x14ac:dyDescent="0.35">
      <c r="A790" s="631">
        <v>3</v>
      </c>
      <c r="B790" s="100" t="s">
        <v>3554</v>
      </c>
      <c r="C790" s="52">
        <v>33</v>
      </c>
      <c r="D790" s="2221" t="s">
        <v>339</v>
      </c>
      <c r="E790" s="52">
        <v>8993836</v>
      </c>
      <c r="F790" s="4">
        <v>1</v>
      </c>
      <c r="G790" s="20"/>
      <c r="H790" s="20"/>
      <c r="I790" s="20">
        <f>H790-G790</f>
        <v>0</v>
      </c>
      <c r="J790" s="616">
        <v>180000</v>
      </c>
      <c r="K790" s="696">
        <f>J790*I790*F790</f>
        <v>0</v>
      </c>
      <c r="L790" s="22"/>
      <c r="M790" s="22"/>
      <c r="N790" s="82"/>
      <c r="O790" s="616"/>
    </row>
    <row r="791" spans="1:15" x14ac:dyDescent="0.35">
      <c r="A791" s="631"/>
      <c r="B791" s="102"/>
      <c r="C791" s="91"/>
      <c r="D791" s="726"/>
      <c r="E791" s="745"/>
      <c r="F791" s="746"/>
      <c r="G791" s="747"/>
      <c r="H791" s="747"/>
      <c r="I791" s="747"/>
      <c r="J791" s="748" t="s">
        <v>30</v>
      </c>
      <c r="K791" s="750">
        <f>SUM(K788:K790)</f>
        <v>0</v>
      </c>
      <c r="L791" s="750">
        <f>SUM(L788:L790)</f>
        <v>0</v>
      </c>
      <c r="M791" s="750">
        <f>SUM(M788:M790)</f>
        <v>0</v>
      </c>
      <c r="N791" s="1914"/>
      <c r="O791" s="616"/>
    </row>
    <row r="792" spans="1:15" x14ac:dyDescent="0.3">
      <c r="A792" s="616"/>
      <c r="B792" s="624" t="s">
        <v>1349</v>
      </c>
      <c r="C792" s="625"/>
      <c r="D792" s="625"/>
      <c r="E792" s="625"/>
      <c r="F792" s="787"/>
      <c r="G792" s="625"/>
      <c r="H792" s="625"/>
      <c r="I792" s="625"/>
      <c r="J792" s="732"/>
      <c r="K792" s="733"/>
      <c r="L792" s="734"/>
      <c r="M792" s="734"/>
      <c r="N792" s="627"/>
      <c r="O792" s="12"/>
    </row>
    <row r="793" spans="1:15" x14ac:dyDescent="0.3">
      <c r="A793" s="616">
        <v>1</v>
      </c>
      <c r="B793" s="100" t="s">
        <v>3555</v>
      </c>
      <c r="C793" s="52">
        <v>33</v>
      </c>
      <c r="D793" s="2105" t="s">
        <v>339</v>
      </c>
      <c r="E793" s="52"/>
      <c r="F793" s="4">
        <v>1</v>
      </c>
      <c r="G793" s="21"/>
      <c r="H793" s="21"/>
      <c r="I793" s="20">
        <f>H793-G793</f>
        <v>0</v>
      </c>
      <c r="J793" s="616"/>
      <c r="K793" s="696">
        <f>J793*I793*F793</f>
        <v>0</v>
      </c>
      <c r="L793" s="22"/>
      <c r="M793" s="22"/>
      <c r="N793" s="82"/>
      <c r="O793" s="12"/>
    </row>
    <row r="794" spans="1:15" x14ac:dyDescent="0.3">
      <c r="A794" s="616">
        <v>2</v>
      </c>
      <c r="B794" s="100" t="s">
        <v>3473</v>
      </c>
      <c r="C794" s="52">
        <v>33</v>
      </c>
      <c r="D794" s="2106" t="s">
        <v>339</v>
      </c>
      <c r="E794" s="52"/>
      <c r="F794" s="4">
        <v>1</v>
      </c>
      <c r="G794" s="21"/>
      <c r="H794" s="21"/>
      <c r="I794" s="20">
        <f>H794-G794</f>
        <v>0</v>
      </c>
      <c r="J794" s="616"/>
      <c r="K794" s="696">
        <f>J794*I794*F794</f>
        <v>0</v>
      </c>
      <c r="L794" s="22"/>
      <c r="M794" s="22"/>
      <c r="N794" s="82"/>
      <c r="O794" s="12"/>
    </row>
    <row r="795" spans="1:15" x14ac:dyDescent="0.3">
      <c r="A795" s="616">
        <v>3</v>
      </c>
      <c r="B795" s="100" t="s">
        <v>3554</v>
      </c>
      <c r="C795" s="52">
        <v>33</v>
      </c>
      <c r="D795" s="2106" t="s">
        <v>339</v>
      </c>
      <c r="E795" s="52" t="s">
        <v>3556</v>
      </c>
      <c r="F795" s="4">
        <v>1</v>
      </c>
      <c r="G795" s="21"/>
      <c r="H795" s="21"/>
      <c r="I795" s="20">
        <f>H795-G795</f>
        <v>0</v>
      </c>
      <c r="J795" s="616"/>
      <c r="K795" s="696">
        <f>J795*I795*F795</f>
        <v>0</v>
      </c>
      <c r="L795" s="22"/>
      <c r="M795" s="22"/>
      <c r="N795" s="82"/>
      <c r="O795" s="12"/>
    </row>
    <row r="796" spans="1:15" x14ac:dyDescent="0.3">
      <c r="A796" s="616"/>
      <c r="B796" s="102"/>
      <c r="C796" s="91"/>
      <c r="D796" s="726"/>
      <c r="E796" s="91"/>
      <c r="F796" s="47"/>
      <c r="G796" s="48"/>
      <c r="H796" s="48"/>
      <c r="I796" s="36"/>
      <c r="J796" s="96" t="s">
        <v>30</v>
      </c>
      <c r="K796" s="43">
        <f>SUM(K793:K795)</f>
        <v>0</v>
      </c>
      <c r="L796" s="43">
        <f>SUM(L793:L795)</f>
        <v>0</v>
      </c>
      <c r="M796" s="43">
        <f>SUM(M793:M795)</f>
        <v>0</v>
      </c>
      <c r="N796" s="85"/>
      <c r="O796" s="12"/>
    </row>
    <row r="797" spans="1:15" x14ac:dyDescent="0.3">
      <c r="A797" s="616"/>
      <c r="B797" s="647" t="s">
        <v>1351</v>
      </c>
      <c r="C797" s="648"/>
      <c r="D797" s="648"/>
      <c r="E797" s="648"/>
      <c r="F797" s="789"/>
      <c r="G797" s="648"/>
      <c r="H797" s="648"/>
      <c r="I797" s="648"/>
      <c r="J797" s="648"/>
      <c r="K797" s="700"/>
      <c r="L797" s="648"/>
      <c r="M797" s="651"/>
      <c r="N797" s="649"/>
      <c r="O797" s="8"/>
    </row>
    <row r="798" spans="1:15" x14ac:dyDescent="0.3">
      <c r="A798" s="616"/>
      <c r="B798" s="100" t="s">
        <v>1079</v>
      </c>
      <c r="C798" s="52">
        <v>132</v>
      </c>
      <c r="D798" s="2138" t="s">
        <v>1083</v>
      </c>
      <c r="E798" s="615"/>
      <c r="F798" s="4"/>
      <c r="G798" s="5"/>
      <c r="H798" s="5"/>
      <c r="I798" s="5"/>
      <c r="J798" s="616"/>
      <c r="K798" s="696"/>
      <c r="L798" s="16">
        <f>J798*I798*F798</f>
        <v>0</v>
      </c>
      <c r="M798" s="7"/>
      <c r="N798" s="78"/>
      <c r="O798" s="616"/>
    </row>
    <row r="799" spans="1:15" x14ac:dyDescent="0.3">
      <c r="A799" s="616"/>
      <c r="B799" s="100" t="s">
        <v>1078</v>
      </c>
      <c r="C799" s="52">
        <v>132</v>
      </c>
      <c r="D799" s="2139"/>
      <c r="E799" s="615"/>
      <c r="F799" s="4"/>
      <c r="G799" s="5"/>
      <c r="H799" s="5"/>
      <c r="I799" s="5"/>
      <c r="J799" s="616"/>
      <c r="K799" s="696"/>
      <c r="L799" s="16">
        <f>J799*I799*F799</f>
        <v>0</v>
      </c>
      <c r="M799" s="16"/>
      <c r="N799" s="79"/>
      <c r="O799" s="616"/>
    </row>
    <row r="800" spans="1:15" x14ac:dyDescent="0.35">
      <c r="A800" s="616"/>
      <c r="B800" s="95"/>
      <c r="C800" s="89"/>
      <c r="D800" s="89"/>
      <c r="E800" s="89"/>
      <c r="F800" s="788"/>
      <c r="G800" s="37"/>
      <c r="H800" s="37"/>
      <c r="I800" s="37"/>
      <c r="J800" s="95" t="s">
        <v>279</v>
      </c>
      <c r="K800" s="699"/>
      <c r="L800" s="55">
        <f>SUM(L798:L799)</f>
        <v>0</v>
      </c>
      <c r="M800" s="633"/>
      <c r="N800" s="631"/>
      <c r="O800" s="616"/>
    </row>
    <row r="801" spans="1:15" x14ac:dyDescent="0.3">
      <c r="A801" s="616"/>
      <c r="B801" s="102"/>
      <c r="C801" s="91"/>
      <c r="D801" s="726"/>
      <c r="E801" s="91"/>
      <c r="F801" s="47"/>
      <c r="G801" s="48"/>
      <c r="H801" s="48"/>
      <c r="I801" s="36"/>
      <c r="J801" s="96"/>
      <c r="K801" s="706"/>
      <c r="L801" s="43"/>
      <c r="M801" s="43"/>
      <c r="N801" s="85"/>
      <c r="O801" s="12"/>
    </row>
    <row r="802" spans="1:15" x14ac:dyDescent="0.3">
      <c r="A802" s="636"/>
      <c r="B802" s="647" t="s">
        <v>1352</v>
      </c>
      <c r="C802" s="648"/>
      <c r="D802" s="648"/>
      <c r="E802" s="648"/>
      <c r="F802" s="789"/>
      <c r="G802" s="648"/>
      <c r="H802" s="648"/>
      <c r="I802" s="648"/>
      <c r="J802" s="50"/>
      <c r="K802" s="710"/>
      <c r="L802" s="51"/>
      <c r="M802" s="51"/>
      <c r="N802" s="649"/>
      <c r="O802" s="12"/>
    </row>
    <row r="803" spans="1:15" x14ac:dyDescent="0.3">
      <c r="A803" s="616">
        <v>1</v>
      </c>
      <c r="B803" s="100" t="s">
        <v>3516</v>
      </c>
      <c r="C803" s="52">
        <v>33</v>
      </c>
      <c r="D803" s="2140" t="s">
        <v>326</v>
      </c>
      <c r="E803" s="52" t="s">
        <v>3557</v>
      </c>
      <c r="F803" s="4">
        <v>1</v>
      </c>
      <c r="G803" s="21"/>
      <c r="H803" s="21"/>
      <c r="I803" s="21">
        <f>H803-G803</f>
        <v>0</v>
      </c>
      <c r="J803" s="31">
        <v>10000</v>
      </c>
      <c r="K803" s="707"/>
      <c r="L803" s="22">
        <f>J803*I803*F803</f>
        <v>0</v>
      </c>
      <c r="M803" s="22"/>
      <c r="N803" s="83"/>
      <c r="O803" s="12"/>
    </row>
    <row r="804" spans="1:15" x14ac:dyDescent="0.3">
      <c r="A804" s="616">
        <v>2</v>
      </c>
      <c r="B804" s="100" t="s">
        <v>3517</v>
      </c>
      <c r="C804" s="52">
        <v>33</v>
      </c>
      <c r="D804" s="2157" t="s">
        <v>326</v>
      </c>
      <c r="E804" s="52" t="s">
        <v>3558</v>
      </c>
      <c r="F804" s="4">
        <v>1</v>
      </c>
      <c r="G804" s="21"/>
      <c r="H804" s="21"/>
      <c r="I804" s="21">
        <f>H804-G804</f>
        <v>0</v>
      </c>
      <c r="J804" s="31">
        <v>10000</v>
      </c>
      <c r="K804" s="707"/>
      <c r="L804" s="22">
        <f>J804*I804*F804</f>
        <v>0</v>
      </c>
      <c r="M804" s="22"/>
      <c r="N804" s="83"/>
      <c r="O804" s="12"/>
    </row>
    <row r="805" spans="1:15" ht="15" x14ac:dyDescent="0.3">
      <c r="A805" s="636"/>
      <c r="B805" s="96"/>
      <c r="C805" s="90"/>
      <c r="D805" s="90"/>
      <c r="E805" s="90"/>
      <c r="F805" s="793"/>
      <c r="G805" s="38"/>
      <c r="H805" s="38"/>
      <c r="I805" s="38"/>
      <c r="J805" s="96" t="s">
        <v>30</v>
      </c>
      <c r="K805" s="708"/>
      <c r="L805" s="43">
        <f>SUM(L803:L804)</f>
        <v>0</v>
      </c>
      <c r="M805" s="43">
        <f>SUM(M803:M804)</f>
        <v>0</v>
      </c>
      <c r="N805" s="712"/>
      <c r="O805" s="12"/>
    </row>
    <row r="806" spans="1:15" thickBot="1" x14ac:dyDescent="0.35">
      <c r="A806" s="702"/>
      <c r="B806" s="736"/>
      <c r="C806" s="92"/>
      <c r="D806" s="92"/>
      <c r="E806" s="92"/>
      <c r="F806" s="795"/>
      <c r="G806" s="737"/>
      <c r="H806" s="737"/>
      <c r="I806" s="737"/>
      <c r="J806" s="736"/>
      <c r="K806" s="738"/>
      <c r="L806" s="739"/>
      <c r="M806" s="739"/>
      <c r="N806" s="1914"/>
      <c r="O806" s="740"/>
    </row>
    <row r="807" spans="1:15" ht="15" x14ac:dyDescent="0.35">
      <c r="A807" s="702"/>
      <c r="B807" s="2142" t="s">
        <v>1339</v>
      </c>
      <c r="C807" s="2143"/>
      <c r="D807" s="683" t="s">
        <v>14</v>
      </c>
      <c r="E807"/>
      <c r="F807" s="2144" t="s">
        <v>1350</v>
      </c>
      <c r="G807" s="2145"/>
      <c r="H807" s="2146"/>
      <c r="I807" s="683" t="s">
        <v>14</v>
      </c>
      <c r="K807" s="2147" t="s">
        <v>1092</v>
      </c>
      <c r="L807" s="2148"/>
      <c r="M807" s="684" t="s">
        <v>14</v>
      </c>
      <c r="N807" s="1914"/>
      <c r="O807" s="740"/>
    </row>
    <row r="808" spans="1:15" ht="15" x14ac:dyDescent="0.35">
      <c r="A808" s="702"/>
      <c r="B808" s="2122" t="str">
        <f>B787</f>
        <v xml:space="preserve"> 33 KV SIDE</v>
      </c>
      <c r="C808" s="2123"/>
      <c r="D808" s="689">
        <f>L791</f>
        <v>0</v>
      </c>
      <c r="E808"/>
      <c r="F808" s="2124" t="s">
        <v>1093</v>
      </c>
      <c r="G808" s="2125"/>
      <c r="H808" s="2126"/>
      <c r="I808" s="685">
        <f>L800</f>
        <v>0</v>
      </c>
      <c r="K808" s="2160" t="str">
        <f>F809</f>
        <v>LALMATIA 33 KV NET IMPORT</v>
      </c>
      <c r="L808" s="2161"/>
      <c r="M808" s="687" t="e">
        <f>I809</f>
        <v>#REF!</v>
      </c>
      <c r="N808" s="1914"/>
      <c r="O808" s="740"/>
    </row>
    <row r="809" spans="1:15" ht="15" x14ac:dyDescent="0.35">
      <c r="A809" s="702"/>
      <c r="B809" s="2122" t="e">
        <f>#REF!</f>
        <v>#REF!</v>
      </c>
      <c r="C809" s="2123"/>
      <c r="D809" s="741" t="e">
        <f>#REF!</f>
        <v>#REF!</v>
      </c>
      <c r="E809"/>
      <c r="F809" s="2124" t="s">
        <v>1603</v>
      </c>
      <c r="G809" s="2125"/>
      <c r="H809" s="2126"/>
      <c r="I809" s="685" t="e">
        <f>D812-I808</f>
        <v>#REF!</v>
      </c>
      <c r="K809" s="2162" t="s">
        <v>1604</v>
      </c>
      <c r="L809" s="2163"/>
      <c r="M809" s="685">
        <f>M837</f>
        <v>0</v>
      </c>
      <c r="N809" s="1914"/>
      <c r="O809" s="740"/>
    </row>
    <row r="810" spans="1:15" ht="15" x14ac:dyDescent="0.35">
      <c r="A810" s="702"/>
      <c r="B810" s="2122" t="s">
        <v>1117</v>
      </c>
      <c r="C810" s="2123"/>
      <c r="D810" s="721"/>
      <c r="E810"/>
      <c r="F810" s="2124" t="s">
        <v>1089</v>
      </c>
      <c r="G810" s="2125"/>
      <c r="H810" s="2126"/>
      <c r="I810" s="685" t="e">
        <f>I808+I809</f>
        <v>#REF!</v>
      </c>
      <c r="K810" s="2127" t="s">
        <v>284</v>
      </c>
      <c r="L810" s="2128"/>
      <c r="M810" s="685" t="e">
        <f>M808-M809</f>
        <v>#REF!</v>
      </c>
      <c r="N810" s="1914"/>
      <c r="O810" s="740"/>
    </row>
    <row r="811" spans="1:15" ht="16" thickBot="1" x14ac:dyDescent="0.4">
      <c r="A811" s="702"/>
      <c r="B811" s="2122" t="s">
        <v>1118</v>
      </c>
      <c r="C811" s="2123"/>
      <c r="D811" s="722"/>
      <c r="E811"/>
      <c r="F811" s="2113" t="s">
        <v>1546</v>
      </c>
      <c r="G811" s="2114"/>
      <c r="H811" s="2115"/>
      <c r="I811" s="690" t="e">
        <f>(D812-I810)/I810</f>
        <v>#REF!</v>
      </c>
      <c r="K811" s="2134" t="s">
        <v>285</v>
      </c>
      <c r="L811" s="2135"/>
      <c r="M811" s="688" t="e">
        <f>M810/M808</f>
        <v>#REF!</v>
      </c>
      <c r="N811" s="1914"/>
      <c r="O811" s="740"/>
    </row>
    <row r="812" spans="1:15" thickBot="1" x14ac:dyDescent="0.4">
      <c r="A812" s="702"/>
      <c r="B812" s="2158" t="s">
        <v>1082</v>
      </c>
      <c r="C812" s="2159"/>
      <c r="D812" s="686" t="e">
        <f>SUM(D808:D810)</f>
        <v>#REF!</v>
      </c>
      <c r="E812"/>
      <c r="N812" s="1914"/>
      <c r="O812" s="740"/>
    </row>
    <row r="813" spans="1:15" ht="15" x14ac:dyDescent="0.3">
      <c r="A813" s="702"/>
      <c r="B813" s="736"/>
      <c r="C813" s="92"/>
      <c r="D813" s="92"/>
      <c r="E813" s="92"/>
      <c r="F813" s="795"/>
      <c r="G813" s="737"/>
      <c r="H813" s="737"/>
      <c r="I813" s="737"/>
      <c r="J813" s="736"/>
      <c r="K813" s="738"/>
      <c r="L813" s="739"/>
      <c r="M813" s="739"/>
      <c r="N813" s="1914"/>
      <c r="O813" s="740"/>
    </row>
    <row r="814" spans="1:15" x14ac:dyDescent="0.35">
      <c r="B814" s="632"/>
      <c r="C814" s="620"/>
      <c r="D814" s="728"/>
      <c r="E814" s="620"/>
      <c r="N814" s="1469"/>
    </row>
    <row r="815" spans="1:15" x14ac:dyDescent="0.35">
      <c r="B815" s="632"/>
      <c r="C815" s="620"/>
      <c r="D815" s="728"/>
      <c r="E815" s="620"/>
      <c r="N815" s="1469"/>
    </row>
    <row r="816" spans="1:15" ht="105" x14ac:dyDescent="0.3">
      <c r="A816" s="2095" t="s">
        <v>1148</v>
      </c>
      <c r="B816" s="2095"/>
      <c r="C816" s="2095"/>
      <c r="D816" s="2095"/>
      <c r="E816" s="2095"/>
      <c r="F816" s="2095"/>
      <c r="G816" s="2095"/>
      <c r="H816" s="2095"/>
      <c r="I816" s="2095"/>
      <c r="J816" s="2095"/>
      <c r="K816" s="2095"/>
      <c r="L816" s="2095"/>
      <c r="M816" s="2095"/>
      <c r="N816" s="2095"/>
      <c r="O816" s="756" t="str">
        <f>$O$6</f>
        <v>Month December-2022</v>
      </c>
    </row>
    <row r="817" spans="1:15" x14ac:dyDescent="0.35">
      <c r="A817" s="2096" t="s">
        <v>0</v>
      </c>
      <c r="B817" s="2098" t="s">
        <v>1</v>
      </c>
      <c r="C817" s="2100" t="s">
        <v>2</v>
      </c>
      <c r="D817" s="2101"/>
      <c r="E817" s="2102"/>
      <c r="F817" s="2230" t="s">
        <v>3</v>
      </c>
      <c r="G817" s="2100" t="s">
        <v>4</v>
      </c>
      <c r="H817" s="2102"/>
      <c r="I817" s="2085"/>
      <c r="J817" s="2103" t="s">
        <v>5</v>
      </c>
      <c r="K817" s="2100" t="s">
        <v>6</v>
      </c>
      <c r="L817" s="2085"/>
      <c r="M817" s="97" t="s">
        <v>32</v>
      </c>
      <c r="N817" s="98"/>
      <c r="O817" s="2084" t="s">
        <v>7</v>
      </c>
    </row>
    <row r="818" spans="1:15" x14ac:dyDescent="0.3">
      <c r="A818" s="2097"/>
      <c r="B818" s="2099"/>
      <c r="C818" s="2086" t="s">
        <v>1108</v>
      </c>
      <c r="D818" s="2087"/>
      <c r="E818" s="87" t="s">
        <v>9</v>
      </c>
      <c r="F818" s="2229"/>
      <c r="G818" s="2">
        <f>'NORTH-1'!$G$8</f>
        <v>44774</v>
      </c>
      <c r="H818" s="2">
        <f>'NORTH-1'!$H$8</f>
        <v>44805</v>
      </c>
      <c r="I818" s="1" t="s">
        <v>10</v>
      </c>
      <c r="J818" s="2097"/>
      <c r="K818" s="1" t="s">
        <v>11</v>
      </c>
      <c r="L818" s="1" t="s">
        <v>12</v>
      </c>
      <c r="M818" s="617" t="s">
        <v>33</v>
      </c>
      <c r="N818" s="76" t="s">
        <v>47</v>
      </c>
      <c r="O818" s="2085"/>
    </row>
    <row r="819" spans="1:15" x14ac:dyDescent="0.3">
      <c r="A819" s="3">
        <v>1</v>
      </c>
      <c r="B819" s="88">
        <v>2</v>
      </c>
      <c r="C819" s="2088">
        <v>4</v>
      </c>
      <c r="D819" s="2089"/>
      <c r="E819" s="88">
        <v>5</v>
      </c>
      <c r="F819" s="786">
        <v>7</v>
      </c>
      <c r="G819" s="3">
        <v>8</v>
      </c>
      <c r="H819" s="3">
        <v>9</v>
      </c>
      <c r="I819" s="3" t="s">
        <v>13</v>
      </c>
      <c r="J819" s="3">
        <v>11</v>
      </c>
      <c r="K819" s="3" t="s">
        <v>19</v>
      </c>
      <c r="L819" s="3" t="s">
        <v>20</v>
      </c>
      <c r="M819" s="3">
        <v>14</v>
      </c>
      <c r="N819" s="77">
        <v>15</v>
      </c>
      <c r="O819" s="3">
        <v>16</v>
      </c>
    </row>
    <row r="820" spans="1:15" x14ac:dyDescent="0.35">
      <c r="A820" s="631"/>
      <c r="B820" s="624" t="s">
        <v>1353</v>
      </c>
      <c r="C820" s="625"/>
      <c r="D820" s="625"/>
      <c r="E820" s="625"/>
      <c r="F820" s="787"/>
      <c r="G820" s="625"/>
      <c r="H820" s="625"/>
      <c r="I820" s="625"/>
      <c r="J820" s="625"/>
      <c r="K820" s="695"/>
      <c r="L820" s="625"/>
      <c r="M820" s="626"/>
      <c r="N820" s="627"/>
      <c r="O820" s="616"/>
    </row>
    <row r="821" spans="1:15" x14ac:dyDescent="0.35">
      <c r="A821" s="631">
        <v>1</v>
      </c>
      <c r="B821" s="100" t="s">
        <v>3518</v>
      </c>
      <c r="C821" s="52">
        <v>11</v>
      </c>
      <c r="D821" s="2105" t="s">
        <v>339</v>
      </c>
      <c r="E821" s="52" t="s">
        <v>3559</v>
      </c>
      <c r="F821" s="4">
        <v>1</v>
      </c>
      <c r="G821" s="21">
        <v>2328450</v>
      </c>
      <c r="H821" s="21">
        <v>2371499</v>
      </c>
      <c r="I821" s="21">
        <f>H821-G821</f>
        <v>43049</v>
      </c>
      <c r="J821" s="616">
        <v>90</v>
      </c>
      <c r="K821" s="696">
        <f>J821*I821*F821</f>
        <v>3874410</v>
      </c>
      <c r="L821" s="22"/>
      <c r="M821" s="22"/>
      <c r="N821" s="82"/>
      <c r="O821" s="616"/>
    </row>
    <row r="822" spans="1:15" x14ac:dyDescent="0.35">
      <c r="A822" s="631">
        <v>2</v>
      </c>
      <c r="B822" s="100" t="s">
        <v>3519</v>
      </c>
      <c r="C822" s="52">
        <v>11</v>
      </c>
      <c r="D822" s="2151" t="s">
        <v>339</v>
      </c>
      <c r="E822" s="52" t="s">
        <v>3560</v>
      </c>
      <c r="F822" s="4">
        <v>1</v>
      </c>
      <c r="G822" s="21">
        <v>2225534</v>
      </c>
      <c r="H822" s="21">
        <v>2273588</v>
      </c>
      <c r="I822" s="21">
        <f>H822-G822</f>
        <v>48054</v>
      </c>
      <c r="J822" s="616">
        <v>90</v>
      </c>
      <c r="K822" s="696">
        <f>J822*I822*F822</f>
        <v>4324860</v>
      </c>
      <c r="L822" s="22"/>
      <c r="M822" s="22"/>
      <c r="N822" s="82"/>
      <c r="O822" s="616"/>
    </row>
    <row r="823" spans="1:15" x14ac:dyDescent="0.35">
      <c r="A823" s="631"/>
      <c r="B823" s="102"/>
      <c r="C823" s="91"/>
      <c r="D823" s="726"/>
      <c r="E823" s="91"/>
      <c r="F823" s="47"/>
      <c r="G823" s="48"/>
      <c r="H823" s="48"/>
      <c r="I823" s="48"/>
      <c r="J823" s="39" t="s">
        <v>30</v>
      </c>
      <c r="K823" s="43">
        <f>SUM(K821:K822)</f>
        <v>8199270</v>
      </c>
      <c r="L823" s="49"/>
      <c r="M823" s="43">
        <f>SUM(M821:M822)</f>
        <v>0</v>
      </c>
      <c r="N823" s="85"/>
      <c r="O823" s="616"/>
    </row>
    <row r="824" spans="1:15" x14ac:dyDescent="0.35">
      <c r="A824" s="631"/>
      <c r="B824" s="647" t="s">
        <v>1353</v>
      </c>
      <c r="C824" s="648"/>
      <c r="D824" s="648"/>
      <c r="E824" s="648"/>
      <c r="F824" s="789"/>
      <c r="G824" s="648"/>
      <c r="H824" s="648"/>
      <c r="I824" s="648"/>
      <c r="J824" s="50"/>
      <c r="K824" s="710"/>
      <c r="L824" s="51"/>
      <c r="M824" s="51"/>
      <c r="N824" s="649"/>
      <c r="O824" s="616"/>
    </row>
    <row r="825" spans="1:15" x14ac:dyDescent="0.35">
      <c r="A825" s="631">
        <v>1</v>
      </c>
      <c r="B825" s="100" t="s">
        <v>3561</v>
      </c>
      <c r="C825" s="73">
        <v>11</v>
      </c>
      <c r="D825" s="2167" t="s">
        <v>326</v>
      </c>
      <c r="E825" s="52" t="s">
        <v>3562</v>
      </c>
      <c r="F825" s="4">
        <v>1</v>
      </c>
      <c r="G825" s="6">
        <v>5252987</v>
      </c>
      <c r="H825" s="6">
        <v>5900445</v>
      </c>
      <c r="I825" s="20">
        <f t="shared" ref="I825:I836" si="32">H825-G825</f>
        <v>647458</v>
      </c>
      <c r="J825" s="616">
        <v>1</v>
      </c>
      <c r="K825" s="703"/>
      <c r="L825" s="22">
        <f t="shared" ref="L825:L835" si="33">J825*I825*F825</f>
        <v>647458</v>
      </c>
      <c r="M825" s="22"/>
      <c r="N825" s="72" t="s">
        <v>50</v>
      </c>
      <c r="O825" s="15"/>
    </row>
    <row r="826" spans="1:15" x14ac:dyDescent="0.35">
      <c r="A826" s="631">
        <v>2</v>
      </c>
      <c r="B826" s="100" t="s">
        <v>3563</v>
      </c>
      <c r="C826" s="73">
        <v>11</v>
      </c>
      <c r="D826" s="2168" t="s">
        <v>326</v>
      </c>
      <c r="E826" s="52"/>
      <c r="F826" s="4">
        <v>1</v>
      </c>
      <c r="G826" s="6">
        <v>627449</v>
      </c>
      <c r="H826" s="6">
        <v>627449</v>
      </c>
      <c r="I826" s="20">
        <f t="shared" si="32"/>
        <v>0</v>
      </c>
      <c r="J826" s="616">
        <v>1</v>
      </c>
      <c r="K826" s="703"/>
      <c r="L826" s="784">
        <f t="shared" si="33"/>
        <v>0</v>
      </c>
      <c r="M826" s="22"/>
      <c r="N826" s="72" t="s">
        <v>50</v>
      </c>
      <c r="O826" s="15"/>
    </row>
    <row r="827" spans="1:15" x14ac:dyDescent="0.35">
      <c r="A827" s="631">
        <v>3</v>
      </c>
      <c r="B827" s="100" t="s">
        <v>3564</v>
      </c>
      <c r="C827" s="73">
        <v>11</v>
      </c>
      <c r="D827" s="2168" t="s">
        <v>326</v>
      </c>
      <c r="E827" s="52">
        <v>202006950</v>
      </c>
      <c r="F827" s="4">
        <v>1</v>
      </c>
      <c r="G827" s="6">
        <v>65974884</v>
      </c>
      <c r="H827" s="6">
        <v>67315286</v>
      </c>
      <c r="I827" s="20">
        <f t="shared" si="32"/>
        <v>1340402</v>
      </c>
      <c r="J827" s="616">
        <v>1</v>
      </c>
      <c r="K827" s="703"/>
      <c r="L827" s="22">
        <f t="shared" si="33"/>
        <v>1340402</v>
      </c>
      <c r="M827" s="22"/>
      <c r="N827" s="72" t="s">
        <v>50</v>
      </c>
      <c r="O827" s="15"/>
    </row>
    <row r="828" spans="1:15" x14ac:dyDescent="0.35">
      <c r="A828" s="631">
        <v>4</v>
      </c>
      <c r="B828" s="100" t="s">
        <v>3565</v>
      </c>
      <c r="C828" s="73">
        <v>11</v>
      </c>
      <c r="D828" s="2168" t="s">
        <v>326</v>
      </c>
      <c r="E828" s="52" t="s">
        <v>3566</v>
      </c>
      <c r="F828" s="4">
        <v>1</v>
      </c>
      <c r="G828" s="6">
        <v>86390049</v>
      </c>
      <c r="H828" s="6">
        <v>88269244</v>
      </c>
      <c r="I828" s="20">
        <f t="shared" si="32"/>
        <v>1879195</v>
      </c>
      <c r="J828" s="616">
        <v>1</v>
      </c>
      <c r="K828" s="703"/>
      <c r="L828" s="22">
        <f t="shared" si="33"/>
        <v>1879195</v>
      </c>
      <c r="M828" s="22"/>
      <c r="N828" s="72" t="s">
        <v>50</v>
      </c>
      <c r="O828" s="15"/>
    </row>
    <row r="829" spans="1:15" x14ac:dyDescent="0.35">
      <c r="A829" s="631">
        <v>5</v>
      </c>
      <c r="B829" s="1917" t="s">
        <v>3567</v>
      </c>
      <c r="C829" s="73">
        <v>11</v>
      </c>
      <c r="D829" s="2168" t="s">
        <v>326</v>
      </c>
      <c r="E829" s="52" t="s">
        <v>3568</v>
      </c>
      <c r="F829" s="4">
        <v>1</v>
      </c>
      <c r="G829" s="6"/>
      <c r="H829" s="6"/>
      <c r="I829" s="20">
        <f t="shared" si="32"/>
        <v>0</v>
      </c>
      <c r="J829" s="616">
        <v>1</v>
      </c>
      <c r="K829" s="703"/>
      <c r="L829" s="22">
        <f t="shared" si="33"/>
        <v>0</v>
      </c>
      <c r="M829" s="22"/>
      <c r="N829" s="72" t="s">
        <v>50</v>
      </c>
      <c r="O829" s="15"/>
    </row>
    <row r="830" spans="1:15" x14ac:dyDescent="0.35">
      <c r="A830" s="631">
        <v>6</v>
      </c>
      <c r="B830" s="100" t="s">
        <v>3569</v>
      </c>
      <c r="C830" s="73">
        <v>11</v>
      </c>
      <c r="D830" s="2168" t="s">
        <v>326</v>
      </c>
      <c r="E830" s="52" t="s">
        <v>3570</v>
      </c>
      <c r="F830" s="4">
        <v>1</v>
      </c>
      <c r="G830" s="6">
        <v>24365.599999999999</v>
      </c>
      <c r="H830" s="6">
        <v>24478.6</v>
      </c>
      <c r="I830" s="20">
        <f t="shared" si="32"/>
        <v>113</v>
      </c>
      <c r="J830" s="616">
        <v>3333.33</v>
      </c>
      <c r="K830" s="703"/>
      <c r="L830" s="22">
        <f t="shared" si="33"/>
        <v>376666.29</v>
      </c>
      <c r="M830" s="22"/>
      <c r="N830" s="72" t="s">
        <v>50</v>
      </c>
      <c r="O830" s="15"/>
    </row>
    <row r="831" spans="1:15" x14ac:dyDescent="0.35">
      <c r="A831" s="631">
        <v>1</v>
      </c>
      <c r="B831" s="100" t="s">
        <v>3571</v>
      </c>
      <c r="C831" s="73">
        <v>11</v>
      </c>
      <c r="D831" s="2168" t="s">
        <v>326</v>
      </c>
      <c r="E831" s="52" t="s">
        <v>3572</v>
      </c>
      <c r="F831" s="4">
        <v>1</v>
      </c>
      <c r="G831" s="6">
        <v>66838.5</v>
      </c>
      <c r="H831" s="6">
        <v>67094.100000000006</v>
      </c>
      <c r="I831" s="20">
        <f t="shared" si="32"/>
        <v>255.60000000000582</v>
      </c>
      <c r="J831" s="616">
        <v>3333.33</v>
      </c>
      <c r="K831" s="703"/>
      <c r="L831" s="22">
        <f t="shared" si="33"/>
        <v>851999.14800001937</v>
      </c>
      <c r="M831" s="22"/>
      <c r="N831" s="72" t="s">
        <v>50</v>
      </c>
      <c r="O831" s="15"/>
    </row>
    <row r="832" spans="1:15" x14ac:dyDescent="0.35">
      <c r="A832" s="631">
        <v>2</v>
      </c>
      <c r="B832" s="100" t="s">
        <v>3573</v>
      </c>
      <c r="C832" s="73">
        <v>11</v>
      </c>
      <c r="D832" s="2168" t="s">
        <v>326</v>
      </c>
      <c r="E832" s="52" t="s">
        <v>3574</v>
      </c>
      <c r="F832" s="4">
        <v>1</v>
      </c>
      <c r="G832" s="6">
        <v>74854.399999999994</v>
      </c>
      <c r="H832" s="6">
        <v>75097.399999999994</v>
      </c>
      <c r="I832" s="20">
        <f t="shared" si="32"/>
        <v>243</v>
      </c>
      <c r="J832" s="616">
        <v>3333.33</v>
      </c>
      <c r="K832" s="703"/>
      <c r="L832" s="22">
        <f t="shared" si="33"/>
        <v>809999.19</v>
      </c>
      <c r="M832" s="22"/>
      <c r="N832" s="72" t="s">
        <v>50</v>
      </c>
      <c r="O832" s="15"/>
    </row>
    <row r="833" spans="1:15" x14ac:dyDescent="0.35">
      <c r="A833" s="631"/>
      <c r="B833" s="100" t="s">
        <v>3575</v>
      </c>
      <c r="C833" s="73">
        <v>11</v>
      </c>
      <c r="D833" s="2168" t="s">
        <v>326</v>
      </c>
      <c r="E833" s="52"/>
      <c r="F833" s="4">
        <v>1</v>
      </c>
      <c r="G833" s="6">
        <v>67936.399999999994</v>
      </c>
      <c r="H833" s="6">
        <v>68125</v>
      </c>
      <c r="I833" s="20">
        <f t="shared" si="32"/>
        <v>188.60000000000582</v>
      </c>
      <c r="J833" s="616">
        <v>3333.3</v>
      </c>
      <c r="K833" s="703"/>
      <c r="L833" s="22">
        <f t="shared" si="33"/>
        <v>628660.38000001945</v>
      </c>
      <c r="M833" s="22"/>
      <c r="N833" s="72" t="s">
        <v>50</v>
      </c>
      <c r="O833" s="15"/>
    </row>
    <row r="834" spans="1:15" x14ac:dyDescent="0.35">
      <c r="A834" s="631">
        <v>3</v>
      </c>
      <c r="B834" s="100" t="s">
        <v>3576</v>
      </c>
      <c r="C834" s="73">
        <v>11</v>
      </c>
      <c r="D834" s="2168" t="s">
        <v>326</v>
      </c>
      <c r="E834" s="52" t="s">
        <v>3577</v>
      </c>
      <c r="F834" s="4">
        <v>1</v>
      </c>
      <c r="G834" s="6">
        <v>37113.4</v>
      </c>
      <c r="H834" s="6">
        <v>37172.800000000003</v>
      </c>
      <c r="I834" s="20">
        <f t="shared" si="32"/>
        <v>59.400000000001455</v>
      </c>
      <c r="J834" s="616">
        <v>3333.3</v>
      </c>
      <c r="K834" s="703"/>
      <c r="L834" s="22">
        <f t="shared" si="33"/>
        <v>197998.02000000485</v>
      </c>
      <c r="M834" s="22"/>
      <c r="N834" s="72" t="s">
        <v>50</v>
      </c>
      <c r="O834" s="15"/>
    </row>
    <row r="835" spans="1:15" x14ac:dyDescent="0.35">
      <c r="A835" s="631">
        <v>4</v>
      </c>
      <c r="B835" s="100" t="s">
        <v>3578</v>
      </c>
      <c r="C835" s="73">
        <v>11</v>
      </c>
      <c r="D835" s="2169" t="s">
        <v>326</v>
      </c>
      <c r="E835" s="52" t="s">
        <v>3579</v>
      </c>
      <c r="F835" s="4">
        <v>1</v>
      </c>
      <c r="G835" s="6">
        <v>53076869</v>
      </c>
      <c r="H835" s="6">
        <v>53604511</v>
      </c>
      <c r="I835" s="20">
        <f t="shared" si="32"/>
        <v>527642</v>
      </c>
      <c r="J835" s="616">
        <v>1</v>
      </c>
      <c r="K835" s="703"/>
      <c r="L835" s="784">
        <f t="shared" si="33"/>
        <v>527642</v>
      </c>
      <c r="M835" s="22"/>
      <c r="N835" s="72" t="s">
        <v>50</v>
      </c>
      <c r="O835" s="15"/>
    </row>
    <row r="836" spans="1:15" x14ac:dyDescent="0.35">
      <c r="A836" s="631">
        <v>5</v>
      </c>
      <c r="B836" s="100" t="s">
        <v>3580</v>
      </c>
      <c r="C836" s="73">
        <v>11</v>
      </c>
      <c r="D836" s="766" t="s">
        <v>326</v>
      </c>
      <c r="E836" s="52" t="s">
        <v>3581</v>
      </c>
      <c r="F836" s="4">
        <v>1</v>
      </c>
      <c r="G836" s="6">
        <v>36147909</v>
      </c>
      <c r="H836" s="6">
        <v>40387605</v>
      </c>
      <c r="I836" s="20">
        <f t="shared" si="32"/>
        <v>4239696</v>
      </c>
      <c r="J836" s="616">
        <v>1</v>
      </c>
      <c r="K836" s="703" t="s">
        <v>3582</v>
      </c>
      <c r="L836" s="22">
        <v>1240000</v>
      </c>
      <c r="M836" s="22"/>
      <c r="N836" s="72" t="s">
        <v>50</v>
      </c>
      <c r="O836" s="15"/>
    </row>
    <row r="837" spans="1:15" ht="28" x14ac:dyDescent="0.3">
      <c r="A837" s="636"/>
      <c r="B837" s="96"/>
      <c r="C837" s="90"/>
      <c r="D837" s="90"/>
      <c r="E837" s="90"/>
      <c r="F837" s="793"/>
      <c r="G837" s="38"/>
      <c r="H837" s="38"/>
      <c r="I837" s="38"/>
      <c r="J837" s="53" t="s">
        <v>44</v>
      </c>
      <c r="K837" s="43">
        <f>K823</f>
        <v>8199270</v>
      </c>
      <c r="L837" s="43">
        <f>SUM(L825:L836)</f>
        <v>8500020.0280000437</v>
      </c>
      <c r="M837" s="43">
        <f>SUM(M825:M836)</f>
        <v>0</v>
      </c>
      <c r="N837" s="712">
        <f>(M837-L837)/L837*100</f>
        <v>-100</v>
      </c>
      <c r="O837" s="29"/>
    </row>
    <row r="838" spans="1:15" x14ac:dyDescent="0.35">
      <c r="A838"/>
      <c r="B838" s="1864" t="s">
        <v>237</v>
      </c>
      <c r="C838"/>
      <c r="D838"/>
      <c r="E838"/>
      <c r="F838" s="791"/>
      <c r="G838"/>
      <c r="H838"/>
      <c r="I838"/>
      <c r="J838"/>
      <c r="K838"/>
      <c r="L838"/>
      <c r="M838"/>
      <c r="N838" s="1451"/>
      <c r="O838"/>
    </row>
    <row r="839" spans="1:15" x14ac:dyDescent="0.35">
      <c r="E839"/>
      <c r="F839" s="2092" t="s">
        <v>1099</v>
      </c>
      <c r="G839" s="2092"/>
      <c r="H839" s="2092"/>
      <c r="I839" s="677" t="s">
        <v>14</v>
      </c>
    </row>
    <row r="840" spans="1:15" x14ac:dyDescent="0.35">
      <c r="E840"/>
      <c r="F840" s="2153" t="s">
        <v>1354</v>
      </c>
      <c r="G840" s="2154"/>
      <c r="H840" s="2155"/>
      <c r="I840" s="643">
        <f>SUM(M825:M836)</f>
        <v>0</v>
      </c>
      <c r="M840" s="620" t="s">
        <v>237</v>
      </c>
      <c r="O840" s="620" t="s">
        <v>237</v>
      </c>
    </row>
    <row r="841" spans="1:15" x14ac:dyDescent="0.35">
      <c r="E841"/>
      <c r="F841" s="2153" t="s">
        <v>1347</v>
      </c>
      <c r="G841" s="2154"/>
      <c r="H841" s="2155"/>
      <c r="I841" s="643"/>
    </row>
    <row r="842" spans="1:15" ht="16" thickBot="1" x14ac:dyDescent="0.4">
      <c r="E842"/>
      <c r="F842" s="2153"/>
      <c r="G842" s="2154"/>
      <c r="H842" s="2155"/>
      <c r="I842" s="643"/>
    </row>
    <row r="843" spans="1:15" ht="20.5" thickBot="1" x14ac:dyDescent="0.4">
      <c r="F843" s="2156" t="s">
        <v>210</v>
      </c>
      <c r="G843" s="2156"/>
      <c r="H843" s="2156"/>
      <c r="I843" s="656">
        <f>SUM(I840:I842)</f>
        <v>0</v>
      </c>
      <c r="J843" s="682">
        <f>I843-M837</f>
        <v>0</v>
      </c>
    </row>
    <row r="855" spans="1:17" ht="25" x14ac:dyDescent="0.3">
      <c r="B855" s="2152" t="s">
        <v>1330</v>
      </c>
      <c r="C855" s="2152"/>
      <c r="D855" s="2152"/>
      <c r="E855" s="2152"/>
      <c r="F855" s="2152"/>
      <c r="G855" s="2152"/>
      <c r="H855" s="2152"/>
      <c r="I855" s="2152"/>
      <c r="J855" s="2152"/>
      <c r="K855" s="2152"/>
      <c r="L855" s="2152"/>
      <c r="M855" s="2152"/>
      <c r="N855" s="2152"/>
      <c r="O855" s="2152"/>
      <c r="P855" s="2152"/>
      <c r="Q855" s="2152"/>
    </row>
    <row r="859" spans="1:17" ht="105" x14ac:dyDescent="0.3">
      <c r="A859" s="2095" t="s">
        <v>1149</v>
      </c>
      <c r="B859" s="2095"/>
      <c r="C859" s="2095"/>
      <c r="D859" s="2095"/>
      <c r="E859" s="2095"/>
      <c r="F859" s="2095"/>
      <c r="G859" s="2095"/>
      <c r="H859" s="2095"/>
      <c r="I859" s="2095"/>
      <c r="J859" s="2095"/>
      <c r="K859" s="2095"/>
      <c r="L859" s="2095"/>
      <c r="M859" s="2095"/>
      <c r="N859" s="2095"/>
      <c r="O859" s="756" t="str">
        <f>$O$6</f>
        <v>Month December-2022</v>
      </c>
    </row>
    <row r="860" spans="1:17" x14ac:dyDescent="0.35">
      <c r="A860" s="2096" t="s">
        <v>0</v>
      </c>
      <c r="B860" s="2098" t="s">
        <v>1</v>
      </c>
      <c r="C860" s="2100" t="s">
        <v>2</v>
      </c>
      <c r="D860" s="2101"/>
      <c r="E860" s="2102"/>
      <c r="F860" s="2230" t="s">
        <v>3</v>
      </c>
      <c r="G860" s="2100" t="s">
        <v>4</v>
      </c>
      <c r="H860" s="2102"/>
      <c r="I860" s="2085"/>
      <c r="J860" s="2103" t="s">
        <v>5</v>
      </c>
      <c r="K860" s="2100" t="s">
        <v>6</v>
      </c>
      <c r="L860" s="2085"/>
      <c r="M860" s="97" t="s">
        <v>32</v>
      </c>
      <c r="N860" s="98"/>
      <c r="O860" s="2084" t="s">
        <v>7</v>
      </c>
    </row>
    <row r="861" spans="1:17" x14ac:dyDescent="0.3">
      <c r="A861" s="2097"/>
      <c r="B861" s="2099"/>
      <c r="C861" s="2086" t="s">
        <v>1108</v>
      </c>
      <c r="D861" s="2087"/>
      <c r="E861" s="87" t="s">
        <v>9</v>
      </c>
      <c r="F861" s="2229"/>
      <c r="G861" s="2">
        <f>'NORTH-1'!$G$8</f>
        <v>44774</v>
      </c>
      <c r="H861" s="2">
        <f>'NORTH-1'!$H$8</f>
        <v>44805</v>
      </c>
      <c r="I861" s="1" t="s">
        <v>10</v>
      </c>
      <c r="J861" s="2097"/>
      <c r="K861" s="1" t="s">
        <v>11</v>
      </c>
      <c r="L861" s="1" t="s">
        <v>12</v>
      </c>
      <c r="M861" s="617" t="s">
        <v>33</v>
      </c>
      <c r="N861" s="76" t="s">
        <v>47</v>
      </c>
      <c r="O861" s="2085"/>
    </row>
    <row r="862" spans="1:17" x14ac:dyDescent="0.3">
      <c r="A862" s="3">
        <v>1</v>
      </c>
      <c r="B862" s="88">
        <v>2</v>
      </c>
      <c r="C862" s="2088">
        <v>4</v>
      </c>
      <c r="D862" s="2089"/>
      <c r="E862" s="88">
        <v>5</v>
      </c>
      <c r="F862" s="786">
        <v>7</v>
      </c>
      <c r="G862" s="3">
        <v>8</v>
      </c>
      <c r="H862" s="3">
        <v>9</v>
      </c>
      <c r="I862" s="3" t="s">
        <v>13</v>
      </c>
      <c r="J862" s="3">
        <v>11</v>
      </c>
      <c r="K862" s="3" t="s">
        <v>19</v>
      </c>
      <c r="L862" s="3" t="s">
        <v>20</v>
      </c>
      <c r="M862" s="3">
        <v>14</v>
      </c>
      <c r="N862" s="77">
        <v>15</v>
      </c>
      <c r="O862" s="3">
        <v>16</v>
      </c>
    </row>
    <row r="863" spans="1:17" x14ac:dyDescent="0.3">
      <c r="A863" s="616"/>
      <c r="B863" s="624" t="s">
        <v>1331</v>
      </c>
      <c r="C863" s="625"/>
      <c r="D863" s="625"/>
      <c r="E863" s="625"/>
      <c r="F863" s="787"/>
      <c r="G863" s="625"/>
      <c r="H863" s="625"/>
      <c r="I863" s="625"/>
      <c r="J863" s="732"/>
      <c r="K863" s="733"/>
      <c r="L863" s="734"/>
      <c r="M863" s="734"/>
      <c r="N863" s="627"/>
      <c r="O863" s="616"/>
    </row>
    <row r="864" spans="1:17" x14ac:dyDescent="0.3">
      <c r="A864" s="616"/>
      <c r="B864" s="100" t="s">
        <v>1335</v>
      </c>
      <c r="C864" s="52">
        <v>33</v>
      </c>
      <c r="D864" s="1859" t="s">
        <v>698</v>
      </c>
      <c r="E864" s="52" t="s">
        <v>3583</v>
      </c>
      <c r="F864" s="4">
        <v>1</v>
      </c>
      <c r="G864" s="21">
        <v>1205.18</v>
      </c>
      <c r="H864" s="21">
        <v>1224.82</v>
      </c>
      <c r="I864" s="20">
        <f>H864-G864</f>
        <v>19.639999999999873</v>
      </c>
      <c r="J864" s="616">
        <v>240000</v>
      </c>
      <c r="K864" s="696">
        <f>J864*I864*F864</f>
        <v>4713599.9999999693</v>
      </c>
      <c r="L864" s="696"/>
      <c r="M864" s="22"/>
      <c r="N864" s="82"/>
      <c r="O864" s="12"/>
    </row>
    <row r="865" spans="1:15" x14ac:dyDescent="0.3">
      <c r="A865" s="616"/>
      <c r="B865" s="100" t="s">
        <v>1336</v>
      </c>
      <c r="C865" s="52">
        <v>33</v>
      </c>
      <c r="D865" s="1755"/>
      <c r="E865" s="91" t="s">
        <v>3584</v>
      </c>
      <c r="F865" s="4">
        <v>1</v>
      </c>
      <c r="G865" s="48">
        <v>1897.5</v>
      </c>
      <c r="H865" s="48">
        <v>1912.82</v>
      </c>
      <c r="I865" s="20">
        <v>15.319999999999936</v>
      </c>
      <c r="J865" s="616">
        <v>240000</v>
      </c>
      <c r="K865" s="696">
        <f>J865*I865*F865</f>
        <v>3676799.9999999846</v>
      </c>
      <c r="L865" s="696"/>
      <c r="M865" s="22"/>
      <c r="N865" s="85"/>
      <c r="O865" s="12"/>
    </row>
    <row r="866" spans="1:15" x14ac:dyDescent="0.3">
      <c r="A866" s="616"/>
      <c r="B866" s="102"/>
      <c r="C866" s="91"/>
      <c r="D866" s="726"/>
      <c r="E866" s="91"/>
      <c r="F866" s="47"/>
      <c r="G866" s="48"/>
      <c r="H866" s="48"/>
      <c r="I866" s="36"/>
      <c r="J866" s="96" t="s">
        <v>30</v>
      </c>
      <c r="K866" s="43">
        <f>SUM(K864:K865)</f>
        <v>8390399.9999999534</v>
      </c>
      <c r="L866" s="43">
        <f>SUM(L864:L865)</f>
        <v>0</v>
      </c>
      <c r="M866" s="43">
        <f>SUM(M864:M865)</f>
        <v>0</v>
      </c>
      <c r="N866" s="85"/>
      <c r="O866" s="12"/>
    </row>
    <row r="867" spans="1:15" x14ac:dyDescent="0.3">
      <c r="A867" s="616"/>
      <c r="B867" s="624" t="s">
        <v>1334</v>
      </c>
      <c r="C867" s="625"/>
      <c r="D867" s="625"/>
      <c r="E867" s="625"/>
      <c r="F867" s="787"/>
      <c r="G867" s="625"/>
      <c r="H867" s="625"/>
      <c r="I867" s="625"/>
      <c r="J867" s="732"/>
      <c r="K867" s="733"/>
      <c r="L867" s="734"/>
      <c r="M867" s="734"/>
      <c r="N867" s="627"/>
      <c r="O867" s="12"/>
    </row>
    <row r="868" spans="1:15" x14ac:dyDescent="0.3">
      <c r="A868" s="616"/>
      <c r="B868" s="100" t="s">
        <v>1332</v>
      </c>
      <c r="C868" s="52">
        <v>33</v>
      </c>
      <c r="D868" s="668"/>
      <c r="E868" s="52"/>
      <c r="F868" s="4">
        <v>1</v>
      </c>
      <c r="G868" s="21">
        <v>0</v>
      </c>
      <c r="H868" s="21">
        <v>0</v>
      </c>
      <c r="I868" s="20">
        <f>H868-G868</f>
        <v>0</v>
      </c>
      <c r="J868" s="616">
        <v>3000</v>
      </c>
      <c r="K868" s="696"/>
      <c r="L868" s="22">
        <f>J868*I868*F868</f>
        <v>0</v>
      </c>
      <c r="M868" s="22"/>
      <c r="N868" s="82"/>
      <c r="O868" s="12"/>
    </row>
    <row r="869" spans="1:15" x14ac:dyDescent="0.3">
      <c r="A869" s="616"/>
      <c r="B869" s="102" t="s">
        <v>1333</v>
      </c>
      <c r="C869" s="52">
        <v>33</v>
      </c>
      <c r="D869" s="1755"/>
      <c r="E869" s="52"/>
      <c r="F869" s="4">
        <v>1</v>
      </c>
      <c r="G869" s="21">
        <v>0</v>
      </c>
      <c r="H869" s="21">
        <v>0</v>
      </c>
      <c r="I869" s="20">
        <f>H869-G869</f>
        <v>0</v>
      </c>
      <c r="J869" s="616">
        <v>3000</v>
      </c>
      <c r="K869" s="696"/>
      <c r="L869" s="22"/>
      <c r="M869" s="22"/>
      <c r="N869" s="85"/>
      <c r="O869" s="12"/>
    </row>
    <row r="870" spans="1:15" x14ac:dyDescent="0.3">
      <c r="A870" s="616"/>
      <c r="B870" s="102"/>
      <c r="C870" s="91"/>
      <c r="D870" s="726"/>
      <c r="E870" s="91"/>
      <c r="F870" s="47"/>
      <c r="G870" s="48"/>
      <c r="H870" s="48"/>
      <c r="I870" s="36"/>
      <c r="J870" s="96" t="s">
        <v>30</v>
      </c>
      <c r="K870" s="43">
        <f>K866</f>
        <v>8390399.9999999534</v>
      </c>
      <c r="L870" s="43">
        <f>SUM(L868:L868)</f>
        <v>0</v>
      </c>
      <c r="M870" s="43">
        <f>SUM(M868:M868)</f>
        <v>0</v>
      </c>
      <c r="N870" s="85"/>
      <c r="O870" s="12"/>
    </row>
    <row r="871" spans="1:15" x14ac:dyDescent="0.3">
      <c r="A871" s="616"/>
      <c r="B871" s="647" t="s">
        <v>1337</v>
      </c>
      <c r="C871" s="648"/>
      <c r="D871" s="648"/>
      <c r="E871" s="648"/>
      <c r="F871" s="789"/>
      <c r="G871" s="648"/>
      <c r="H871" s="648"/>
      <c r="I871" s="648"/>
      <c r="J871" s="648"/>
      <c r="K871" s="700"/>
      <c r="L871" s="648"/>
      <c r="M871" s="651"/>
      <c r="N871" s="649"/>
      <c r="O871" s="8"/>
    </row>
    <row r="872" spans="1:15" x14ac:dyDescent="0.3">
      <c r="A872" s="616"/>
      <c r="B872" s="100" t="s">
        <v>1342</v>
      </c>
      <c r="C872" s="52">
        <v>33</v>
      </c>
      <c r="D872" s="2138" t="s">
        <v>1083</v>
      </c>
      <c r="E872" s="615"/>
      <c r="F872" s="4"/>
      <c r="G872" s="5"/>
      <c r="H872" s="5"/>
      <c r="I872" s="5"/>
      <c r="J872" s="616"/>
      <c r="K872" s="696"/>
      <c r="L872" s="16">
        <f>J872*I872*F872</f>
        <v>0</v>
      </c>
      <c r="M872" s="7"/>
      <c r="N872" s="78"/>
      <c r="O872" s="616"/>
    </row>
    <row r="873" spans="1:15" x14ac:dyDescent="0.3">
      <c r="A873" s="616"/>
      <c r="B873" s="100" t="s">
        <v>1342</v>
      </c>
      <c r="C873" s="52">
        <v>33</v>
      </c>
      <c r="D873" s="2139"/>
      <c r="E873" s="615"/>
      <c r="F873" s="4"/>
      <c r="G873" s="5"/>
      <c r="H873" s="5"/>
      <c r="I873" s="5"/>
      <c r="J873" s="616"/>
      <c r="K873" s="696"/>
      <c r="L873" s="16">
        <f>J873*I873*F873</f>
        <v>0</v>
      </c>
      <c r="M873" s="16"/>
      <c r="N873" s="79"/>
      <c r="O873" s="616"/>
    </row>
    <row r="874" spans="1:15" x14ac:dyDescent="0.35">
      <c r="A874" s="616"/>
      <c r="B874" s="95"/>
      <c r="C874" s="89"/>
      <c r="D874" s="89"/>
      <c r="E874" s="89"/>
      <c r="F874" s="788"/>
      <c r="G874" s="37"/>
      <c r="H874" s="37"/>
      <c r="I874" s="37"/>
      <c r="J874" s="95" t="s">
        <v>279</v>
      </c>
      <c r="K874" s="699"/>
      <c r="L874" s="783">
        <v>7512667.1686000042</v>
      </c>
      <c r="M874" s="633"/>
      <c r="N874" s="631"/>
      <c r="O874" s="616"/>
    </row>
    <row r="875" spans="1:15" x14ac:dyDescent="0.3">
      <c r="A875" s="616"/>
      <c r="B875" s="102"/>
      <c r="C875" s="91"/>
      <c r="D875" s="726"/>
      <c r="E875" s="91"/>
      <c r="F875" s="47"/>
      <c r="G875" s="48"/>
      <c r="H875" s="48"/>
      <c r="I875" s="36"/>
      <c r="J875" s="96"/>
      <c r="K875" s="706"/>
      <c r="L875" s="43"/>
      <c r="M875" s="43"/>
      <c r="N875" s="85"/>
      <c r="O875" s="12"/>
    </row>
    <row r="876" spans="1:15" x14ac:dyDescent="0.3">
      <c r="A876" s="636"/>
      <c r="B876" s="647" t="s">
        <v>1338</v>
      </c>
      <c r="C876" s="648"/>
      <c r="D876" s="648"/>
      <c r="E876" s="648"/>
      <c r="F876" s="789"/>
      <c r="G876" s="648"/>
      <c r="H876" s="648"/>
      <c r="I876" s="648"/>
      <c r="J876" s="50"/>
      <c r="K876" s="710"/>
      <c r="L876" s="51"/>
      <c r="M876" s="51"/>
      <c r="N876" s="649"/>
      <c r="O876" s="12"/>
    </row>
    <row r="877" spans="1:15" x14ac:dyDescent="0.3">
      <c r="A877" s="616"/>
      <c r="B877" s="100" t="s">
        <v>34</v>
      </c>
      <c r="C877" s="52">
        <v>33</v>
      </c>
      <c r="D877" s="2140" t="s">
        <v>1085</v>
      </c>
      <c r="E877" s="52"/>
      <c r="F877" s="4">
        <v>1</v>
      </c>
      <c r="G877" s="21">
        <v>51025.7</v>
      </c>
      <c r="H877" s="21">
        <v>51025.7</v>
      </c>
      <c r="I877" s="21">
        <f>H877-G877</f>
        <v>0</v>
      </c>
      <c r="J877" s="31">
        <v>3000</v>
      </c>
      <c r="K877" s="707"/>
      <c r="L877" s="22">
        <f>J877*I877*F877</f>
        <v>0</v>
      </c>
      <c r="M877" s="22">
        <f>L877*$M$161/$L$170</f>
        <v>0</v>
      </c>
      <c r="N877" s="83"/>
      <c r="O877" s="12"/>
    </row>
    <row r="878" spans="1:15" x14ac:dyDescent="0.3">
      <c r="A878" s="616"/>
      <c r="B878" s="100" t="s">
        <v>35</v>
      </c>
      <c r="C878" s="52">
        <v>33</v>
      </c>
      <c r="D878" s="2157"/>
      <c r="E878" s="52"/>
      <c r="F878" s="4">
        <v>1</v>
      </c>
      <c r="G878" s="21">
        <v>94339.4</v>
      </c>
      <c r="H878" s="21">
        <v>94339.4</v>
      </c>
      <c r="I878" s="21">
        <f>H878-G878</f>
        <v>0</v>
      </c>
      <c r="J878" s="31">
        <v>3000</v>
      </c>
      <c r="K878" s="707"/>
      <c r="L878" s="22">
        <f>J878*I878*F878</f>
        <v>0</v>
      </c>
      <c r="M878" s="22">
        <f>L878*$M$161/$L$170</f>
        <v>0</v>
      </c>
      <c r="N878" s="83"/>
      <c r="O878" s="12"/>
    </row>
    <row r="879" spans="1:15" ht="15" x14ac:dyDescent="0.3">
      <c r="A879" s="636"/>
      <c r="B879" s="96"/>
      <c r="C879" s="90"/>
      <c r="D879" s="90"/>
      <c r="E879" s="90"/>
      <c r="F879" s="793"/>
      <c r="G879" s="38"/>
      <c r="H879" s="38"/>
      <c r="I879" s="38"/>
      <c r="J879" s="96" t="s">
        <v>30</v>
      </c>
      <c r="K879" s="708"/>
      <c r="L879" s="43">
        <f>K866</f>
        <v>8390399.9999999534</v>
      </c>
      <c r="M879" s="43">
        <f>SUM(M877:M878)</f>
        <v>0</v>
      </c>
      <c r="N879" s="712"/>
      <c r="O879" s="12"/>
    </row>
    <row r="880" spans="1:15" thickBot="1" x14ac:dyDescent="0.35">
      <c r="A880" s="702"/>
      <c r="B880" s="736"/>
      <c r="C880" s="92"/>
      <c r="D880" s="92"/>
      <c r="E880" s="92"/>
      <c r="F880" s="795"/>
      <c r="G880" s="737"/>
      <c r="H880" s="737"/>
      <c r="I880" s="737"/>
      <c r="J880" s="736"/>
      <c r="K880" s="738"/>
      <c r="L880" s="739"/>
      <c r="M880" s="739"/>
      <c r="N880" s="1914"/>
      <c r="O880" s="740"/>
    </row>
    <row r="881" spans="1:15" ht="15" x14ac:dyDescent="0.35">
      <c r="A881" s="702"/>
      <c r="B881" s="2142" t="s">
        <v>1339</v>
      </c>
      <c r="C881" s="2143"/>
      <c r="D881" s="683" t="s">
        <v>14</v>
      </c>
      <c r="E881"/>
      <c r="F881" s="2144" t="s">
        <v>1096</v>
      </c>
      <c r="G881" s="2145"/>
      <c r="H881" s="2146"/>
      <c r="I881" s="683" t="s">
        <v>14</v>
      </c>
      <c r="K881" s="2147" t="s">
        <v>1092</v>
      </c>
      <c r="L881" s="2148"/>
      <c r="M881" s="684" t="s">
        <v>14</v>
      </c>
      <c r="N881" s="1914"/>
      <c r="O881" s="740"/>
    </row>
    <row r="882" spans="1:15" ht="15" x14ac:dyDescent="0.35">
      <c r="A882" s="702"/>
      <c r="B882" s="2122" t="str">
        <f>B863</f>
        <v>Dhanmondi (33 KV Side)</v>
      </c>
      <c r="C882" s="2123"/>
      <c r="D882" s="689">
        <f>K866</f>
        <v>8390399.9999999534</v>
      </c>
      <c r="E882"/>
      <c r="F882" s="2124" t="s">
        <v>1093</v>
      </c>
      <c r="G882" s="2125"/>
      <c r="H882" s="2126"/>
      <c r="I882" s="685">
        <f>L874</f>
        <v>7512667.1686000042</v>
      </c>
      <c r="K882" s="2160" t="str">
        <f>F883</f>
        <v>Green Road 33 KV NET IMPORT</v>
      </c>
      <c r="L882" s="2161"/>
      <c r="M882" s="687">
        <f>I883</f>
        <v>877732.83139994927</v>
      </c>
      <c r="N882" s="1914"/>
      <c r="O882" s="740"/>
    </row>
    <row r="883" spans="1:15" ht="15" x14ac:dyDescent="0.35">
      <c r="A883" s="702"/>
      <c r="B883" s="2122" t="s">
        <v>1116</v>
      </c>
      <c r="C883" s="2123"/>
      <c r="D883" s="741"/>
      <c r="E883"/>
      <c r="F883" s="2124" t="s">
        <v>1340</v>
      </c>
      <c r="G883" s="2125"/>
      <c r="H883" s="2126"/>
      <c r="I883" s="685">
        <f>D886-I882</f>
        <v>877732.83139994927</v>
      </c>
      <c r="K883" s="2162" t="s">
        <v>1341</v>
      </c>
      <c r="L883" s="2163"/>
      <c r="M883" s="685">
        <f>M911</f>
        <v>4603.7844131664915</v>
      </c>
      <c r="N883" s="1914"/>
      <c r="O883" s="740"/>
    </row>
    <row r="884" spans="1:15" ht="15" x14ac:dyDescent="0.35">
      <c r="A884" s="702"/>
      <c r="B884" s="2122" t="s">
        <v>1117</v>
      </c>
      <c r="C884" s="2123"/>
      <c r="D884" s="721"/>
      <c r="E884"/>
      <c r="F884" s="2124" t="s">
        <v>1089</v>
      </c>
      <c r="G884" s="2125"/>
      <c r="H884" s="2126"/>
      <c r="I884" s="685">
        <f>I882+I883</f>
        <v>8390399.9999999534</v>
      </c>
      <c r="K884" s="2127" t="s">
        <v>284</v>
      </c>
      <c r="L884" s="2128"/>
      <c r="M884" s="685">
        <f>M882-M883</f>
        <v>873129.04698678281</v>
      </c>
      <c r="N884" s="1914"/>
      <c r="O884" s="740"/>
    </row>
    <row r="885" spans="1:15" ht="16" thickBot="1" x14ac:dyDescent="0.4">
      <c r="A885" s="702"/>
      <c r="B885" s="2122" t="s">
        <v>1118</v>
      </c>
      <c r="C885" s="2123"/>
      <c r="D885" s="722"/>
      <c r="E885"/>
      <c r="F885" s="2113" t="s">
        <v>1546</v>
      </c>
      <c r="G885" s="2114"/>
      <c r="H885" s="2115"/>
      <c r="I885" s="690">
        <f>(D886-I884)/I884</f>
        <v>0</v>
      </c>
      <c r="K885" s="2134" t="s">
        <v>285</v>
      </c>
      <c r="L885" s="2135"/>
      <c r="M885" s="688">
        <f>M884/M882</f>
        <v>0.99475491374086622</v>
      </c>
      <c r="N885" s="1914"/>
      <c r="O885" s="740"/>
    </row>
    <row r="886" spans="1:15" thickBot="1" x14ac:dyDescent="0.4">
      <c r="A886" s="702"/>
      <c r="B886" s="2158" t="s">
        <v>1082</v>
      </c>
      <c r="C886" s="2159"/>
      <c r="D886" s="686">
        <f>SUM(D882:D884)</f>
        <v>8390399.9999999534</v>
      </c>
      <c r="E886"/>
      <c r="N886" s="1914"/>
      <c r="O886" s="740"/>
    </row>
    <row r="887" spans="1:15" ht="15" x14ac:dyDescent="0.3">
      <c r="A887" s="702"/>
      <c r="B887" s="736"/>
      <c r="C887" s="92"/>
      <c r="D887" s="92"/>
      <c r="E887" s="92"/>
      <c r="F887" s="795"/>
      <c r="G887" s="737"/>
      <c r="H887" s="737"/>
      <c r="I887" s="737"/>
      <c r="J887" s="736"/>
      <c r="K887" s="738"/>
      <c r="L887" s="739"/>
      <c r="M887" s="739"/>
      <c r="N887" s="1914"/>
      <c r="O887" s="740"/>
    </row>
    <row r="888" spans="1:15" x14ac:dyDescent="0.35">
      <c r="B888" s="632"/>
      <c r="C888" s="620"/>
      <c r="D888" s="728"/>
      <c r="E888" s="620"/>
      <c r="N888" s="1469"/>
    </row>
    <row r="889" spans="1:15" x14ac:dyDescent="0.35">
      <c r="B889" s="632"/>
      <c r="C889" s="620"/>
      <c r="D889" s="728"/>
      <c r="E889" s="620"/>
      <c r="N889" s="1469"/>
    </row>
    <row r="890" spans="1:15" ht="105" x14ac:dyDescent="0.3">
      <c r="A890" s="2095" t="s">
        <v>1150</v>
      </c>
      <c r="B890" s="2095"/>
      <c r="C890" s="2095"/>
      <c r="D890" s="2095"/>
      <c r="E890" s="2095"/>
      <c r="F890" s="2095"/>
      <c r="G890" s="2095"/>
      <c r="H890" s="2095"/>
      <c r="I890" s="2095"/>
      <c r="J890" s="2095"/>
      <c r="K890" s="2095"/>
      <c r="L890" s="2095"/>
      <c r="M890" s="2095"/>
      <c r="N890" s="2095"/>
      <c r="O890" s="756" t="str">
        <f>$O$6</f>
        <v>Month December-2022</v>
      </c>
    </row>
    <row r="891" spans="1:15" x14ac:dyDescent="0.35">
      <c r="A891" s="2096" t="s">
        <v>0</v>
      </c>
      <c r="B891" s="2098" t="s">
        <v>1</v>
      </c>
      <c r="C891" s="2100" t="s">
        <v>2</v>
      </c>
      <c r="D891" s="2101"/>
      <c r="E891" s="2102"/>
      <c r="F891" s="2230" t="s">
        <v>3</v>
      </c>
      <c r="G891" s="2100" t="s">
        <v>4</v>
      </c>
      <c r="H891" s="2102"/>
      <c r="I891" s="2085"/>
      <c r="J891" s="2103" t="s">
        <v>5</v>
      </c>
      <c r="K891" s="2100" t="s">
        <v>6</v>
      </c>
      <c r="L891" s="2085"/>
      <c r="M891" s="97" t="s">
        <v>32</v>
      </c>
      <c r="N891" s="98"/>
      <c r="O891" s="2084" t="s">
        <v>7</v>
      </c>
    </row>
    <row r="892" spans="1:15" x14ac:dyDescent="0.3">
      <c r="A892" s="2097"/>
      <c r="B892" s="2099"/>
      <c r="C892" s="2086" t="s">
        <v>1108</v>
      </c>
      <c r="D892" s="2087"/>
      <c r="E892" s="87" t="s">
        <v>9</v>
      </c>
      <c r="F892" s="2229"/>
      <c r="G892" s="2">
        <f>'NORTH-1'!$G$8</f>
        <v>44774</v>
      </c>
      <c r="H892" s="2">
        <f>'NORTH-1'!$H$8</f>
        <v>44805</v>
      </c>
      <c r="I892" s="1" t="s">
        <v>10</v>
      </c>
      <c r="J892" s="2097"/>
      <c r="K892" s="1" t="s">
        <v>11</v>
      </c>
      <c r="L892" s="1" t="s">
        <v>12</v>
      </c>
      <c r="M892" s="617" t="s">
        <v>33</v>
      </c>
      <c r="N892" s="76" t="s">
        <v>47</v>
      </c>
      <c r="O892" s="2085"/>
    </row>
    <row r="893" spans="1:15" x14ac:dyDescent="0.3">
      <c r="A893" s="3">
        <v>1</v>
      </c>
      <c r="B893" s="88">
        <v>2</v>
      </c>
      <c r="C893" s="2088">
        <v>4</v>
      </c>
      <c r="D893" s="2089"/>
      <c r="E893" s="88">
        <v>5</v>
      </c>
      <c r="F893" s="786">
        <v>7</v>
      </c>
      <c r="G893" s="3">
        <v>8</v>
      </c>
      <c r="H893" s="3">
        <v>9</v>
      </c>
      <c r="I893" s="3" t="s">
        <v>13</v>
      </c>
      <c r="J893" s="3">
        <v>11</v>
      </c>
      <c r="K893" s="3" t="s">
        <v>19</v>
      </c>
      <c r="L893" s="3" t="s">
        <v>20</v>
      </c>
      <c r="M893" s="3">
        <v>14</v>
      </c>
      <c r="N893" s="77">
        <v>15</v>
      </c>
      <c r="O893" s="3">
        <v>16</v>
      </c>
    </row>
    <row r="894" spans="1:15" x14ac:dyDescent="0.35">
      <c r="A894" s="631"/>
      <c r="B894" s="624" t="s">
        <v>1344</v>
      </c>
      <c r="C894" s="625"/>
      <c r="D894" s="625"/>
      <c r="E894" s="625"/>
      <c r="F894" s="787"/>
      <c r="G894" s="625"/>
      <c r="H894" s="625"/>
      <c r="I894" s="625"/>
      <c r="J894" s="625"/>
      <c r="K894" s="695"/>
      <c r="L894" s="625"/>
      <c r="M894" s="626"/>
      <c r="N894" s="627"/>
      <c r="O894" s="616"/>
    </row>
    <row r="895" spans="1:15" x14ac:dyDescent="0.35">
      <c r="A895" s="631">
        <v>1</v>
      </c>
      <c r="B895" s="100" t="s">
        <v>3440</v>
      </c>
      <c r="C895" s="52">
        <v>11</v>
      </c>
      <c r="D895" s="1770" t="s">
        <v>339</v>
      </c>
      <c r="E895" s="52" t="s">
        <v>3585</v>
      </c>
      <c r="F895" s="4">
        <v>1</v>
      </c>
      <c r="G895" s="21">
        <v>2476362</v>
      </c>
      <c r="H895" s="21">
        <v>2528654</v>
      </c>
      <c r="I895" s="21">
        <f>H895-G895</f>
        <v>52292</v>
      </c>
      <c r="J895" s="616">
        <v>100</v>
      </c>
      <c r="K895" s="696">
        <f>J895*I895*F895</f>
        <v>5229200</v>
      </c>
      <c r="L895" s="22"/>
      <c r="M895" s="22"/>
      <c r="N895" s="82"/>
      <c r="O895" s="616"/>
    </row>
    <row r="896" spans="1:15" x14ac:dyDescent="0.35">
      <c r="A896" s="631">
        <v>2</v>
      </c>
      <c r="B896" s="100" t="s">
        <v>3586</v>
      </c>
      <c r="C896" s="52">
        <v>11</v>
      </c>
      <c r="D896" s="1772" t="s">
        <v>339</v>
      </c>
      <c r="E896" s="52" t="s">
        <v>3587</v>
      </c>
      <c r="F896" s="4">
        <v>1</v>
      </c>
      <c r="G896" s="21">
        <v>6809.3616000000002</v>
      </c>
      <c r="H896" s="21">
        <v>7215.9503999999997</v>
      </c>
      <c r="I896" s="21">
        <f>H896-G896</f>
        <v>406.58879999999954</v>
      </c>
      <c r="J896" s="616">
        <v>10000</v>
      </c>
      <c r="K896" s="696">
        <f>J896*I896*F896</f>
        <v>4065887.9999999953</v>
      </c>
      <c r="L896" s="22"/>
      <c r="M896" s="22"/>
      <c r="N896" s="82"/>
      <c r="O896" s="616"/>
    </row>
    <row r="897" spans="1:15" x14ac:dyDescent="0.35">
      <c r="A897" s="631"/>
      <c r="B897" s="102"/>
      <c r="C897" s="91"/>
      <c r="D897" s="726"/>
      <c r="E897" s="91"/>
      <c r="F897" s="47"/>
      <c r="G897" s="48"/>
      <c r="H897" s="48"/>
      <c r="I897" s="48"/>
      <c r="J897" s="39" t="s">
        <v>30</v>
      </c>
      <c r="K897" s="43">
        <f>SUM(K895:K896)</f>
        <v>9295087.9999999963</v>
      </c>
      <c r="L897" s="49"/>
      <c r="M897" s="43">
        <f>SUM(M895:M896)</f>
        <v>0</v>
      </c>
      <c r="N897" s="85"/>
      <c r="O897" s="616"/>
    </row>
    <row r="898" spans="1:15" x14ac:dyDescent="0.35">
      <c r="A898" s="631"/>
      <c r="B898" s="647" t="s">
        <v>1343</v>
      </c>
      <c r="C898" s="648"/>
      <c r="D898" s="648"/>
      <c r="E898" s="648"/>
      <c r="F898" s="789"/>
      <c r="G898" s="648"/>
      <c r="H898" s="648"/>
      <c r="I898" s="648"/>
      <c r="J898" s="50"/>
      <c r="K898" s="710"/>
      <c r="L898" s="51"/>
      <c r="M898" s="51"/>
      <c r="N898" s="649"/>
      <c r="O898" s="616"/>
    </row>
    <row r="899" spans="1:15" x14ac:dyDescent="0.35">
      <c r="A899" s="631">
        <v>1</v>
      </c>
      <c r="B899" s="100" t="s">
        <v>3588</v>
      </c>
      <c r="C899" s="73">
        <v>11</v>
      </c>
      <c r="D899" s="2167"/>
      <c r="E899" s="52" t="s">
        <v>3589</v>
      </c>
      <c r="F899" s="4">
        <v>1</v>
      </c>
      <c r="G899" s="6">
        <v>25953</v>
      </c>
      <c r="H899" s="6">
        <v>29473</v>
      </c>
      <c r="I899" s="20">
        <f t="shared" ref="I899:I909" si="34">H899-G899</f>
        <v>3520</v>
      </c>
      <c r="J899" s="616">
        <v>300</v>
      </c>
      <c r="K899" s="703"/>
      <c r="L899" s="22">
        <f t="shared" ref="L899:L909" si="35">J899*I899*F899</f>
        <v>1056000</v>
      </c>
      <c r="M899" s="22"/>
      <c r="N899" s="1929" t="s">
        <v>108</v>
      </c>
      <c r="O899" s="15"/>
    </row>
    <row r="900" spans="1:15" x14ac:dyDescent="0.35">
      <c r="A900" s="631">
        <v>2</v>
      </c>
      <c r="B900" s="100" t="s">
        <v>3590</v>
      </c>
      <c r="C900" s="73">
        <v>11</v>
      </c>
      <c r="D900" s="2168"/>
      <c r="E900" s="52" t="s">
        <v>3591</v>
      </c>
      <c r="F900" s="4">
        <v>1</v>
      </c>
      <c r="G900" s="6">
        <v>64949.2</v>
      </c>
      <c r="H900" s="6">
        <v>65159.9</v>
      </c>
      <c r="I900" s="20">
        <f t="shared" si="34"/>
        <v>210.70000000000437</v>
      </c>
      <c r="J900" s="616">
        <v>3333.33</v>
      </c>
      <c r="K900" s="703"/>
      <c r="L900" s="22">
        <f t="shared" si="35"/>
        <v>702332.63100001449</v>
      </c>
      <c r="M900" s="22"/>
      <c r="N900" s="1929" t="s">
        <v>108</v>
      </c>
      <c r="O900" s="15"/>
    </row>
    <row r="901" spans="1:15" x14ac:dyDescent="0.35">
      <c r="A901" s="631">
        <v>3</v>
      </c>
      <c r="B901" s="100" t="s">
        <v>3592</v>
      </c>
      <c r="C901" s="73">
        <v>11</v>
      </c>
      <c r="D901" s="2168"/>
      <c r="E901" s="52">
        <v>65943</v>
      </c>
      <c r="F901" s="4">
        <v>1</v>
      </c>
      <c r="G901" s="6">
        <v>985334</v>
      </c>
      <c r="H901" s="6">
        <v>988519</v>
      </c>
      <c r="I901" s="20">
        <f t="shared" si="34"/>
        <v>3185</v>
      </c>
      <c r="J901" s="616">
        <v>300</v>
      </c>
      <c r="K901" s="703"/>
      <c r="L901" s="22">
        <f t="shared" si="35"/>
        <v>955500</v>
      </c>
      <c r="M901" s="22"/>
      <c r="N901" s="1929" t="s">
        <v>108</v>
      </c>
      <c r="O901" s="15"/>
    </row>
    <row r="902" spans="1:15" x14ac:dyDescent="0.35">
      <c r="A902" s="631">
        <v>4</v>
      </c>
      <c r="B902" s="100" t="s">
        <v>3593</v>
      </c>
      <c r="C902" s="73">
        <v>11</v>
      </c>
      <c r="D902" s="2168"/>
      <c r="E902" s="52" t="s">
        <v>3594</v>
      </c>
      <c r="F902" s="4">
        <v>1</v>
      </c>
      <c r="G902" s="6">
        <v>43971.1</v>
      </c>
      <c r="H902" s="6">
        <v>44259</v>
      </c>
      <c r="I902" s="20">
        <f t="shared" si="34"/>
        <v>287.90000000000146</v>
      </c>
      <c r="J902" s="616">
        <v>3333.33</v>
      </c>
      <c r="K902" s="703"/>
      <c r="L902" s="22">
        <f t="shared" si="35"/>
        <v>959665.70700000483</v>
      </c>
      <c r="M902" s="22"/>
      <c r="N902" s="1929" t="s">
        <v>51</v>
      </c>
      <c r="O902" s="15"/>
    </row>
    <row r="903" spans="1:15" x14ac:dyDescent="0.35">
      <c r="A903" s="631">
        <v>5</v>
      </c>
      <c r="B903" s="100" t="s">
        <v>3595</v>
      </c>
      <c r="C903" s="73">
        <v>11</v>
      </c>
      <c r="D903" s="2168"/>
      <c r="E903" s="52" t="s">
        <v>3596</v>
      </c>
      <c r="F903" s="4">
        <v>1</v>
      </c>
      <c r="G903" s="6">
        <v>40787.800000000003</v>
      </c>
      <c r="H903" s="6">
        <v>40890.800000000003</v>
      </c>
      <c r="I903" s="20">
        <f t="shared" si="34"/>
        <v>103</v>
      </c>
      <c r="J903" s="616">
        <v>1</v>
      </c>
      <c r="K903" s="703"/>
      <c r="L903" s="22">
        <v>1203251</v>
      </c>
      <c r="M903" s="22"/>
      <c r="N903" s="1929" t="s">
        <v>108</v>
      </c>
      <c r="O903" s="15"/>
    </row>
    <row r="904" spans="1:15" x14ac:dyDescent="0.35">
      <c r="A904" s="631">
        <v>6</v>
      </c>
      <c r="B904" s="100" t="s">
        <v>1345</v>
      </c>
      <c r="C904" s="73">
        <v>11</v>
      </c>
      <c r="D904" s="2168"/>
      <c r="E904" s="52">
        <v>6604464</v>
      </c>
      <c r="F904" s="4">
        <v>1</v>
      </c>
      <c r="G904" s="6">
        <v>4336.2</v>
      </c>
      <c r="H904" s="6">
        <v>4358.8599999999997</v>
      </c>
      <c r="I904" s="20">
        <f t="shared" si="34"/>
        <v>22.659999999999854</v>
      </c>
      <c r="J904" s="616">
        <v>60000</v>
      </c>
      <c r="K904" s="703"/>
      <c r="L904" s="22">
        <f t="shared" si="35"/>
        <v>1359599.9999999912</v>
      </c>
      <c r="M904" s="22"/>
      <c r="N904" s="1929" t="s">
        <v>51</v>
      </c>
      <c r="O904" s="15"/>
    </row>
    <row r="905" spans="1:15" x14ac:dyDescent="0.35">
      <c r="A905" s="631">
        <v>1</v>
      </c>
      <c r="B905" s="100" t="s">
        <v>3597</v>
      </c>
      <c r="C905" s="73">
        <v>11</v>
      </c>
      <c r="D905" s="2168"/>
      <c r="E905" s="52" t="s">
        <v>3598</v>
      </c>
      <c r="F905" s="4">
        <v>1</v>
      </c>
      <c r="G905" s="6">
        <v>85911653</v>
      </c>
      <c r="H905" s="6">
        <v>86736125</v>
      </c>
      <c r="I905" s="20">
        <f t="shared" si="34"/>
        <v>824472</v>
      </c>
      <c r="J905" s="616">
        <v>1</v>
      </c>
      <c r="K905" s="703"/>
      <c r="L905" s="22">
        <f t="shared" si="35"/>
        <v>824472</v>
      </c>
      <c r="M905" s="22"/>
      <c r="N905" s="1929" t="s">
        <v>108</v>
      </c>
      <c r="O905" s="15"/>
    </row>
    <row r="906" spans="1:15" x14ac:dyDescent="0.35">
      <c r="A906" s="631">
        <v>2</v>
      </c>
      <c r="B906" s="100" t="s">
        <v>3599</v>
      </c>
      <c r="C906" s="73">
        <v>11</v>
      </c>
      <c r="D906" s="2168"/>
      <c r="E906" s="52" t="s">
        <v>3600</v>
      </c>
      <c r="F906" s="4">
        <v>1</v>
      </c>
      <c r="G906" s="6">
        <v>69173277</v>
      </c>
      <c r="H906" s="6">
        <v>70228832</v>
      </c>
      <c r="I906" s="20">
        <f t="shared" si="34"/>
        <v>1055555</v>
      </c>
      <c r="J906" s="616">
        <v>1</v>
      </c>
      <c r="K906" s="703"/>
      <c r="L906" s="22">
        <f t="shared" si="35"/>
        <v>1055555</v>
      </c>
      <c r="M906" s="22"/>
      <c r="N906" s="1929" t="s">
        <v>108</v>
      </c>
      <c r="O906" s="15"/>
    </row>
    <row r="907" spans="1:15" x14ac:dyDescent="0.35">
      <c r="A907" s="631">
        <v>3</v>
      </c>
      <c r="B907" s="100" t="s">
        <v>3601</v>
      </c>
      <c r="C907" s="73">
        <v>11</v>
      </c>
      <c r="D907" s="2168"/>
      <c r="E907" s="52" t="s">
        <v>3602</v>
      </c>
      <c r="F907" s="4">
        <v>1</v>
      </c>
      <c r="G907" s="6">
        <v>10508258</v>
      </c>
      <c r="H907" s="6">
        <v>11208601</v>
      </c>
      <c r="I907" s="20">
        <f t="shared" si="34"/>
        <v>700343</v>
      </c>
      <c r="J907" s="616">
        <v>1</v>
      </c>
      <c r="K907" s="703"/>
      <c r="L907" s="22">
        <f t="shared" si="35"/>
        <v>700343</v>
      </c>
      <c r="M907" s="22"/>
      <c r="N907" s="1929" t="s">
        <v>108</v>
      </c>
      <c r="O907" s="15"/>
    </row>
    <row r="908" spans="1:15" x14ac:dyDescent="0.35">
      <c r="A908" s="631">
        <v>4</v>
      </c>
      <c r="B908" s="100" t="s">
        <v>3603</v>
      </c>
      <c r="C908" s="73">
        <v>11</v>
      </c>
      <c r="D908" s="2168"/>
      <c r="E908" s="52" t="s">
        <v>3604</v>
      </c>
      <c r="F908" s="4">
        <v>1</v>
      </c>
      <c r="G908" s="6"/>
      <c r="H908" s="6"/>
      <c r="I908" s="20">
        <f t="shared" si="34"/>
        <v>0</v>
      </c>
      <c r="J908" s="616">
        <v>1</v>
      </c>
      <c r="K908" s="703" t="s">
        <v>3605</v>
      </c>
      <c r="L908" s="22">
        <v>720000</v>
      </c>
      <c r="M908" s="22"/>
      <c r="N908" s="1929" t="s">
        <v>108</v>
      </c>
      <c r="O908" s="15"/>
    </row>
    <row r="909" spans="1:15" x14ac:dyDescent="0.35">
      <c r="A909" s="631">
        <v>5</v>
      </c>
      <c r="B909" s="100" t="s">
        <v>3606</v>
      </c>
      <c r="C909" s="73">
        <v>11</v>
      </c>
      <c r="D909" s="2169"/>
      <c r="E909" s="52" t="s">
        <v>3607</v>
      </c>
      <c r="F909" s="4">
        <v>1</v>
      </c>
      <c r="G909" s="6">
        <v>26364700</v>
      </c>
      <c r="H909" s="6">
        <v>26918032</v>
      </c>
      <c r="I909" s="20">
        <f t="shared" si="34"/>
        <v>553332</v>
      </c>
      <c r="J909" s="616">
        <v>1</v>
      </c>
      <c r="K909" s="703"/>
      <c r="L909" s="22">
        <f t="shared" si="35"/>
        <v>553332</v>
      </c>
      <c r="M909" s="22"/>
      <c r="N909" s="1929" t="s">
        <v>108</v>
      </c>
      <c r="O909" s="15"/>
    </row>
    <row r="910" spans="1:15" x14ac:dyDescent="0.35">
      <c r="A910" s="631"/>
      <c r="B910" s="100" t="s">
        <v>217</v>
      </c>
      <c r="C910" s="73"/>
      <c r="D910" s="766"/>
      <c r="E910" s="52"/>
      <c r="F910" s="4"/>
      <c r="G910" s="6">
        <v>22891</v>
      </c>
      <c r="H910" s="6">
        <v>22891</v>
      </c>
      <c r="I910" s="20"/>
      <c r="J910" s="616">
        <v>1</v>
      </c>
      <c r="K910" s="703"/>
      <c r="L910" s="22">
        <v>5000</v>
      </c>
      <c r="M910" s="22">
        <f>L910*$K$911/$L$911</f>
        <v>4603.7844131664915</v>
      </c>
      <c r="N910" s="1929" t="s">
        <v>108</v>
      </c>
      <c r="O910" s="15"/>
    </row>
    <row r="911" spans="1:15" ht="28" x14ac:dyDescent="0.3">
      <c r="A911" s="636"/>
      <c r="B911" s="96"/>
      <c r="C911" s="90"/>
      <c r="D911" s="90"/>
      <c r="E911" s="90"/>
      <c r="F911" s="793"/>
      <c r="G911" s="38"/>
      <c r="H911" s="38"/>
      <c r="I911" s="38"/>
      <c r="J911" s="53" t="s">
        <v>44</v>
      </c>
      <c r="K911" s="43">
        <f>K897</f>
        <v>9295087.9999999963</v>
      </c>
      <c r="L911" s="43">
        <f>SUM(L899:L910)</f>
        <v>10095051.338000011</v>
      </c>
      <c r="M911" s="43">
        <f>SUM(M899:M910)</f>
        <v>4603.7844131664915</v>
      </c>
      <c r="N911" s="712">
        <f>(M911-L911)/L911*100</f>
        <v>-99.954395631492872</v>
      </c>
      <c r="O911" s="29"/>
    </row>
    <row r="912" spans="1:15" x14ac:dyDescent="0.35">
      <c r="A912"/>
      <c r="B912" s="1864" t="s">
        <v>237</v>
      </c>
      <c r="C912"/>
      <c r="D912"/>
      <c r="E912"/>
      <c r="F912" s="791"/>
      <c r="G912"/>
      <c r="H912"/>
      <c r="I912"/>
      <c r="J912"/>
      <c r="K912"/>
      <c r="L912"/>
      <c r="M912"/>
      <c r="N912" s="1451"/>
      <c r="O912"/>
    </row>
    <row r="913" spans="5:15" x14ac:dyDescent="0.35">
      <c r="E913"/>
      <c r="F913" s="2092" t="s">
        <v>1099</v>
      </c>
      <c r="G913" s="2092"/>
      <c r="H913" s="2092"/>
      <c r="I913" s="677" t="s">
        <v>14</v>
      </c>
    </row>
    <row r="914" spans="5:15" x14ac:dyDescent="0.35">
      <c r="E914"/>
      <c r="F914" s="2153" t="s">
        <v>1346</v>
      </c>
      <c r="G914" s="2154"/>
      <c r="H914" s="2155"/>
      <c r="I914" s="643">
        <f>SUM(M899:M901,M903,M905:M910)</f>
        <v>4603.7844131664915</v>
      </c>
      <c r="O914" s="620" t="s">
        <v>237</v>
      </c>
    </row>
    <row r="915" spans="5:15" x14ac:dyDescent="0.35">
      <c r="E915"/>
      <c r="F915" s="2153" t="s">
        <v>1347</v>
      </c>
      <c r="G915" s="2154"/>
      <c r="H915" s="2155"/>
      <c r="I915" s="643">
        <f>M902+M904</f>
        <v>0</v>
      </c>
    </row>
    <row r="916" spans="5:15" ht="16" thickBot="1" x14ac:dyDescent="0.4">
      <c r="E916"/>
      <c r="F916" s="2153"/>
      <c r="G916" s="2154"/>
      <c r="H916" s="2155"/>
      <c r="I916" s="643"/>
    </row>
    <row r="917" spans="5:15" ht="20.5" thickBot="1" x14ac:dyDescent="0.4">
      <c r="F917" s="2156" t="s">
        <v>210</v>
      </c>
      <c r="G917" s="2156"/>
      <c r="H917" s="2156"/>
      <c r="I917" s="656">
        <f>SUM(I914:I916)</f>
        <v>4603.7844131664915</v>
      </c>
      <c r="J917" s="682">
        <f>I917-M911</f>
        <v>0</v>
      </c>
    </row>
    <row r="933" spans="1:15" ht="105" x14ac:dyDescent="0.3">
      <c r="A933" s="2095" t="s">
        <v>1605</v>
      </c>
      <c r="B933" s="2095"/>
      <c r="C933" s="2095"/>
      <c r="D933" s="2095"/>
      <c r="E933" s="2095"/>
      <c r="F933" s="2095"/>
      <c r="G933" s="2095"/>
      <c r="H933" s="2095"/>
      <c r="I933" s="2095"/>
      <c r="J933" s="2095"/>
      <c r="K933" s="2095"/>
      <c r="L933" s="2095"/>
      <c r="M933" s="2095"/>
      <c r="N933" s="2095"/>
      <c r="O933" s="756" t="str">
        <f>$O$6</f>
        <v>Month December-2022</v>
      </c>
    </row>
    <row r="934" spans="1:15" x14ac:dyDescent="0.35">
      <c r="A934" s="2096" t="s">
        <v>0</v>
      </c>
      <c r="B934" s="2098" t="s">
        <v>1</v>
      </c>
      <c r="C934" s="2100" t="s">
        <v>2</v>
      </c>
      <c r="D934" s="2101"/>
      <c r="E934" s="2102"/>
      <c r="F934" s="2230" t="s">
        <v>3</v>
      </c>
      <c r="G934" s="2100" t="s">
        <v>4</v>
      </c>
      <c r="H934" s="2102"/>
      <c r="I934" s="2085"/>
      <c r="J934" s="2103" t="s">
        <v>5</v>
      </c>
      <c r="K934" s="2100" t="s">
        <v>6</v>
      </c>
      <c r="L934" s="2085"/>
      <c r="M934" s="97" t="s">
        <v>32</v>
      </c>
      <c r="N934" s="98"/>
      <c r="O934" s="2084" t="s">
        <v>7</v>
      </c>
    </row>
    <row r="935" spans="1:15" x14ac:dyDescent="0.3">
      <c r="A935" s="2097"/>
      <c r="B935" s="2099"/>
      <c r="C935" s="2086" t="s">
        <v>1108</v>
      </c>
      <c r="D935" s="2087"/>
      <c r="E935" s="87" t="s">
        <v>9</v>
      </c>
      <c r="F935" s="2229"/>
      <c r="G935" s="2">
        <f>'NORTH-1'!$G$8</f>
        <v>44774</v>
      </c>
      <c r="H935" s="2">
        <f>'NORTH-1'!$H$8</f>
        <v>44805</v>
      </c>
      <c r="I935" s="1" t="s">
        <v>10</v>
      </c>
      <c r="J935" s="2097"/>
      <c r="K935" s="1" t="s">
        <v>11</v>
      </c>
      <c r="L935" s="1" t="s">
        <v>12</v>
      </c>
      <c r="M935" s="617" t="s">
        <v>33</v>
      </c>
      <c r="N935" s="76" t="s">
        <v>47</v>
      </c>
      <c r="O935" s="2085"/>
    </row>
    <row r="936" spans="1:15" x14ac:dyDescent="0.3">
      <c r="A936" s="3">
        <v>1</v>
      </c>
      <c r="B936" s="88">
        <v>2</v>
      </c>
      <c r="C936" s="2088">
        <v>4</v>
      </c>
      <c r="D936" s="2089"/>
      <c r="E936" s="88">
        <v>5</v>
      </c>
      <c r="F936" s="786">
        <v>7</v>
      </c>
      <c r="G936" s="3">
        <v>8</v>
      </c>
      <c r="H936" s="3">
        <v>9</v>
      </c>
      <c r="I936" s="3" t="s">
        <v>13</v>
      </c>
      <c r="J936" s="3">
        <v>11</v>
      </c>
      <c r="K936" s="3" t="s">
        <v>19</v>
      </c>
      <c r="L936" s="3" t="s">
        <v>20</v>
      </c>
      <c r="M936" s="3">
        <v>14</v>
      </c>
      <c r="N936" s="77">
        <v>15</v>
      </c>
      <c r="O936" s="3">
        <v>16</v>
      </c>
    </row>
    <row r="937" spans="1:15" x14ac:dyDescent="0.35">
      <c r="A937" s="631"/>
      <c r="B937" s="624" t="s">
        <v>1100</v>
      </c>
      <c r="C937" s="625"/>
      <c r="D937" s="625"/>
      <c r="E937" s="625"/>
      <c r="F937" s="787"/>
      <c r="G937" s="625"/>
      <c r="H937" s="625"/>
      <c r="I937" s="625"/>
      <c r="J937" s="625"/>
      <c r="K937" s="695"/>
      <c r="L937" s="625"/>
      <c r="M937" s="626"/>
      <c r="N937" s="627"/>
      <c r="O937" s="616"/>
    </row>
    <row r="938" spans="1:15" x14ac:dyDescent="0.3">
      <c r="A938" s="11"/>
      <c r="B938" s="100">
        <f t="shared" ref="B938:C940" si="36">B544</f>
        <v>0</v>
      </c>
      <c r="C938" s="52">
        <f t="shared" si="36"/>
        <v>0</v>
      </c>
      <c r="D938" s="1859" t="s">
        <v>698</v>
      </c>
      <c r="E938" s="52">
        <f t="shared" ref="E938:M938" si="37">E544</f>
        <v>0</v>
      </c>
      <c r="F938" s="4">
        <f t="shared" si="37"/>
        <v>0</v>
      </c>
      <c r="G938" s="20">
        <f t="shared" si="37"/>
        <v>0</v>
      </c>
      <c r="H938" s="20">
        <f t="shared" si="37"/>
        <v>0</v>
      </c>
      <c r="I938" s="20">
        <f t="shared" si="37"/>
        <v>0</v>
      </c>
      <c r="J938" s="616">
        <f t="shared" si="37"/>
        <v>0</v>
      </c>
      <c r="K938" s="696">
        <f t="shared" si="37"/>
        <v>0</v>
      </c>
      <c r="L938" s="22">
        <f t="shared" si="37"/>
        <v>0</v>
      </c>
      <c r="M938" s="22">
        <f t="shared" si="37"/>
        <v>0</v>
      </c>
      <c r="N938" s="82"/>
      <c r="O938" s="9"/>
    </row>
    <row r="939" spans="1:15" x14ac:dyDescent="0.35">
      <c r="A939" s="631"/>
      <c r="B939" s="100">
        <f t="shared" si="36"/>
        <v>0</v>
      </c>
      <c r="C939" s="52">
        <f t="shared" si="36"/>
        <v>0</v>
      </c>
      <c r="D939" s="668"/>
      <c r="E939" s="52">
        <f t="shared" ref="E939:M939" si="38">E545</f>
        <v>0</v>
      </c>
      <c r="F939" s="4">
        <f t="shared" si="38"/>
        <v>0</v>
      </c>
      <c r="G939" s="20">
        <f t="shared" si="38"/>
        <v>0</v>
      </c>
      <c r="H939" s="20">
        <f t="shared" si="38"/>
        <v>0</v>
      </c>
      <c r="I939" s="20">
        <f t="shared" si="38"/>
        <v>0</v>
      </c>
      <c r="J939" s="616">
        <f t="shared" si="38"/>
        <v>0</v>
      </c>
      <c r="K939" s="696">
        <f t="shared" si="38"/>
        <v>0</v>
      </c>
      <c r="L939" s="22">
        <f t="shared" si="38"/>
        <v>0</v>
      </c>
      <c r="M939" s="22">
        <f t="shared" si="38"/>
        <v>0</v>
      </c>
      <c r="N939" s="82"/>
      <c r="O939" s="616"/>
    </row>
    <row r="940" spans="1:15" x14ac:dyDescent="0.35">
      <c r="A940" s="631"/>
      <c r="B940" s="100">
        <f t="shared" si="36"/>
        <v>0</v>
      </c>
      <c r="C940" s="52">
        <f t="shared" si="36"/>
        <v>0</v>
      </c>
      <c r="D940" s="1755"/>
      <c r="E940" s="52">
        <f t="shared" ref="E940:M940" si="39">E546</f>
        <v>0</v>
      </c>
      <c r="F940" s="4">
        <f t="shared" si="39"/>
        <v>0</v>
      </c>
      <c r="G940" s="20">
        <f t="shared" si="39"/>
        <v>0</v>
      </c>
      <c r="H940" s="20">
        <f t="shared" si="39"/>
        <v>0</v>
      </c>
      <c r="I940" s="20">
        <f t="shared" si="39"/>
        <v>0</v>
      </c>
      <c r="J940" s="616">
        <f t="shared" si="39"/>
        <v>0</v>
      </c>
      <c r="K940" s="696">
        <f t="shared" si="39"/>
        <v>0</v>
      </c>
      <c r="L940" s="22">
        <f t="shared" si="39"/>
        <v>0</v>
      </c>
      <c r="M940" s="22">
        <f t="shared" si="39"/>
        <v>0</v>
      </c>
      <c r="N940" s="82"/>
      <c r="O940" s="616"/>
    </row>
    <row r="941" spans="1:15" x14ac:dyDescent="0.35">
      <c r="A941" s="631"/>
      <c r="B941" s="102"/>
      <c r="C941" s="91"/>
      <c r="D941" s="726"/>
      <c r="E941" s="745"/>
      <c r="F941" s="746"/>
      <c r="G941" s="747"/>
      <c r="H941" s="747"/>
      <c r="I941" s="747"/>
      <c r="J941" s="748" t="s">
        <v>30</v>
      </c>
      <c r="K941" s="750">
        <f>SUM(K938:K939)</f>
        <v>0</v>
      </c>
      <c r="L941" s="750">
        <f>SUM(L938:L939)</f>
        <v>0</v>
      </c>
      <c r="M941" s="750">
        <f>SUM(M938:M939)</f>
        <v>0</v>
      </c>
      <c r="N941" s="1914"/>
      <c r="O941" s="616"/>
    </row>
    <row r="942" spans="1:15" x14ac:dyDescent="0.3">
      <c r="A942" s="616"/>
      <c r="B942" s="624" t="s">
        <v>1606</v>
      </c>
      <c r="C942" s="625"/>
      <c r="D942" s="625"/>
      <c r="E942" s="625"/>
      <c r="F942" s="787"/>
      <c r="G942" s="625"/>
      <c r="H942" s="625"/>
      <c r="I942" s="625"/>
      <c r="J942" s="732"/>
      <c r="K942" s="733"/>
      <c r="L942" s="734"/>
      <c r="M942" s="734"/>
      <c r="N942" s="627"/>
      <c r="O942" s="12"/>
    </row>
    <row r="943" spans="1:15" x14ac:dyDescent="0.3">
      <c r="A943" s="616">
        <v>1</v>
      </c>
      <c r="B943" s="100" t="s">
        <v>3608</v>
      </c>
      <c r="C943" s="52">
        <v>33</v>
      </c>
      <c r="D943" s="1770" t="s">
        <v>339</v>
      </c>
      <c r="E943" s="52" t="s">
        <v>3609</v>
      </c>
      <c r="F943" s="4">
        <v>1</v>
      </c>
      <c r="G943" s="21">
        <v>73740.679999999993</v>
      </c>
      <c r="H943" s="21">
        <v>81233</v>
      </c>
      <c r="I943" s="20">
        <f>H943-G943</f>
        <v>7492.320000000007</v>
      </c>
      <c r="J943" s="616">
        <v>1000</v>
      </c>
      <c r="K943" s="696">
        <f>J943*I943*F943</f>
        <v>7492320.0000000075</v>
      </c>
      <c r="L943" s="22"/>
      <c r="M943" s="22"/>
      <c r="N943" s="82"/>
      <c r="O943" s="12"/>
    </row>
    <row r="944" spans="1:15" x14ac:dyDescent="0.3">
      <c r="A944" s="616">
        <v>2</v>
      </c>
      <c r="B944" s="100" t="s">
        <v>3610</v>
      </c>
      <c r="C944" s="52">
        <v>33</v>
      </c>
      <c r="D944" s="1771" t="s">
        <v>339</v>
      </c>
      <c r="E944" s="52" t="s">
        <v>3611</v>
      </c>
      <c r="F944" s="4">
        <v>1</v>
      </c>
      <c r="G944" s="21">
        <v>28506.240000000002</v>
      </c>
      <c r="H944" s="21">
        <v>28506.240000000002</v>
      </c>
      <c r="I944" s="20">
        <f>H944-G944</f>
        <v>0</v>
      </c>
      <c r="J944" s="616">
        <v>1000</v>
      </c>
      <c r="K944" s="696">
        <f>J944*I944*F944</f>
        <v>0</v>
      </c>
      <c r="L944" s="22"/>
      <c r="M944" s="22"/>
      <c r="N944" s="82"/>
      <c r="O944" s="12"/>
    </row>
    <row r="945" spans="1:15" x14ac:dyDescent="0.3">
      <c r="A945" s="616">
        <v>3</v>
      </c>
      <c r="B945" s="100" t="s">
        <v>3612</v>
      </c>
      <c r="C945" s="52">
        <v>33</v>
      </c>
      <c r="D945" s="1772" t="s">
        <v>339</v>
      </c>
      <c r="E945" s="52"/>
      <c r="F945" s="4">
        <v>1</v>
      </c>
      <c r="G945" s="21">
        <v>89.77</v>
      </c>
      <c r="H945" s="21">
        <v>89.77</v>
      </c>
      <c r="I945" s="20">
        <f>H945-G945</f>
        <v>0</v>
      </c>
      <c r="J945" s="616">
        <v>1000</v>
      </c>
      <c r="K945" s="696">
        <f>J945*I945*F945</f>
        <v>0</v>
      </c>
      <c r="L945" s="22"/>
      <c r="M945" s="22"/>
      <c r="N945" s="82"/>
      <c r="O945" s="12"/>
    </row>
    <row r="946" spans="1:15" x14ac:dyDescent="0.3">
      <c r="A946" s="616"/>
      <c r="B946" s="102"/>
      <c r="C946" s="91"/>
      <c r="D946" s="726"/>
      <c r="E946" s="91"/>
      <c r="F946" s="47"/>
      <c r="G946" s="48"/>
      <c r="H946" s="48"/>
      <c r="I946" s="36"/>
      <c r="J946" s="96" t="s">
        <v>30</v>
      </c>
      <c r="K946" s="43">
        <f>SUM(K943:K945)</f>
        <v>7492320.0000000075</v>
      </c>
      <c r="L946" s="43">
        <f>SUM(L943:L945)</f>
        <v>0</v>
      </c>
      <c r="M946" s="43">
        <f>SUM(M943:M945)</f>
        <v>0</v>
      </c>
      <c r="N946" s="85"/>
      <c r="O946" s="12"/>
    </row>
    <row r="947" spans="1:15" x14ac:dyDescent="0.3">
      <c r="A947" s="616"/>
      <c r="B947" s="647" t="s">
        <v>1607</v>
      </c>
      <c r="C947" s="648"/>
      <c r="D947" s="648"/>
      <c r="E947" s="648"/>
      <c r="F947" s="789"/>
      <c r="G947" s="648"/>
      <c r="H947" s="648"/>
      <c r="I947" s="648"/>
      <c r="J947" s="648"/>
      <c r="K947" s="700"/>
      <c r="L947" s="648"/>
      <c r="M947" s="651"/>
      <c r="N947" s="649"/>
      <c r="O947" s="8"/>
    </row>
    <row r="948" spans="1:15" x14ac:dyDescent="0.3">
      <c r="A948" s="616"/>
      <c r="B948" s="100" t="s">
        <v>1079</v>
      </c>
      <c r="C948" s="52">
        <v>132</v>
      </c>
      <c r="D948" s="2138" t="s">
        <v>1083</v>
      </c>
      <c r="E948" s="615"/>
      <c r="F948" s="4"/>
      <c r="G948" s="5"/>
      <c r="H948" s="5"/>
      <c r="I948" s="5"/>
      <c r="J948" s="616"/>
      <c r="K948" s="696"/>
      <c r="L948" s="16">
        <f>J948*I948*F948</f>
        <v>0</v>
      </c>
      <c r="M948" s="7"/>
      <c r="N948" s="78"/>
      <c r="O948" s="616"/>
    </row>
    <row r="949" spans="1:15" x14ac:dyDescent="0.3">
      <c r="A949" s="616"/>
      <c r="B949" s="100" t="s">
        <v>1078</v>
      </c>
      <c r="C949" s="52">
        <v>132</v>
      </c>
      <c r="D949" s="2139"/>
      <c r="E949" s="615"/>
      <c r="F949" s="4"/>
      <c r="G949" s="5"/>
      <c r="H949" s="5"/>
      <c r="I949" s="5"/>
      <c r="J949" s="616"/>
      <c r="K949" s="696"/>
      <c r="L949" s="16">
        <f>J949*I949*F949</f>
        <v>0</v>
      </c>
      <c r="M949" s="16"/>
      <c r="N949" s="79"/>
      <c r="O949" s="616"/>
    </row>
    <row r="950" spans="1:15" x14ac:dyDescent="0.35">
      <c r="A950" s="616"/>
      <c r="B950" s="95"/>
      <c r="C950" s="89"/>
      <c r="D950" s="89"/>
      <c r="E950" s="89"/>
      <c r="F950" s="788"/>
      <c r="G950" s="37"/>
      <c r="H950" s="37"/>
      <c r="I950" s="37"/>
      <c r="J950" s="95" t="s">
        <v>279</v>
      </c>
      <c r="K950" s="699"/>
      <c r="L950" s="55">
        <f>SUM(L948:L949)</f>
        <v>0</v>
      </c>
      <c r="M950" s="633"/>
      <c r="N950" s="631"/>
      <c r="O950" s="616"/>
    </row>
    <row r="951" spans="1:15" x14ac:dyDescent="0.3">
      <c r="A951" s="616"/>
      <c r="B951" s="102"/>
      <c r="C951" s="91"/>
      <c r="D951" s="726"/>
      <c r="E951" s="91"/>
      <c r="F951" s="47"/>
      <c r="G951" s="48"/>
      <c r="H951" s="48"/>
      <c r="I951" s="36"/>
      <c r="J951" s="96"/>
      <c r="K951" s="706"/>
      <c r="L951" s="43"/>
      <c r="M951" s="43"/>
      <c r="N951" s="85"/>
      <c r="O951" s="12"/>
    </row>
    <row r="952" spans="1:15" x14ac:dyDescent="0.3">
      <c r="A952" s="636"/>
      <c r="B952" s="647" t="s">
        <v>1608</v>
      </c>
      <c r="C952" s="648"/>
      <c r="D952" s="648"/>
      <c r="E952" s="648"/>
      <c r="F952" s="789"/>
      <c r="G952" s="648"/>
      <c r="H952" s="648"/>
      <c r="I952" s="648"/>
      <c r="J952" s="50"/>
      <c r="K952" s="710"/>
      <c r="L952" s="51"/>
      <c r="M952" s="51"/>
      <c r="N952" s="649"/>
      <c r="O952" s="12"/>
    </row>
    <row r="953" spans="1:15" x14ac:dyDescent="0.3">
      <c r="A953" s="616">
        <v>1</v>
      </c>
      <c r="B953" s="100" t="s">
        <v>3516</v>
      </c>
      <c r="C953" s="52">
        <v>33</v>
      </c>
      <c r="D953" s="2140" t="s">
        <v>326</v>
      </c>
      <c r="E953" s="52" t="s">
        <v>3613</v>
      </c>
      <c r="F953" s="4">
        <v>1</v>
      </c>
      <c r="G953" s="21">
        <v>55970.400000000001</v>
      </c>
      <c r="H953" s="21">
        <v>61427.76</v>
      </c>
      <c r="I953" s="21">
        <f>H953-G953</f>
        <v>5457.3600000000006</v>
      </c>
      <c r="J953" s="31">
        <v>888.89</v>
      </c>
      <c r="K953" s="707"/>
      <c r="L953" s="22">
        <f>J953*I953*F953</f>
        <v>4850992.7304000007</v>
      </c>
      <c r="M953" s="22"/>
      <c r="N953" s="83"/>
      <c r="O953" s="12"/>
    </row>
    <row r="954" spans="1:15" x14ac:dyDescent="0.3">
      <c r="A954" s="616">
        <v>2</v>
      </c>
      <c r="B954" s="100" t="s">
        <v>3517</v>
      </c>
      <c r="C954" s="52">
        <v>33</v>
      </c>
      <c r="D954" s="2157" t="s">
        <v>326</v>
      </c>
      <c r="E954" s="52" t="s">
        <v>3614</v>
      </c>
      <c r="F954" s="4">
        <v>1</v>
      </c>
      <c r="G954" s="21">
        <v>66198.37</v>
      </c>
      <c r="H954" s="21">
        <v>69192.75</v>
      </c>
      <c r="I954" s="21">
        <f>H954-G954</f>
        <v>2994.3800000000047</v>
      </c>
      <c r="J954" s="31">
        <v>888.89</v>
      </c>
      <c r="K954" s="707"/>
      <c r="L954" s="22">
        <f>J954*I954*F954</f>
        <v>2661674.4382000039</v>
      </c>
      <c r="M954" s="22"/>
      <c r="N954" s="83"/>
      <c r="O954" s="12"/>
    </row>
    <row r="955" spans="1:15" ht="15" x14ac:dyDescent="0.3">
      <c r="A955" s="636"/>
      <c r="B955" s="96"/>
      <c r="C955" s="90"/>
      <c r="D955" s="90"/>
      <c r="E955" s="90"/>
      <c r="F955" s="793"/>
      <c r="G955" s="38"/>
      <c r="H955" s="38"/>
      <c r="I955" s="38"/>
      <c r="J955" s="96" t="s">
        <v>30</v>
      </c>
      <c r="K955" s="708"/>
      <c r="L955" s="43">
        <f>SUM(L953:L954)</f>
        <v>7512667.1686000042</v>
      </c>
      <c r="M955" s="43">
        <f>SUM(M953:M954)</f>
        <v>0</v>
      </c>
      <c r="N955" s="712"/>
      <c r="O955" s="12"/>
    </row>
    <row r="956" spans="1:15" thickBot="1" x14ac:dyDescent="0.35">
      <c r="A956" s="702"/>
      <c r="B956" s="736"/>
      <c r="C956" s="92"/>
      <c r="D956" s="92"/>
      <c r="E956" s="92"/>
      <c r="F956" s="795"/>
      <c r="G956" s="737"/>
      <c r="H956" s="737"/>
      <c r="I956" s="737"/>
      <c r="J956" s="736"/>
      <c r="K956" s="738"/>
      <c r="L956" s="739"/>
      <c r="M956" s="739"/>
      <c r="N956" s="1914"/>
      <c r="O956" s="740"/>
    </row>
    <row r="957" spans="1:15" ht="15" x14ac:dyDescent="0.35">
      <c r="A957" s="702"/>
      <c r="B957" s="2142" t="s">
        <v>1339</v>
      </c>
      <c r="C957" s="2143"/>
      <c r="D957" s="683" t="s">
        <v>14</v>
      </c>
      <c r="E957"/>
      <c r="F957" s="2144" t="s">
        <v>1350</v>
      </c>
      <c r="G957" s="2145"/>
      <c r="H957" s="2146"/>
      <c r="I957" s="683" t="s">
        <v>14</v>
      </c>
      <c r="K957" s="2147" t="s">
        <v>1092</v>
      </c>
      <c r="L957" s="2148"/>
      <c r="M957" s="684" t="s">
        <v>14</v>
      </c>
      <c r="N957" s="1914"/>
      <c r="O957" s="740"/>
    </row>
    <row r="958" spans="1:15" ht="15" x14ac:dyDescent="0.35">
      <c r="A958" s="702"/>
      <c r="B958" s="2122" t="str">
        <f>B937</f>
        <v>MOGBAZAR 33 KV SIDE</v>
      </c>
      <c r="C958" s="2123"/>
      <c r="D958" s="689">
        <f>M941</f>
        <v>0</v>
      </c>
      <c r="E958"/>
      <c r="F958" s="2124" t="s">
        <v>1093</v>
      </c>
      <c r="G958" s="2125"/>
      <c r="H958" s="2126"/>
      <c r="I958" s="685">
        <f>L950</f>
        <v>0</v>
      </c>
      <c r="K958" s="2160" t="str">
        <f>F959</f>
        <v>GREEN ROAD DORMITORY  33 KV NET IMPORT</v>
      </c>
      <c r="L958" s="2161"/>
      <c r="M958" s="687" t="e">
        <f>I959</f>
        <v>#REF!</v>
      </c>
      <c r="N958" s="1914"/>
      <c r="O958" s="740"/>
    </row>
    <row r="959" spans="1:15" ht="15" x14ac:dyDescent="0.35">
      <c r="A959" s="702"/>
      <c r="B959" s="2122" t="e">
        <f>#REF!</f>
        <v>#REF!</v>
      </c>
      <c r="C959" s="2123"/>
      <c r="D959" s="741" t="e">
        <f>#REF!</f>
        <v>#REF!</v>
      </c>
      <c r="E959"/>
      <c r="F959" s="2124" t="s">
        <v>1609</v>
      </c>
      <c r="G959" s="2125"/>
      <c r="H959" s="2126"/>
      <c r="I959" s="685" t="e">
        <f>D962-I958</f>
        <v>#REF!</v>
      </c>
      <c r="K959" s="2162" t="s">
        <v>1610</v>
      </c>
      <c r="L959" s="2163"/>
      <c r="M959" s="685">
        <f>M990</f>
        <v>0</v>
      </c>
      <c r="N959" s="1914"/>
      <c r="O959" s="740"/>
    </row>
    <row r="960" spans="1:15" ht="15" x14ac:dyDescent="0.35">
      <c r="A960" s="702"/>
      <c r="B960" s="2122" t="s">
        <v>1117</v>
      </c>
      <c r="C960" s="2123"/>
      <c r="D960" s="721"/>
      <c r="E960"/>
      <c r="F960" s="2124" t="s">
        <v>1089</v>
      </c>
      <c r="G960" s="2125"/>
      <c r="H960" s="2126"/>
      <c r="I960" s="685" t="e">
        <f>I958+I959</f>
        <v>#REF!</v>
      </c>
      <c r="K960" s="2127" t="s">
        <v>284</v>
      </c>
      <c r="L960" s="2128"/>
      <c r="M960" s="685" t="e">
        <f>M958-M959</f>
        <v>#REF!</v>
      </c>
      <c r="N960" s="1914"/>
      <c r="O960" s="740"/>
    </row>
    <row r="961" spans="1:15" ht="16" thickBot="1" x14ac:dyDescent="0.4">
      <c r="A961" s="702"/>
      <c r="B961" s="2122" t="s">
        <v>1118</v>
      </c>
      <c r="C961" s="2123"/>
      <c r="D961" s="722"/>
      <c r="E961"/>
      <c r="F961" s="2113" t="s">
        <v>1546</v>
      </c>
      <c r="G961" s="2114"/>
      <c r="H961" s="2115"/>
      <c r="I961" s="690" t="e">
        <f>(D962-I960)/I960</f>
        <v>#REF!</v>
      </c>
      <c r="K961" s="2134" t="s">
        <v>285</v>
      </c>
      <c r="L961" s="2135"/>
      <c r="M961" s="688" t="e">
        <f>M960/M958</f>
        <v>#REF!</v>
      </c>
      <c r="N961" s="1914"/>
      <c r="O961" s="740"/>
    </row>
    <row r="962" spans="1:15" thickBot="1" x14ac:dyDescent="0.4">
      <c r="A962" s="702"/>
      <c r="B962" s="2158" t="s">
        <v>1082</v>
      </c>
      <c r="C962" s="2159"/>
      <c r="D962" s="686" t="e">
        <f>SUM(D958:D960)</f>
        <v>#REF!</v>
      </c>
      <c r="E962"/>
      <c r="N962" s="1914"/>
      <c r="O962" s="740"/>
    </row>
    <row r="963" spans="1:15" ht="15" x14ac:dyDescent="0.3">
      <c r="A963" s="702"/>
      <c r="B963" s="736"/>
      <c r="C963" s="92"/>
      <c r="D963" s="92"/>
      <c r="E963" s="92"/>
      <c r="F963" s="795"/>
      <c r="G963" s="737"/>
      <c r="H963" s="737"/>
      <c r="I963" s="737"/>
      <c r="J963" s="736"/>
      <c r="K963" s="738"/>
      <c r="L963" s="739"/>
      <c r="M963" s="739"/>
      <c r="N963" s="1914"/>
      <c r="O963" s="740"/>
    </row>
    <row r="964" spans="1:15" x14ac:dyDescent="0.35">
      <c r="B964" s="632"/>
      <c r="C964" s="620"/>
      <c r="D964" s="728"/>
      <c r="E964" s="620"/>
      <c r="N964" s="1469"/>
    </row>
    <row r="965" spans="1:15" x14ac:dyDescent="0.35">
      <c r="B965" s="632"/>
      <c r="C965" s="620"/>
      <c r="D965" s="728"/>
      <c r="E965" s="620"/>
      <c r="N965" s="1469"/>
    </row>
    <row r="966" spans="1:15" ht="105" x14ac:dyDescent="0.3">
      <c r="A966" s="2095" t="s">
        <v>1151</v>
      </c>
      <c r="B966" s="2095"/>
      <c r="C966" s="2095"/>
      <c r="D966" s="2095"/>
      <c r="E966" s="2095"/>
      <c r="F966" s="2095"/>
      <c r="G966" s="2095"/>
      <c r="H966" s="2095"/>
      <c r="I966" s="2095"/>
      <c r="J966" s="2095"/>
      <c r="K966" s="2095"/>
      <c r="L966" s="2095"/>
      <c r="M966" s="2095"/>
      <c r="N966" s="2095"/>
      <c r="O966" s="756" t="str">
        <f>$O$6</f>
        <v>Month December-2022</v>
      </c>
    </row>
    <row r="967" spans="1:15" x14ac:dyDescent="0.35">
      <c r="A967" s="2096" t="s">
        <v>0</v>
      </c>
      <c r="B967" s="2098" t="s">
        <v>1</v>
      </c>
      <c r="C967" s="2100" t="s">
        <v>2</v>
      </c>
      <c r="D967" s="2101"/>
      <c r="E967" s="2102"/>
      <c r="F967" s="2230" t="s">
        <v>3</v>
      </c>
      <c r="G967" s="2100" t="s">
        <v>4</v>
      </c>
      <c r="H967" s="2102"/>
      <c r="I967" s="2085"/>
      <c r="J967" s="2103" t="s">
        <v>5</v>
      </c>
      <c r="K967" s="2100" t="s">
        <v>6</v>
      </c>
      <c r="L967" s="2085"/>
      <c r="M967" s="97" t="s">
        <v>32</v>
      </c>
      <c r="N967" s="98"/>
      <c r="O967" s="2084" t="s">
        <v>7</v>
      </c>
    </row>
    <row r="968" spans="1:15" x14ac:dyDescent="0.3">
      <c r="A968" s="2097"/>
      <c r="B968" s="2099"/>
      <c r="C968" s="2086" t="s">
        <v>1108</v>
      </c>
      <c r="D968" s="2087"/>
      <c r="E968" s="87" t="s">
        <v>9</v>
      </c>
      <c r="F968" s="2229"/>
      <c r="G968" s="2">
        <f>'NORTH-1'!$G$8</f>
        <v>44774</v>
      </c>
      <c r="H968" s="2">
        <f>'NORTH-1'!$H$8</f>
        <v>44805</v>
      </c>
      <c r="I968" s="1" t="s">
        <v>10</v>
      </c>
      <c r="J968" s="2097"/>
      <c r="K968" s="1" t="s">
        <v>11</v>
      </c>
      <c r="L968" s="1" t="s">
        <v>12</v>
      </c>
      <c r="M968" s="617" t="s">
        <v>33</v>
      </c>
      <c r="N968" s="76" t="s">
        <v>47</v>
      </c>
      <c r="O968" s="2085"/>
    </row>
    <row r="969" spans="1:15" x14ac:dyDescent="0.3">
      <c r="A969" s="3">
        <v>1</v>
      </c>
      <c r="B969" s="88">
        <v>2</v>
      </c>
      <c r="C969" s="2088">
        <v>4</v>
      </c>
      <c r="D969" s="2089"/>
      <c r="E969" s="88">
        <v>5</v>
      </c>
      <c r="F969" s="786">
        <v>7</v>
      </c>
      <c r="G969" s="3">
        <v>8</v>
      </c>
      <c r="H969" s="3">
        <v>9</v>
      </c>
      <c r="I969" s="3" t="s">
        <v>13</v>
      </c>
      <c r="J969" s="3">
        <v>11</v>
      </c>
      <c r="K969" s="3" t="s">
        <v>19</v>
      </c>
      <c r="L969" s="3" t="s">
        <v>20</v>
      </c>
      <c r="M969" s="3">
        <v>14</v>
      </c>
      <c r="N969" s="77">
        <v>15</v>
      </c>
      <c r="O969" s="3">
        <v>16</v>
      </c>
    </row>
    <row r="970" spans="1:15" x14ac:dyDescent="0.35">
      <c r="A970" s="631"/>
      <c r="B970" s="624" t="s">
        <v>1611</v>
      </c>
      <c r="C970" s="625"/>
      <c r="D970" s="625"/>
      <c r="E970" s="625"/>
      <c r="F970" s="787"/>
      <c r="G970" s="625"/>
      <c r="H970" s="625"/>
      <c r="I970" s="625"/>
      <c r="J970" s="625"/>
      <c r="K970" s="695"/>
      <c r="L970" s="625"/>
      <c r="M970" s="626"/>
      <c r="N970" s="627"/>
      <c r="O970" s="616"/>
    </row>
    <row r="971" spans="1:15" x14ac:dyDescent="0.35">
      <c r="A971" s="631">
        <v>1</v>
      </c>
      <c r="B971" s="100" t="s">
        <v>3615</v>
      </c>
      <c r="C971" s="52">
        <v>11</v>
      </c>
      <c r="D971" s="2105" t="s">
        <v>339</v>
      </c>
      <c r="E971" s="52" t="s">
        <v>3616</v>
      </c>
      <c r="F971" s="4">
        <v>1</v>
      </c>
      <c r="G971" s="21">
        <v>26287.9</v>
      </c>
      <c r="H971" s="21">
        <v>31103.86</v>
      </c>
      <c r="I971" s="21">
        <f>H971-G971</f>
        <v>4815.9599999999991</v>
      </c>
      <c r="J971" s="616">
        <v>1000</v>
      </c>
      <c r="K971" s="696">
        <f>J971*I971*F971</f>
        <v>4815959.9999999991</v>
      </c>
      <c r="L971" s="22"/>
      <c r="M971" s="22"/>
      <c r="N971" s="82"/>
      <c r="O971" s="616"/>
    </row>
    <row r="972" spans="1:15" x14ac:dyDescent="0.35">
      <c r="A972" s="631">
        <v>2</v>
      </c>
      <c r="B972" s="100" t="s">
        <v>3617</v>
      </c>
      <c r="C972" s="52">
        <v>11</v>
      </c>
      <c r="D972" s="2151" t="s">
        <v>339</v>
      </c>
      <c r="E972" s="52" t="s">
        <v>3618</v>
      </c>
      <c r="F972" s="4">
        <v>1</v>
      </c>
      <c r="G972" s="21">
        <v>46691.88</v>
      </c>
      <c r="H972" s="21">
        <v>49331.09</v>
      </c>
      <c r="I972" s="21">
        <f>H972-G972</f>
        <v>2639.2099999999991</v>
      </c>
      <c r="J972" s="616">
        <v>1000</v>
      </c>
      <c r="K972" s="696">
        <f>J972*I972*F972</f>
        <v>2639209.9999999991</v>
      </c>
      <c r="L972" s="22"/>
      <c r="M972" s="22"/>
      <c r="N972" s="82"/>
      <c r="O972" s="616"/>
    </row>
    <row r="973" spans="1:15" x14ac:dyDescent="0.35">
      <c r="A973" s="631"/>
      <c r="B973" s="102"/>
      <c r="C973" s="91"/>
      <c r="D973" s="726"/>
      <c r="E973" s="91"/>
      <c r="F973" s="47"/>
      <c r="G973" s="48"/>
      <c r="H973" s="48"/>
      <c r="I973" s="48"/>
      <c r="J973" s="39" t="s">
        <v>30</v>
      </c>
      <c r="K973" s="43">
        <f>SUM(K971:K972)</f>
        <v>7455169.9999999981</v>
      </c>
      <c r="L973" s="49"/>
      <c r="M973" s="43">
        <f>SUM(M971:M972)</f>
        <v>0</v>
      </c>
      <c r="N973" s="85"/>
      <c r="O973" s="616"/>
    </row>
    <row r="974" spans="1:15" x14ac:dyDescent="0.35">
      <c r="A974" s="631"/>
      <c r="B974" s="647" t="s">
        <v>1611</v>
      </c>
      <c r="C974" s="648"/>
      <c r="D974" s="648"/>
      <c r="E974" s="648"/>
      <c r="F974" s="789"/>
      <c r="G974" s="648"/>
      <c r="H974" s="648"/>
      <c r="I974" s="648"/>
      <c r="J974" s="50"/>
      <c r="K974" s="710"/>
      <c r="L974" s="51"/>
      <c r="M974" s="51"/>
      <c r="N974" s="649"/>
      <c r="O974" s="616"/>
    </row>
    <row r="975" spans="1:15" ht="15.75" customHeight="1" x14ac:dyDescent="0.35">
      <c r="A975" s="631">
        <v>1</v>
      </c>
      <c r="B975" s="100" t="s">
        <v>3619</v>
      </c>
      <c r="C975" s="73">
        <v>11</v>
      </c>
      <c r="D975" s="1781"/>
      <c r="E975" s="52" t="s">
        <v>3620</v>
      </c>
      <c r="F975" s="4">
        <v>1</v>
      </c>
      <c r="G975" s="6">
        <v>20087.900000000001</v>
      </c>
      <c r="H975" s="6">
        <v>20483.47</v>
      </c>
      <c r="I975" s="20">
        <f t="shared" ref="I975:I989" si="40">H975-G975</f>
        <v>395.56999999999971</v>
      </c>
      <c r="J975" s="616">
        <v>2000</v>
      </c>
      <c r="K975" s="703"/>
      <c r="L975" s="22">
        <f t="shared" ref="L975:L989" si="41">J975*I975*F975</f>
        <v>791139.99999999942</v>
      </c>
      <c r="M975" s="22"/>
      <c r="N975" s="72" t="s">
        <v>108</v>
      </c>
      <c r="O975" s="15"/>
    </row>
    <row r="976" spans="1:15" x14ac:dyDescent="0.35">
      <c r="A976" s="631">
        <v>2</v>
      </c>
      <c r="B976" s="100" t="s">
        <v>3621</v>
      </c>
      <c r="C976" s="73">
        <v>11</v>
      </c>
      <c r="D976" s="1782"/>
      <c r="E976" s="52" t="s">
        <v>3622</v>
      </c>
      <c r="F976" s="4">
        <v>1</v>
      </c>
      <c r="G976" s="6">
        <v>29527.97</v>
      </c>
      <c r="H976" s="6">
        <v>30071.919999999998</v>
      </c>
      <c r="I976" s="20">
        <f t="shared" si="40"/>
        <v>543.94999999999709</v>
      </c>
      <c r="J976" s="616">
        <v>2000</v>
      </c>
      <c r="K976" s="703"/>
      <c r="L976" s="22">
        <f t="shared" si="41"/>
        <v>1087899.9999999942</v>
      </c>
      <c r="M976" s="22"/>
      <c r="N976" s="72" t="s">
        <v>108</v>
      </c>
      <c r="O976" s="15"/>
    </row>
    <row r="977" spans="1:15" x14ac:dyDescent="0.35">
      <c r="A977" s="631">
        <v>3</v>
      </c>
      <c r="B977" s="100" t="s">
        <v>3623</v>
      </c>
      <c r="C977" s="73">
        <v>11</v>
      </c>
      <c r="D977" s="1782"/>
      <c r="E977" s="52" t="s">
        <v>3624</v>
      </c>
      <c r="F977" s="4">
        <v>1</v>
      </c>
      <c r="G977" s="6">
        <v>12037.8</v>
      </c>
      <c r="H977" s="6">
        <v>12254.45</v>
      </c>
      <c r="I977" s="20">
        <f t="shared" si="40"/>
        <v>216.65000000000146</v>
      </c>
      <c r="J977" s="616">
        <v>2000</v>
      </c>
      <c r="K977" s="703"/>
      <c r="L977" s="22">
        <f t="shared" si="41"/>
        <v>433300.00000000291</v>
      </c>
      <c r="M977" s="22"/>
      <c r="N977" s="72" t="s">
        <v>108</v>
      </c>
      <c r="O977" s="15"/>
    </row>
    <row r="978" spans="1:15" x14ac:dyDescent="0.35">
      <c r="A978" s="631">
        <v>4</v>
      </c>
      <c r="B978" s="100" t="s">
        <v>3625</v>
      </c>
      <c r="C978" s="73">
        <v>11</v>
      </c>
      <c r="D978" s="1782"/>
      <c r="E978" s="52" t="s">
        <v>3626</v>
      </c>
      <c r="F978" s="4">
        <v>1</v>
      </c>
      <c r="G978" s="6">
        <v>17148.849999999999</v>
      </c>
      <c r="H978" s="6">
        <v>17501.22</v>
      </c>
      <c r="I978" s="20">
        <f t="shared" si="40"/>
        <v>352.37000000000262</v>
      </c>
      <c r="J978" s="616">
        <v>2000</v>
      </c>
      <c r="K978" s="703"/>
      <c r="L978" s="22">
        <f t="shared" si="41"/>
        <v>704740.00000000524</v>
      </c>
      <c r="M978" s="22"/>
      <c r="N978" s="72" t="s">
        <v>4693</v>
      </c>
      <c r="O978" s="15"/>
    </row>
    <row r="979" spans="1:15" x14ac:dyDescent="0.35">
      <c r="A979" s="631">
        <v>5</v>
      </c>
      <c r="B979" s="100" t="s">
        <v>3627</v>
      </c>
      <c r="C979" s="73">
        <v>11</v>
      </c>
      <c r="D979" s="1782"/>
      <c r="E979" s="52" t="s">
        <v>3628</v>
      </c>
      <c r="F979" s="4">
        <v>1</v>
      </c>
      <c r="G979" s="6">
        <v>26040.55</v>
      </c>
      <c r="H979" s="6">
        <v>26561.16</v>
      </c>
      <c r="I979" s="20">
        <f t="shared" si="40"/>
        <v>520.61000000000058</v>
      </c>
      <c r="J979" s="616">
        <v>2000</v>
      </c>
      <c r="K979" s="703"/>
      <c r="L979" s="22">
        <f t="shared" si="41"/>
        <v>1041220.0000000012</v>
      </c>
      <c r="M979" s="22"/>
      <c r="N979" s="72" t="s">
        <v>4693</v>
      </c>
      <c r="O979" s="15"/>
    </row>
    <row r="980" spans="1:15" x14ac:dyDescent="0.35">
      <c r="A980" s="631">
        <v>6</v>
      </c>
      <c r="B980" s="100" t="s">
        <v>3629</v>
      </c>
      <c r="C980" s="73">
        <v>11</v>
      </c>
      <c r="D980" s="1782"/>
      <c r="E980" s="52" t="s">
        <v>3630</v>
      </c>
      <c r="F980" s="4">
        <v>1</v>
      </c>
      <c r="G980" s="6">
        <v>20287.68</v>
      </c>
      <c r="H980" s="6">
        <v>20642.52</v>
      </c>
      <c r="I980" s="20">
        <f t="shared" si="40"/>
        <v>354.84000000000015</v>
      </c>
      <c r="J980" s="616">
        <v>2000</v>
      </c>
      <c r="K980" s="703"/>
      <c r="L980" s="22">
        <f t="shared" si="41"/>
        <v>709680.00000000023</v>
      </c>
      <c r="M980" s="22"/>
      <c r="N980" s="72" t="s">
        <v>4693</v>
      </c>
      <c r="O980" s="15"/>
    </row>
    <row r="981" spans="1:15" x14ac:dyDescent="0.35">
      <c r="A981" s="631">
        <v>7</v>
      </c>
      <c r="B981" s="100" t="s">
        <v>3631</v>
      </c>
      <c r="C981" s="73">
        <v>11</v>
      </c>
      <c r="D981" s="1782"/>
      <c r="E981" s="52" t="s">
        <v>3632</v>
      </c>
      <c r="F981" s="4">
        <v>1</v>
      </c>
      <c r="G981" s="6">
        <v>10365.950000000001</v>
      </c>
      <c r="H981" s="6">
        <v>10595.62</v>
      </c>
      <c r="I981" s="20">
        <f t="shared" si="40"/>
        <v>229.67000000000007</v>
      </c>
      <c r="J981" s="616">
        <v>2000</v>
      </c>
      <c r="K981" s="703"/>
      <c r="L981" s="22">
        <f t="shared" si="41"/>
        <v>459340.00000000012</v>
      </c>
      <c r="M981" s="22"/>
      <c r="N981" s="72" t="s">
        <v>4693</v>
      </c>
      <c r="O981" s="15"/>
    </row>
    <row r="982" spans="1:15" x14ac:dyDescent="0.35">
      <c r="A982" s="631">
        <v>8</v>
      </c>
      <c r="B982" s="100" t="s">
        <v>3633</v>
      </c>
      <c r="C982" s="73">
        <v>11</v>
      </c>
      <c r="D982" s="1782"/>
      <c r="E982" s="52" t="s">
        <v>3634</v>
      </c>
      <c r="F982" s="4">
        <v>1</v>
      </c>
      <c r="G982" s="6">
        <v>11483.97</v>
      </c>
      <c r="H982" s="6">
        <v>11838.66</v>
      </c>
      <c r="I982" s="20">
        <f t="shared" si="40"/>
        <v>354.69000000000051</v>
      </c>
      <c r="J982" s="616">
        <v>2000</v>
      </c>
      <c r="K982" s="703"/>
      <c r="L982" s="22">
        <f t="shared" si="41"/>
        <v>709380.00000000105</v>
      </c>
      <c r="M982" s="22"/>
      <c r="N982" s="72" t="s">
        <v>108</v>
      </c>
      <c r="O982" s="15"/>
    </row>
    <row r="983" spans="1:15" x14ac:dyDescent="0.35">
      <c r="A983" s="631">
        <v>1</v>
      </c>
      <c r="B983" s="100" t="s">
        <v>3635</v>
      </c>
      <c r="C983" s="73">
        <v>11</v>
      </c>
      <c r="D983" s="1782"/>
      <c r="E983" s="52" t="s">
        <v>3636</v>
      </c>
      <c r="F983" s="4">
        <v>1</v>
      </c>
      <c r="G983" s="6">
        <v>4101.9399999999996</v>
      </c>
      <c r="H983" s="6">
        <v>4188.8599999999997</v>
      </c>
      <c r="I983" s="20">
        <f t="shared" si="40"/>
        <v>86.920000000000073</v>
      </c>
      <c r="J983" s="616">
        <v>2000</v>
      </c>
      <c r="K983" s="703"/>
      <c r="L983" s="22">
        <f t="shared" si="41"/>
        <v>173840.00000000015</v>
      </c>
      <c r="M983" s="22"/>
      <c r="N983" s="72" t="s">
        <v>4693</v>
      </c>
      <c r="O983" s="15"/>
    </row>
    <row r="984" spans="1:15" x14ac:dyDescent="0.35">
      <c r="A984" s="631">
        <v>2</v>
      </c>
      <c r="B984" s="100" t="s">
        <v>3637</v>
      </c>
      <c r="C984" s="73">
        <v>11</v>
      </c>
      <c r="D984" s="1782"/>
      <c r="E984" s="52" t="s">
        <v>3638</v>
      </c>
      <c r="F984" s="4">
        <v>1</v>
      </c>
      <c r="G984" s="6">
        <v>16620.2</v>
      </c>
      <c r="H984" s="6">
        <v>16792.66</v>
      </c>
      <c r="I984" s="20">
        <f t="shared" si="40"/>
        <v>172.45999999999913</v>
      </c>
      <c r="J984" s="616">
        <v>2000</v>
      </c>
      <c r="K984" s="703"/>
      <c r="L984" s="22">
        <f t="shared" si="41"/>
        <v>344919.99999999825</v>
      </c>
      <c r="M984" s="22"/>
      <c r="N984" s="72" t="s">
        <v>108</v>
      </c>
      <c r="O984" s="15"/>
    </row>
    <row r="985" spans="1:15" x14ac:dyDescent="0.35">
      <c r="A985" s="631">
        <v>3</v>
      </c>
      <c r="B985" s="100" t="s">
        <v>3639</v>
      </c>
      <c r="C985" s="73">
        <v>11</v>
      </c>
      <c r="D985" s="1782"/>
      <c r="E985" s="52"/>
      <c r="F985" s="4">
        <v>1</v>
      </c>
      <c r="G985" s="6">
        <v>2840.88</v>
      </c>
      <c r="H985" s="6">
        <v>3060.94</v>
      </c>
      <c r="I985" s="20">
        <f t="shared" si="40"/>
        <v>220.05999999999995</v>
      </c>
      <c r="J985" s="616">
        <v>2000</v>
      </c>
      <c r="K985" s="703"/>
      <c r="L985" s="22">
        <f t="shared" si="41"/>
        <v>440119.99999999988</v>
      </c>
      <c r="M985" s="22"/>
      <c r="N985" s="72" t="s">
        <v>108</v>
      </c>
      <c r="O985" s="15"/>
    </row>
    <row r="986" spans="1:15" x14ac:dyDescent="0.35">
      <c r="A986" s="631">
        <v>4</v>
      </c>
      <c r="B986" s="100" t="s">
        <v>3640</v>
      </c>
      <c r="C986" s="73">
        <v>11</v>
      </c>
      <c r="D986" s="1782"/>
      <c r="E986" s="52" t="s">
        <v>3641</v>
      </c>
      <c r="F986" s="4">
        <v>1</v>
      </c>
      <c r="G986" s="6">
        <v>2793.55</v>
      </c>
      <c r="H986" s="6">
        <v>2793.55</v>
      </c>
      <c r="I986" s="20">
        <f t="shared" si="40"/>
        <v>0</v>
      </c>
      <c r="J986" s="616">
        <v>2000</v>
      </c>
      <c r="K986" s="703"/>
      <c r="L986" s="22">
        <f t="shared" si="41"/>
        <v>0</v>
      </c>
      <c r="M986" s="22"/>
      <c r="N986" s="72" t="s">
        <v>108</v>
      </c>
      <c r="O986" s="15"/>
    </row>
    <row r="987" spans="1:15" x14ac:dyDescent="0.35">
      <c r="A987" s="631">
        <v>5</v>
      </c>
      <c r="B987" s="100" t="s">
        <v>3642</v>
      </c>
      <c r="C987" s="73">
        <v>11</v>
      </c>
      <c r="D987" s="1782"/>
      <c r="E987" s="52" t="s">
        <v>3643</v>
      </c>
      <c r="F987" s="4">
        <v>1</v>
      </c>
      <c r="G987" s="6">
        <v>4685.41</v>
      </c>
      <c r="H987" s="6">
        <v>4777.42</v>
      </c>
      <c r="I987" s="20">
        <f t="shared" si="40"/>
        <v>92.010000000000218</v>
      </c>
      <c r="J987" s="616">
        <v>2000</v>
      </c>
      <c r="K987" s="703"/>
      <c r="L987" s="22">
        <f t="shared" si="41"/>
        <v>184020.00000000044</v>
      </c>
      <c r="M987" s="22"/>
      <c r="N987" s="72" t="s">
        <v>108</v>
      </c>
      <c r="O987" s="15"/>
    </row>
    <row r="988" spans="1:15" x14ac:dyDescent="0.35">
      <c r="A988" s="631">
        <v>6</v>
      </c>
      <c r="B988" s="100" t="s">
        <v>3644</v>
      </c>
      <c r="C988" s="73">
        <v>11</v>
      </c>
      <c r="D988" s="1782"/>
      <c r="E988" s="52" t="s">
        <v>3645</v>
      </c>
      <c r="F988" s="4">
        <v>1</v>
      </c>
      <c r="G988" s="6">
        <v>0</v>
      </c>
      <c r="H988" s="6">
        <v>137.46</v>
      </c>
      <c r="I988" s="20">
        <f t="shared" si="40"/>
        <v>137.46</v>
      </c>
      <c r="J988" s="616"/>
      <c r="K988" s="703"/>
      <c r="L988" s="22">
        <f t="shared" si="41"/>
        <v>0</v>
      </c>
      <c r="M988" s="22"/>
      <c r="N988" s="72" t="s">
        <v>108</v>
      </c>
      <c r="O988" s="15"/>
    </row>
    <row r="989" spans="1:15" x14ac:dyDescent="0.35">
      <c r="A989" s="631">
        <v>7</v>
      </c>
      <c r="B989" s="100" t="s">
        <v>3646</v>
      </c>
      <c r="C989" s="73">
        <v>11</v>
      </c>
      <c r="D989" s="1783"/>
      <c r="E989" s="52" t="s">
        <v>3647</v>
      </c>
      <c r="F989" s="4">
        <v>1</v>
      </c>
      <c r="G989" s="6">
        <v>8143.17</v>
      </c>
      <c r="H989" s="6">
        <v>8295.6200000000008</v>
      </c>
      <c r="I989" s="20">
        <f t="shared" si="40"/>
        <v>152.45000000000073</v>
      </c>
      <c r="J989" s="616">
        <v>2000</v>
      </c>
      <c r="K989" s="703"/>
      <c r="L989" s="22">
        <f t="shared" si="41"/>
        <v>304900.00000000146</v>
      </c>
      <c r="M989" s="22"/>
      <c r="N989" s="72" t="s">
        <v>108</v>
      </c>
      <c r="O989" s="15"/>
    </row>
    <row r="990" spans="1:15" ht="28" x14ac:dyDescent="0.3">
      <c r="A990" s="636"/>
      <c r="B990" s="96"/>
      <c r="C990" s="90"/>
      <c r="D990" s="90"/>
      <c r="E990" s="90"/>
      <c r="F990" s="793"/>
      <c r="G990" s="38"/>
      <c r="H990" s="38"/>
      <c r="I990" s="38"/>
      <c r="J990" s="53" t="s">
        <v>44</v>
      </c>
      <c r="K990" s="43">
        <f>K973</f>
        <v>7455169.9999999981</v>
      </c>
      <c r="L990" s="43">
        <f>SUM(L975:L989)</f>
        <v>7384500.0000000037</v>
      </c>
      <c r="M990" s="43">
        <f>SUM(M975:M989)</f>
        <v>0</v>
      </c>
      <c r="N990" s="712">
        <f>(M990-L990)/L990*100</f>
        <v>-100</v>
      </c>
      <c r="O990" s="29"/>
    </row>
    <row r="991" spans="1:15" x14ac:dyDescent="0.35">
      <c r="A991"/>
      <c r="B991"/>
      <c r="C991"/>
      <c r="D991"/>
      <c r="E991"/>
      <c r="F991" s="791"/>
      <c r="G991"/>
      <c r="H991"/>
      <c r="I991"/>
      <c r="J991"/>
      <c r="K991"/>
      <c r="L991"/>
      <c r="M991"/>
      <c r="N991" s="1451"/>
      <c r="O991"/>
    </row>
    <row r="992" spans="1:15" x14ac:dyDescent="0.35">
      <c r="E992"/>
      <c r="F992" s="2092" t="s">
        <v>1099</v>
      </c>
      <c r="G992" s="2092"/>
      <c r="H992" s="2092"/>
      <c r="I992" s="677" t="s">
        <v>14</v>
      </c>
    </row>
    <row r="993" spans="1:15" x14ac:dyDescent="0.35">
      <c r="E993"/>
      <c r="F993" s="2153" t="s">
        <v>232</v>
      </c>
      <c r="G993" s="2154"/>
      <c r="H993" s="2155"/>
      <c r="I993" s="643">
        <f>SUM(M975:M976,M979)</f>
        <v>0</v>
      </c>
      <c r="O993" s="620" t="s">
        <v>237</v>
      </c>
    </row>
    <row r="994" spans="1:15" x14ac:dyDescent="0.35">
      <c r="E994"/>
      <c r="F994" s="2153" t="s">
        <v>268</v>
      </c>
      <c r="G994" s="2154"/>
      <c r="H994" s="2155"/>
      <c r="I994" s="643">
        <f>SUM(M977:M978,M980,M982,M983,M989)</f>
        <v>0</v>
      </c>
    </row>
    <row r="995" spans="1:15" ht="16" thickBot="1" x14ac:dyDescent="0.4">
      <c r="E995"/>
      <c r="F995" s="2153" t="s">
        <v>269</v>
      </c>
      <c r="G995" s="2154"/>
      <c r="H995" s="2155"/>
      <c r="I995" s="643">
        <f>SUM(M981,M988)</f>
        <v>0</v>
      </c>
    </row>
    <row r="996" spans="1:15" ht="20.5" thickBot="1" x14ac:dyDescent="0.4">
      <c r="F996" s="2156" t="s">
        <v>210</v>
      </c>
      <c r="G996" s="2156"/>
      <c r="H996" s="2156"/>
      <c r="I996" s="656">
        <f>SUM(I993:I995)</f>
        <v>0</v>
      </c>
      <c r="J996" s="682">
        <f>I996-M990</f>
        <v>0</v>
      </c>
    </row>
    <row r="997" spans="1:15" x14ac:dyDescent="0.35">
      <c r="A997" s="751"/>
      <c r="B997" s="752"/>
      <c r="C997" s="753"/>
      <c r="D997" s="754"/>
      <c r="E997" s="753"/>
      <c r="F997" s="796"/>
      <c r="G997" s="751"/>
      <c r="H997" s="751"/>
      <c r="I997" s="751"/>
      <c r="J997" s="751"/>
      <c r="K997" s="755"/>
      <c r="L997" s="751"/>
      <c r="M997" s="751"/>
      <c r="N997" s="1916"/>
      <c r="O997" s="751"/>
    </row>
    <row r="1010" spans="1:15" x14ac:dyDescent="0.35">
      <c r="L1010" s="620" t="s">
        <v>237</v>
      </c>
    </row>
    <row r="1013" spans="1:15" ht="105" x14ac:dyDescent="0.3">
      <c r="A1013" s="2095" t="s">
        <v>1152</v>
      </c>
      <c r="B1013" s="2095"/>
      <c r="C1013" s="2095"/>
      <c r="D1013" s="2095"/>
      <c r="E1013" s="2095"/>
      <c r="F1013" s="2095"/>
      <c r="G1013" s="2095"/>
      <c r="H1013" s="2095"/>
      <c r="I1013" s="2095"/>
      <c r="J1013" s="2095"/>
      <c r="K1013" s="2095"/>
      <c r="L1013" s="2095"/>
      <c r="M1013" s="2095"/>
      <c r="N1013" s="2095"/>
      <c r="O1013" s="756" t="str">
        <f>$O$6</f>
        <v>Month December-2022</v>
      </c>
    </row>
    <row r="1014" spans="1:15" x14ac:dyDescent="0.35">
      <c r="A1014" s="2096" t="s">
        <v>0</v>
      </c>
      <c r="B1014" s="2098" t="s">
        <v>1</v>
      </c>
      <c r="C1014" s="2100" t="s">
        <v>2</v>
      </c>
      <c r="D1014" s="2101"/>
      <c r="E1014" s="2102"/>
      <c r="F1014" s="2230" t="s">
        <v>3</v>
      </c>
      <c r="G1014" s="2100" t="s">
        <v>4</v>
      </c>
      <c r="H1014" s="2102"/>
      <c r="I1014" s="2085"/>
      <c r="J1014" s="2103" t="s">
        <v>5</v>
      </c>
      <c r="K1014" s="2100" t="s">
        <v>6</v>
      </c>
      <c r="L1014" s="2085"/>
      <c r="M1014" s="97" t="s">
        <v>32</v>
      </c>
      <c r="N1014" s="98"/>
      <c r="O1014" s="2084" t="s">
        <v>7</v>
      </c>
    </row>
    <row r="1015" spans="1:15" x14ac:dyDescent="0.3">
      <c r="A1015" s="2097"/>
      <c r="B1015" s="2099"/>
      <c r="C1015" s="2086" t="s">
        <v>1108</v>
      </c>
      <c r="D1015" s="2087"/>
      <c r="E1015" s="87" t="s">
        <v>9</v>
      </c>
      <c r="F1015" s="2229"/>
      <c r="G1015" s="2">
        <f>'NORTH-1'!$G$8</f>
        <v>44774</v>
      </c>
      <c r="H1015" s="2">
        <f>'NORTH-1'!$H$8</f>
        <v>44805</v>
      </c>
      <c r="I1015" s="1" t="s">
        <v>10</v>
      </c>
      <c r="J1015" s="2097"/>
      <c r="K1015" s="1" t="s">
        <v>11</v>
      </c>
      <c r="L1015" s="1" t="s">
        <v>12</v>
      </c>
      <c r="M1015" s="617" t="s">
        <v>33</v>
      </c>
      <c r="N1015" s="76" t="s">
        <v>47</v>
      </c>
      <c r="O1015" s="2085"/>
    </row>
    <row r="1016" spans="1:15" x14ac:dyDescent="0.3">
      <c r="A1016" s="3">
        <v>1</v>
      </c>
      <c r="B1016" s="88">
        <v>2</v>
      </c>
      <c r="C1016" s="2088">
        <v>4</v>
      </c>
      <c r="D1016" s="2089"/>
      <c r="E1016" s="88">
        <v>5</v>
      </c>
      <c r="F1016" s="786">
        <v>7</v>
      </c>
      <c r="G1016" s="3">
        <v>8</v>
      </c>
      <c r="H1016" s="3">
        <v>9</v>
      </c>
      <c r="I1016" s="3" t="s">
        <v>13</v>
      </c>
      <c r="J1016" s="3">
        <v>11</v>
      </c>
      <c r="K1016" s="3" t="s">
        <v>19</v>
      </c>
      <c r="L1016" s="3" t="s">
        <v>20</v>
      </c>
      <c r="M1016" s="3">
        <v>14</v>
      </c>
      <c r="N1016" s="77">
        <v>15</v>
      </c>
      <c r="O1016" s="3">
        <v>16</v>
      </c>
    </row>
    <row r="1017" spans="1:15" x14ac:dyDescent="0.35">
      <c r="A1017" s="631"/>
      <c r="B1017" s="624" t="s">
        <v>1436</v>
      </c>
      <c r="C1017" s="625"/>
      <c r="D1017" s="625"/>
      <c r="E1017" s="625"/>
      <c r="F1017" s="787"/>
      <c r="G1017" s="625"/>
      <c r="H1017" s="625"/>
      <c r="I1017" s="625"/>
      <c r="J1017" s="625"/>
      <c r="K1017" s="695"/>
      <c r="L1017" s="625"/>
      <c r="M1017" s="626"/>
      <c r="N1017" s="627"/>
      <c r="O1017" s="616"/>
    </row>
    <row r="1018" spans="1:15" x14ac:dyDescent="0.3">
      <c r="A1018" s="11"/>
      <c r="B1018" s="100" t="s">
        <v>288</v>
      </c>
      <c r="C1018" s="52">
        <v>33</v>
      </c>
      <c r="D1018" s="2220" t="s">
        <v>698</v>
      </c>
      <c r="E1018" s="52"/>
      <c r="F1018" s="4">
        <v>1</v>
      </c>
      <c r="G1018" s="20">
        <v>1358.2916</v>
      </c>
      <c r="H1018" s="20">
        <v>1375.1646000000001</v>
      </c>
      <c r="I1018" s="20">
        <f>H1018-G1018</f>
        <v>16.873000000000047</v>
      </c>
      <c r="J1018" s="616">
        <v>240000</v>
      </c>
      <c r="K1018" s="696">
        <f>J1018*I1018*F1018</f>
        <v>4049520.0000000112</v>
      </c>
      <c r="L1018" s="22"/>
      <c r="M1018" s="22"/>
      <c r="N1018" s="82"/>
      <c r="O1018" s="9"/>
    </row>
    <row r="1019" spans="1:15" x14ac:dyDescent="0.35">
      <c r="A1019" s="631"/>
      <c r="B1019" s="100" t="s">
        <v>289</v>
      </c>
      <c r="C1019" s="52">
        <v>33</v>
      </c>
      <c r="D1019" s="2221"/>
      <c r="E1019" s="52"/>
      <c r="F1019" s="4">
        <v>1</v>
      </c>
      <c r="G1019" s="20">
        <v>2267.1260000000002</v>
      </c>
      <c r="H1019" s="20">
        <v>2295.9499000000001</v>
      </c>
      <c r="I1019" s="20">
        <f>H1019-G1019</f>
        <v>28.823899999999867</v>
      </c>
      <c r="J1019" s="616">
        <v>240000</v>
      </c>
      <c r="K1019" s="696">
        <f>J1019*I1019*F1019</f>
        <v>6917735.9999999683</v>
      </c>
      <c r="L1019" s="22"/>
      <c r="M1019" s="22"/>
      <c r="N1019" s="82"/>
      <c r="O1019" s="616"/>
    </row>
    <row r="1020" spans="1:15" x14ac:dyDescent="0.35">
      <c r="A1020" s="631"/>
      <c r="B1020" s="102"/>
      <c r="C1020" s="91"/>
      <c r="D1020" s="726"/>
      <c r="E1020" s="745"/>
      <c r="F1020" s="746"/>
      <c r="G1020" s="747"/>
      <c r="H1020" s="747"/>
      <c r="I1020" s="747"/>
      <c r="J1020" s="748" t="s">
        <v>30</v>
      </c>
      <c r="K1020" s="750">
        <f>SUM(K1018:K1019)</f>
        <v>10967255.99999998</v>
      </c>
      <c r="L1020" s="750">
        <f>SUM(L1018:L1019)</f>
        <v>0</v>
      </c>
      <c r="M1020" s="750">
        <f>SUM(M1018:M1019)</f>
        <v>0</v>
      </c>
      <c r="N1020" s="1914"/>
      <c r="O1020" s="616"/>
    </row>
    <row r="1021" spans="1:15" x14ac:dyDescent="0.3">
      <c r="A1021" s="616"/>
      <c r="B1021" s="624" t="s">
        <v>1441</v>
      </c>
      <c r="C1021" s="625"/>
      <c r="D1021" s="625"/>
      <c r="E1021" s="625"/>
      <c r="F1021" s="787"/>
      <c r="G1021" s="625"/>
      <c r="H1021" s="625"/>
      <c r="I1021" s="625"/>
      <c r="J1021" s="732"/>
      <c r="K1021" s="733"/>
      <c r="L1021" s="734"/>
      <c r="M1021" s="734"/>
      <c r="N1021" s="627"/>
      <c r="O1021" s="12"/>
    </row>
    <row r="1022" spans="1:15" x14ac:dyDescent="0.3">
      <c r="A1022" s="616"/>
      <c r="B1022" s="100" t="s">
        <v>1437</v>
      </c>
      <c r="C1022" s="52">
        <v>33</v>
      </c>
      <c r="D1022" s="2105" t="s">
        <v>1084</v>
      </c>
      <c r="E1022" s="52"/>
      <c r="F1022" s="4">
        <v>1</v>
      </c>
      <c r="G1022" s="21"/>
      <c r="H1022" s="21"/>
      <c r="I1022" s="20">
        <f>H1022-G1022</f>
        <v>0</v>
      </c>
      <c r="J1022" s="616">
        <v>1000</v>
      </c>
      <c r="K1022" s="696">
        <f>J1022*I1022*F1022</f>
        <v>0</v>
      </c>
      <c r="L1022" s="22">
        <f>J1022*I1022*F1022</f>
        <v>0</v>
      </c>
      <c r="M1022" s="22"/>
      <c r="N1022" s="82"/>
      <c r="O1022" s="12"/>
    </row>
    <row r="1023" spans="1:15" x14ac:dyDescent="0.3">
      <c r="A1023" s="616"/>
      <c r="B1023" s="100" t="s">
        <v>1438</v>
      </c>
      <c r="C1023" s="52">
        <v>33</v>
      </c>
      <c r="D1023" s="2106"/>
      <c r="E1023" s="52"/>
      <c r="F1023" s="4">
        <v>1</v>
      </c>
      <c r="G1023" s="21"/>
      <c r="H1023" s="21"/>
      <c r="I1023" s="20">
        <f>H1023-G1023</f>
        <v>0</v>
      </c>
      <c r="J1023" s="616">
        <v>10000</v>
      </c>
      <c r="K1023" s="696">
        <f>J1023*I1023*F1023</f>
        <v>0</v>
      </c>
      <c r="L1023" s="22">
        <f>J1023*I1023*F1023</f>
        <v>0</v>
      </c>
      <c r="M1023" s="22"/>
      <c r="N1023" s="82"/>
      <c r="O1023" s="12"/>
    </row>
    <row r="1024" spans="1:15" x14ac:dyDescent="0.3">
      <c r="A1024" s="616"/>
      <c r="B1024" s="102"/>
      <c r="C1024" s="91"/>
      <c r="D1024" s="726"/>
      <c r="E1024" s="91"/>
      <c r="F1024" s="47"/>
      <c r="G1024" s="48"/>
      <c r="H1024" s="48"/>
      <c r="I1024" s="36"/>
      <c r="J1024" s="96" t="s">
        <v>30</v>
      </c>
      <c r="K1024" s="43">
        <f>SUM(K1022:K1023)</f>
        <v>0</v>
      </c>
      <c r="L1024" s="43">
        <f>SUM(L1022:L1023)</f>
        <v>0</v>
      </c>
      <c r="M1024" s="43">
        <f>M1020</f>
        <v>0</v>
      </c>
      <c r="N1024" s="85"/>
      <c r="O1024" s="12"/>
    </row>
    <row r="1025" spans="1:15" x14ac:dyDescent="0.3">
      <c r="A1025" s="616"/>
      <c r="B1025" s="647" t="s">
        <v>1442</v>
      </c>
      <c r="C1025" s="648"/>
      <c r="D1025" s="648"/>
      <c r="E1025" s="648"/>
      <c r="F1025" s="789"/>
      <c r="G1025" s="648"/>
      <c r="H1025" s="648"/>
      <c r="I1025" s="648"/>
      <c r="J1025" s="648"/>
      <c r="K1025" s="700"/>
      <c r="L1025" s="648"/>
      <c r="M1025" s="651"/>
      <c r="N1025" s="649"/>
      <c r="O1025" s="8"/>
    </row>
    <row r="1026" spans="1:15" x14ac:dyDescent="0.3">
      <c r="A1026" s="616"/>
      <c r="B1026" s="100" t="s">
        <v>1439</v>
      </c>
      <c r="C1026" s="52">
        <v>33</v>
      </c>
      <c r="D1026" s="2138" t="s">
        <v>1083</v>
      </c>
      <c r="E1026" s="615"/>
      <c r="F1026" s="4"/>
      <c r="G1026" s="5"/>
      <c r="H1026" s="5"/>
      <c r="I1026" s="5"/>
      <c r="J1026" s="616"/>
      <c r="K1026" s="696"/>
      <c r="L1026" s="16">
        <f>J1026*I1026*F1026</f>
        <v>0</v>
      </c>
      <c r="M1026" s="7"/>
      <c r="N1026" s="78"/>
      <c r="O1026" s="616"/>
    </row>
    <row r="1027" spans="1:15" x14ac:dyDescent="0.3">
      <c r="A1027" s="616"/>
      <c r="B1027" s="100" t="s">
        <v>1440</v>
      </c>
      <c r="C1027" s="52">
        <v>33</v>
      </c>
      <c r="D1027" s="2139"/>
      <c r="E1027" s="615"/>
      <c r="F1027" s="4"/>
      <c r="G1027" s="5"/>
      <c r="H1027" s="5"/>
      <c r="I1027" s="5"/>
      <c r="J1027" s="616"/>
      <c r="K1027" s="696"/>
      <c r="L1027" s="16">
        <f>J1027*I1027*F1027</f>
        <v>0</v>
      </c>
      <c r="M1027" s="16"/>
      <c r="N1027" s="79"/>
      <c r="O1027" s="616"/>
    </row>
    <row r="1028" spans="1:15" x14ac:dyDescent="0.35">
      <c r="A1028" s="616"/>
      <c r="B1028" s="95"/>
      <c r="C1028" s="89"/>
      <c r="D1028" s="89"/>
      <c r="E1028" s="89"/>
      <c r="F1028" s="788"/>
      <c r="G1028" s="37"/>
      <c r="H1028" s="37"/>
      <c r="I1028" s="37"/>
      <c r="J1028" s="95" t="s">
        <v>279</v>
      </c>
      <c r="K1028" s="699"/>
      <c r="L1028" s="55">
        <f>SUM(L1026:L1027)</f>
        <v>0</v>
      </c>
      <c r="M1028" s="633"/>
      <c r="N1028" s="631"/>
      <c r="O1028" s="616"/>
    </row>
    <row r="1029" spans="1:15" x14ac:dyDescent="0.3">
      <c r="A1029" s="616"/>
      <c r="B1029" s="102"/>
      <c r="C1029" s="91"/>
      <c r="D1029" s="726"/>
      <c r="E1029" s="91"/>
      <c r="F1029" s="47"/>
      <c r="G1029" s="48"/>
      <c r="H1029" s="48"/>
      <c r="I1029" s="36"/>
      <c r="J1029" s="96"/>
      <c r="K1029" s="706"/>
      <c r="L1029" s="43"/>
      <c r="M1029" s="43"/>
      <c r="N1029" s="85"/>
      <c r="O1029" s="12"/>
    </row>
    <row r="1030" spans="1:15" x14ac:dyDescent="0.3">
      <c r="A1030" s="636"/>
      <c r="B1030" s="647" t="s">
        <v>1443</v>
      </c>
      <c r="C1030" s="648"/>
      <c r="D1030" s="648"/>
      <c r="E1030" s="648"/>
      <c r="F1030" s="789"/>
      <c r="G1030" s="648"/>
      <c r="H1030" s="648"/>
      <c r="I1030" s="648"/>
      <c r="J1030" s="50"/>
      <c r="K1030" s="710"/>
      <c r="L1030" s="51"/>
      <c r="M1030" s="51"/>
      <c r="N1030" s="649"/>
      <c r="O1030" s="12"/>
    </row>
    <row r="1031" spans="1:15" x14ac:dyDescent="0.3">
      <c r="A1031" s="616"/>
      <c r="B1031" s="100" t="s">
        <v>34</v>
      </c>
      <c r="C1031" s="52">
        <v>33</v>
      </c>
      <c r="D1031" s="2140" t="s">
        <v>1085</v>
      </c>
      <c r="E1031" s="52"/>
      <c r="F1031" s="4">
        <v>1</v>
      </c>
      <c r="G1031" s="21"/>
      <c r="H1031" s="21"/>
      <c r="I1031" s="21">
        <f>H1031-G1031</f>
        <v>0</v>
      </c>
      <c r="J1031" s="31">
        <v>180</v>
      </c>
      <c r="K1031" s="707"/>
      <c r="L1031" s="22">
        <f>J1031*I1031*F1031</f>
        <v>0</v>
      </c>
      <c r="M1031" s="22">
        <f>L1031*$M$161/$L$170</f>
        <v>0</v>
      </c>
      <c r="N1031" s="83"/>
      <c r="O1031" s="12"/>
    </row>
    <row r="1032" spans="1:15" x14ac:dyDescent="0.3">
      <c r="A1032" s="616"/>
      <c r="B1032" s="100" t="s">
        <v>35</v>
      </c>
      <c r="C1032" s="52">
        <v>33</v>
      </c>
      <c r="D1032" s="2141"/>
      <c r="E1032" s="52"/>
      <c r="F1032" s="4">
        <v>1</v>
      </c>
      <c r="G1032" s="21"/>
      <c r="H1032" s="21"/>
      <c r="I1032" s="21">
        <f>H1032-G1032</f>
        <v>0</v>
      </c>
      <c r="J1032" s="31">
        <v>180</v>
      </c>
      <c r="K1032" s="707"/>
      <c r="L1032" s="22">
        <f>J1032*I1032*F1032</f>
        <v>0</v>
      </c>
      <c r="M1032" s="22">
        <f>L1032*$M$161/$L$170</f>
        <v>0</v>
      </c>
      <c r="N1032" s="83"/>
      <c r="O1032" s="12"/>
    </row>
    <row r="1033" spans="1:15" x14ac:dyDescent="0.3">
      <c r="A1033" s="616"/>
      <c r="B1033" s="100" t="s">
        <v>35</v>
      </c>
      <c r="C1033" s="52">
        <v>33</v>
      </c>
      <c r="D1033" s="2157"/>
      <c r="E1033" s="52"/>
      <c r="F1033" s="4">
        <v>1</v>
      </c>
      <c r="G1033" s="21"/>
      <c r="H1033" s="21"/>
      <c r="I1033" s="21">
        <f>H1033-G1033</f>
        <v>0</v>
      </c>
      <c r="J1033" s="31">
        <v>180</v>
      </c>
      <c r="K1033" s="707"/>
      <c r="L1033" s="22">
        <f>J1033*I1033*F1033</f>
        <v>0</v>
      </c>
      <c r="M1033" s="22">
        <f>L1033*$M$161/$L$170</f>
        <v>0</v>
      </c>
      <c r="N1033" s="83"/>
      <c r="O1033" s="12"/>
    </row>
    <row r="1034" spans="1:15" ht="15" x14ac:dyDescent="0.3">
      <c r="A1034" s="636"/>
      <c r="B1034" s="96"/>
      <c r="C1034" s="90"/>
      <c r="D1034" s="90"/>
      <c r="E1034" s="90"/>
      <c r="F1034" s="793"/>
      <c r="G1034" s="38"/>
      <c r="H1034" s="38"/>
      <c r="I1034" s="38"/>
      <c r="J1034" s="96" t="s">
        <v>30</v>
      </c>
      <c r="K1034" s="708"/>
      <c r="L1034" s="43">
        <f>SUM(L1031:L1033)</f>
        <v>0</v>
      </c>
      <c r="M1034" s="43">
        <f>M1024</f>
        <v>0</v>
      </c>
      <c r="N1034" s="712" t="e">
        <f>(M1034-L1034)/L1034*100</f>
        <v>#DIV/0!</v>
      </c>
      <c r="O1034" s="12"/>
    </row>
    <row r="1035" spans="1:15" thickBot="1" x14ac:dyDescent="0.35">
      <c r="A1035" s="702"/>
      <c r="B1035" s="736"/>
      <c r="C1035" s="92"/>
      <c r="D1035" s="92"/>
      <c r="E1035" s="92"/>
      <c r="F1035" s="795"/>
      <c r="G1035" s="737"/>
      <c r="H1035" s="737"/>
      <c r="I1035" s="737"/>
      <c r="J1035" s="736"/>
      <c r="K1035" s="738"/>
      <c r="L1035" s="739"/>
      <c r="M1035" s="739"/>
      <c r="N1035" s="1914"/>
      <c r="O1035" s="740"/>
    </row>
    <row r="1036" spans="1:15" ht="15" x14ac:dyDescent="0.35">
      <c r="A1036" s="702"/>
      <c r="B1036" s="2142" t="s">
        <v>1339</v>
      </c>
      <c r="C1036" s="2143"/>
      <c r="D1036" s="683" t="s">
        <v>14</v>
      </c>
      <c r="E1036"/>
      <c r="F1036" s="2144" t="s">
        <v>1350</v>
      </c>
      <c r="G1036" s="2145"/>
      <c r="H1036" s="2146"/>
      <c r="I1036" s="683" t="s">
        <v>14</v>
      </c>
      <c r="K1036" s="2147" t="s">
        <v>1092</v>
      </c>
      <c r="L1036" s="2148"/>
      <c r="M1036" s="684" t="s">
        <v>14</v>
      </c>
      <c r="N1036" s="1914"/>
      <c r="O1036" s="740"/>
    </row>
    <row r="1037" spans="1:15" ht="15" x14ac:dyDescent="0.35">
      <c r="A1037" s="702"/>
      <c r="B1037" s="2122" t="str">
        <f>B1017</f>
        <v>ULLON  33 KV SIDE</v>
      </c>
      <c r="C1037" s="2123"/>
      <c r="D1037" s="689">
        <f>M1020</f>
        <v>0</v>
      </c>
      <c r="E1037"/>
      <c r="F1037" s="2124" t="s">
        <v>1093</v>
      </c>
      <c r="G1037" s="2125"/>
      <c r="H1037" s="2126"/>
      <c r="I1037" s="685">
        <f>L1028</f>
        <v>0</v>
      </c>
      <c r="K1037" s="2160" t="str">
        <f>F1038</f>
        <v>TALTOLA 33 KV NET IMPORT</v>
      </c>
      <c r="L1037" s="2161"/>
      <c r="M1037" s="687">
        <f>I1038</f>
        <v>0</v>
      </c>
      <c r="N1037" s="1914"/>
      <c r="O1037" s="740"/>
    </row>
    <row r="1038" spans="1:15" ht="15" x14ac:dyDescent="0.35">
      <c r="A1038" s="702"/>
      <c r="B1038" s="2122" t="s">
        <v>1116</v>
      </c>
      <c r="C1038" s="2123"/>
      <c r="D1038" s="741"/>
      <c r="E1038"/>
      <c r="F1038" s="2124" t="s">
        <v>1444</v>
      </c>
      <c r="G1038" s="2125"/>
      <c r="H1038" s="2126"/>
      <c r="I1038" s="685">
        <f>D1041-I1037</f>
        <v>0</v>
      </c>
      <c r="K1038" s="2162" t="s">
        <v>1445</v>
      </c>
      <c r="L1038" s="2163"/>
      <c r="M1038" s="685">
        <f>M1070</f>
        <v>0</v>
      </c>
      <c r="N1038" s="1914"/>
      <c r="O1038" s="740"/>
    </row>
    <row r="1039" spans="1:15" ht="15" x14ac:dyDescent="0.35">
      <c r="A1039" s="702"/>
      <c r="B1039" s="2122" t="s">
        <v>1117</v>
      </c>
      <c r="C1039" s="2123"/>
      <c r="D1039" s="721"/>
      <c r="E1039"/>
      <c r="F1039" s="2124" t="s">
        <v>1089</v>
      </c>
      <c r="G1039" s="2125"/>
      <c r="H1039" s="2126"/>
      <c r="I1039" s="685">
        <f>I1037+I1038</f>
        <v>0</v>
      </c>
      <c r="K1039" s="2127" t="s">
        <v>284</v>
      </c>
      <c r="L1039" s="2128"/>
      <c r="M1039" s="685">
        <f>M1037-M1038</f>
        <v>0</v>
      </c>
      <c r="N1039" s="1914"/>
      <c r="O1039" s="740"/>
    </row>
    <row r="1040" spans="1:15" ht="16" thickBot="1" x14ac:dyDescent="0.4">
      <c r="A1040" s="702"/>
      <c r="B1040" s="2122" t="s">
        <v>1118</v>
      </c>
      <c r="C1040" s="2123"/>
      <c r="D1040" s="722"/>
      <c r="E1040"/>
      <c r="F1040" s="2113" t="s">
        <v>1546</v>
      </c>
      <c r="G1040" s="2114"/>
      <c r="H1040" s="2115"/>
      <c r="I1040" s="690" t="e">
        <f>(D1041-I1039)/I1039</f>
        <v>#DIV/0!</v>
      </c>
      <c r="K1040" s="2134" t="s">
        <v>285</v>
      </c>
      <c r="L1040" s="2135"/>
      <c r="M1040" s="688" t="e">
        <f>M1039/M1037</f>
        <v>#DIV/0!</v>
      </c>
      <c r="N1040" s="1914"/>
      <c r="O1040" s="740"/>
    </row>
    <row r="1041" spans="1:15" thickBot="1" x14ac:dyDescent="0.4">
      <c r="A1041" s="702"/>
      <c r="B1041" s="2158" t="s">
        <v>1082</v>
      </c>
      <c r="C1041" s="2159"/>
      <c r="D1041" s="686">
        <f>SUM(D1037:D1039)</f>
        <v>0</v>
      </c>
      <c r="E1041"/>
      <c r="N1041" s="1914"/>
      <c r="O1041" s="740"/>
    </row>
    <row r="1042" spans="1:15" ht="15" x14ac:dyDescent="0.3">
      <c r="A1042" s="702"/>
      <c r="B1042" s="736"/>
      <c r="C1042" s="92"/>
      <c r="D1042" s="92"/>
      <c r="E1042" s="92"/>
      <c r="F1042" s="795"/>
      <c r="G1042" s="737"/>
      <c r="H1042" s="737"/>
      <c r="I1042" s="737"/>
      <c r="J1042" s="736"/>
      <c r="K1042" s="738"/>
      <c r="L1042" s="739"/>
      <c r="M1042" s="739"/>
      <c r="N1042" s="1914"/>
      <c r="O1042" s="740"/>
    </row>
    <row r="1043" spans="1:15" x14ac:dyDescent="0.35">
      <c r="B1043" s="632"/>
      <c r="C1043" s="620"/>
      <c r="D1043" s="728"/>
      <c r="E1043" s="620"/>
      <c r="N1043" s="1469"/>
    </row>
    <row r="1044" spans="1:15" x14ac:dyDescent="0.35">
      <c r="B1044" s="632"/>
      <c r="C1044" s="620"/>
      <c r="D1044" s="728"/>
      <c r="E1044" s="620"/>
      <c r="N1044" s="1469"/>
    </row>
    <row r="1045" spans="1:15" ht="105" x14ac:dyDescent="0.3">
      <c r="A1045" s="2095" t="s">
        <v>1153</v>
      </c>
      <c r="B1045" s="2095"/>
      <c r="C1045" s="2095"/>
      <c r="D1045" s="2095"/>
      <c r="E1045" s="2095"/>
      <c r="F1045" s="2095"/>
      <c r="G1045" s="2095"/>
      <c r="H1045" s="2095"/>
      <c r="I1045" s="2095"/>
      <c r="J1045" s="2095"/>
      <c r="K1045" s="2095"/>
      <c r="L1045" s="2095"/>
      <c r="M1045" s="2095"/>
      <c r="N1045" s="2095"/>
      <c r="O1045" s="756" t="str">
        <f>$O$6</f>
        <v>Month December-2022</v>
      </c>
    </row>
    <row r="1046" spans="1:15" x14ac:dyDescent="0.35">
      <c r="A1046" s="2096" t="s">
        <v>0</v>
      </c>
      <c r="B1046" s="2098" t="s">
        <v>1</v>
      </c>
      <c r="C1046" s="2100" t="s">
        <v>2</v>
      </c>
      <c r="D1046" s="2101"/>
      <c r="E1046" s="2102"/>
      <c r="F1046" s="2230" t="s">
        <v>3</v>
      </c>
      <c r="G1046" s="2100" t="s">
        <v>4</v>
      </c>
      <c r="H1046" s="2102"/>
      <c r="I1046" s="2085"/>
      <c r="J1046" s="2103" t="s">
        <v>5</v>
      </c>
      <c r="K1046" s="2100" t="s">
        <v>6</v>
      </c>
      <c r="L1046" s="2085"/>
      <c r="M1046" s="97" t="s">
        <v>32</v>
      </c>
      <c r="N1046" s="98"/>
      <c r="O1046" s="2084" t="s">
        <v>7</v>
      </c>
    </row>
    <row r="1047" spans="1:15" x14ac:dyDescent="0.3">
      <c r="A1047" s="2097"/>
      <c r="B1047" s="2099"/>
      <c r="C1047" s="2086" t="s">
        <v>1108</v>
      </c>
      <c r="D1047" s="2087"/>
      <c r="E1047" s="87" t="s">
        <v>9</v>
      </c>
      <c r="F1047" s="2229"/>
      <c r="G1047" s="2">
        <f>'NORTH-1'!$G$8</f>
        <v>44774</v>
      </c>
      <c r="H1047" s="2">
        <f>'NORTH-1'!$H$8</f>
        <v>44805</v>
      </c>
      <c r="I1047" s="1" t="s">
        <v>10</v>
      </c>
      <c r="J1047" s="2097"/>
      <c r="K1047" s="1" t="s">
        <v>11</v>
      </c>
      <c r="L1047" s="1" t="s">
        <v>12</v>
      </c>
      <c r="M1047" s="617" t="s">
        <v>33</v>
      </c>
      <c r="N1047" s="76" t="s">
        <v>47</v>
      </c>
      <c r="O1047" s="2085"/>
    </row>
    <row r="1048" spans="1:15" x14ac:dyDescent="0.3">
      <c r="A1048" s="3">
        <v>1</v>
      </c>
      <c r="B1048" s="88">
        <v>2</v>
      </c>
      <c r="C1048" s="2088">
        <v>4</v>
      </c>
      <c r="D1048" s="2089"/>
      <c r="E1048" s="88">
        <v>5</v>
      </c>
      <c r="F1048" s="786">
        <v>7</v>
      </c>
      <c r="G1048" s="3">
        <v>8</v>
      </c>
      <c r="H1048" s="3">
        <v>9</v>
      </c>
      <c r="I1048" s="3" t="s">
        <v>13</v>
      </c>
      <c r="J1048" s="3">
        <v>11</v>
      </c>
      <c r="K1048" s="3" t="s">
        <v>19</v>
      </c>
      <c r="L1048" s="3" t="s">
        <v>20</v>
      </c>
      <c r="M1048" s="3">
        <v>14</v>
      </c>
      <c r="N1048" s="77">
        <v>15</v>
      </c>
      <c r="O1048" s="3">
        <v>16</v>
      </c>
    </row>
    <row r="1049" spans="1:15" x14ac:dyDescent="0.35">
      <c r="A1049" s="631"/>
      <c r="B1049" s="624" t="s">
        <v>1612</v>
      </c>
      <c r="C1049" s="625"/>
      <c r="D1049" s="625"/>
      <c r="E1049" s="625"/>
      <c r="F1049" s="787"/>
      <c r="G1049" s="625"/>
      <c r="H1049" s="625"/>
      <c r="I1049" s="625"/>
      <c r="J1049" s="625"/>
      <c r="K1049" s="695"/>
      <c r="L1049" s="625"/>
      <c r="M1049" s="626"/>
      <c r="N1049" s="627"/>
      <c r="O1049" s="616"/>
    </row>
    <row r="1050" spans="1:15" x14ac:dyDescent="0.35">
      <c r="A1050" s="631">
        <v>1</v>
      </c>
      <c r="B1050" s="100" t="s">
        <v>3518</v>
      </c>
      <c r="C1050" s="52">
        <v>11</v>
      </c>
      <c r="D1050" s="1770" t="s">
        <v>339</v>
      </c>
      <c r="E1050" s="52" t="s">
        <v>3648</v>
      </c>
      <c r="F1050" s="4">
        <v>1</v>
      </c>
      <c r="G1050" s="21">
        <v>8239.67</v>
      </c>
      <c r="H1050" s="21">
        <v>8271.2099999999991</v>
      </c>
      <c r="I1050" s="21">
        <f>H1050-G1050</f>
        <v>31.539999999999054</v>
      </c>
      <c r="J1050" s="616">
        <v>160000</v>
      </c>
      <c r="K1050" s="696">
        <f>J1050*I1050*F1050</f>
        <v>5046399.9999998491</v>
      </c>
      <c r="L1050" s="22"/>
      <c r="M1050" s="22"/>
      <c r="N1050" s="82"/>
      <c r="O1050" s="616"/>
    </row>
    <row r="1051" spans="1:15" x14ac:dyDescent="0.35">
      <c r="A1051" s="631">
        <v>2</v>
      </c>
      <c r="B1051" s="100" t="s">
        <v>3617</v>
      </c>
      <c r="C1051" s="52">
        <v>11</v>
      </c>
      <c r="D1051" s="1771" t="s">
        <v>339</v>
      </c>
      <c r="E1051" s="52" t="s">
        <v>3649</v>
      </c>
      <c r="F1051" s="4">
        <v>1</v>
      </c>
      <c r="G1051" s="21">
        <v>8936.8700000000008</v>
      </c>
      <c r="H1051" s="21">
        <v>8970.93</v>
      </c>
      <c r="I1051" s="21">
        <f>H1051-G1051</f>
        <v>34.059999999999491</v>
      </c>
      <c r="J1051" s="616">
        <v>160000</v>
      </c>
      <c r="K1051" s="696">
        <f>J1051*I1051*F1051</f>
        <v>5449599.999999918</v>
      </c>
      <c r="L1051" s="22"/>
      <c r="M1051" s="22"/>
      <c r="N1051" s="82"/>
      <c r="O1051" s="616"/>
    </row>
    <row r="1052" spans="1:15" x14ac:dyDescent="0.35">
      <c r="A1052" s="631">
        <v>3</v>
      </c>
      <c r="B1052" s="100" t="s">
        <v>3650</v>
      </c>
      <c r="C1052" s="52">
        <v>11</v>
      </c>
      <c r="D1052" s="1772" t="s">
        <v>339</v>
      </c>
      <c r="E1052" s="52" t="s">
        <v>3651</v>
      </c>
      <c r="F1052" s="4">
        <v>1</v>
      </c>
      <c r="G1052" s="21">
        <v>88627162</v>
      </c>
      <c r="H1052" s="21">
        <v>90049400</v>
      </c>
      <c r="I1052" s="21">
        <f>H1052-G1052</f>
        <v>1422238</v>
      </c>
      <c r="J1052" s="616">
        <v>1</v>
      </c>
      <c r="K1052" s="696">
        <f>J1052*I1052*F1052</f>
        <v>1422238</v>
      </c>
      <c r="L1052" s="22"/>
      <c r="M1052" s="22"/>
      <c r="N1052" s="82"/>
      <c r="O1052" s="616"/>
    </row>
    <row r="1053" spans="1:15" x14ac:dyDescent="0.35">
      <c r="A1053" s="631"/>
      <c r="B1053" s="102"/>
      <c r="C1053" s="91"/>
      <c r="D1053" s="726"/>
      <c r="E1053" s="91"/>
      <c r="F1053" s="47"/>
      <c r="G1053" s="48"/>
      <c r="H1053" s="48"/>
      <c r="I1053" s="48"/>
      <c r="J1053" s="39" t="s">
        <v>30</v>
      </c>
      <c r="K1053" s="43">
        <f>SUM(K1050:K1052)</f>
        <v>11918237.999999767</v>
      </c>
      <c r="L1053" s="49"/>
      <c r="M1053" s="43">
        <f>SUM(M1050:M1052)</f>
        <v>0</v>
      </c>
      <c r="N1053" s="85"/>
      <c r="O1053" s="616"/>
    </row>
    <row r="1054" spans="1:15" x14ac:dyDescent="0.35">
      <c r="A1054" s="631"/>
      <c r="B1054" s="647" t="s">
        <v>1612</v>
      </c>
      <c r="C1054" s="648"/>
      <c r="D1054" s="648"/>
      <c r="E1054" s="648"/>
      <c r="F1054" s="789"/>
      <c r="G1054" s="648"/>
      <c r="H1054" s="648"/>
      <c r="I1054" s="648"/>
      <c r="J1054" s="50"/>
      <c r="K1054" s="710"/>
      <c r="L1054" s="51"/>
      <c r="M1054" s="51"/>
      <c r="N1054" s="649"/>
      <c r="O1054" s="616"/>
    </row>
    <row r="1055" spans="1:15" ht="15.75" customHeight="1" x14ac:dyDescent="0.35">
      <c r="A1055" s="631">
        <v>1</v>
      </c>
      <c r="B1055" s="100" t="s">
        <v>3652</v>
      </c>
      <c r="C1055" s="73">
        <v>11</v>
      </c>
      <c r="D1055" s="1781"/>
      <c r="E1055" s="52" t="s">
        <v>3653</v>
      </c>
      <c r="F1055" s="4">
        <v>1</v>
      </c>
      <c r="G1055" s="6">
        <v>7094.7</v>
      </c>
      <c r="H1055" s="6">
        <v>8514.7999999999993</v>
      </c>
      <c r="I1055" s="20">
        <f t="shared" ref="I1055:I1069" si="42">H1055-G1055</f>
        <v>1420.0999999999995</v>
      </c>
      <c r="J1055" s="616">
        <v>888.88</v>
      </c>
      <c r="K1055" s="703"/>
      <c r="L1055" s="22">
        <f t="shared" ref="L1055:L1069" si="43">J1055*I1055*F1055</f>
        <v>1262298.4879999994</v>
      </c>
      <c r="M1055" s="22"/>
      <c r="N1055" s="72" t="s">
        <v>89</v>
      </c>
      <c r="O1055" s="15"/>
    </row>
    <row r="1056" spans="1:15" x14ac:dyDescent="0.35">
      <c r="A1056" s="631">
        <v>2</v>
      </c>
      <c r="B1056" s="100" t="s">
        <v>3654</v>
      </c>
      <c r="C1056" s="73">
        <v>11</v>
      </c>
      <c r="D1056" s="1782"/>
      <c r="E1056" s="52" t="s">
        <v>3655</v>
      </c>
      <c r="F1056" s="4">
        <v>1</v>
      </c>
      <c r="G1056" s="6">
        <v>97405.2</v>
      </c>
      <c r="H1056" s="6">
        <v>98002</v>
      </c>
      <c r="I1056" s="20">
        <f t="shared" si="42"/>
        <v>596.80000000000291</v>
      </c>
      <c r="J1056" s="616">
        <v>2222.2199999999998</v>
      </c>
      <c r="K1056" s="703"/>
      <c r="L1056" s="22">
        <f t="shared" si="43"/>
        <v>1326220.8960000062</v>
      </c>
      <c r="M1056" s="22"/>
      <c r="N1056" s="72" t="s">
        <v>89</v>
      </c>
      <c r="O1056" s="15"/>
    </row>
    <row r="1057" spans="1:15" x14ac:dyDescent="0.35">
      <c r="A1057" s="631">
        <v>3</v>
      </c>
      <c r="B1057" s="100" t="s">
        <v>3656</v>
      </c>
      <c r="C1057" s="73">
        <v>11</v>
      </c>
      <c r="D1057" s="1782"/>
      <c r="E1057" s="52" t="s">
        <v>3657</v>
      </c>
      <c r="F1057" s="4">
        <v>1</v>
      </c>
      <c r="G1057" s="6">
        <v>88632.1</v>
      </c>
      <c r="H1057" s="6">
        <v>88986.3</v>
      </c>
      <c r="I1057" s="20">
        <f t="shared" si="42"/>
        <v>354.19999999999709</v>
      </c>
      <c r="J1057" s="616">
        <v>2222.2199999999998</v>
      </c>
      <c r="K1057" s="703"/>
      <c r="L1057" s="22">
        <f t="shared" si="43"/>
        <v>787110.3239999935</v>
      </c>
      <c r="M1057" s="22"/>
      <c r="N1057" s="72" t="s">
        <v>96</v>
      </c>
      <c r="O1057" s="15"/>
    </row>
    <row r="1058" spans="1:15" x14ac:dyDescent="0.35">
      <c r="A1058" s="631">
        <v>4</v>
      </c>
      <c r="B1058" s="100" t="s">
        <v>3658</v>
      </c>
      <c r="C1058" s="73">
        <v>11</v>
      </c>
      <c r="D1058" s="1782"/>
      <c r="E1058" s="52" t="s">
        <v>3659</v>
      </c>
      <c r="F1058" s="4">
        <v>1</v>
      </c>
      <c r="G1058" s="6">
        <v>90814.2</v>
      </c>
      <c r="H1058" s="6">
        <v>91264.2</v>
      </c>
      <c r="I1058" s="20">
        <f t="shared" si="42"/>
        <v>450</v>
      </c>
      <c r="J1058" s="616">
        <v>2222.2199999999998</v>
      </c>
      <c r="K1058" s="703"/>
      <c r="L1058" s="22">
        <f t="shared" si="43"/>
        <v>999998.99999999988</v>
      </c>
      <c r="M1058" s="22"/>
      <c r="N1058" s="72" t="s">
        <v>89</v>
      </c>
      <c r="O1058" s="15"/>
    </row>
    <row r="1059" spans="1:15" x14ac:dyDescent="0.35">
      <c r="A1059" s="631">
        <v>5</v>
      </c>
      <c r="B1059" s="100" t="s">
        <v>3660</v>
      </c>
      <c r="C1059" s="73">
        <v>11</v>
      </c>
      <c r="D1059" s="1782"/>
      <c r="E1059" s="52" t="s">
        <v>3661</v>
      </c>
      <c r="F1059" s="4">
        <v>1</v>
      </c>
      <c r="G1059" s="6">
        <v>50507.7</v>
      </c>
      <c r="H1059" s="6">
        <v>50717</v>
      </c>
      <c r="I1059" s="20">
        <f t="shared" si="42"/>
        <v>209.30000000000291</v>
      </c>
      <c r="J1059" s="616">
        <v>2222.2199999999998</v>
      </c>
      <c r="K1059" s="703"/>
      <c r="L1059" s="22">
        <f t="shared" si="43"/>
        <v>465110.64600000641</v>
      </c>
      <c r="M1059" s="22"/>
      <c r="N1059" s="72" t="s">
        <v>89</v>
      </c>
      <c r="O1059" s="15"/>
    </row>
    <row r="1060" spans="1:15" x14ac:dyDescent="0.35">
      <c r="A1060" s="631">
        <v>6</v>
      </c>
      <c r="B1060" s="100" t="s">
        <v>3662</v>
      </c>
      <c r="C1060" s="73">
        <v>11</v>
      </c>
      <c r="D1060" s="1782"/>
      <c r="E1060" s="52">
        <v>9122392</v>
      </c>
      <c r="F1060" s="4">
        <v>1</v>
      </c>
      <c r="G1060" s="6">
        <v>2329.5</v>
      </c>
      <c r="H1060" s="6">
        <v>2347.7399999999998</v>
      </c>
      <c r="I1060" s="20">
        <f t="shared" si="42"/>
        <v>18.239999999999782</v>
      </c>
      <c r="J1060" s="616">
        <v>40000</v>
      </c>
      <c r="K1060" s="703"/>
      <c r="L1060" s="22">
        <f t="shared" si="43"/>
        <v>729599.99999999127</v>
      </c>
      <c r="M1060" s="22"/>
      <c r="N1060" s="72" t="s">
        <v>89</v>
      </c>
      <c r="O1060" s="15"/>
    </row>
    <row r="1061" spans="1:15" x14ac:dyDescent="0.35">
      <c r="A1061" s="631">
        <v>1</v>
      </c>
      <c r="B1061" s="100" t="s">
        <v>3663</v>
      </c>
      <c r="C1061" s="73">
        <v>11</v>
      </c>
      <c r="D1061" s="1782"/>
      <c r="E1061" s="52" t="s">
        <v>3664</v>
      </c>
      <c r="F1061" s="4">
        <v>1</v>
      </c>
      <c r="G1061" s="6">
        <v>94887.7</v>
      </c>
      <c r="H1061" s="6">
        <v>95189.6</v>
      </c>
      <c r="I1061" s="20">
        <f t="shared" si="42"/>
        <v>301.90000000000873</v>
      </c>
      <c r="J1061" s="616">
        <v>2222.2199999999998</v>
      </c>
      <c r="K1061" s="703"/>
      <c r="L1061" s="22">
        <f t="shared" si="43"/>
        <v>670888.21800001932</v>
      </c>
      <c r="M1061" s="22"/>
      <c r="N1061" s="72" t="s">
        <v>89</v>
      </c>
      <c r="O1061" s="15"/>
    </row>
    <row r="1062" spans="1:15" x14ac:dyDescent="0.35">
      <c r="A1062" s="631">
        <v>2</v>
      </c>
      <c r="B1062" s="100" t="s">
        <v>3665</v>
      </c>
      <c r="C1062" s="73">
        <v>11</v>
      </c>
      <c r="D1062" s="1782"/>
      <c r="E1062" s="52" t="s">
        <v>3666</v>
      </c>
      <c r="F1062" s="4">
        <v>1</v>
      </c>
      <c r="G1062" s="6">
        <v>43003.4</v>
      </c>
      <c r="H1062" s="6">
        <v>43627.9</v>
      </c>
      <c r="I1062" s="20">
        <f t="shared" si="42"/>
        <v>624.5</v>
      </c>
      <c r="J1062" s="616">
        <v>2222.2199999999998</v>
      </c>
      <c r="K1062" s="703"/>
      <c r="L1062" s="22">
        <f t="shared" si="43"/>
        <v>1387776.39</v>
      </c>
      <c r="M1062" s="22"/>
      <c r="N1062" s="72" t="s">
        <v>96</v>
      </c>
      <c r="O1062" s="15"/>
    </row>
    <row r="1063" spans="1:15" x14ac:dyDescent="0.35">
      <c r="A1063" s="631">
        <v>3</v>
      </c>
      <c r="B1063" s="100" t="s">
        <v>3667</v>
      </c>
      <c r="C1063" s="73">
        <v>11</v>
      </c>
      <c r="D1063" s="1782"/>
      <c r="E1063" s="52" t="s">
        <v>3668</v>
      </c>
      <c r="F1063" s="4">
        <v>1</v>
      </c>
      <c r="G1063" s="6">
        <v>70452.800000000003</v>
      </c>
      <c r="H1063" s="6">
        <v>70862.100000000006</v>
      </c>
      <c r="I1063" s="20">
        <f t="shared" si="42"/>
        <v>409.30000000000291</v>
      </c>
      <c r="J1063" s="616">
        <v>2222.2199999999998</v>
      </c>
      <c r="K1063" s="703"/>
      <c r="L1063" s="22">
        <f t="shared" si="43"/>
        <v>909554.64600000635</v>
      </c>
      <c r="M1063" s="22"/>
      <c r="N1063" s="72" t="s">
        <v>89</v>
      </c>
      <c r="O1063" s="15"/>
    </row>
    <row r="1064" spans="1:15" x14ac:dyDescent="0.35">
      <c r="A1064" s="631">
        <v>4</v>
      </c>
      <c r="B1064" s="100" t="s">
        <v>3669</v>
      </c>
      <c r="C1064" s="73">
        <v>11</v>
      </c>
      <c r="D1064" s="1782"/>
      <c r="E1064" s="52">
        <v>6604434</v>
      </c>
      <c r="F1064" s="4">
        <v>1</v>
      </c>
      <c r="G1064" s="6">
        <v>4848.16</v>
      </c>
      <c r="H1064" s="6">
        <v>4869.88</v>
      </c>
      <c r="I1064" s="20">
        <f t="shared" si="42"/>
        <v>21.720000000000255</v>
      </c>
      <c r="J1064" s="616">
        <v>40000</v>
      </c>
      <c r="K1064" s="703"/>
      <c r="L1064" s="22">
        <f t="shared" si="43"/>
        <v>868800.00000001024</v>
      </c>
      <c r="M1064" s="22"/>
      <c r="N1064" s="72" t="s">
        <v>89</v>
      </c>
      <c r="O1064" s="15"/>
    </row>
    <row r="1065" spans="1:15" x14ac:dyDescent="0.35">
      <c r="A1065" s="631">
        <v>5</v>
      </c>
      <c r="B1065" s="100" t="s">
        <v>3670</v>
      </c>
      <c r="C1065" s="73">
        <v>11</v>
      </c>
      <c r="D1065" s="1782"/>
      <c r="E1065" s="52" t="s">
        <v>3671</v>
      </c>
      <c r="F1065" s="4">
        <v>1</v>
      </c>
      <c r="G1065" s="6">
        <v>6386.34</v>
      </c>
      <c r="H1065" s="6">
        <v>6412.42</v>
      </c>
      <c r="I1065" s="20">
        <f t="shared" si="42"/>
        <v>26.079999999999927</v>
      </c>
      <c r="J1065" s="616">
        <v>40000</v>
      </c>
      <c r="K1065" s="703"/>
      <c r="L1065" s="22">
        <f t="shared" si="43"/>
        <v>1043199.9999999971</v>
      </c>
      <c r="M1065" s="22"/>
      <c r="N1065" s="72" t="s">
        <v>96</v>
      </c>
      <c r="O1065" s="15"/>
    </row>
    <row r="1066" spans="1:15" x14ac:dyDescent="0.35">
      <c r="A1066" s="631">
        <v>1</v>
      </c>
      <c r="B1066" s="100" t="s">
        <v>3672</v>
      </c>
      <c r="C1066" s="73">
        <v>11</v>
      </c>
      <c r="D1066" s="1782"/>
      <c r="E1066" s="52" t="s">
        <v>3673</v>
      </c>
      <c r="F1066" s="4">
        <v>1</v>
      </c>
      <c r="G1066" s="6">
        <v>59075312</v>
      </c>
      <c r="H1066" s="6">
        <v>59205051</v>
      </c>
      <c r="I1066" s="20">
        <f t="shared" si="42"/>
        <v>129739</v>
      </c>
      <c r="J1066" s="616">
        <v>1</v>
      </c>
      <c r="K1066" s="703"/>
      <c r="L1066" s="22">
        <f t="shared" si="43"/>
        <v>129739</v>
      </c>
      <c r="M1066" s="22"/>
      <c r="N1066" s="72" t="s">
        <v>96</v>
      </c>
      <c r="O1066" s="15"/>
    </row>
    <row r="1067" spans="1:15" x14ac:dyDescent="0.35">
      <c r="A1067" s="631">
        <v>7</v>
      </c>
      <c r="B1067" s="100" t="s">
        <v>3674</v>
      </c>
      <c r="C1067" s="73">
        <v>11</v>
      </c>
      <c r="D1067" s="1782"/>
      <c r="E1067" s="52" t="s">
        <v>3675</v>
      </c>
      <c r="F1067" s="4">
        <v>1</v>
      </c>
      <c r="G1067" s="6">
        <v>3427212</v>
      </c>
      <c r="H1067" s="6">
        <v>4722135</v>
      </c>
      <c r="I1067" s="20">
        <f t="shared" si="42"/>
        <v>1294923</v>
      </c>
      <c r="J1067" s="616">
        <v>1</v>
      </c>
      <c r="K1067" s="703"/>
      <c r="L1067" s="22">
        <f t="shared" si="43"/>
        <v>1294923</v>
      </c>
      <c r="M1067" s="22"/>
      <c r="N1067" s="72" t="s">
        <v>96</v>
      </c>
      <c r="O1067" s="15"/>
    </row>
    <row r="1068" spans="1:15" x14ac:dyDescent="0.35">
      <c r="A1068" s="631">
        <v>2</v>
      </c>
      <c r="B1068" s="100" t="s">
        <v>3550</v>
      </c>
      <c r="C1068" s="73">
        <v>11</v>
      </c>
      <c r="D1068" s="1782"/>
      <c r="E1068" s="52">
        <v>9187958</v>
      </c>
      <c r="F1068" s="4">
        <v>1</v>
      </c>
      <c r="G1068" s="6">
        <v>90027</v>
      </c>
      <c r="H1068" s="6">
        <v>90027</v>
      </c>
      <c r="I1068" s="21">
        <f t="shared" si="42"/>
        <v>0</v>
      </c>
      <c r="J1068" s="616">
        <v>10</v>
      </c>
      <c r="K1068" s="703"/>
      <c r="L1068" s="22">
        <f t="shared" si="43"/>
        <v>0</v>
      </c>
      <c r="M1068" s="22"/>
      <c r="N1068" s="72" t="s">
        <v>96</v>
      </c>
      <c r="O1068" s="15"/>
    </row>
    <row r="1069" spans="1:15" x14ac:dyDescent="0.35">
      <c r="A1069" s="631">
        <v>3</v>
      </c>
      <c r="B1069" s="100" t="s">
        <v>3551</v>
      </c>
      <c r="C1069" s="73">
        <v>11</v>
      </c>
      <c r="D1069" s="1782"/>
      <c r="E1069" s="52">
        <v>9187959</v>
      </c>
      <c r="F1069" s="4">
        <v>1</v>
      </c>
      <c r="G1069" s="6">
        <v>28181</v>
      </c>
      <c r="H1069" s="6">
        <v>28181</v>
      </c>
      <c r="I1069" s="21">
        <f t="shared" si="42"/>
        <v>0</v>
      </c>
      <c r="J1069" s="616">
        <v>10</v>
      </c>
      <c r="K1069" s="703"/>
      <c r="L1069" s="22">
        <f t="shared" si="43"/>
        <v>0</v>
      </c>
      <c r="M1069" s="22"/>
      <c r="N1069" s="72" t="s">
        <v>96</v>
      </c>
      <c r="O1069" s="15"/>
    </row>
    <row r="1070" spans="1:15" ht="28" x14ac:dyDescent="0.3">
      <c r="A1070" s="636"/>
      <c r="B1070" s="96"/>
      <c r="C1070" s="90"/>
      <c r="D1070" s="90"/>
      <c r="E1070" s="90"/>
      <c r="F1070" s="793"/>
      <c r="G1070" s="38"/>
      <c r="H1070" s="38"/>
      <c r="I1070" s="38"/>
      <c r="J1070" s="53" t="s">
        <v>44</v>
      </c>
      <c r="K1070" s="43">
        <f>K1053</f>
        <v>11918237.999999767</v>
      </c>
      <c r="L1070" s="43">
        <f>SUM(L1055:L1069)</f>
        <v>11875220.608000029</v>
      </c>
      <c r="M1070" s="43">
        <f>SUM(M1055:M1069)</f>
        <v>0</v>
      </c>
      <c r="N1070" s="712">
        <f>(M1070-L1070)/L1070*100</f>
        <v>-100</v>
      </c>
      <c r="O1070" s="29"/>
    </row>
    <row r="1071" spans="1:15" x14ac:dyDescent="0.35">
      <c r="A1071"/>
      <c r="B1071" s="1864" t="s">
        <v>237</v>
      </c>
      <c r="C1071"/>
      <c r="D1071"/>
      <c r="E1071"/>
      <c r="F1071" s="791"/>
      <c r="G1071"/>
      <c r="H1071"/>
      <c r="I1071"/>
      <c r="J1071"/>
      <c r="K1071"/>
      <c r="L1071"/>
      <c r="M1071"/>
      <c r="N1071" s="1451"/>
      <c r="O1071"/>
    </row>
    <row r="1072" spans="1:15" x14ac:dyDescent="0.35">
      <c r="E1072"/>
      <c r="F1072" s="2092" t="s">
        <v>1099</v>
      </c>
      <c r="G1072" s="2092"/>
      <c r="H1072" s="2092"/>
      <c r="I1072" s="677" t="s">
        <v>14</v>
      </c>
    </row>
    <row r="1073" spans="5:15" x14ac:dyDescent="0.35">
      <c r="E1073"/>
      <c r="F1073" s="2153" t="s">
        <v>232</v>
      </c>
      <c r="G1073" s="2154"/>
      <c r="H1073" s="2155"/>
      <c r="I1073" s="643">
        <f>SUM(M1055:M1056,M1059)</f>
        <v>0</v>
      </c>
      <c r="O1073" s="620" t="s">
        <v>237</v>
      </c>
    </row>
    <row r="1074" spans="5:15" x14ac:dyDescent="0.35">
      <c r="E1074"/>
      <c r="F1074" s="2153" t="s">
        <v>268</v>
      </c>
      <c r="G1074" s="2154"/>
      <c r="H1074" s="2155"/>
      <c r="I1074" s="643">
        <f>SUM(M1057:M1058,M1060,M1062,M1063,M1065)</f>
        <v>0</v>
      </c>
    </row>
    <row r="1075" spans="5:15" ht="16" thickBot="1" x14ac:dyDescent="0.4">
      <c r="E1075"/>
      <c r="F1075" s="2153" t="s">
        <v>269</v>
      </c>
      <c r="G1075" s="2154"/>
      <c r="H1075" s="2155"/>
      <c r="I1075" s="643">
        <f>SUM(M1061,M1064)</f>
        <v>0</v>
      </c>
    </row>
    <row r="1076" spans="5:15" ht="20.5" thickBot="1" x14ac:dyDescent="0.4">
      <c r="F1076" s="2156" t="s">
        <v>210</v>
      </c>
      <c r="G1076" s="2156"/>
      <c r="H1076" s="2156"/>
      <c r="I1076" s="656">
        <f>SUM(I1073:I1075)</f>
        <v>0</v>
      </c>
      <c r="J1076" s="682">
        <f>I1076-M1070</f>
        <v>0</v>
      </c>
    </row>
    <row r="1092" spans="1:15" ht="105" x14ac:dyDescent="0.3">
      <c r="A1092" s="2095" t="s">
        <v>1613</v>
      </c>
      <c r="B1092" s="2095"/>
      <c r="C1092" s="2095"/>
      <c r="D1092" s="2095"/>
      <c r="E1092" s="2095"/>
      <c r="F1092" s="2095"/>
      <c r="G1092" s="2095"/>
      <c r="H1092" s="2095"/>
      <c r="I1092" s="2095"/>
      <c r="J1092" s="2095"/>
      <c r="K1092" s="2095"/>
      <c r="L1092" s="2095"/>
      <c r="M1092" s="2095"/>
      <c r="N1092" s="2095"/>
      <c r="O1092" s="756" t="str">
        <f>$O$6</f>
        <v>Month December-2022</v>
      </c>
    </row>
    <row r="1093" spans="1:15" x14ac:dyDescent="0.35">
      <c r="A1093" s="2096" t="s">
        <v>0</v>
      </c>
      <c r="B1093" s="2098" t="s">
        <v>1</v>
      </c>
      <c r="C1093" s="2100" t="s">
        <v>2</v>
      </c>
      <c r="D1093" s="2101"/>
      <c r="E1093" s="2102"/>
      <c r="F1093" s="2230" t="s">
        <v>3</v>
      </c>
      <c r="G1093" s="2100" t="s">
        <v>4</v>
      </c>
      <c r="H1093" s="2102"/>
      <c r="I1093" s="2085"/>
      <c r="J1093" s="2103" t="s">
        <v>5</v>
      </c>
      <c r="K1093" s="2100" t="s">
        <v>6</v>
      </c>
      <c r="L1093" s="2085"/>
      <c r="M1093" s="97" t="s">
        <v>32</v>
      </c>
      <c r="N1093" s="98"/>
      <c r="O1093" s="2084" t="s">
        <v>7</v>
      </c>
    </row>
    <row r="1094" spans="1:15" x14ac:dyDescent="0.3">
      <c r="A1094" s="2097"/>
      <c r="B1094" s="2099"/>
      <c r="C1094" s="2086" t="s">
        <v>1108</v>
      </c>
      <c r="D1094" s="2087"/>
      <c r="E1094" s="87" t="s">
        <v>9</v>
      </c>
      <c r="F1094" s="2229"/>
      <c r="G1094" s="2">
        <f>'NORTH-1'!$G$8</f>
        <v>44774</v>
      </c>
      <c r="H1094" s="2">
        <f>'NORTH-1'!$H$8</f>
        <v>44805</v>
      </c>
      <c r="I1094" s="1" t="s">
        <v>10</v>
      </c>
      <c r="J1094" s="2097"/>
      <c r="K1094" s="1" t="s">
        <v>11</v>
      </c>
      <c r="L1094" s="1" t="s">
        <v>12</v>
      </c>
      <c r="M1094" s="617" t="s">
        <v>33</v>
      </c>
      <c r="N1094" s="76" t="s">
        <v>47</v>
      </c>
      <c r="O1094" s="2085"/>
    </row>
    <row r="1095" spans="1:15" x14ac:dyDescent="0.3">
      <c r="A1095" s="3">
        <v>1</v>
      </c>
      <c r="B1095" s="88">
        <v>2</v>
      </c>
      <c r="C1095" s="2088">
        <v>4</v>
      </c>
      <c r="D1095" s="2089"/>
      <c r="E1095" s="88">
        <v>5</v>
      </c>
      <c r="F1095" s="786">
        <v>7</v>
      </c>
      <c r="G1095" s="3">
        <v>8</v>
      </c>
      <c r="H1095" s="3">
        <v>9</v>
      </c>
      <c r="I1095" s="3" t="s">
        <v>13</v>
      </c>
      <c r="J1095" s="3">
        <v>11</v>
      </c>
      <c r="K1095" s="3" t="s">
        <v>19</v>
      </c>
      <c r="L1095" s="3" t="s">
        <v>20</v>
      </c>
      <c r="M1095" s="3">
        <v>14</v>
      </c>
      <c r="N1095" s="77">
        <v>15</v>
      </c>
      <c r="O1095" s="3">
        <v>16</v>
      </c>
    </row>
    <row r="1096" spans="1:15" x14ac:dyDescent="0.35">
      <c r="A1096" s="631"/>
      <c r="B1096" s="624" t="s">
        <v>3437</v>
      </c>
      <c r="C1096" s="625"/>
      <c r="D1096" s="625"/>
      <c r="E1096" s="625"/>
      <c r="F1096" s="787"/>
      <c r="G1096" s="625"/>
      <c r="H1096" s="625"/>
      <c r="I1096" s="625"/>
      <c r="J1096" s="625"/>
      <c r="K1096" s="695"/>
      <c r="L1096" s="625"/>
      <c r="M1096" s="626"/>
      <c r="N1096" s="627"/>
      <c r="O1096" s="616"/>
    </row>
    <row r="1097" spans="1:15" x14ac:dyDescent="0.3">
      <c r="A1097" s="11">
        <v>1</v>
      </c>
      <c r="B1097" s="100" t="s">
        <v>3676</v>
      </c>
      <c r="C1097" s="52">
        <v>33</v>
      </c>
      <c r="D1097" s="1859" t="s">
        <v>339</v>
      </c>
      <c r="E1097" s="52">
        <v>35786569</v>
      </c>
      <c r="F1097" s="4">
        <v>1</v>
      </c>
      <c r="G1097" s="20">
        <v>1745.336</v>
      </c>
      <c r="H1097" s="20">
        <v>1758.5139999999999</v>
      </c>
      <c r="I1097" s="20">
        <f>H1097-G1097</f>
        <v>13.177999999999884</v>
      </c>
      <c r="J1097" s="616">
        <v>180000</v>
      </c>
      <c r="K1097" s="696">
        <f>J1097*I1097*F1097</f>
        <v>2372039.999999979</v>
      </c>
      <c r="L1097" s="22"/>
      <c r="M1097" s="22"/>
      <c r="N1097" s="82"/>
      <c r="O1097" s="9"/>
    </row>
    <row r="1098" spans="1:15" x14ac:dyDescent="0.35">
      <c r="A1098" s="631">
        <v>2</v>
      </c>
      <c r="B1098" s="100" t="s">
        <v>3677</v>
      </c>
      <c r="C1098" s="52">
        <v>33</v>
      </c>
      <c r="D1098" s="668" t="s">
        <v>339</v>
      </c>
      <c r="E1098" s="52">
        <v>35786575</v>
      </c>
      <c r="F1098" s="4">
        <v>1</v>
      </c>
      <c r="G1098" s="20">
        <v>560.57299999999998</v>
      </c>
      <c r="H1098" s="20">
        <v>570.64099999999996</v>
      </c>
      <c r="I1098" s="20">
        <f>H1098-G1098</f>
        <v>10.067999999999984</v>
      </c>
      <c r="J1098" s="616">
        <v>180000</v>
      </c>
      <c r="K1098" s="696">
        <f>J1098*I1098*F1098</f>
        <v>1812239.999999997</v>
      </c>
      <c r="L1098" s="22"/>
      <c r="M1098" s="22"/>
      <c r="N1098" s="82"/>
      <c r="O1098" s="616"/>
    </row>
    <row r="1099" spans="1:15" x14ac:dyDescent="0.35">
      <c r="A1099" s="631"/>
      <c r="B1099" s="102"/>
      <c r="C1099" s="91"/>
      <c r="D1099" s="726"/>
      <c r="E1099" s="745"/>
      <c r="F1099" s="746"/>
      <c r="G1099" s="747"/>
      <c r="H1099" s="747"/>
      <c r="I1099" s="747"/>
      <c r="J1099" s="748" t="s">
        <v>30</v>
      </c>
      <c r="K1099" s="750">
        <f>SUM(K1097:K1098)</f>
        <v>4184279.9999999758</v>
      </c>
      <c r="L1099" s="750">
        <f>SUM(L1097:L1098)</f>
        <v>0</v>
      </c>
      <c r="M1099" s="750">
        <f>SUM(M1097:M1098)</f>
        <v>0</v>
      </c>
      <c r="N1099" s="1914"/>
      <c r="O1099" s="616"/>
    </row>
    <row r="1100" spans="1:15" x14ac:dyDescent="0.3">
      <c r="A1100" s="616"/>
      <c r="B1100" s="624" t="s">
        <v>1614</v>
      </c>
      <c r="C1100" s="625"/>
      <c r="D1100" s="625"/>
      <c r="E1100" s="625"/>
      <c r="F1100" s="787"/>
      <c r="G1100" s="625"/>
      <c r="H1100" s="625"/>
      <c r="I1100" s="625"/>
      <c r="J1100" s="732"/>
      <c r="K1100" s="733"/>
      <c r="L1100" s="734"/>
      <c r="M1100" s="734"/>
      <c r="N1100" s="627"/>
      <c r="O1100" s="12"/>
    </row>
    <row r="1101" spans="1:15" x14ac:dyDescent="0.3">
      <c r="A1101" s="616">
        <v>1</v>
      </c>
      <c r="B1101" s="100" t="s">
        <v>3678</v>
      </c>
      <c r="C1101" s="52">
        <v>33</v>
      </c>
      <c r="D1101" s="1770" t="s">
        <v>339</v>
      </c>
      <c r="E1101" s="52" t="s">
        <v>3679</v>
      </c>
      <c r="F1101" s="4">
        <v>1</v>
      </c>
      <c r="G1101" s="21"/>
      <c r="H1101" s="21"/>
      <c r="I1101" s="20">
        <f>H1101-G1101</f>
        <v>0</v>
      </c>
      <c r="J1101" s="616">
        <v>540</v>
      </c>
      <c r="K1101" s="696">
        <f>J1101*I1101*F1101</f>
        <v>0</v>
      </c>
      <c r="L1101" s="22"/>
      <c r="M1101" s="22"/>
      <c r="N1101" s="82"/>
      <c r="O1101" s="12"/>
    </row>
    <row r="1102" spans="1:15" x14ac:dyDescent="0.3">
      <c r="A1102" s="616">
        <v>2</v>
      </c>
      <c r="B1102" s="100" t="s">
        <v>3680</v>
      </c>
      <c r="C1102" s="52">
        <v>33</v>
      </c>
      <c r="D1102" s="1771" t="s">
        <v>339</v>
      </c>
      <c r="E1102" s="52" t="s">
        <v>3681</v>
      </c>
      <c r="F1102" s="4">
        <v>1</v>
      </c>
      <c r="G1102" s="21">
        <v>208274</v>
      </c>
      <c r="H1102" s="21">
        <v>211642</v>
      </c>
      <c r="I1102" s="20">
        <f>H1102-G1102</f>
        <v>3368</v>
      </c>
      <c r="J1102" s="616">
        <v>540</v>
      </c>
      <c r="K1102" s="696">
        <f>J1102*I1102*F1102</f>
        <v>1818720</v>
      </c>
      <c r="L1102" s="22"/>
      <c r="M1102" s="22"/>
      <c r="N1102" s="82"/>
      <c r="O1102" s="12"/>
    </row>
    <row r="1103" spans="1:15" x14ac:dyDescent="0.3">
      <c r="A1103" s="616"/>
      <c r="B1103" s="102"/>
      <c r="C1103" s="91"/>
      <c r="D1103" s="726"/>
      <c r="E1103" s="91"/>
      <c r="F1103" s="47"/>
      <c r="G1103" s="48"/>
      <c r="H1103" s="48"/>
      <c r="I1103" s="36"/>
      <c r="J1103" s="96" t="s">
        <v>30</v>
      </c>
      <c r="K1103" s="43">
        <f>SUM(K1101:K1102)</f>
        <v>1818720</v>
      </c>
      <c r="L1103" s="43">
        <f>SUM(L1101:L1102)</f>
        <v>0</v>
      </c>
      <c r="M1103" s="43">
        <f>SUM(M1101:M1102)</f>
        <v>0</v>
      </c>
      <c r="N1103" s="85"/>
      <c r="O1103" s="12"/>
    </row>
    <row r="1104" spans="1:15" x14ac:dyDescent="0.3">
      <c r="A1104" s="616"/>
      <c r="B1104" s="647" t="s">
        <v>1615</v>
      </c>
      <c r="C1104" s="648"/>
      <c r="D1104" s="648"/>
      <c r="E1104" s="648"/>
      <c r="F1104" s="789"/>
      <c r="G1104" s="648"/>
      <c r="H1104" s="648"/>
      <c r="I1104" s="648"/>
      <c r="J1104" s="648"/>
      <c r="K1104" s="700"/>
      <c r="L1104" s="648"/>
      <c r="M1104" s="651"/>
      <c r="N1104" s="649"/>
      <c r="O1104" s="8"/>
    </row>
    <row r="1105" spans="1:15" x14ac:dyDescent="0.3">
      <c r="A1105" s="616"/>
      <c r="B1105" s="100" t="s">
        <v>1079</v>
      </c>
      <c r="C1105" s="52">
        <v>132</v>
      </c>
      <c r="D1105" s="2138" t="s">
        <v>1083</v>
      </c>
      <c r="E1105" s="615"/>
      <c r="F1105" s="4"/>
      <c r="G1105" s="5"/>
      <c r="H1105" s="5"/>
      <c r="I1105" s="5"/>
      <c r="J1105" s="616"/>
      <c r="K1105" s="696"/>
      <c r="L1105" s="16">
        <f>J1105*I1105*F1105</f>
        <v>0</v>
      </c>
      <c r="M1105" s="7"/>
      <c r="N1105" s="78"/>
      <c r="O1105" s="616"/>
    </row>
    <row r="1106" spans="1:15" x14ac:dyDescent="0.3">
      <c r="A1106" s="616"/>
      <c r="B1106" s="100" t="s">
        <v>1078</v>
      </c>
      <c r="C1106" s="52">
        <v>132</v>
      </c>
      <c r="D1106" s="2139"/>
      <c r="E1106" s="615"/>
      <c r="F1106" s="4"/>
      <c r="G1106" s="5"/>
      <c r="H1106" s="5"/>
      <c r="I1106" s="5"/>
      <c r="J1106" s="616"/>
      <c r="K1106" s="696"/>
      <c r="L1106" s="16">
        <f>J1106*I1106*F1106</f>
        <v>0</v>
      </c>
      <c r="M1106" s="16"/>
      <c r="N1106" s="79"/>
      <c r="O1106" s="616"/>
    </row>
    <row r="1107" spans="1:15" x14ac:dyDescent="0.35">
      <c r="A1107" s="616"/>
      <c r="B1107" s="95"/>
      <c r="C1107" s="89"/>
      <c r="D1107" s="89"/>
      <c r="E1107" s="89"/>
      <c r="F1107" s="788"/>
      <c r="G1107" s="37"/>
      <c r="H1107" s="37"/>
      <c r="I1107" s="37"/>
      <c r="J1107" s="95" t="s">
        <v>279</v>
      </c>
      <c r="K1107" s="699"/>
      <c r="L1107" s="55">
        <f>SUM(L1105:L1106)</f>
        <v>0</v>
      </c>
      <c r="M1107" s="633"/>
      <c r="N1107" s="631"/>
      <c r="O1107" s="616"/>
    </row>
    <row r="1108" spans="1:15" x14ac:dyDescent="0.3">
      <c r="A1108" s="616"/>
      <c r="B1108" s="102"/>
      <c r="C1108" s="91"/>
      <c r="D1108" s="726"/>
      <c r="E1108" s="91"/>
      <c r="F1108" s="47"/>
      <c r="G1108" s="48"/>
      <c r="H1108" s="48"/>
      <c r="I1108" s="36"/>
      <c r="J1108" s="96"/>
      <c r="K1108" s="706"/>
      <c r="L1108" s="43"/>
      <c r="M1108" s="43"/>
      <c r="N1108" s="85"/>
      <c r="O1108" s="12"/>
    </row>
    <row r="1109" spans="1:15" x14ac:dyDescent="0.3">
      <c r="A1109" s="636"/>
      <c r="B1109" s="647" t="s">
        <v>1616</v>
      </c>
      <c r="C1109" s="648"/>
      <c r="D1109" s="648"/>
      <c r="E1109" s="648"/>
      <c r="F1109" s="789"/>
      <c r="G1109" s="648"/>
      <c r="H1109" s="648"/>
      <c r="I1109" s="648"/>
      <c r="J1109" s="50"/>
      <c r="K1109" s="710"/>
      <c r="L1109" s="51"/>
      <c r="M1109" s="51"/>
      <c r="N1109" s="649"/>
      <c r="O1109" s="12"/>
    </row>
    <row r="1110" spans="1:15" x14ac:dyDescent="0.3">
      <c r="A1110" s="616">
        <v>3</v>
      </c>
      <c r="B1110" s="100" t="s">
        <v>3516</v>
      </c>
      <c r="C1110" s="52">
        <v>33</v>
      </c>
      <c r="D1110" s="2140" t="s">
        <v>326</v>
      </c>
      <c r="E1110" s="52" t="s">
        <v>3682</v>
      </c>
      <c r="F1110" s="4">
        <v>1</v>
      </c>
      <c r="G1110" s="21"/>
      <c r="H1110" s="21"/>
      <c r="I1110" s="21">
        <f>H1110-G1110</f>
        <v>0</v>
      </c>
      <c r="J1110" s="31">
        <v>180</v>
      </c>
      <c r="K1110" s="707"/>
      <c r="L1110" s="22">
        <f>J1110*I1110*F1110</f>
        <v>0</v>
      </c>
      <c r="M1110" s="22"/>
      <c r="N1110" s="83"/>
      <c r="O1110" s="12"/>
    </row>
    <row r="1111" spans="1:15" x14ac:dyDescent="0.3">
      <c r="A1111" s="616">
        <v>4</v>
      </c>
      <c r="B1111" s="100" t="s">
        <v>3517</v>
      </c>
      <c r="C1111" s="52">
        <v>33</v>
      </c>
      <c r="D1111" s="2157" t="s">
        <v>326</v>
      </c>
      <c r="E1111" s="52" t="s">
        <v>3683</v>
      </c>
      <c r="F1111" s="4">
        <v>1</v>
      </c>
      <c r="G1111" s="21">
        <v>626071</v>
      </c>
      <c r="H1111" s="21">
        <v>636382</v>
      </c>
      <c r="I1111" s="21">
        <f>H1111-G1111</f>
        <v>10311</v>
      </c>
      <c r="J1111" s="31">
        <v>180</v>
      </c>
      <c r="K1111" s="707"/>
      <c r="L1111" s="22">
        <f>J1111*I1111*F1111</f>
        <v>1855980</v>
      </c>
      <c r="M1111" s="22"/>
      <c r="N1111" s="83"/>
      <c r="O1111" s="12"/>
    </row>
    <row r="1112" spans="1:15" ht="15" x14ac:dyDescent="0.3">
      <c r="A1112" s="636"/>
      <c r="B1112" s="96"/>
      <c r="C1112" s="90"/>
      <c r="D1112" s="90"/>
      <c r="E1112" s="90"/>
      <c r="F1112" s="793"/>
      <c r="G1112" s="38"/>
      <c r="H1112" s="38"/>
      <c r="I1112" s="38"/>
      <c r="J1112" s="96" t="s">
        <v>30</v>
      </c>
      <c r="K1112" s="708"/>
      <c r="L1112" s="43">
        <f>SUM(L1110:L1111)</f>
        <v>1855980</v>
      </c>
      <c r="M1112" s="43">
        <f>SUM(M1110:M1111)</f>
        <v>0</v>
      </c>
      <c r="N1112" s="712"/>
      <c r="O1112" s="12"/>
    </row>
    <row r="1113" spans="1:15" thickBot="1" x14ac:dyDescent="0.35">
      <c r="A1113" s="702"/>
      <c r="B1113" s="736"/>
      <c r="C1113" s="92"/>
      <c r="D1113" s="92"/>
      <c r="E1113" s="92"/>
      <c r="F1113" s="795"/>
      <c r="G1113" s="737"/>
      <c r="H1113" s="737"/>
      <c r="I1113" s="737"/>
      <c r="J1113" s="736"/>
      <c r="K1113" s="738"/>
      <c r="L1113" s="739"/>
      <c r="M1113" s="739"/>
      <c r="N1113" s="1914"/>
      <c r="O1113" s="740"/>
    </row>
    <row r="1114" spans="1:15" ht="15" x14ac:dyDescent="0.35">
      <c r="A1114" s="702"/>
      <c r="B1114" s="2142" t="s">
        <v>1339</v>
      </c>
      <c r="C1114" s="2143"/>
      <c r="D1114" s="683" t="s">
        <v>14</v>
      </c>
      <c r="E1114"/>
      <c r="F1114" s="2144" t="s">
        <v>1350</v>
      </c>
      <c r="G1114" s="2145"/>
      <c r="H1114" s="2146"/>
      <c r="I1114" s="683" t="s">
        <v>14</v>
      </c>
      <c r="K1114" s="2147" t="s">
        <v>1092</v>
      </c>
      <c r="L1114" s="2148"/>
      <c r="M1114" s="684" t="s">
        <v>14</v>
      </c>
      <c r="N1114" s="1914"/>
      <c r="O1114" s="740"/>
    </row>
    <row r="1115" spans="1:15" ht="15" x14ac:dyDescent="0.35">
      <c r="A1115" s="702"/>
      <c r="B1115" s="2122" t="str">
        <f>B1096</f>
        <v xml:space="preserve"> 33 KV SIDE</v>
      </c>
      <c r="C1115" s="2123"/>
      <c r="D1115" s="689">
        <f>K1099</f>
        <v>4184279.9999999758</v>
      </c>
      <c r="E1115"/>
      <c r="F1115" s="2124" t="s">
        <v>1093</v>
      </c>
      <c r="G1115" s="2125"/>
      <c r="H1115" s="2126"/>
      <c r="I1115" s="685">
        <f>L1107</f>
        <v>0</v>
      </c>
      <c r="K1115" s="2160" t="str">
        <f>F1116</f>
        <v>SHER-E-BANGLANAGAR  33 KV NET IMPORT</v>
      </c>
      <c r="L1115" s="2161"/>
      <c r="M1115" s="687">
        <f>I1116</f>
        <v>4184279.9999999758</v>
      </c>
      <c r="N1115" s="1914"/>
      <c r="O1115" s="740"/>
    </row>
    <row r="1116" spans="1:15" ht="15" x14ac:dyDescent="0.35">
      <c r="A1116" s="702"/>
      <c r="B1116" s="2122" t="s">
        <v>1116</v>
      </c>
      <c r="C1116" s="2123"/>
      <c r="D1116" s="741"/>
      <c r="E1116"/>
      <c r="F1116" s="2124" t="s">
        <v>1617</v>
      </c>
      <c r="G1116" s="2125"/>
      <c r="H1116" s="2126"/>
      <c r="I1116" s="685">
        <f>D1119-I1115</f>
        <v>4184279.9999999758</v>
      </c>
      <c r="K1116" s="2162" t="s">
        <v>1618</v>
      </c>
      <c r="L1116" s="2163"/>
      <c r="M1116" s="685">
        <f>M1147</f>
        <v>0</v>
      </c>
      <c r="N1116" s="1914"/>
      <c r="O1116" s="740"/>
    </row>
    <row r="1117" spans="1:15" ht="15" x14ac:dyDescent="0.35">
      <c r="A1117" s="702"/>
      <c r="B1117" s="2122" t="s">
        <v>1117</v>
      </c>
      <c r="C1117" s="2123"/>
      <c r="D1117" s="721"/>
      <c r="E1117"/>
      <c r="F1117" s="2124" t="s">
        <v>1089</v>
      </c>
      <c r="G1117" s="2125"/>
      <c r="H1117" s="2126"/>
      <c r="I1117" s="685">
        <f>I1115+I1116</f>
        <v>4184279.9999999758</v>
      </c>
      <c r="K1117" s="2127" t="s">
        <v>284</v>
      </c>
      <c r="L1117" s="2128"/>
      <c r="M1117" s="685">
        <f>M1115-M1116</f>
        <v>4184279.9999999758</v>
      </c>
      <c r="N1117" s="1914"/>
      <c r="O1117" s="740"/>
    </row>
    <row r="1118" spans="1:15" ht="16" thickBot="1" x14ac:dyDescent="0.4">
      <c r="A1118" s="702"/>
      <c r="B1118" s="2122" t="s">
        <v>1118</v>
      </c>
      <c r="C1118" s="2123"/>
      <c r="D1118" s="722"/>
      <c r="E1118"/>
      <c r="F1118" s="2113" t="s">
        <v>1546</v>
      </c>
      <c r="G1118" s="2114"/>
      <c r="H1118" s="2115"/>
      <c r="I1118" s="690">
        <f>(D1119-I1117)/I1117</f>
        <v>0</v>
      </c>
      <c r="K1118" s="2134" t="s">
        <v>285</v>
      </c>
      <c r="L1118" s="2135"/>
      <c r="M1118" s="688">
        <f>M1117/M1115</f>
        <v>1</v>
      </c>
      <c r="N1118" s="1914"/>
      <c r="O1118" s="740"/>
    </row>
    <row r="1119" spans="1:15" thickBot="1" x14ac:dyDescent="0.4">
      <c r="A1119" s="702"/>
      <c r="B1119" s="2158" t="s">
        <v>1082</v>
      </c>
      <c r="C1119" s="2159"/>
      <c r="D1119" s="686">
        <f>SUM(D1115:D1117)</f>
        <v>4184279.9999999758</v>
      </c>
      <c r="E1119"/>
      <c r="N1119" s="1914"/>
      <c r="O1119" s="740"/>
    </row>
    <row r="1120" spans="1:15" ht="15" x14ac:dyDescent="0.3">
      <c r="A1120" s="702"/>
      <c r="B1120" s="736"/>
      <c r="C1120" s="92"/>
      <c r="D1120" s="92"/>
      <c r="E1120" s="92"/>
      <c r="F1120" s="795"/>
      <c r="G1120" s="737"/>
      <c r="H1120" s="737"/>
      <c r="I1120" s="737"/>
      <c r="J1120" s="736"/>
      <c r="K1120" s="738"/>
      <c r="L1120" s="739"/>
      <c r="M1120" s="739"/>
      <c r="N1120" s="1914"/>
      <c r="O1120" s="740"/>
    </row>
    <row r="1121" spans="1:15" x14ac:dyDescent="0.35">
      <c r="B1121" s="632"/>
      <c r="C1121" s="620"/>
      <c r="D1121" s="728"/>
      <c r="E1121" s="620"/>
      <c r="N1121" s="1469"/>
    </row>
    <row r="1122" spans="1:15" x14ac:dyDescent="0.35">
      <c r="B1122" s="632"/>
      <c r="C1122" s="620"/>
      <c r="D1122" s="728"/>
      <c r="E1122" s="620"/>
      <c r="N1122" s="1469"/>
    </row>
    <row r="1123" spans="1:15" ht="105" x14ac:dyDescent="0.3">
      <c r="A1123" s="2095" t="s">
        <v>1154</v>
      </c>
      <c r="B1123" s="2095"/>
      <c r="C1123" s="2095"/>
      <c r="D1123" s="2095"/>
      <c r="E1123" s="2095"/>
      <c r="F1123" s="2095"/>
      <c r="G1123" s="2095"/>
      <c r="H1123" s="2095"/>
      <c r="I1123" s="2095"/>
      <c r="J1123" s="2095"/>
      <c r="K1123" s="2095"/>
      <c r="L1123" s="2095"/>
      <c r="M1123" s="2095"/>
      <c r="N1123" s="2095"/>
      <c r="O1123" s="756" t="str">
        <f>$O$6</f>
        <v>Month December-2022</v>
      </c>
    </row>
    <row r="1124" spans="1:15" x14ac:dyDescent="0.35">
      <c r="A1124" s="2096" t="s">
        <v>0</v>
      </c>
      <c r="B1124" s="2098" t="s">
        <v>1</v>
      </c>
      <c r="C1124" s="2100" t="s">
        <v>2</v>
      </c>
      <c r="D1124" s="2101"/>
      <c r="E1124" s="2102"/>
      <c r="F1124" s="2230" t="s">
        <v>3</v>
      </c>
      <c r="G1124" s="2100" t="s">
        <v>4</v>
      </c>
      <c r="H1124" s="2102"/>
      <c r="I1124" s="2085"/>
      <c r="J1124" s="2103" t="s">
        <v>5</v>
      </c>
      <c r="K1124" s="2100" t="s">
        <v>6</v>
      </c>
      <c r="L1124" s="2085"/>
      <c r="M1124" s="97" t="s">
        <v>32</v>
      </c>
      <c r="N1124" s="98"/>
      <c r="O1124" s="2084" t="s">
        <v>7</v>
      </c>
    </row>
    <row r="1125" spans="1:15" x14ac:dyDescent="0.3">
      <c r="A1125" s="2097"/>
      <c r="B1125" s="2099"/>
      <c r="C1125" s="2086" t="s">
        <v>1108</v>
      </c>
      <c r="D1125" s="2087"/>
      <c r="E1125" s="87" t="s">
        <v>9</v>
      </c>
      <c r="F1125" s="2229"/>
      <c r="G1125" s="2">
        <f>'NORTH-1'!$G$8</f>
        <v>44774</v>
      </c>
      <c r="H1125" s="2">
        <f>'NORTH-1'!$H$8</f>
        <v>44805</v>
      </c>
      <c r="I1125" s="1" t="s">
        <v>10</v>
      </c>
      <c r="J1125" s="2097"/>
      <c r="K1125" s="1" t="s">
        <v>11</v>
      </c>
      <c r="L1125" s="1" t="s">
        <v>12</v>
      </c>
      <c r="M1125" s="617" t="s">
        <v>33</v>
      </c>
      <c r="N1125" s="76" t="s">
        <v>47</v>
      </c>
      <c r="O1125" s="2085"/>
    </row>
    <row r="1126" spans="1:15" x14ac:dyDescent="0.3">
      <c r="A1126" s="3">
        <v>1</v>
      </c>
      <c r="B1126" s="88">
        <v>2</v>
      </c>
      <c r="C1126" s="2088">
        <v>4</v>
      </c>
      <c r="D1126" s="2089"/>
      <c r="E1126" s="88">
        <v>5</v>
      </c>
      <c r="F1126" s="786">
        <v>7</v>
      </c>
      <c r="G1126" s="3">
        <v>8</v>
      </c>
      <c r="H1126" s="3">
        <v>9</v>
      </c>
      <c r="I1126" s="3" t="s">
        <v>13</v>
      </c>
      <c r="J1126" s="3">
        <v>11</v>
      </c>
      <c r="K1126" s="3" t="s">
        <v>19</v>
      </c>
      <c r="L1126" s="3" t="s">
        <v>20</v>
      </c>
      <c r="M1126" s="3">
        <v>14</v>
      </c>
      <c r="N1126" s="77">
        <v>15</v>
      </c>
      <c r="O1126" s="3">
        <v>16</v>
      </c>
    </row>
    <row r="1127" spans="1:15" x14ac:dyDescent="0.35">
      <c r="A1127" s="631"/>
      <c r="B1127" s="624" t="s">
        <v>1619</v>
      </c>
      <c r="C1127" s="625"/>
      <c r="D1127" s="625"/>
      <c r="E1127" s="625"/>
      <c r="F1127" s="787"/>
      <c r="G1127" s="625"/>
      <c r="H1127" s="625"/>
      <c r="I1127" s="625"/>
      <c r="J1127" s="625"/>
      <c r="K1127" s="695"/>
      <c r="L1127" s="625"/>
      <c r="M1127" s="626"/>
      <c r="N1127" s="627"/>
      <c r="O1127" s="616"/>
    </row>
    <row r="1128" spans="1:15" x14ac:dyDescent="0.35">
      <c r="A1128" s="631">
        <v>1</v>
      </c>
      <c r="B1128" s="100" t="s">
        <v>3440</v>
      </c>
      <c r="C1128" s="52">
        <v>11</v>
      </c>
      <c r="D1128" s="2105" t="s">
        <v>339</v>
      </c>
      <c r="E1128" s="52" t="s">
        <v>3684</v>
      </c>
      <c r="F1128" s="4">
        <v>1</v>
      </c>
      <c r="G1128" s="21">
        <v>2015716</v>
      </c>
      <c r="H1128" s="21">
        <v>2029316</v>
      </c>
      <c r="I1128" s="21">
        <f>H1128-G1128</f>
        <v>13600</v>
      </c>
      <c r="J1128" s="616">
        <v>180</v>
      </c>
      <c r="K1128" s="696">
        <f>J1128*I1128*F1128</f>
        <v>2448000</v>
      </c>
      <c r="L1128" s="22"/>
      <c r="M1128" s="22"/>
      <c r="N1128" s="82"/>
      <c r="O1128" s="616"/>
    </row>
    <row r="1129" spans="1:15" x14ac:dyDescent="0.35">
      <c r="A1129" s="631">
        <v>2</v>
      </c>
      <c r="B1129" s="100" t="s">
        <v>3441</v>
      </c>
      <c r="C1129" s="52">
        <v>11</v>
      </c>
      <c r="D1129" s="2151" t="s">
        <v>339</v>
      </c>
      <c r="E1129" s="52" t="s">
        <v>3685</v>
      </c>
      <c r="F1129" s="4">
        <v>1</v>
      </c>
      <c r="G1129" s="21">
        <v>607953</v>
      </c>
      <c r="H1129" s="21">
        <v>618309</v>
      </c>
      <c r="I1129" s="21">
        <f>H1129-G1129</f>
        <v>10356</v>
      </c>
      <c r="J1129" s="616">
        <v>180</v>
      </c>
      <c r="K1129" s="696">
        <f>J1129*I1129*F1129</f>
        <v>1864080</v>
      </c>
      <c r="L1129" s="22"/>
      <c r="M1129" s="22"/>
      <c r="N1129" s="82"/>
      <c r="O1129" s="616"/>
    </row>
    <row r="1130" spans="1:15" x14ac:dyDescent="0.35">
      <c r="A1130" s="631"/>
      <c r="B1130" s="102"/>
      <c r="C1130" s="91"/>
      <c r="D1130" s="726"/>
      <c r="E1130" s="91"/>
      <c r="F1130" s="47"/>
      <c r="G1130" s="48"/>
      <c r="H1130" s="48"/>
      <c r="I1130" s="48"/>
      <c r="J1130" s="39" t="s">
        <v>30</v>
      </c>
      <c r="K1130" s="43">
        <f>SUM(K1128:K1129)</f>
        <v>4312080</v>
      </c>
      <c r="L1130" s="49"/>
      <c r="M1130" s="43">
        <f>SUM(M1128:M1129)</f>
        <v>0</v>
      </c>
      <c r="N1130" s="85"/>
      <c r="O1130" s="616"/>
    </row>
    <row r="1131" spans="1:15" x14ac:dyDescent="0.35">
      <c r="A1131" s="631"/>
      <c r="B1131" s="647" t="s">
        <v>1619</v>
      </c>
      <c r="C1131" s="648"/>
      <c r="D1131" s="648"/>
      <c r="E1131" s="648"/>
      <c r="F1131" s="789"/>
      <c r="G1131" s="648"/>
      <c r="H1131" s="648"/>
      <c r="I1131" s="648"/>
      <c r="J1131" s="50"/>
      <c r="K1131" s="710"/>
      <c r="L1131" s="51"/>
      <c r="M1131" s="51"/>
      <c r="N1131" s="649"/>
      <c r="O1131" s="616"/>
    </row>
    <row r="1132" spans="1:15" ht="15.75" customHeight="1" x14ac:dyDescent="0.35">
      <c r="A1132" s="631">
        <v>1</v>
      </c>
      <c r="B1132" s="100" t="s">
        <v>3686</v>
      </c>
      <c r="C1132" s="73">
        <v>11</v>
      </c>
      <c r="D1132" s="1781"/>
      <c r="E1132" s="52" t="s">
        <v>3684</v>
      </c>
      <c r="F1132" s="4">
        <v>1</v>
      </c>
      <c r="G1132" s="6">
        <v>65328</v>
      </c>
      <c r="H1132" s="6">
        <v>66329</v>
      </c>
      <c r="I1132" s="20">
        <f t="shared" ref="I1132:I1146" si="44">H1132-G1132</f>
        <v>1001</v>
      </c>
      <c r="J1132" s="616">
        <v>60</v>
      </c>
      <c r="K1132" s="703"/>
      <c r="L1132" s="22">
        <f t="shared" ref="L1132:L1141" si="45">J1132*I1132*F1132</f>
        <v>60060</v>
      </c>
      <c r="M1132" s="22"/>
      <c r="N1132" s="72" t="s">
        <v>4693</v>
      </c>
      <c r="O1132" s="15"/>
    </row>
    <row r="1133" spans="1:15" x14ac:dyDescent="0.35">
      <c r="A1133" s="631">
        <v>2</v>
      </c>
      <c r="B1133" s="100" t="s">
        <v>3687</v>
      </c>
      <c r="C1133" s="73">
        <v>11</v>
      </c>
      <c r="D1133" s="1782"/>
      <c r="E1133" s="52" t="s">
        <v>3688</v>
      </c>
      <c r="F1133" s="4">
        <v>1</v>
      </c>
      <c r="G1133" s="6">
        <v>765316</v>
      </c>
      <c r="H1133" s="6">
        <v>770577</v>
      </c>
      <c r="I1133" s="20">
        <f t="shared" si="44"/>
        <v>5261</v>
      </c>
      <c r="J1133" s="616">
        <v>60</v>
      </c>
      <c r="K1133" s="703"/>
      <c r="L1133" s="22">
        <f t="shared" si="45"/>
        <v>315660</v>
      </c>
      <c r="M1133" s="22"/>
      <c r="N1133" s="72" t="s">
        <v>4693</v>
      </c>
      <c r="O1133" s="15"/>
    </row>
    <row r="1134" spans="1:15" x14ac:dyDescent="0.35">
      <c r="A1134" s="631">
        <v>3</v>
      </c>
      <c r="B1134" s="100" t="s">
        <v>3689</v>
      </c>
      <c r="C1134" s="73">
        <v>11</v>
      </c>
      <c r="D1134" s="1782"/>
      <c r="E1134" s="52" t="s">
        <v>3690</v>
      </c>
      <c r="F1134" s="4">
        <v>1</v>
      </c>
      <c r="G1134" s="6">
        <v>507260</v>
      </c>
      <c r="H1134" s="6">
        <v>508553</v>
      </c>
      <c r="I1134" s="20">
        <f t="shared" si="44"/>
        <v>1293</v>
      </c>
      <c r="J1134" s="616">
        <v>60</v>
      </c>
      <c r="K1134" s="703"/>
      <c r="L1134" s="22">
        <f t="shared" si="45"/>
        <v>77580</v>
      </c>
      <c r="M1134" s="22"/>
      <c r="N1134" s="72" t="s">
        <v>4693</v>
      </c>
      <c r="O1134" s="15"/>
    </row>
    <row r="1135" spans="1:15" s="1957" customFormat="1" x14ac:dyDescent="0.35">
      <c r="A1135" s="1941">
        <v>4</v>
      </c>
      <c r="B1135" s="1917" t="s">
        <v>3691</v>
      </c>
      <c r="C1135" s="1942">
        <v>11</v>
      </c>
      <c r="D1135" s="1943"/>
      <c r="E1135" s="1953" t="s">
        <v>3692</v>
      </c>
      <c r="F1135" s="1956">
        <v>1</v>
      </c>
      <c r="G1135" s="1946">
        <v>579857</v>
      </c>
      <c r="H1135" s="1946">
        <v>587509</v>
      </c>
      <c r="I1135" s="1947">
        <f t="shared" si="44"/>
        <v>7652</v>
      </c>
      <c r="J1135" s="1948">
        <v>60</v>
      </c>
      <c r="K1135" s="1949"/>
      <c r="L1135" s="1950">
        <f t="shared" si="45"/>
        <v>459120</v>
      </c>
      <c r="M1135" s="1950"/>
      <c r="N1135" s="1934" t="s">
        <v>112</v>
      </c>
      <c r="O1135" s="1951"/>
    </row>
    <row r="1136" spans="1:15" s="1957" customFormat="1" x14ac:dyDescent="0.35">
      <c r="A1136" s="1941">
        <v>5</v>
      </c>
      <c r="B1136" s="1917" t="s">
        <v>3693</v>
      </c>
      <c r="C1136" s="1942">
        <v>11</v>
      </c>
      <c r="D1136" s="1943"/>
      <c r="E1136" s="1953" t="s">
        <v>3694</v>
      </c>
      <c r="F1136" s="1956">
        <v>1</v>
      </c>
      <c r="G1136" s="1946">
        <v>2432834</v>
      </c>
      <c r="H1136" s="1946">
        <v>2452803</v>
      </c>
      <c r="I1136" s="1947">
        <f t="shared" si="44"/>
        <v>19969</v>
      </c>
      <c r="J1136" s="1948">
        <v>60</v>
      </c>
      <c r="K1136" s="1949"/>
      <c r="L1136" s="1950">
        <f t="shared" si="45"/>
        <v>1198140</v>
      </c>
      <c r="M1136" s="1950"/>
      <c r="N1136" s="1934" t="s">
        <v>112</v>
      </c>
      <c r="O1136" s="1951"/>
    </row>
    <row r="1137" spans="1:15" s="1957" customFormat="1" x14ac:dyDescent="0.35">
      <c r="A1137" s="1941">
        <v>6</v>
      </c>
      <c r="B1137" s="1917" t="s">
        <v>3695</v>
      </c>
      <c r="C1137" s="1942">
        <v>11</v>
      </c>
      <c r="D1137" s="1943"/>
      <c r="E1137" s="1953" t="s">
        <v>3696</v>
      </c>
      <c r="F1137" s="1956">
        <v>1</v>
      </c>
      <c r="G1137" s="1946">
        <v>938058</v>
      </c>
      <c r="H1137" s="1946">
        <v>938199</v>
      </c>
      <c r="I1137" s="1947">
        <f t="shared" si="44"/>
        <v>141</v>
      </c>
      <c r="J1137" s="1948">
        <v>60</v>
      </c>
      <c r="K1137" s="1949"/>
      <c r="L1137" s="1950">
        <f t="shared" si="45"/>
        <v>8460</v>
      </c>
      <c r="M1137" s="1950"/>
      <c r="N1137" s="1958" t="s">
        <v>4695</v>
      </c>
      <c r="O1137" s="1951"/>
    </row>
    <row r="1138" spans="1:15" x14ac:dyDescent="0.35">
      <c r="A1138" s="631">
        <v>7</v>
      </c>
      <c r="B1138" s="100" t="s">
        <v>3697</v>
      </c>
      <c r="C1138" s="73">
        <v>11</v>
      </c>
      <c r="D1138" s="1782"/>
      <c r="E1138" s="52" t="s">
        <v>3698</v>
      </c>
      <c r="F1138" s="4">
        <v>1</v>
      </c>
      <c r="G1138" s="6">
        <v>835689</v>
      </c>
      <c r="H1138" s="6">
        <v>840389</v>
      </c>
      <c r="I1138" s="20">
        <f t="shared" si="44"/>
        <v>4700</v>
      </c>
      <c r="J1138" s="616">
        <v>60</v>
      </c>
      <c r="K1138" s="703"/>
      <c r="L1138" s="22">
        <f t="shared" si="45"/>
        <v>282000</v>
      </c>
      <c r="M1138" s="22"/>
      <c r="N1138" s="72" t="s">
        <v>4693</v>
      </c>
      <c r="O1138" s="15"/>
    </row>
    <row r="1139" spans="1:15" s="1957" customFormat="1" x14ac:dyDescent="0.35">
      <c r="A1139" s="1941">
        <v>1</v>
      </c>
      <c r="B1139" s="1917" t="s">
        <v>3699</v>
      </c>
      <c r="C1139" s="1942">
        <v>11</v>
      </c>
      <c r="D1139" s="1943"/>
      <c r="E1139" s="1953" t="s">
        <v>3700</v>
      </c>
      <c r="F1139" s="1956">
        <v>1</v>
      </c>
      <c r="G1139" s="1946"/>
      <c r="H1139" s="1946"/>
      <c r="I1139" s="1947">
        <f t="shared" si="44"/>
        <v>0</v>
      </c>
      <c r="J1139" s="1948">
        <v>60</v>
      </c>
      <c r="K1139" s="1949"/>
      <c r="L1139" s="1950">
        <f t="shared" si="45"/>
        <v>0</v>
      </c>
      <c r="M1139" s="1950"/>
      <c r="N1139" s="1934" t="s">
        <v>112</v>
      </c>
      <c r="O1139" s="1951"/>
    </row>
    <row r="1140" spans="1:15" x14ac:dyDescent="0.35">
      <c r="A1140" s="631">
        <v>2</v>
      </c>
      <c r="B1140" s="100" t="s">
        <v>3701</v>
      </c>
      <c r="C1140" s="73">
        <v>11</v>
      </c>
      <c r="D1140" s="1782"/>
      <c r="E1140" s="52" t="s">
        <v>3702</v>
      </c>
      <c r="F1140" s="4">
        <v>1</v>
      </c>
      <c r="G1140" s="6">
        <v>182360.9</v>
      </c>
      <c r="H1140" s="6">
        <v>183360.8</v>
      </c>
      <c r="I1140" s="20">
        <f t="shared" si="44"/>
        <v>999.89999999999418</v>
      </c>
      <c r="J1140" s="616">
        <v>60</v>
      </c>
      <c r="K1140" s="703"/>
      <c r="L1140" s="22">
        <f t="shared" si="45"/>
        <v>59993.999999999651</v>
      </c>
      <c r="M1140" s="22"/>
      <c r="N1140" s="72" t="s">
        <v>4693</v>
      </c>
      <c r="O1140" s="15"/>
    </row>
    <row r="1141" spans="1:15" x14ac:dyDescent="0.35">
      <c r="A1141" s="631">
        <v>3</v>
      </c>
      <c r="B1141" s="100" t="s">
        <v>3703</v>
      </c>
      <c r="C1141" s="73">
        <v>11</v>
      </c>
      <c r="D1141" s="1782"/>
      <c r="E1141" s="52" t="s">
        <v>3704</v>
      </c>
      <c r="F1141" s="4">
        <v>1</v>
      </c>
      <c r="G1141" s="6">
        <v>289274.2</v>
      </c>
      <c r="H1141" s="6">
        <v>294749.7</v>
      </c>
      <c r="I1141" s="20">
        <f t="shared" si="44"/>
        <v>5475.5</v>
      </c>
      <c r="J1141" s="616">
        <v>60</v>
      </c>
      <c r="K1141" s="703"/>
      <c r="L1141" s="22">
        <f t="shared" si="45"/>
        <v>328530</v>
      </c>
      <c r="M1141" s="22"/>
      <c r="N1141" s="72" t="s">
        <v>4693</v>
      </c>
      <c r="O1141" s="15"/>
    </row>
    <row r="1142" spans="1:15" x14ac:dyDescent="0.35">
      <c r="A1142" s="631">
        <v>4</v>
      </c>
      <c r="B1142" s="100" t="s">
        <v>3705</v>
      </c>
      <c r="C1142" s="73">
        <v>11</v>
      </c>
      <c r="D1142" s="1782"/>
      <c r="E1142" s="52" t="s">
        <v>3706</v>
      </c>
      <c r="F1142" s="4">
        <v>1</v>
      </c>
      <c r="G1142" s="6">
        <v>6.95</v>
      </c>
      <c r="H1142" s="6">
        <v>9.39</v>
      </c>
      <c r="I1142" s="20">
        <f t="shared" si="44"/>
        <v>2.4400000000000004</v>
      </c>
      <c r="J1142" s="616">
        <v>60000</v>
      </c>
      <c r="K1142" s="703" t="s">
        <v>341</v>
      </c>
      <c r="L1142" s="22">
        <v>430000</v>
      </c>
      <c r="M1142" s="22"/>
      <c r="N1142" s="72" t="s">
        <v>4693</v>
      </c>
      <c r="O1142" s="15"/>
    </row>
    <row r="1143" spans="1:15" x14ac:dyDescent="0.35">
      <c r="A1143" s="631">
        <v>5</v>
      </c>
      <c r="B1143" s="100" t="s">
        <v>3707</v>
      </c>
      <c r="C1143" s="73">
        <v>11</v>
      </c>
      <c r="D1143" s="1782"/>
      <c r="E1143" s="52" t="s">
        <v>3708</v>
      </c>
      <c r="F1143" s="4">
        <v>1</v>
      </c>
      <c r="G1143" s="6">
        <v>237.78</v>
      </c>
      <c r="H1143" s="6">
        <v>250.27</v>
      </c>
      <c r="I1143" s="20">
        <f t="shared" si="44"/>
        <v>12.490000000000009</v>
      </c>
      <c r="J1143" s="616">
        <v>60</v>
      </c>
      <c r="K1143" s="703" t="s">
        <v>341</v>
      </c>
      <c r="L1143" s="22">
        <v>400000</v>
      </c>
      <c r="M1143" s="22"/>
      <c r="N1143" s="72" t="s">
        <v>4693</v>
      </c>
      <c r="O1143" s="15"/>
    </row>
    <row r="1144" spans="1:15" x14ac:dyDescent="0.35">
      <c r="A1144" s="631">
        <v>6</v>
      </c>
      <c r="B1144" s="100" t="s">
        <v>3709</v>
      </c>
      <c r="C1144" s="73">
        <v>11</v>
      </c>
      <c r="D1144" s="1782"/>
      <c r="E1144" s="52" t="s">
        <v>3710</v>
      </c>
      <c r="F1144" s="4">
        <v>1</v>
      </c>
      <c r="G1144" s="6">
        <v>51476.9</v>
      </c>
      <c r="H1144" s="6">
        <v>56823.1</v>
      </c>
      <c r="I1144" s="20">
        <f t="shared" si="44"/>
        <v>5346.1999999999971</v>
      </c>
      <c r="J1144" s="616">
        <v>60</v>
      </c>
      <c r="K1144" s="703"/>
      <c r="L1144" s="22">
        <f>J1144*I1144*F1144</f>
        <v>320771.99999999983</v>
      </c>
      <c r="M1144" s="22"/>
      <c r="N1144" s="72" t="s">
        <v>4693</v>
      </c>
      <c r="O1144" s="15"/>
    </row>
    <row r="1145" spans="1:15" x14ac:dyDescent="0.35">
      <c r="A1145" s="631">
        <v>7</v>
      </c>
      <c r="B1145" s="100" t="s">
        <v>389</v>
      </c>
      <c r="C1145" s="73">
        <v>11</v>
      </c>
      <c r="D1145" s="1782"/>
      <c r="E1145" s="52"/>
      <c r="F1145" s="4">
        <v>1</v>
      </c>
      <c r="G1145" s="6">
        <v>8.23</v>
      </c>
      <c r="H1145" s="6">
        <v>12.01</v>
      </c>
      <c r="I1145" s="20">
        <f t="shared" si="44"/>
        <v>3.7799999999999994</v>
      </c>
      <c r="J1145" s="616">
        <v>60000</v>
      </c>
      <c r="K1145" s="703"/>
      <c r="L1145" s="22">
        <f>J1145*I1145*F1145</f>
        <v>226799.99999999997</v>
      </c>
      <c r="M1145" s="22"/>
      <c r="N1145" s="72" t="s">
        <v>4693</v>
      </c>
      <c r="O1145" s="15"/>
    </row>
    <row r="1146" spans="1:15" x14ac:dyDescent="0.35">
      <c r="A1146" s="631">
        <v>8</v>
      </c>
      <c r="B1146" s="100" t="s">
        <v>250</v>
      </c>
      <c r="C1146" s="73"/>
      <c r="D1146" s="1783"/>
      <c r="E1146" s="52"/>
      <c r="F1146" s="4">
        <v>1</v>
      </c>
      <c r="G1146" s="6">
        <v>4871.7299999999996</v>
      </c>
      <c r="H1146" s="6">
        <v>4904.25</v>
      </c>
      <c r="I1146" s="20">
        <f t="shared" si="44"/>
        <v>32.520000000000437</v>
      </c>
      <c r="J1146" s="616">
        <v>60</v>
      </c>
      <c r="K1146" s="703"/>
      <c r="L1146" s="22">
        <f>J1146*I1146*F1146</f>
        <v>1951.2000000000262</v>
      </c>
      <c r="M1146" s="22"/>
      <c r="N1146" s="72" t="s">
        <v>4693</v>
      </c>
      <c r="O1146" s="15"/>
    </row>
    <row r="1147" spans="1:15" ht="28" x14ac:dyDescent="0.3">
      <c r="A1147" s="636"/>
      <c r="B1147" s="96"/>
      <c r="C1147" s="90"/>
      <c r="D1147" s="90"/>
      <c r="E1147" s="90"/>
      <c r="F1147" s="793"/>
      <c r="G1147" s="38"/>
      <c r="H1147" s="38"/>
      <c r="I1147" s="38"/>
      <c r="J1147" s="53" t="s">
        <v>44</v>
      </c>
      <c r="K1147" s="43">
        <f>K1130</f>
        <v>4312080</v>
      </c>
      <c r="L1147" s="43">
        <f>SUM(L1132:L1146)</f>
        <v>4169067.1999999997</v>
      </c>
      <c r="M1147" s="43">
        <f>SUM(M1132:M1146)</f>
        <v>0</v>
      </c>
      <c r="N1147" s="712">
        <f>(M1147-L1147)/L1147*100</f>
        <v>-100</v>
      </c>
      <c r="O1147" s="29"/>
    </row>
    <row r="1148" spans="1:15" x14ac:dyDescent="0.35">
      <c r="A1148"/>
      <c r="B1148"/>
      <c r="C1148"/>
      <c r="D1148"/>
      <c r="E1148"/>
      <c r="F1148" s="791"/>
      <c r="G1148"/>
      <c r="H1148"/>
      <c r="I1148"/>
      <c r="J1148"/>
      <c r="K1148"/>
      <c r="L1148"/>
      <c r="M1148"/>
      <c r="N1148" s="1451"/>
      <c r="O1148"/>
    </row>
    <row r="1149" spans="1:15" x14ac:dyDescent="0.35">
      <c r="E1149"/>
      <c r="F1149" s="2092" t="s">
        <v>1099</v>
      </c>
      <c r="G1149" s="2092"/>
      <c r="H1149" s="2092"/>
      <c r="I1149" s="677" t="s">
        <v>14</v>
      </c>
    </row>
    <row r="1150" spans="1:15" x14ac:dyDescent="0.35">
      <c r="E1150"/>
      <c r="F1150" s="2153" t="s">
        <v>232</v>
      </c>
      <c r="G1150" s="2154"/>
      <c r="H1150" s="2155"/>
      <c r="I1150" s="643">
        <f>SUM(M1132:M1133,M1136)</f>
        <v>0</v>
      </c>
      <c r="O1150" s="620" t="s">
        <v>237</v>
      </c>
    </row>
    <row r="1151" spans="1:15" x14ac:dyDescent="0.35">
      <c r="E1151"/>
      <c r="F1151" s="2153" t="s">
        <v>268</v>
      </c>
      <c r="G1151" s="2154"/>
      <c r="H1151" s="2155"/>
      <c r="I1151" s="643">
        <f>SUM(M1134:M1135,M1137,M1143,M1144,M1146)</f>
        <v>0</v>
      </c>
    </row>
    <row r="1152" spans="1:15" ht="16" thickBot="1" x14ac:dyDescent="0.4">
      <c r="E1152"/>
      <c r="F1152" s="2153" t="s">
        <v>269</v>
      </c>
      <c r="G1152" s="2154"/>
      <c r="H1152" s="2155"/>
      <c r="I1152" s="643">
        <f>SUM(M1142,M1145)</f>
        <v>0</v>
      </c>
    </row>
    <row r="1153" spans="6:10" ht="20.5" thickBot="1" x14ac:dyDescent="0.4">
      <c r="F1153" s="2156" t="s">
        <v>210</v>
      </c>
      <c r="G1153" s="2156"/>
      <c r="H1153" s="2156"/>
      <c r="I1153" s="656">
        <f>SUM(I1150:I1152)</f>
        <v>0</v>
      </c>
      <c r="J1153" s="682">
        <f>I1153-M1147</f>
        <v>0</v>
      </c>
    </row>
    <row r="1169" spans="1:15" ht="105" x14ac:dyDescent="0.3">
      <c r="A1169" s="2095" t="s">
        <v>1620</v>
      </c>
      <c r="B1169" s="2095"/>
      <c r="C1169" s="2095"/>
      <c r="D1169" s="2095"/>
      <c r="E1169" s="2095"/>
      <c r="F1169" s="2095"/>
      <c r="G1169" s="2095"/>
      <c r="H1169" s="2095"/>
      <c r="I1169" s="2095"/>
      <c r="J1169" s="2095"/>
      <c r="K1169" s="2095"/>
      <c r="L1169" s="2095"/>
      <c r="M1169" s="2095"/>
      <c r="N1169" s="2095"/>
      <c r="O1169" s="756" t="str">
        <f>$O$6</f>
        <v>Month December-2022</v>
      </c>
    </row>
    <row r="1170" spans="1:15" x14ac:dyDescent="0.35">
      <c r="A1170" s="2096" t="s">
        <v>0</v>
      </c>
      <c r="B1170" s="2098" t="s">
        <v>1</v>
      </c>
      <c r="C1170" s="2100" t="s">
        <v>2</v>
      </c>
      <c r="D1170" s="2101"/>
      <c r="E1170" s="2102"/>
      <c r="F1170" s="2230" t="s">
        <v>3</v>
      </c>
      <c r="G1170" s="2100" t="s">
        <v>4</v>
      </c>
      <c r="H1170" s="2102"/>
      <c r="I1170" s="2085"/>
      <c r="J1170" s="2103" t="s">
        <v>5</v>
      </c>
      <c r="K1170" s="2100" t="s">
        <v>6</v>
      </c>
      <c r="L1170" s="2085"/>
      <c r="M1170" s="97" t="s">
        <v>32</v>
      </c>
      <c r="N1170" s="98"/>
      <c r="O1170" s="2084" t="s">
        <v>7</v>
      </c>
    </row>
    <row r="1171" spans="1:15" x14ac:dyDescent="0.3">
      <c r="A1171" s="2097"/>
      <c r="B1171" s="2099"/>
      <c r="C1171" s="2086" t="s">
        <v>1108</v>
      </c>
      <c r="D1171" s="2087"/>
      <c r="E1171" s="87" t="s">
        <v>9</v>
      </c>
      <c r="F1171" s="2229"/>
      <c r="G1171" s="2">
        <f>'NORTH-1'!$G$8</f>
        <v>44774</v>
      </c>
      <c r="H1171" s="2">
        <f>'NORTH-1'!$H$8</f>
        <v>44805</v>
      </c>
      <c r="I1171" s="1" t="s">
        <v>10</v>
      </c>
      <c r="J1171" s="2097"/>
      <c r="K1171" s="1" t="s">
        <v>11</v>
      </c>
      <c r="L1171" s="1" t="s">
        <v>12</v>
      </c>
      <c r="M1171" s="617" t="s">
        <v>33</v>
      </c>
      <c r="N1171" s="76" t="s">
        <v>47</v>
      </c>
      <c r="O1171" s="2085"/>
    </row>
    <row r="1172" spans="1:15" x14ac:dyDescent="0.3">
      <c r="A1172" s="3">
        <v>1</v>
      </c>
      <c r="B1172" s="88">
        <v>2</v>
      </c>
      <c r="C1172" s="2088">
        <v>4</v>
      </c>
      <c r="D1172" s="2089"/>
      <c r="E1172" s="88">
        <v>5</v>
      </c>
      <c r="F1172" s="786">
        <v>7</v>
      </c>
      <c r="G1172" s="3">
        <v>8</v>
      </c>
      <c r="H1172" s="3">
        <v>9</v>
      </c>
      <c r="I1172" s="3" t="s">
        <v>13</v>
      </c>
      <c r="J1172" s="3">
        <v>11</v>
      </c>
      <c r="K1172" s="3" t="s">
        <v>19</v>
      </c>
      <c r="L1172" s="3" t="s">
        <v>20</v>
      </c>
      <c r="M1172" s="3">
        <v>14</v>
      </c>
      <c r="N1172" s="77">
        <v>15</v>
      </c>
      <c r="O1172" s="3">
        <v>16</v>
      </c>
    </row>
    <row r="1173" spans="1:15" x14ac:dyDescent="0.35">
      <c r="A1173" s="631"/>
      <c r="B1173" s="624" t="s">
        <v>3437</v>
      </c>
      <c r="C1173" s="625"/>
      <c r="D1173" s="625"/>
      <c r="E1173" s="625"/>
      <c r="F1173" s="787"/>
      <c r="G1173" s="625"/>
      <c r="H1173" s="625"/>
      <c r="I1173" s="625"/>
      <c r="J1173" s="625"/>
      <c r="K1173" s="695"/>
      <c r="L1173" s="625"/>
      <c r="M1173" s="626"/>
      <c r="N1173" s="627"/>
      <c r="O1173" s="616"/>
    </row>
    <row r="1174" spans="1:15" x14ac:dyDescent="0.3">
      <c r="A1174" s="11"/>
      <c r="B1174" s="100">
        <f>B773</f>
        <v>0</v>
      </c>
      <c r="C1174" s="52">
        <f>C773</f>
        <v>0</v>
      </c>
      <c r="D1174" s="2220" t="s">
        <v>698</v>
      </c>
      <c r="E1174" s="52">
        <f t="shared" ref="E1174:J1175" si="46">E773</f>
        <v>0</v>
      </c>
      <c r="F1174" s="4">
        <f t="shared" si="46"/>
        <v>0</v>
      </c>
      <c r="G1174" s="20">
        <f t="shared" si="46"/>
        <v>0</v>
      </c>
      <c r="H1174" s="20">
        <f t="shared" si="46"/>
        <v>0</v>
      </c>
      <c r="I1174" s="20">
        <f t="shared" si="46"/>
        <v>0</v>
      </c>
      <c r="J1174" s="616">
        <f t="shared" si="46"/>
        <v>0</v>
      </c>
      <c r="K1174" s="696">
        <f>J1174*I1174*F1174</f>
        <v>0</v>
      </c>
      <c r="L1174" s="22"/>
      <c r="M1174" s="22">
        <f>M773</f>
        <v>0</v>
      </c>
      <c r="N1174" s="82"/>
      <c r="O1174" s="9"/>
    </row>
    <row r="1175" spans="1:15" x14ac:dyDescent="0.35">
      <c r="A1175" s="631"/>
      <c r="B1175" s="100">
        <f>B774</f>
        <v>0</v>
      </c>
      <c r="C1175" s="52">
        <f>C774</f>
        <v>0</v>
      </c>
      <c r="D1175" s="2221"/>
      <c r="E1175" s="52">
        <f t="shared" si="46"/>
        <v>0</v>
      </c>
      <c r="F1175" s="4">
        <f t="shared" si="46"/>
        <v>0</v>
      </c>
      <c r="G1175" s="20">
        <f t="shared" si="46"/>
        <v>0</v>
      </c>
      <c r="H1175" s="20">
        <f t="shared" si="46"/>
        <v>0</v>
      </c>
      <c r="I1175" s="20">
        <f t="shared" si="46"/>
        <v>0</v>
      </c>
      <c r="J1175" s="616">
        <f t="shared" si="46"/>
        <v>0</v>
      </c>
      <c r="K1175" s="696">
        <f>J1175*I1175*F1175</f>
        <v>0</v>
      </c>
      <c r="L1175" s="22"/>
      <c r="M1175" s="22">
        <f>M774</f>
        <v>0</v>
      </c>
      <c r="N1175" s="82"/>
      <c r="O1175" s="616"/>
    </row>
    <row r="1176" spans="1:15" x14ac:dyDescent="0.35">
      <c r="A1176" s="631"/>
      <c r="B1176" s="102"/>
      <c r="C1176" s="91"/>
      <c r="D1176" s="726"/>
      <c r="E1176" s="745"/>
      <c r="F1176" s="746"/>
      <c r="G1176" s="747"/>
      <c r="H1176" s="747"/>
      <c r="I1176" s="747"/>
      <c r="J1176" s="748" t="s">
        <v>30</v>
      </c>
      <c r="K1176" s="750">
        <f>SUM(K1174:K1175)</f>
        <v>0</v>
      </c>
      <c r="L1176" s="750">
        <f>SUM(L1174:L1175)</f>
        <v>0</v>
      </c>
      <c r="M1176" s="750">
        <f>SUM(M1174:M1175)</f>
        <v>0</v>
      </c>
      <c r="N1176" s="1914"/>
      <c r="O1176" s="616"/>
    </row>
    <row r="1177" spans="1:15" x14ac:dyDescent="0.3">
      <c r="A1177" s="616"/>
      <c r="B1177" s="624" t="s">
        <v>1621</v>
      </c>
      <c r="C1177" s="625"/>
      <c r="D1177" s="625"/>
      <c r="E1177" s="625"/>
      <c r="F1177" s="787"/>
      <c r="G1177" s="625"/>
      <c r="H1177" s="625"/>
      <c r="I1177" s="625"/>
      <c r="J1177" s="732"/>
      <c r="K1177" s="733"/>
      <c r="L1177" s="734"/>
      <c r="M1177" s="734"/>
      <c r="N1177" s="627"/>
      <c r="O1177" s="12"/>
    </row>
    <row r="1178" spans="1:15" x14ac:dyDescent="0.3">
      <c r="A1178" s="616">
        <v>1</v>
      </c>
      <c r="B1178" s="100" t="s">
        <v>3711</v>
      </c>
      <c r="C1178" s="52">
        <v>33</v>
      </c>
      <c r="D1178" s="1770" t="s">
        <v>339</v>
      </c>
      <c r="E1178" s="52">
        <v>38</v>
      </c>
      <c r="F1178" s="4">
        <v>1</v>
      </c>
      <c r="G1178" s="21">
        <v>232677632</v>
      </c>
      <c r="H1178" s="21">
        <v>237539248</v>
      </c>
      <c r="I1178" s="20">
        <f>H1178-G1178</f>
        <v>4861616</v>
      </c>
      <c r="J1178" s="616">
        <v>1</v>
      </c>
      <c r="K1178" s="696">
        <f>J1178*I1178*F1178</f>
        <v>4861616</v>
      </c>
      <c r="L1178" s="22"/>
      <c r="M1178" s="22"/>
      <c r="N1178" s="82"/>
      <c r="O1178" s="12"/>
    </row>
    <row r="1179" spans="1:15" x14ac:dyDescent="0.3">
      <c r="A1179" s="616">
        <v>2</v>
      </c>
      <c r="B1179" s="100" t="s">
        <v>3712</v>
      </c>
      <c r="C1179" s="52">
        <v>33</v>
      </c>
      <c r="D1179" s="1771" t="s">
        <v>339</v>
      </c>
      <c r="E1179" s="52">
        <v>15</v>
      </c>
      <c r="F1179" s="4">
        <v>1</v>
      </c>
      <c r="G1179" s="21">
        <v>157893024</v>
      </c>
      <c r="H1179" s="21">
        <v>160289280</v>
      </c>
      <c r="I1179" s="20">
        <f>H1179-G1179</f>
        <v>2396256</v>
      </c>
      <c r="J1179" s="616">
        <v>1</v>
      </c>
      <c r="K1179" s="696">
        <f>J1179*I1179*F1179</f>
        <v>2396256</v>
      </c>
      <c r="L1179" s="22"/>
      <c r="M1179" s="22"/>
      <c r="N1179" s="82"/>
      <c r="O1179" s="12"/>
    </row>
    <row r="1180" spans="1:15" x14ac:dyDescent="0.3">
      <c r="A1180" s="616"/>
      <c r="B1180" s="102"/>
      <c r="C1180" s="91"/>
      <c r="D1180" s="726"/>
      <c r="E1180" s="91"/>
      <c r="F1180" s="47"/>
      <c r="G1180" s="48"/>
      <c r="H1180" s="48"/>
      <c r="I1180" s="36"/>
      <c r="J1180" s="96" t="s">
        <v>30</v>
      </c>
      <c r="K1180" s="43">
        <f>SUM(K1178:K1179)</f>
        <v>7257872</v>
      </c>
      <c r="L1180" s="43">
        <f>SUM(L1178:L1179)</f>
        <v>0</v>
      </c>
      <c r="M1180" s="43">
        <f>SUM(M1178:M1179)</f>
        <v>0</v>
      </c>
      <c r="N1180" s="85"/>
      <c r="O1180" s="12"/>
    </row>
    <row r="1181" spans="1:15" x14ac:dyDescent="0.3">
      <c r="A1181" s="616"/>
      <c r="B1181" s="647" t="s">
        <v>1622</v>
      </c>
      <c r="C1181" s="648"/>
      <c r="D1181" s="648"/>
      <c r="E1181" s="648"/>
      <c r="F1181" s="789"/>
      <c r="G1181" s="648"/>
      <c r="H1181" s="648"/>
      <c r="I1181" s="648"/>
      <c r="J1181" s="648"/>
      <c r="K1181" s="700"/>
      <c r="L1181" s="648"/>
      <c r="M1181" s="651"/>
      <c r="N1181" s="649"/>
      <c r="O1181" s="8"/>
    </row>
    <row r="1182" spans="1:15" x14ac:dyDescent="0.3">
      <c r="A1182" s="616"/>
      <c r="B1182" s="100" t="s">
        <v>1079</v>
      </c>
      <c r="C1182" s="52">
        <v>132</v>
      </c>
      <c r="D1182" s="2138" t="s">
        <v>1083</v>
      </c>
      <c r="E1182" s="615"/>
      <c r="F1182" s="4"/>
      <c r="G1182" s="5"/>
      <c r="H1182" s="5"/>
      <c r="I1182" s="5"/>
      <c r="J1182" s="616"/>
      <c r="K1182" s="696"/>
      <c r="L1182" s="16">
        <f>J1182*I1182*F1182</f>
        <v>0</v>
      </c>
      <c r="M1182" s="7"/>
      <c r="N1182" s="78"/>
      <c r="O1182" s="616"/>
    </row>
    <row r="1183" spans="1:15" x14ac:dyDescent="0.3">
      <c r="A1183" s="616"/>
      <c r="B1183" s="100" t="s">
        <v>1078</v>
      </c>
      <c r="C1183" s="52">
        <v>132</v>
      </c>
      <c r="D1183" s="2139"/>
      <c r="E1183" s="615"/>
      <c r="F1183" s="4"/>
      <c r="G1183" s="5"/>
      <c r="H1183" s="5"/>
      <c r="I1183" s="5"/>
      <c r="J1183" s="616"/>
      <c r="K1183" s="696"/>
      <c r="L1183" s="16">
        <f>J1183*I1183*F1183</f>
        <v>0</v>
      </c>
      <c r="M1183" s="16"/>
      <c r="N1183" s="79"/>
      <c r="O1183" s="616"/>
    </row>
    <row r="1184" spans="1:15" x14ac:dyDescent="0.35">
      <c r="A1184" s="616"/>
      <c r="B1184" s="95"/>
      <c r="C1184" s="89"/>
      <c r="D1184" s="89"/>
      <c r="E1184" s="89"/>
      <c r="F1184" s="788"/>
      <c r="G1184" s="37"/>
      <c r="H1184" s="37"/>
      <c r="I1184" s="37"/>
      <c r="J1184" s="95" t="s">
        <v>279</v>
      </c>
      <c r="K1184" s="699"/>
      <c r="L1184" s="55">
        <f>SUM(L1182:L1183)</f>
        <v>0</v>
      </c>
      <c r="M1184" s="633"/>
      <c r="N1184" s="631"/>
      <c r="O1184" s="616"/>
    </row>
    <row r="1185" spans="1:15" x14ac:dyDescent="0.3">
      <c r="A1185" s="616"/>
      <c r="B1185" s="102"/>
      <c r="C1185" s="91"/>
      <c r="D1185" s="726"/>
      <c r="E1185" s="91"/>
      <c r="F1185" s="47"/>
      <c r="G1185" s="48"/>
      <c r="H1185" s="48"/>
      <c r="I1185" s="36"/>
      <c r="J1185" s="96"/>
      <c r="K1185" s="706"/>
      <c r="L1185" s="43"/>
      <c r="M1185" s="43"/>
      <c r="N1185" s="85"/>
      <c r="O1185" s="12"/>
    </row>
    <row r="1186" spans="1:15" x14ac:dyDescent="0.3">
      <c r="A1186" s="636"/>
      <c r="B1186" s="647" t="s">
        <v>1623</v>
      </c>
      <c r="C1186" s="648"/>
      <c r="D1186" s="648"/>
      <c r="E1186" s="648"/>
      <c r="F1186" s="789"/>
      <c r="G1186" s="648"/>
      <c r="H1186" s="648"/>
      <c r="I1186" s="648"/>
      <c r="J1186" s="50"/>
      <c r="K1186" s="710"/>
      <c r="L1186" s="51"/>
      <c r="M1186" s="51"/>
      <c r="N1186" s="649"/>
      <c r="O1186" s="12"/>
    </row>
    <row r="1187" spans="1:15" ht="15.75" customHeight="1" x14ac:dyDescent="0.3">
      <c r="A1187" s="616">
        <v>3</v>
      </c>
      <c r="B1187" s="100" t="s">
        <v>3516</v>
      </c>
      <c r="C1187" s="52">
        <v>33</v>
      </c>
      <c r="D1187" s="1774" t="s">
        <v>326</v>
      </c>
      <c r="E1187" s="52">
        <v>16</v>
      </c>
      <c r="F1187" s="4">
        <v>1</v>
      </c>
      <c r="G1187" s="21">
        <v>221431920</v>
      </c>
      <c r="H1187" s="21">
        <v>226293120</v>
      </c>
      <c r="I1187" s="21">
        <f>H1187-G1187</f>
        <v>4861200</v>
      </c>
      <c r="J1187" s="31">
        <v>1</v>
      </c>
      <c r="K1187" s="707"/>
      <c r="L1187" s="22">
        <f>J1187*I1187*F1187</f>
        <v>4861200</v>
      </c>
      <c r="M1187" s="22"/>
      <c r="N1187" s="83"/>
      <c r="O1187" s="12"/>
    </row>
    <row r="1188" spans="1:15" x14ac:dyDescent="0.3">
      <c r="A1188" s="616">
        <v>4</v>
      </c>
      <c r="B1188" s="100" t="s">
        <v>3517</v>
      </c>
      <c r="C1188" s="52">
        <v>33</v>
      </c>
      <c r="D1188" s="1776" t="s">
        <v>326</v>
      </c>
      <c r="E1188" s="52">
        <v>196</v>
      </c>
      <c r="F1188" s="4">
        <v>1</v>
      </c>
      <c r="G1188" s="21">
        <v>169032240</v>
      </c>
      <c r="H1188" s="21">
        <v>171429360</v>
      </c>
      <c r="I1188" s="21">
        <f>H1188-G1188</f>
        <v>2397120</v>
      </c>
      <c r="J1188" s="31">
        <v>1</v>
      </c>
      <c r="K1188" s="707"/>
      <c r="L1188" s="22">
        <f>J1188*I1188*F1188</f>
        <v>2397120</v>
      </c>
      <c r="M1188" s="22"/>
      <c r="N1188" s="83"/>
      <c r="O1188" s="12"/>
    </row>
    <row r="1189" spans="1:15" ht="15" x14ac:dyDescent="0.3">
      <c r="A1189" s="636"/>
      <c r="B1189" s="96"/>
      <c r="C1189" s="90"/>
      <c r="D1189" s="90"/>
      <c r="E1189" s="90"/>
      <c r="F1189" s="793"/>
      <c r="G1189" s="38"/>
      <c r="H1189" s="38"/>
      <c r="I1189" s="38"/>
      <c r="J1189" s="96" t="s">
        <v>30</v>
      </c>
      <c r="K1189" s="708"/>
      <c r="L1189" s="43">
        <f>SUM(L1187:L1188)</f>
        <v>7258320</v>
      </c>
      <c r="M1189" s="43">
        <f>SUM(M1187:M1188)</f>
        <v>0</v>
      </c>
      <c r="N1189" s="712"/>
      <c r="O1189" s="12"/>
    </row>
    <row r="1190" spans="1:15" thickBot="1" x14ac:dyDescent="0.35">
      <c r="A1190" s="702"/>
      <c r="B1190" s="736"/>
      <c r="C1190" s="92"/>
      <c r="D1190" s="92"/>
      <c r="E1190" s="92"/>
      <c r="F1190" s="795"/>
      <c r="G1190" s="737"/>
      <c r="H1190" s="737"/>
      <c r="I1190" s="737"/>
      <c r="J1190" s="736"/>
      <c r="K1190" s="738"/>
      <c r="L1190" s="739"/>
      <c r="M1190" s="739"/>
      <c r="N1190" s="1914"/>
      <c r="O1190" s="740"/>
    </row>
    <row r="1191" spans="1:15" ht="15" x14ac:dyDescent="0.35">
      <c r="A1191" s="702"/>
      <c r="B1191" s="2142" t="s">
        <v>1339</v>
      </c>
      <c r="C1191" s="2143"/>
      <c r="D1191" s="683" t="s">
        <v>14</v>
      </c>
      <c r="E1191"/>
      <c r="F1191" s="2144" t="s">
        <v>1350</v>
      </c>
      <c r="G1191" s="2145"/>
      <c r="H1191" s="2146"/>
      <c r="I1191" s="683" t="s">
        <v>14</v>
      </c>
      <c r="K1191" s="2147" t="s">
        <v>1092</v>
      </c>
      <c r="L1191" s="2148"/>
      <c r="M1191" s="684" t="s">
        <v>14</v>
      </c>
      <c r="N1191" s="1914"/>
      <c r="O1191" s="740"/>
    </row>
    <row r="1192" spans="1:15" ht="15" x14ac:dyDescent="0.35">
      <c r="A1192" s="702"/>
      <c r="B1192" s="2122" t="str">
        <f>B1173</f>
        <v xml:space="preserve"> 33 KV SIDE</v>
      </c>
      <c r="C1192" s="2123"/>
      <c r="D1192" s="689">
        <f>K1180</f>
        <v>7257872</v>
      </c>
      <c r="E1192"/>
      <c r="F1192" s="2124" t="s">
        <v>1093</v>
      </c>
      <c r="G1192" s="2125"/>
      <c r="H1192" s="2126"/>
      <c r="I1192" s="685">
        <f>L1184</f>
        <v>0</v>
      </c>
      <c r="K1192" s="2160" t="str">
        <f>F1193</f>
        <v>MUGDAPARA HOSPITAL 33 KV NET IMPORT</v>
      </c>
      <c r="L1192" s="2161"/>
      <c r="M1192" s="687">
        <f>I1193</f>
        <v>7257872</v>
      </c>
      <c r="N1192" s="1914"/>
      <c r="O1192" s="740"/>
    </row>
    <row r="1193" spans="1:15" ht="15" x14ac:dyDescent="0.35">
      <c r="A1193" s="702"/>
      <c r="B1193" s="2122" t="s">
        <v>1116</v>
      </c>
      <c r="C1193" s="2123"/>
      <c r="D1193" s="741"/>
      <c r="E1193"/>
      <c r="F1193" s="2124" t="s">
        <v>1624</v>
      </c>
      <c r="G1193" s="2125"/>
      <c r="H1193" s="2126"/>
      <c r="I1193" s="685">
        <f>D1196-I1192</f>
        <v>7257872</v>
      </c>
      <c r="K1193" s="2162" t="s">
        <v>1625</v>
      </c>
      <c r="L1193" s="2163"/>
      <c r="M1193" s="685">
        <f>M1225</f>
        <v>0</v>
      </c>
      <c r="N1193" s="1914"/>
      <c r="O1193" s="740"/>
    </row>
    <row r="1194" spans="1:15" ht="15" x14ac:dyDescent="0.35">
      <c r="A1194" s="702"/>
      <c r="B1194" s="2122" t="s">
        <v>1117</v>
      </c>
      <c r="C1194" s="2123"/>
      <c r="D1194" s="721"/>
      <c r="E1194"/>
      <c r="F1194" s="2124" t="s">
        <v>1089</v>
      </c>
      <c r="G1194" s="2125"/>
      <c r="H1194" s="2126"/>
      <c r="I1194" s="685">
        <f>I1192+I1193</f>
        <v>7257872</v>
      </c>
      <c r="K1194" s="2127" t="s">
        <v>284</v>
      </c>
      <c r="L1194" s="2128"/>
      <c r="M1194" s="685">
        <f>M1192-M1193</f>
        <v>7257872</v>
      </c>
      <c r="N1194" s="1914"/>
      <c r="O1194" s="740"/>
    </row>
    <row r="1195" spans="1:15" ht="16" thickBot="1" x14ac:dyDescent="0.4">
      <c r="A1195" s="702"/>
      <c r="B1195" s="2122" t="s">
        <v>1118</v>
      </c>
      <c r="C1195" s="2123"/>
      <c r="D1195" s="722"/>
      <c r="E1195"/>
      <c r="F1195" s="2113" t="s">
        <v>1546</v>
      </c>
      <c r="G1195" s="2114"/>
      <c r="H1195" s="2115"/>
      <c r="I1195" s="690">
        <f>(D1196-I1194)/I1194</f>
        <v>0</v>
      </c>
      <c r="K1195" s="2134" t="s">
        <v>285</v>
      </c>
      <c r="L1195" s="2135"/>
      <c r="M1195" s="688">
        <f>M1194/M1192</f>
        <v>1</v>
      </c>
      <c r="N1195" s="1914"/>
      <c r="O1195" s="740"/>
    </row>
    <row r="1196" spans="1:15" thickBot="1" x14ac:dyDescent="0.4">
      <c r="A1196" s="702"/>
      <c r="B1196" s="2158" t="s">
        <v>1082</v>
      </c>
      <c r="C1196" s="2159"/>
      <c r="D1196" s="686">
        <f>SUM(D1192:D1194)</f>
        <v>7257872</v>
      </c>
      <c r="E1196"/>
      <c r="N1196" s="1914"/>
      <c r="O1196" s="740"/>
    </row>
    <row r="1197" spans="1:15" ht="15" x14ac:dyDescent="0.3">
      <c r="A1197" s="702"/>
      <c r="B1197" s="736"/>
      <c r="C1197" s="92"/>
      <c r="D1197" s="92"/>
      <c r="E1197" s="92"/>
      <c r="F1197" s="795"/>
      <c r="G1197" s="737"/>
      <c r="H1197" s="737"/>
      <c r="I1197" s="737"/>
      <c r="J1197" s="736"/>
      <c r="K1197" s="738"/>
      <c r="L1197" s="739"/>
      <c r="M1197" s="739"/>
      <c r="N1197" s="1914"/>
      <c r="O1197" s="740"/>
    </row>
    <row r="1198" spans="1:15" x14ac:dyDescent="0.35">
      <c r="B1198" s="632"/>
      <c r="C1198" s="620"/>
      <c r="D1198" s="728"/>
      <c r="E1198" s="620"/>
      <c r="N1198" s="1469"/>
    </row>
    <row r="1199" spans="1:15" x14ac:dyDescent="0.35">
      <c r="B1199" s="632"/>
      <c r="C1199" s="620"/>
      <c r="D1199" s="728"/>
      <c r="E1199" s="620"/>
      <c r="N1199" s="1469"/>
    </row>
    <row r="1200" spans="1:15" ht="105" x14ac:dyDescent="0.3">
      <c r="A1200" s="2095" t="s">
        <v>1155</v>
      </c>
      <c r="B1200" s="2095"/>
      <c r="C1200" s="2095"/>
      <c r="D1200" s="2095"/>
      <c r="E1200" s="2095"/>
      <c r="F1200" s="2095"/>
      <c r="G1200" s="2095"/>
      <c r="H1200" s="2095"/>
      <c r="I1200" s="2095"/>
      <c r="J1200" s="2095"/>
      <c r="K1200" s="2095"/>
      <c r="L1200" s="2095"/>
      <c r="M1200" s="2095"/>
      <c r="N1200" s="2095"/>
      <c r="O1200" s="756" t="str">
        <f>$O$6</f>
        <v>Month December-2022</v>
      </c>
    </row>
    <row r="1201" spans="1:15" x14ac:dyDescent="0.35">
      <c r="A1201" s="2096" t="s">
        <v>0</v>
      </c>
      <c r="B1201" s="2098" t="s">
        <v>1</v>
      </c>
      <c r="C1201" s="2100" t="s">
        <v>2</v>
      </c>
      <c r="D1201" s="2101"/>
      <c r="E1201" s="2102"/>
      <c r="F1201" s="2230" t="s">
        <v>3</v>
      </c>
      <c r="G1201" s="2100" t="s">
        <v>4</v>
      </c>
      <c r="H1201" s="2102"/>
      <c r="I1201" s="2085"/>
      <c r="J1201" s="2103" t="s">
        <v>5</v>
      </c>
      <c r="K1201" s="2100" t="s">
        <v>6</v>
      </c>
      <c r="L1201" s="2085"/>
      <c r="M1201" s="97" t="s">
        <v>32</v>
      </c>
      <c r="N1201" s="98"/>
      <c r="O1201" s="2084" t="s">
        <v>7</v>
      </c>
    </row>
    <row r="1202" spans="1:15" x14ac:dyDescent="0.3">
      <c r="A1202" s="2097"/>
      <c r="B1202" s="2099"/>
      <c r="C1202" s="2086" t="s">
        <v>1108</v>
      </c>
      <c r="D1202" s="2087"/>
      <c r="E1202" s="87" t="s">
        <v>9</v>
      </c>
      <c r="F1202" s="2229"/>
      <c r="G1202" s="2">
        <f>'NORTH-1'!$G$8</f>
        <v>44774</v>
      </c>
      <c r="H1202" s="2">
        <f>'NORTH-1'!$H$8</f>
        <v>44805</v>
      </c>
      <c r="I1202" s="1" t="s">
        <v>10</v>
      </c>
      <c r="J1202" s="2097"/>
      <c r="K1202" s="1" t="s">
        <v>11</v>
      </c>
      <c r="L1202" s="1" t="s">
        <v>12</v>
      </c>
      <c r="M1202" s="617" t="s">
        <v>33</v>
      </c>
      <c r="N1202" s="76" t="s">
        <v>47</v>
      </c>
      <c r="O1202" s="2085"/>
    </row>
    <row r="1203" spans="1:15" x14ac:dyDescent="0.3">
      <c r="A1203" s="3">
        <v>1</v>
      </c>
      <c r="B1203" s="88">
        <v>2</v>
      </c>
      <c r="C1203" s="2088">
        <v>4</v>
      </c>
      <c r="D1203" s="2089"/>
      <c r="E1203" s="88">
        <v>5</v>
      </c>
      <c r="F1203" s="786">
        <v>7</v>
      </c>
      <c r="G1203" s="3">
        <v>8</v>
      </c>
      <c r="H1203" s="3">
        <v>9</v>
      </c>
      <c r="I1203" s="3" t="s">
        <v>13</v>
      </c>
      <c r="J1203" s="3">
        <v>11</v>
      </c>
      <c r="K1203" s="3" t="s">
        <v>19</v>
      </c>
      <c r="L1203" s="3" t="s">
        <v>20</v>
      </c>
      <c r="M1203" s="3">
        <v>14</v>
      </c>
      <c r="N1203" s="77">
        <v>15</v>
      </c>
      <c r="O1203" s="3">
        <v>16</v>
      </c>
    </row>
    <row r="1204" spans="1:15" x14ac:dyDescent="0.35">
      <c r="A1204" s="631"/>
      <c r="B1204" s="624" t="s">
        <v>1626</v>
      </c>
      <c r="C1204" s="625"/>
      <c r="D1204" s="625"/>
      <c r="E1204" s="625"/>
      <c r="F1204" s="787"/>
      <c r="G1204" s="625"/>
      <c r="H1204" s="625"/>
      <c r="I1204" s="625"/>
      <c r="J1204" s="625"/>
      <c r="K1204" s="695"/>
      <c r="L1204" s="625"/>
      <c r="M1204" s="626"/>
      <c r="N1204" s="627"/>
      <c r="O1204" s="616"/>
    </row>
    <row r="1205" spans="1:15" x14ac:dyDescent="0.35">
      <c r="A1205" s="631">
        <v>1</v>
      </c>
      <c r="B1205" s="100" t="s">
        <v>3615</v>
      </c>
      <c r="C1205" s="52">
        <v>11</v>
      </c>
      <c r="D1205" s="1770" t="s">
        <v>339</v>
      </c>
      <c r="E1205" s="52">
        <v>192</v>
      </c>
      <c r="F1205" s="4">
        <v>1</v>
      </c>
      <c r="G1205" s="21">
        <v>219694704</v>
      </c>
      <c r="H1205" s="21">
        <v>224528512</v>
      </c>
      <c r="I1205" s="21">
        <f>H1205-G1205</f>
        <v>4833808</v>
      </c>
      <c r="J1205" s="616">
        <v>1</v>
      </c>
      <c r="K1205" s="696">
        <f>J1205*I1205*F1205</f>
        <v>4833808</v>
      </c>
      <c r="L1205" s="22"/>
      <c r="M1205" s="22"/>
      <c r="N1205" s="82"/>
      <c r="O1205" s="616"/>
    </row>
    <row r="1206" spans="1:15" x14ac:dyDescent="0.35">
      <c r="A1206" s="631">
        <v>2</v>
      </c>
      <c r="B1206" s="100" t="s">
        <v>3617</v>
      </c>
      <c r="C1206" s="52">
        <v>11</v>
      </c>
      <c r="D1206" s="1772" t="s">
        <v>339</v>
      </c>
      <c r="E1206" s="52">
        <v>118</v>
      </c>
      <c r="F1206" s="4">
        <v>1</v>
      </c>
      <c r="G1206" s="21">
        <v>167743888</v>
      </c>
      <c r="H1206" s="21">
        <v>170121888</v>
      </c>
      <c r="I1206" s="21">
        <f>H1206-G1206</f>
        <v>2378000</v>
      </c>
      <c r="J1206" s="616">
        <v>1</v>
      </c>
      <c r="K1206" s="696">
        <f>J1206*I1206*F1206</f>
        <v>2378000</v>
      </c>
      <c r="L1206" s="22"/>
      <c r="M1206" s="22"/>
      <c r="N1206" s="82"/>
      <c r="O1206" s="616"/>
    </row>
    <row r="1207" spans="1:15" x14ac:dyDescent="0.35">
      <c r="A1207" s="631"/>
      <c r="B1207" s="102"/>
      <c r="C1207" s="91"/>
      <c r="D1207" s="726"/>
      <c r="E1207" s="91"/>
      <c r="F1207" s="47"/>
      <c r="G1207" s="48"/>
      <c r="H1207" s="48"/>
      <c r="I1207" s="48"/>
      <c r="J1207" s="39" t="s">
        <v>30</v>
      </c>
      <c r="K1207" s="43">
        <f>SUM(K1205:K1206)</f>
        <v>7211808</v>
      </c>
      <c r="L1207" s="49"/>
      <c r="M1207" s="43">
        <f>SUM(M1205:M1206)</f>
        <v>0</v>
      </c>
      <c r="N1207" s="85"/>
      <c r="O1207" s="616"/>
    </row>
    <row r="1208" spans="1:15" x14ac:dyDescent="0.35">
      <c r="A1208" s="631"/>
      <c r="B1208" s="647" t="s">
        <v>1626</v>
      </c>
      <c r="C1208" s="648"/>
      <c r="D1208" s="648"/>
      <c r="E1208" s="648"/>
      <c r="F1208" s="789"/>
      <c r="G1208" s="648"/>
      <c r="H1208" s="648"/>
      <c r="I1208" s="648"/>
      <c r="J1208" s="50"/>
      <c r="K1208" s="710"/>
      <c r="L1208" s="51"/>
      <c r="M1208" s="51"/>
      <c r="N1208" s="649"/>
      <c r="O1208" s="616"/>
    </row>
    <row r="1209" spans="1:15" ht="15.75" customHeight="1" x14ac:dyDescent="0.35">
      <c r="A1209" s="631">
        <v>1</v>
      </c>
      <c r="B1209" s="100" t="s">
        <v>3713</v>
      </c>
      <c r="C1209" s="73">
        <v>11</v>
      </c>
      <c r="D1209" s="1781"/>
      <c r="E1209" s="52">
        <v>93</v>
      </c>
      <c r="F1209" s="4">
        <v>1</v>
      </c>
      <c r="G1209" s="6">
        <v>35886632</v>
      </c>
      <c r="H1209" s="6">
        <v>36315672</v>
      </c>
      <c r="I1209" s="20">
        <f t="shared" ref="I1209:I1224" si="47">H1209-G1209</f>
        <v>429040</v>
      </c>
      <c r="J1209" s="616">
        <v>1</v>
      </c>
      <c r="K1209" s="703"/>
      <c r="L1209" s="22">
        <f t="shared" ref="L1209:L1224" si="48">J1209*I1209*F1209</f>
        <v>429040</v>
      </c>
      <c r="M1209" s="22"/>
      <c r="N1209" s="72" t="s">
        <v>96</v>
      </c>
      <c r="O1209" s="15"/>
    </row>
    <row r="1210" spans="1:15" x14ac:dyDescent="0.35">
      <c r="A1210" s="631">
        <v>2</v>
      </c>
      <c r="B1210" s="100" t="s">
        <v>3714</v>
      </c>
      <c r="C1210" s="73">
        <v>11</v>
      </c>
      <c r="D1210" s="1782"/>
      <c r="E1210" s="52"/>
      <c r="F1210" s="4">
        <v>1</v>
      </c>
      <c r="G1210" s="6">
        <v>38529704</v>
      </c>
      <c r="H1210" s="6">
        <v>39924664</v>
      </c>
      <c r="I1210" s="20">
        <f t="shared" si="47"/>
        <v>1394960</v>
      </c>
      <c r="J1210" s="616">
        <v>1</v>
      </c>
      <c r="K1210" s="703"/>
      <c r="L1210" s="22">
        <f t="shared" si="48"/>
        <v>1394960</v>
      </c>
      <c r="M1210" s="22"/>
      <c r="N1210" s="72" t="s">
        <v>98</v>
      </c>
      <c r="O1210" s="15"/>
    </row>
    <row r="1211" spans="1:15" x14ac:dyDescent="0.35">
      <c r="A1211" s="631">
        <v>3</v>
      </c>
      <c r="B1211" s="100" t="s">
        <v>3715</v>
      </c>
      <c r="C1211" s="73">
        <v>11</v>
      </c>
      <c r="D1211" s="1782"/>
      <c r="E1211" s="52">
        <v>145</v>
      </c>
      <c r="F1211" s="4">
        <v>1</v>
      </c>
      <c r="G1211" s="6">
        <v>27692052</v>
      </c>
      <c r="H1211" s="6">
        <v>28255532</v>
      </c>
      <c r="I1211" s="20">
        <f t="shared" si="47"/>
        <v>563480</v>
      </c>
      <c r="J1211" s="616">
        <v>1</v>
      </c>
      <c r="K1211" s="703"/>
      <c r="L1211" s="22">
        <f t="shared" si="48"/>
        <v>563480</v>
      </c>
      <c r="M1211" s="22"/>
      <c r="N1211" s="72" t="s">
        <v>105</v>
      </c>
      <c r="O1211" s="15"/>
    </row>
    <row r="1212" spans="1:15" x14ac:dyDescent="0.35">
      <c r="A1212" s="631">
        <v>4</v>
      </c>
      <c r="B1212" s="100" t="s">
        <v>3716</v>
      </c>
      <c r="C1212" s="73">
        <v>11</v>
      </c>
      <c r="D1212" s="1782"/>
      <c r="E1212" s="52">
        <v>128</v>
      </c>
      <c r="F1212" s="4">
        <v>1</v>
      </c>
      <c r="G1212" s="6">
        <v>29123768</v>
      </c>
      <c r="H1212" s="6">
        <v>30040566</v>
      </c>
      <c r="I1212" s="20">
        <f t="shared" si="47"/>
        <v>916798</v>
      </c>
      <c r="J1212" s="616">
        <v>1</v>
      </c>
      <c r="K1212" s="703"/>
      <c r="L1212" s="22">
        <f t="shared" si="48"/>
        <v>916798</v>
      </c>
      <c r="M1212" s="22"/>
      <c r="N1212" s="72" t="s">
        <v>96</v>
      </c>
      <c r="O1212" s="15"/>
    </row>
    <row r="1213" spans="1:15" x14ac:dyDescent="0.35">
      <c r="A1213" s="631">
        <v>5</v>
      </c>
      <c r="B1213" s="100" t="s">
        <v>3717</v>
      </c>
      <c r="C1213" s="73">
        <v>11</v>
      </c>
      <c r="D1213" s="1782"/>
      <c r="E1213" s="52">
        <v>8</v>
      </c>
      <c r="F1213" s="4">
        <v>1</v>
      </c>
      <c r="G1213" s="6">
        <v>13487887</v>
      </c>
      <c r="H1213" s="6">
        <v>13715847</v>
      </c>
      <c r="I1213" s="20">
        <f t="shared" si="47"/>
        <v>227960</v>
      </c>
      <c r="J1213" s="616">
        <v>1.33</v>
      </c>
      <c r="K1213" s="703"/>
      <c r="L1213" s="22">
        <f t="shared" si="48"/>
        <v>303186.8</v>
      </c>
      <c r="M1213" s="22"/>
      <c r="N1213" s="72" t="s">
        <v>105</v>
      </c>
      <c r="O1213" s="15"/>
    </row>
    <row r="1214" spans="1:15" x14ac:dyDescent="0.35">
      <c r="A1214" s="631">
        <v>6</v>
      </c>
      <c r="B1214" s="100" t="s">
        <v>3718</v>
      </c>
      <c r="C1214" s="73">
        <v>11</v>
      </c>
      <c r="D1214" s="1782"/>
      <c r="E1214" s="52">
        <v>119</v>
      </c>
      <c r="F1214" s="4">
        <v>1</v>
      </c>
      <c r="G1214" s="6">
        <v>14379285</v>
      </c>
      <c r="H1214" s="6">
        <v>14701564</v>
      </c>
      <c r="I1214" s="20">
        <f t="shared" si="47"/>
        <v>322279</v>
      </c>
      <c r="J1214" s="616">
        <v>1</v>
      </c>
      <c r="K1214" s="703"/>
      <c r="L1214" s="22">
        <f t="shared" si="48"/>
        <v>322279</v>
      </c>
      <c r="M1214" s="22"/>
      <c r="N1214" s="72" t="s">
        <v>89</v>
      </c>
      <c r="O1214" s="15"/>
    </row>
    <row r="1215" spans="1:15" x14ac:dyDescent="0.35">
      <c r="A1215" s="631">
        <v>7</v>
      </c>
      <c r="B1215" s="100" t="s">
        <v>3719</v>
      </c>
      <c r="C1215" s="73">
        <v>11</v>
      </c>
      <c r="D1215" s="1782"/>
      <c r="E1215" s="52"/>
      <c r="F1215" s="4">
        <v>1</v>
      </c>
      <c r="G1215" s="6">
        <v>4164829</v>
      </c>
      <c r="H1215" s="6">
        <v>4303429</v>
      </c>
      <c r="I1215" s="20">
        <f t="shared" si="47"/>
        <v>138600</v>
      </c>
      <c r="J1215" s="616">
        <v>1</v>
      </c>
      <c r="K1215" s="703"/>
      <c r="L1215" s="22">
        <f t="shared" si="48"/>
        <v>138600</v>
      </c>
      <c r="M1215" s="22"/>
      <c r="N1215" s="72" t="s">
        <v>105</v>
      </c>
      <c r="O1215" s="15"/>
    </row>
    <row r="1216" spans="1:15" x14ac:dyDescent="0.35">
      <c r="A1216" s="631">
        <v>8</v>
      </c>
      <c r="B1216" s="100" t="s">
        <v>3720</v>
      </c>
      <c r="C1216" s="73">
        <v>11</v>
      </c>
      <c r="D1216" s="1782"/>
      <c r="E1216" s="52">
        <v>7</v>
      </c>
      <c r="F1216" s="4">
        <v>1</v>
      </c>
      <c r="G1216" s="6">
        <v>40343420</v>
      </c>
      <c r="H1216" s="6">
        <v>41012060</v>
      </c>
      <c r="I1216" s="20">
        <f t="shared" si="47"/>
        <v>668640</v>
      </c>
      <c r="J1216" s="616">
        <v>1.2</v>
      </c>
      <c r="K1216" s="703"/>
      <c r="L1216" s="22">
        <f t="shared" si="48"/>
        <v>802368</v>
      </c>
      <c r="M1216" s="22"/>
      <c r="N1216" s="72" t="s">
        <v>105</v>
      </c>
      <c r="O1216" s="15"/>
    </row>
    <row r="1217" spans="1:15" x14ac:dyDescent="0.35">
      <c r="A1217" s="631">
        <v>1</v>
      </c>
      <c r="B1217" s="100" t="s">
        <v>3721</v>
      </c>
      <c r="C1217" s="73">
        <v>11</v>
      </c>
      <c r="D1217" s="1782"/>
      <c r="E1217" s="52">
        <v>120</v>
      </c>
      <c r="F1217" s="4">
        <v>1</v>
      </c>
      <c r="G1217" s="6">
        <v>40681100</v>
      </c>
      <c r="H1217" s="6">
        <v>41251020</v>
      </c>
      <c r="I1217" s="20">
        <f t="shared" si="47"/>
        <v>569920</v>
      </c>
      <c r="J1217" s="616">
        <v>1</v>
      </c>
      <c r="K1217" s="703"/>
      <c r="L1217" s="22">
        <f t="shared" si="48"/>
        <v>569920</v>
      </c>
      <c r="M1217" s="22"/>
      <c r="N1217" s="72" t="s">
        <v>98</v>
      </c>
      <c r="O1217" s="15"/>
    </row>
    <row r="1218" spans="1:15" x14ac:dyDescent="0.35">
      <c r="A1218" s="631">
        <v>2</v>
      </c>
      <c r="B1218" s="100" t="s">
        <v>3722</v>
      </c>
      <c r="C1218" s="73">
        <v>11</v>
      </c>
      <c r="D1218" s="1782"/>
      <c r="E1218" s="52">
        <v>117</v>
      </c>
      <c r="F1218" s="4">
        <v>1</v>
      </c>
      <c r="G1218" s="6">
        <v>29143768</v>
      </c>
      <c r="H1218" s="6">
        <v>29497368</v>
      </c>
      <c r="I1218" s="20">
        <f t="shared" si="47"/>
        <v>353600</v>
      </c>
      <c r="J1218" s="616">
        <v>1</v>
      </c>
      <c r="K1218" s="703"/>
      <c r="L1218" s="22">
        <f t="shared" si="48"/>
        <v>353600</v>
      </c>
      <c r="M1218" s="22"/>
      <c r="N1218" s="72" t="s">
        <v>96</v>
      </c>
      <c r="O1218" s="15"/>
    </row>
    <row r="1219" spans="1:15" x14ac:dyDescent="0.35">
      <c r="A1219" s="631">
        <v>3</v>
      </c>
      <c r="B1219" s="100" t="s">
        <v>3723</v>
      </c>
      <c r="C1219" s="73">
        <v>11</v>
      </c>
      <c r="D1219" s="1782"/>
      <c r="E1219" s="52">
        <v>97</v>
      </c>
      <c r="F1219" s="4">
        <v>1</v>
      </c>
      <c r="G1219" s="6">
        <v>4830028</v>
      </c>
      <c r="H1219" s="6">
        <v>4845548</v>
      </c>
      <c r="I1219" s="20">
        <f t="shared" si="47"/>
        <v>15520</v>
      </c>
      <c r="J1219" s="616">
        <v>1</v>
      </c>
      <c r="K1219" s="703"/>
      <c r="L1219" s="22">
        <f t="shared" si="48"/>
        <v>15520</v>
      </c>
      <c r="M1219" s="22"/>
      <c r="N1219" s="72" t="s">
        <v>105</v>
      </c>
      <c r="O1219" s="15"/>
    </row>
    <row r="1220" spans="1:15" x14ac:dyDescent="0.35">
      <c r="A1220" s="631">
        <v>4</v>
      </c>
      <c r="B1220" s="100" t="s">
        <v>3724</v>
      </c>
      <c r="C1220" s="73">
        <v>11</v>
      </c>
      <c r="D1220" s="1782"/>
      <c r="E1220" s="52">
        <v>98</v>
      </c>
      <c r="F1220" s="4">
        <v>1</v>
      </c>
      <c r="G1220" s="6">
        <v>20037592</v>
      </c>
      <c r="H1220" s="6">
        <v>20259630</v>
      </c>
      <c r="I1220" s="20">
        <f t="shared" si="47"/>
        <v>222038</v>
      </c>
      <c r="J1220" s="616">
        <v>1</v>
      </c>
      <c r="K1220" s="703"/>
      <c r="L1220" s="22">
        <f t="shared" si="48"/>
        <v>222038</v>
      </c>
      <c r="M1220" s="22"/>
      <c r="N1220" s="72" t="s">
        <v>96</v>
      </c>
      <c r="O1220" s="15"/>
    </row>
    <row r="1221" spans="1:15" x14ac:dyDescent="0.35">
      <c r="A1221" s="631">
        <v>5</v>
      </c>
      <c r="B1221" s="100" t="s">
        <v>3725</v>
      </c>
      <c r="C1221" s="73">
        <v>11</v>
      </c>
      <c r="D1221" s="1782"/>
      <c r="E1221" s="52">
        <v>99</v>
      </c>
      <c r="F1221" s="4">
        <v>1</v>
      </c>
      <c r="G1221" s="6">
        <v>18870874</v>
      </c>
      <c r="H1221" s="6">
        <v>19146994</v>
      </c>
      <c r="I1221" s="20">
        <f t="shared" si="47"/>
        <v>276120</v>
      </c>
      <c r="J1221" s="616">
        <v>1</v>
      </c>
      <c r="K1221" s="703"/>
      <c r="L1221" s="22">
        <f t="shared" si="48"/>
        <v>276120</v>
      </c>
      <c r="M1221" s="22"/>
      <c r="N1221" s="72" t="s">
        <v>105</v>
      </c>
      <c r="O1221" s="15"/>
    </row>
    <row r="1222" spans="1:15" x14ac:dyDescent="0.35">
      <c r="A1222" s="631">
        <v>6</v>
      </c>
      <c r="B1222" s="100" t="s">
        <v>3726</v>
      </c>
      <c r="C1222" s="73">
        <v>11</v>
      </c>
      <c r="D1222" s="1782"/>
      <c r="E1222" s="52">
        <v>9</v>
      </c>
      <c r="F1222" s="4">
        <v>1</v>
      </c>
      <c r="G1222" s="6">
        <v>55817344</v>
      </c>
      <c r="H1222" s="6">
        <v>56691820</v>
      </c>
      <c r="I1222" s="20">
        <f t="shared" si="47"/>
        <v>874476</v>
      </c>
      <c r="J1222" s="616">
        <v>1</v>
      </c>
      <c r="K1222" s="703"/>
      <c r="L1222" s="22">
        <f t="shared" si="48"/>
        <v>874476</v>
      </c>
      <c r="M1222" s="22"/>
      <c r="N1222" s="72" t="s">
        <v>98</v>
      </c>
      <c r="O1222" s="15"/>
    </row>
    <row r="1223" spans="1:15" x14ac:dyDescent="0.35">
      <c r="A1223" s="631">
        <v>7</v>
      </c>
      <c r="B1223" s="100" t="s">
        <v>3550</v>
      </c>
      <c r="C1223" s="73">
        <v>11</v>
      </c>
      <c r="D1223" s="1782"/>
      <c r="E1223" s="52"/>
      <c r="F1223" s="4">
        <v>1</v>
      </c>
      <c r="G1223" s="6">
        <v>2480</v>
      </c>
      <c r="H1223" s="6">
        <v>2497</v>
      </c>
      <c r="I1223" s="20">
        <f t="shared" si="47"/>
        <v>17</v>
      </c>
      <c r="J1223" s="616">
        <v>1000</v>
      </c>
      <c r="K1223" s="703"/>
      <c r="L1223" s="22">
        <f t="shared" si="48"/>
        <v>17000</v>
      </c>
      <c r="M1223" s="22"/>
      <c r="N1223" s="72" t="s">
        <v>105</v>
      </c>
      <c r="O1223" s="15"/>
    </row>
    <row r="1224" spans="1:15" x14ac:dyDescent="0.35">
      <c r="A1224" s="631">
        <v>8</v>
      </c>
      <c r="B1224" s="100" t="s">
        <v>3551</v>
      </c>
      <c r="C1224" s="73">
        <v>11</v>
      </c>
      <c r="D1224" s="1783"/>
      <c r="E1224" s="52"/>
      <c r="F1224" s="4">
        <v>1</v>
      </c>
      <c r="G1224" s="6">
        <v>8.5500000000000007</v>
      </c>
      <c r="H1224" s="6">
        <v>8.5500000000000007</v>
      </c>
      <c r="I1224" s="20">
        <f t="shared" si="47"/>
        <v>0</v>
      </c>
      <c r="J1224" s="616">
        <v>1000</v>
      </c>
      <c r="K1224" s="703"/>
      <c r="L1224" s="22">
        <f t="shared" si="48"/>
        <v>0</v>
      </c>
      <c r="M1224" s="22"/>
      <c r="N1224" s="72" t="s">
        <v>105</v>
      </c>
      <c r="O1224" s="15"/>
    </row>
    <row r="1225" spans="1:15" ht="28" x14ac:dyDescent="0.3">
      <c r="A1225" s="636"/>
      <c r="B1225" s="96"/>
      <c r="C1225" s="90"/>
      <c r="D1225" s="90"/>
      <c r="E1225" s="90"/>
      <c r="F1225" s="793"/>
      <c r="G1225" s="38"/>
      <c r="H1225" s="38"/>
      <c r="I1225" s="38"/>
      <c r="J1225" s="53" t="s">
        <v>44</v>
      </c>
      <c r="K1225" s="43">
        <f>K1207</f>
        <v>7211808</v>
      </c>
      <c r="L1225" s="43">
        <f>SUM(L1209:L1224)</f>
        <v>7199385.7999999998</v>
      </c>
      <c r="M1225" s="43">
        <f>SUM(M1209:M1224)</f>
        <v>0</v>
      </c>
      <c r="N1225" s="712">
        <f>(M1225-L1225)/L1225*100</f>
        <v>-100</v>
      </c>
      <c r="O1225" s="29"/>
    </row>
    <row r="1226" spans="1:15" x14ac:dyDescent="0.35">
      <c r="A1226"/>
      <c r="B1226"/>
      <c r="C1226"/>
      <c r="D1226"/>
      <c r="E1226"/>
      <c r="F1226" s="791"/>
      <c r="G1226"/>
      <c r="H1226"/>
      <c r="I1226"/>
      <c r="J1226"/>
      <c r="K1226"/>
      <c r="L1226"/>
      <c r="M1226"/>
      <c r="N1226" s="1451"/>
      <c r="O1226"/>
    </row>
    <row r="1227" spans="1:15" x14ac:dyDescent="0.35">
      <c r="E1227"/>
      <c r="F1227" s="2092" t="s">
        <v>1099</v>
      </c>
      <c r="G1227" s="2092"/>
      <c r="H1227" s="2092"/>
      <c r="I1227" s="677" t="s">
        <v>14</v>
      </c>
    </row>
    <row r="1228" spans="1:15" x14ac:dyDescent="0.35">
      <c r="E1228"/>
      <c r="F1228" s="2153" t="s">
        <v>232</v>
      </c>
      <c r="G1228" s="2154"/>
      <c r="H1228" s="2155"/>
      <c r="I1228" s="643">
        <f>SUM(M1209:M1210,M1218)</f>
        <v>0</v>
      </c>
      <c r="O1228" s="620" t="s">
        <v>237</v>
      </c>
    </row>
    <row r="1229" spans="1:15" x14ac:dyDescent="0.35">
      <c r="E1229"/>
      <c r="F1229" s="2153" t="s">
        <v>268</v>
      </c>
      <c r="G1229" s="2154"/>
      <c r="H1229" s="2155"/>
      <c r="I1229" s="643">
        <f>SUM(M1211:M1212,M1219,M1221,M1222,M1224)</f>
        <v>0</v>
      </c>
    </row>
    <row r="1230" spans="1:15" ht="16" thickBot="1" x14ac:dyDescent="0.4">
      <c r="E1230"/>
      <c r="F1230" s="2153" t="s">
        <v>269</v>
      </c>
      <c r="G1230" s="2154"/>
      <c r="H1230" s="2155"/>
      <c r="I1230" s="643">
        <f>SUM(M1220,M1223)</f>
        <v>0</v>
      </c>
    </row>
    <row r="1231" spans="1:15" ht="20.5" thickBot="1" x14ac:dyDescent="0.4">
      <c r="F1231" s="2156" t="s">
        <v>210</v>
      </c>
      <c r="G1231" s="2156"/>
      <c r="H1231" s="2156"/>
      <c r="I1231" s="656">
        <f>SUM(I1228:I1230)</f>
        <v>0</v>
      </c>
      <c r="J1231" s="682">
        <f>I1231-M1225</f>
        <v>0</v>
      </c>
    </row>
    <row r="1247" spans="1:15" ht="105" x14ac:dyDescent="0.3">
      <c r="A1247" s="2095" t="s">
        <v>1156</v>
      </c>
      <c r="B1247" s="2095"/>
      <c r="C1247" s="2095"/>
      <c r="D1247" s="2095"/>
      <c r="E1247" s="2095"/>
      <c r="F1247" s="2095"/>
      <c r="G1247" s="2095"/>
      <c r="H1247" s="2095"/>
      <c r="I1247" s="2095"/>
      <c r="J1247" s="2095"/>
      <c r="K1247" s="2095"/>
      <c r="L1247" s="2095"/>
      <c r="M1247" s="2095"/>
      <c r="N1247" s="2095"/>
      <c r="O1247" s="756" t="str">
        <f>$O$6</f>
        <v>Month December-2022</v>
      </c>
    </row>
    <row r="1248" spans="1:15" x14ac:dyDescent="0.35">
      <c r="A1248" s="2096" t="s">
        <v>0</v>
      </c>
      <c r="B1248" s="2098" t="s">
        <v>1</v>
      </c>
      <c r="C1248" s="2100" t="s">
        <v>2</v>
      </c>
      <c r="D1248" s="2101"/>
      <c r="E1248" s="2102"/>
      <c r="F1248" s="2230" t="s">
        <v>3</v>
      </c>
      <c r="G1248" s="2100" t="s">
        <v>4</v>
      </c>
      <c r="H1248" s="2102"/>
      <c r="I1248" s="2085"/>
      <c r="J1248" s="2103" t="s">
        <v>5</v>
      </c>
      <c r="K1248" s="2100" t="s">
        <v>6</v>
      </c>
      <c r="L1248" s="2085"/>
      <c r="M1248" s="97" t="s">
        <v>32</v>
      </c>
      <c r="N1248" s="98"/>
      <c r="O1248" s="2084" t="s">
        <v>7</v>
      </c>
    </row>
    <row r="1249" spans="1:15" x14ac:dyDescent="0.3">
      <c r="A1249" s="2097"/>
      <c r="B1249" s="2099"/>
      <c r="C1249" s="2086" t="s">
        <v>1108</v>
      </c>
      <c r="D1249" s="2087"/>
      <c r="E1249" s="87" t="s">
        <v>9</v>
      </c>
      <c r="F1249" s="2229"/>
      <c r="G1249" s="2">
        <f>'NORTH-1'!$G$8</f>
        <v>44774</v>
      </c>
      <c r="H1249" s="2">
        <f>'NORTH-1'!$H$8</f>
        <v>44805</v>
      </c>
      <c r="I1249" s="1" t="s">
        <v>10</v>
      </c>
      <c r="J1249" s="2097"/>
      <c r="K1249" s="1" t="s">
        <v>11</v>
      </c>
      <c r="L1249" s="1" t="s">
        <v>12</v>
      </c>
      <c r="M1249" s="617" t="s">
        <v>33</v>
      </c>
      <c r="N1249" s="76" t="s">
        <v>47</v>
      </c>
      <c r="O1249" s="2085"/>
    </row>
    <row r="1250" spans="1:15" x14ac:dyDescent="0.3">
      <c r="A1250" s="3">
        <v>1</v>
      </c>
      <c r="B1250" s="88">
        <v>2</v>
      </c>
      <c r="C1250" s="2088">
        <v>4</v>
      </c>
      <c r="D1250" s="2089"/>
      <c r="E1250" s="88">
        <v>5</v>
      </c>
      <c r="F1250" s="786">
        <v>7</v>
      </c>
      <c r="G1250" s="3">
        <v>8</v>
      </c>
      <c r="H1250" s="3">
        <v>9</v>
      </c>
      <c r="I1250" s="3" t="s">
        <v>13</v>
      </c>
      <c r="J1250" s="3">
        <v>11</v>
      </c>
      <c r="K1250" s="3" t="s">
        <v>19</v>
      </c>
      <c r="L1250" s="3" t="s">
        <v>20</v>
      </c>
      <c r="M1250" s="3">
        <v>14</v>
      </c>
      <c r="N1250" s="77">
        <v>15</v>
      </c>
      <c r="O1250" s="3">
        <v>16</v>
      </c>
    </row>
    <row r="1251" spans="1:15" x14ac:dyDescent="0.35">
      <c r="A1251" s="631"/>
      <c r="B1251" s="624" t="s">
        <v>1413</v>
      </c>
      <c r="C1251" s="625"/>
      <c r="D1251" s="625"/>
      <c r="E1251" s="625"/>
      <c r="F1251" s="787"/>
      <c r="G1251" s="625"/>
      <c r="H1251" s="625"/>
      <c r="I1251" s="625"/>
      <c r="J1251" s="625"/>
      <c r="K1251" s="695"/>
      <c r="L1251" s="625"/>
      <c r="M1251" s="626"/>
      <c r="N1251" s="627"/>
      <c r="O1251" s="616"/>
    </row>
    <row r="1252" spans="1:15" x14ac:dyDescent="0.3">
      <c r="A1252" s="11">
        <v>1</v>
      </c>
      <c r="B1252" s="100" t="s">
        <v>3727</v>
      </c>
      <c r="C1252" s="52">
        <v>33</v>
      </c>
      <c r="D1252" s="1859" t="s">
        <v>339</v>
      </c>
      <c r="E1252" s="52" t="s">
        <v>3728</v>
      </c>
      <c r="F1252" s="4">
        <v>1</v>
      </c>
      <c r="G1252" s="20">
        <v>39412</v>
      </c>
      <c r="H1252" s="20">
        <v>39610</v>
      </c>
      <c r="I1252" s="20">
        <f>H1252-G1252</f>
        <v>198</v>
      </c>
      <c r="J1252" s="616">
        <v>270</v>
      </c>
      <c r="K1252" s="696">
        <f>J1252*I1252*F1252</f>
        <v>53460</v>
      </c>
      <c r="L1252" s="22"/>
      <c r="M1252" s="22"/>
      <c r="N1252" s="82"/>
      <c r="O1252" s="9"/>
    </row>
    <row r="1253" spans="1:15" x14ac:dyDescent="0.3">
      <c r="A1253" s="11"/>
      <c r="B1253" s="100" t="s">
        <v>3729</v>
      </c>
      <c r="C1253" s="52">
        <v>33</v>
      </c>
      <c r="D1253" s="668" t="s">
        <v>339</v>
      </c>
      <c r="E1253" s="52"/>
      <c r="F1253" s="4"/>
      <c r="G1253" s="20"/>
      <c r="H1253" s="20"/>
      <c r="I1253" s="20">
        <f>H1253-G1253</f>
        <v>0</v>
      </c>
      <c r="J1253" s="616">
        <v>180</v>
      </c>
      <c r="K1253" s="696" t="s">
        <v>3582</v>
      </c>
      <c r="L1253" s="22"/>
      <c r="M1253" s="22"/>
      <c r="N1253" s="82"/>
      <c r="O1253" s="9"/>
    </row>
    <row r="1254" spans="1:15" x14ac:dyDescent="0.35">
      <c r="A1254" s="631">
        <v>2</v>
      </c>
      <c r="B1254" s="100" t="s">
        <v>3730</v>
      </c>
      <c r="C1254" s="52">
        <v>33</v>
      </c>
      <c r="D1254" s="668" t="s">
        <v>339</v>
      </c>
      <c r="E1254" s="52" t="s">
        <v>3731</v>
      </c>
      <c r="F1254" s="4">
        <v>1</v>
      </c>
      <c r="G1254" s="20">
        <v>770977</v>
      </c>
      <c r="H1254" s="20">
        <v>795976</v>
      </c>
      <c r="I1254" s="20">
        <f>H1254-G1254</f>
        <v>24999</v>
      </c>
      <c r="J1254" s="616">
        <v>180</v>
      </c>
      <c r="K1254" s="696">
        <f>J1254*I1254*F1254</f>
        <v>4499820</v>
      </c>
      <c r="L1254" s="22"/>
      <c r="M1254" s="22"/>
      <c r="N1254" s="82"/>
      <c r="O1254" s="616"/>
    </row>
    <row r="1255" spans="1:15" x14ac:dyDescent="0.35">
      <c r="A1255" s="631"/>
      <c r="B1255" s="102"/>
      <c r="C1255" s="91"/>
      <c r="D1255" s="726"/>
      <c r="E1255" s="745"/>
      <c r="F1255" s="746"/>
      <c r="G1255" s="747"/>
      <c r="H1255" s="747"/>
      <c r="I1255" s="747"/>
      <c r="J1255" s="748" t="s">
        <v>30</v>
      </c>
      <c r="K1255" s="750">
        <f>SUM(K1252:K1254)</f>
        <v>4553280</v>
      </c>
      <c r="L1255" s="750">
        <f>SUM(L1252:L1254)</f>
        <v>0</v>
      </c>
      <c r="M1255" s="750">
        <f>SUM(M1252:M1254)</f>
        <v>0</v>
      </c>
      <c r="N1255" s="1914"/>
      <c r="O1255" s="616"/>
    </row>
    <row r="1256" spans="1:15" x14ac:dyDescent="0.3">
      <c r="A1256" s="616"/>
      <c r="B1256" s="102"/>
      <c r="C1256" s="91"/>
      <c r="D1256" s="726"/>
      <c r="E1256" s="91"/>
      <c r="F1256" s="47"/>
      <c r="G1256" s="48"/>
      <c r="H1256" s="48"/>
      <c r="I1256" s="36"/>
      <c r="J1256" s="96" t="s">
        <v>30</v>
      </c>
      <c r="K1256" s="706"/>
      <c r="L1256" s="43"/>
      <c r="M1256" s="43"/>
      <c r="N1256" s="85"/>
      <c r="O1256" s="12"/>
    </row>
    <row r="1257" spans="1:15" x14ac:dyDescent="0.3">
      <c r="A1257" s="616"/>
      <c r="B1257" s="624" t="s">
        <v>1422</v>
      </c>
      <c r="C1257" s="625"/>
      <c r="D1257" s="625"/>
      <c r="E1257" s="625"/>
      <c r="F1257" s="787"/>
      <c r="G1257" s="625"/>
      <c r="H1257" s="625"/>
      <c r="I1257" s="625"/>
      <c r="J1257" s="732"/>
      <c r="K1257" s="733"/>
      <c r="L1257" s="734"/>
      <c r="M1257" s="734"/>
      <c r="N1257" s="627"/>
      <c r="O1257" s="12"/>
    </row>
    <row r="1258" spans="1:15" x14ac:dyDescent="0.3">
      <c r="A1258" s="616"/>
      <c r="B1258" s="100" t="s">
        <v>1423</v>
      </c>
      <c r="C1258" s="52">
        <v>33</v>
      </c>
      <c r="D1258" s="2220" t="s">
        <v>1084</v>
      </c>
      <c r="E1258" s="52"/>
      <c r="F1258" s="4">
        <v>1</v>
      </c>
      <c r="G1258" s="21"/>
      <c r="H1258" s="21"/>
      <c r="I1258" s="20">
        <f>H1258-G1258</f>
        <v>0</v>
      </c>
      <c r="J1258" s="616"/>
      <c r="K1258" s="696"/>
      <c r="L1258" s="22">
        <f>J1258*I1258*F1258</f>
        <v>0</v>
      </c>
      <c r="M1258" s="22"/>
      <c r="N1258" s="82"/>
      <c r="O1258" s="12"/>
    </row>
    <row r="1259" spans="1:15" x14ac:dyDescent="0.3">
      <c r="A1259" s="616"/>
      <c r="B1259" s="100" t="s">
        <v>1424</v>
      </c>
      <c r="C1259" s="52">
        <v>33</v>
      </c>
      <c r="D1259" s="2221"/>
      <c r="E1259" s="52"/>
      <c r="F1259" s="4">
        <v>1</v>
      </c>
      <c r="G1259" s="21"/>
      <c r="H1259" s="21"/>
      <c r="I1259" s="20">
        <f>H1259-G1259</f>
        <v>0</v>
      </c>
      <c r="J1259" s="616"/>
      <c r="K1259" s="696"/>
      <c r="L1259" s="22">
        <f>J1259*I1259*F1259</f>
        <v>0</v>
      </c>
      <c r="M1259" s="22"/>
      <c r="N1259" s="82"/>
      <c r="O1259" s="12"/>
    </row>
    <row r="1260" spans="1:15" x14ac:dyDescent="0.3">
      <c r="A1260" s="616"/>
      <c r="B1260" s="100" t="s">
        <v>1425</v>
      </c>
      <c r="C1260" s="52">
        <v>33</v>
      </c>
      <c r="D1260" s="2221"/>
      <c r="E1260" s="52"/>
      <c r="F1260" s="4">
        <v>1</v>
      </c>
      <c r="G1260" s="21">
        <v>39412</v>
      </c>
      <c r="H1260" s="21">
        <v>39610</v>
      </c>
      <c r="I1260" s="20">
        <f>H1260-G1260</f>
        <v>198</v>
      </c>
      <c r="J1260" s="616">
        <v>270</v>
      </c>
      <c r="K1260" s="696"/>
      <c r="L1260" s="22">
        <f>J1260*I1260*F1260</f>
        <v>53460</v>
      </c>
      <c r="M1260" s="22"/>
      <c r="N1260" s="82"/>
      <c r="O1260" s="12"/>
    </row>
    <row r="1261" spans="1:15" x14ac:dyDescent="0.3">
      <c r="A1261" s="616"/>
      <c r="B1261" s="102" t="s">
        <v>1426</v>
      </c>
      <c r="C1261" s="52">
        <v>33</v>
      </c>
      <c r="D1261" s="2222"/>
      <c r="E1261" s="52"/>
      <c r="F1261" s="4">
        <v>1.08</v>
      </c>
      <c r="G1261" s="21">
        <v>770977</v>
      </c>
      <c r="H1261" s="21">
        <v>795976</v>
      </c>
      <c r="I1261" s="20">
        <f>H1261-G1261</f>
        <v>24999</v>
      </c>
      <c r="J1261" s="616">
        <v>180</v>
      </c>
      <c r="K1261" s="696"/>
      <c r="L1261" s="22">
        <f>J1261*I1261*F1261</f>
        <v>4859805.6000000006</v>
      </c>
      <c r="M1261" s="22"/>
      <c r="N1261" s="85"/>
      <c r="O1261" s="12"/>
    </row>
    <row r="1262" spans="1:15" x14ac:dyDescent="0.3">
      <c r="A1262" s="616"/>
      <c r="B1262" s="102"/>
      <c r="C1262" s="91"/>
      <c r="D1262" s="726"/>
      <c r="E1262" s="91"/>
      <c r="F1262" s="47"/>
      <c r="G1262" s="48"/>
      <c r="H1262" s="48"/>
      <c r="I1262" s="36"/>
      <c r="J1262" s="96" t="s">
        <v>30</v>
      </c>
      <c r="K1262" s="706"/>
      <c r="L1262" s="43">
        <f>SUM(L1258:L1261)</f>
        <v>4913265.6000000006</v>
      </c>
      <c r="M1262" s="43"/>
      <c r="N1262" s="85"/>
      <c r="O1262" s="12"/>
    </row>
    <row r="1263" spans="1:15" x14ac:dyDescent="0.3">
      <c r="A1263" s="616"/>
      <c r="B1263" s="647" t="s">
        <v>1427</v>
      </c>
      <c r="C1263" s="648"/>
      <c r="D1263" s="648"/>
      <c r="E1263" s="648"/>
      <c r="F1263" s="789"/>
      <c r="G1263" s="648"/>
      <c r="H1263" s="648"/>
      <c r="I1263" s="648"/>
      <c r="J1263" s="648"/>
      <c r="K1263" s="700"/>
      <c r="L1263" s="648"/>
      <c r="M1263" s="651"/>
      <c r="N1263" s="649"/>
      <c r="O1263" s="8"/>
    </row>
    <row r="1264" spans="1:15" x14ac:dyDescent="0.3">
      <c r="A1264" s="616"/>
      <c r="B1264" s="100" t="s">
        <v>1079</v>
      </c>
      <c r="C1264" s="52">
        <v>132</v>
      </c>
      <c r="D1264" s="2138" t="s">
        <v>1083</v>
      </c>
      <c r="E1264" s="615"/>
      <c r="F1264" s="4"/>
      <c r="G1264" s="5"/>
      <c r="H1264" s="5"/>
      <c r="I1264" s="5"/>
      <c r="J1264" s="616"/>
      <c r="K1264" s="696"/>
      <c r="L1264" s="16">
        <f>J1264*I1264*F1264</f>
        <v>0</v>
      </c>
      <c r="M1264" s="7"/>
      <c r="N1264" s="78"/>
      <c r="O1264" s="616"/>
    </row>
    <row r="1265" spans="1:15" x14ac:dyDescent="0.3">
      <c r="A1265" s="616"/>
      <c r="B1265" s="100" t="s">
        <v>1078</v>
      </c>
      <c r="C1265" s="52">
        <v>132</v>
      </c>
      <c r="D1265" s="2139"/>
      <c r="E1265" s="615"/>
      <c r="F1265" s="4"/>
      <c r="G1265" s="5"/>
      <c r="H1265" s="5"/>
      <c r="I1265" s="5"/>
      <c r="J1265" s="616"/>
      <c r="K1265" s="696"/>
      <c r="L1265" s="16">
        <f>J1265*I1265*F1265</f>
        <v>0</v>
      </c>
      <c r="M1265" s="16"/>
      <c r="N1265" s="79"/>
      <c r="O1265" s="616"/>
    </row>
    <row r="1266" spans="1:15" x14ac:dyDescent="0.35">
      <c r="A1266" s="616"/>
      <c r="B1266" s="95"/>
      <c r="C1266" s="89"/>
      <c r="D1266" s="89"/>
      <c r="E1266" s="89"/>
      <c r="F1266" s="788"/>
      <c r="G1266" s="37"/>
      <c r="H1266" s="37"/>
      <c r="I1266" s="37"/>
      <c r="J1266" s="95" t="s">
        <v>279</v>
      </c>
      <c r="K1266" s="699"/>
      <c r="L1266" s="55">
        <f>SUM(L1264:L1265)</f>
        <v>0</v>
      </c>
      <c r="M1266" s="633"/>
      <c r="N1266" s="631"/>
      <c r="O1266" s="616"/>
    </row>
    <row r="1267" spans="1:15" x14ac:dyDescent="0.3">
      <c r="A1267" s="616"/>
      <c r="B1267" s="102"/>
      <c r="C1267" s="91"/>
      <c r="D1267" s="726"/>
      <c r="E1267" s="91"/>
      <c r="F1267" s="47"/>
      <c r="G1267" s="48"/>
      <c r="H1267" s="48"/>
      <c r="I1267" s="36"/>
      <c r="J1267" s="96"/>
      <c r="K1267" s="706"/>
      <c r="L1267" s="43"/>
      <c r="M1267" s="43"/>
      <c r="N1267" s="85"/>
      <c r="O1267" s="12"/>
    </row>
    <row r="1268" spans="1:15" x14ac:dyDescent="0.3">
      <c r="A1268" s="636"/>
      <c r="B1268" s="647" t="s">
        <v>1428</v>
      </c>
      <c r="C1268" s="648"/>
      <c r="D1268" s="648"/>
      <c r="E1268" s="648"/>
      <c r="F1268" s="789"/>
      <c r="G1268" s="648"/>
      <c r="H1268" s="648"/>
      <c r="I1268" s="648"/>
      <c r="J1268" s="50"/>
      <c r="K1268" s="710"/>
      <c r="L1268" s="51"/>
      <c r="M1268" s="51"/>
      <c r="N1268" s="649"/>
      <c r="O1268" s="12"/>
    </row>
    <row r="1269" spans="1:15" x14ac:dyDescent="0.3">
      <c r="A1269" s="616">
        <v>3</v>
      </c>
      <c r="B1269" s="100" t="s">
        <v>3732</v>
      </c>
      <c r="C1269" s="52">
        <v>33</v>
      </c>
      <c r="D1269" s="2140" t="s">
        <v>326</v>
      </c>
      <c r="E1269" s="52" t="s">
        <v>3733</v>
      </c>
      <c r="F1269" s="4">
        <v>1</v>
      </c>
      <c r="G1269" s="21">
        <v>780818</v>
      </c>
      <c r="H1269" s="21">
        <v>781116</v>
      </c>
      <c r="I1269" s="21">
        <f>H1269-G1269</f>
        <v>298</v>
      </c>
      <c r="J1269" s="31">
        <v>180</v>
      </c>
      <c r="K1269" s="707"/>
      <c r="L1269" s="22">
        <f>J1269*I1269*F1269</f>
        <v>53640</v>
      </c>
      <c r="M1269" s="22"/>
      <c r="N1269" s="83"/>
      <c r="O1269" s="12"/>
    </row>
    <row r="1270" spans="1:15" x14ac:dyDescent="0.3">
      <c r="A1270" s="616">
        <v>4</v>
      </c>
      <c r="B1270" s="100" t="s">
        <v>3734</v>
      </c>
      <c r="C1270" s="52">
        <v>33</v>
      </c>
      <c r="D1270" s="2157" t="s">
        <v>326</v>
      </c>
      <c r="E1270" s="52" t="s">
        <v>3735</v>
      </c>
      <c r="F1270" s="4">
        <v>1</v>
      </c>
      <c r="G1270" s="21">
        <v>521311</v>
      </c>
      <c r="H1270" s="21">
        <v>546310</v>
      </c>
      <c r="I1270" s="21">
        <f>H1270-G1270</f>
        <v>24999</v>
      </c>
      <c r="J1270" s="31">
        <v>180</v>
      </c>
      <c r="K1270" s="707"/>
      <c r="L1270" s="22">
        <f>J1270*I1270*F1270</f>
        <v>4499820</v>
      </c>
      <c r="M1270" s="22"/>
      <c r="N1270" s="83"/>
      <c r="O1270" s="12"/>
    </row>
    <row r="1271" spans="1:15" ht="15" x14ac:dyDescent="0.3">
      <c r="A1271" s="636"/>
      <c r="B1271" s="96"/>
      <c r="C1271" s="90"/>
      <c r="D1271" s="90"/>
      <c r="E1271" s="90"/>
      <c r="F1271" s="793"/>
      <c r="G1271" s="38"/>
      <c r="H1271" s="38"/>
      <c r="I1271" s="38"/>
      <c r="J1271" s="96" t="s">
        <v>30</v>
      </c>
      <c r="K1271" s="708"/>
      <c r="L1271" s="43">
        <f>SUM(L1269:L1270)</f>
        <v>4553460</v>
      </c>
      <c r="M1271" s="43">
        <f>SUM(M1269:M1270)</f>
        <v>0</v>
      </c>
      <c r="N1271" s="712"/>
      <c r="O1271" s="12"/>
    </row>
    <row r="1272" spans="1:15" thickBot="1" x14ac:dyDescent="0.35">
      <c r="A1272" s="702"/>
      <c r="B1272" s="736"/>
      <c r="C1272" s="92"/>
      <c r="D1272" s="92"/>
      <c r="E1272" s="92"/>
      <c r="F1272" s="795"/>
      <c r="G1272" s="737"/>
      <c r="H1272" s="737"/>
      <c r="I1272" s="737"/>
      <c r="J1272" s="736"/>
      <c r="K1272" s="738"/>
      <c r="L1272" s="739"/>
      <c r="M1272" s="739"/>
      <c r="N1272" s="1914"/>
      <c r="O1272" s="740"/>
    </row>
    <row r="1273" spans="1:15" ht="15" x14ac:dyDescent="0.35">
      <c r="A1273" s="702"/>
      <c r="B1273" s="2142" t="s">
        <v>1339</v>
      </c>
      <c r="C1273" s="2143"/>
      <c r="D1273" s="683" t="s">
        <v>14</v>
      </c>
      <c r="E1273"/>
      <c r="F1273" s="2144" t="s">
        <v>1350</v>
      </c>
      <c r="G1273" s="2145"/>
      <c r="H1273" s="2146"/>
      <c r="I1273" s="683" t="s">
        <v>14</v>
      </c>
      <c r="K1273" s="2147" t="s">
        <v>1092</v>
      </c>
      <c r="L1273" s="2148"/>
      <c r="M1273" s="684" t="s">
        <v>14</v>
      </c>
      <c r="N1273" s="1914"/>
      <c r="O1273" s="740"/>
    </row>
    <row r="1274" spans="1:15" ht="15" x14ac:dyDescent="0.35">
      <c r="A1274" s="702"/>
      <c r="B1274" s="2122" t="str">
        <f>B1251</f>
        <v>Taltola 33 KV SIDE</v>
      </c>
      <c r="C1274" s="2123"/>
      <c r="D1274" s="689">
        <f>M1255</f>
        <v>0</v>
      </c>
      <c r="E1274"/>
      <c r="F1274" s="2124" t="s">
        <v>1093</v>
      </c>
      <c r="G1274" s="2125"/>
      <c r="H1274" s="2126"/>
      <c r="I1274" s="685">
        <f>L1266</f>
        <v>0</v>
      </c>
      <c r="K1274" s="2160" t="str">
        <f>F1275</f>
        <v>KHILGOAN 33 KV NET IMPORT</v>
      </c>
      <c r="L1274" s="2161"/>
      <c r="M1274" s="687" t="e">
        <f>I1275</f>
        <v>#REF!</v>
      </c>
      <c r="N1274" s="1914"/>
      <c r="O1274" s="740"/>
    </row>
    <row r="1275" spans="1:15" ht="15" x14ac:dyDescent="0.35">
      <c r="A1275" s="702"/>
      <c r="B1275" s="2122" t="e">
        <f>#REF!</f>
        <v>#REF!</v>
      </c>
      <c r="C1275" s="2123"/>
      <c r="D1275" s="741" t="e">
        <f>#REF!</f>
        <v>#REF!</v>
      </c>
      <c r="E1275"/>
      <c r="F1275" s="2124" t="s">
        <v>1429</v>
      </c>
      <c r="G1275" s="2125"/>
      <c r="H1275" s="2126"/>
      <c r="I1275" s="685" t="e">
        <f>D1278-I1274</f>
        <v>#REF!</v>
      </c>
      <c r="K1275" s="2162" t="s">
        <v>1627</v>
      </c>
      <c r="L1275" s="2163"/>
      <c r="M1275" s="685">
        <f>M1301</f>
        <v>0</v>
      </c>
      <c r="N1275" s="1914"/>
      <c r="O1275" s="740"/>
    </row>
    <row r="1276" spans="1:15" ht="15" x14ac:dyDescent="0.35">
      <c r="A1276" s="702"/>
      <c r="B1276" s="2122" t="e">
        <f>#REF!</f>
        <v>#REF!</v>
      </c>
      <c r="C1276" s="2123"/>
      <c r="D1276" s="741">
        <f>M1256</f>
        <v>0</v>
      </c>
      <c r="E1276"/>
      <c r="F1276" s="2124" t="s">
        <v>1089</v>
      </c>
      <c r="G1276" s="2125"/>
      <c r="H1276" s="2126"/>
      <c r="I1276" s="685" t="e">
        <f>I1274+I1275</f>
        <v>#REF!</v>
      </c>
      <c r="K1276" s="2127" t="s">
        <v>284</v>
      </c>
      <c r="L1276" s="2128"/>
      <c r="M1276" s="685" t="e">
        <f>M1274-M1275</f>
        <v>#REF!</v>
      </c>
      <c r="N1276" s="1914"/>
      <c r="O1276" s="740"/>
    </row>
    <row r="1277" spans="1:15" ht="16" thickBot="1" x14ac:dyDescent="0.4">
      <c r="A1277" s="702"/>
      <c r="B1277" s="2122" t="s">
        <v>1118</v>
      </c>
      <c r="C1277" s="2123"/>
      <c r="D1277" s="722"/>
      <c r="E1277"/>
      <c r="F1277" s="2113" t="s">
        <v>1546</v>
      </c>
      <c r="G1277" s="2114"/>
      <c r="H1277" s="2115"/>
      <c r="I1277" s="690" t="e">
        <f>(D1278-I1276)/I1276</f>
        <v>#REF!</v>
      </c>
      <c r="K1277" s="2134" t="s">
        <v>285</v>
      </c>
      <c r="L1277" s="2135"/>
      <c r="M1277" s="688" t="e">
        <f>M1276/M1274</f>
        <v>#REF!</v>
      </c>
      <c r="N1277" s="1914"/>
      <c r="O1277" s="740"/>
    </row>
    <row r="1278" spans="1:15" thickBot="1" x14ac:dyDescent="0.4">
      <c r="A1278" s="702"/>
      <c r="B1278" s="2158" t="s">
        <v>1082</v>
      </c>
      <c r="C1278" s="2159"/>
      <c r="D1278" s="686" t="e">
        <f>SUM(D1274:D1276)</f>
        <v>#REF!</v>
      </c>
      <c r="E1278"/>
      <c r="N1278" s="1914"/>
      <c r="O1278" s="740"/>
    </row>
    <row r="1279" spans="1:15" ht="15" x14ac:dyDescent="0.3">
      <c r="A1279" s="702"/>
      <c r="B1279" s="736"/>
      <c r="C1279" s="92"/>
      <c r="D1279" s="92"/>
      <c r="E1279" s="92"/>
      <c r="F1279" s="795"/>
      <c r="G1279" s="737"/>
      <c r="H1279" s="737"/>
      <c r="I1279" s="737"/>
      <c r="J1279" s="736"/>
      <c r="K1279" s="738"/>
      <c r="L1279" s="739"/>
      <c r="M1279" s="739"/>
      <c r="N1279" s="1914"/>
      <c r="O1279" s="740"/>
    </row>
    <row r="1280" spans="1:15" x14ac:dyDescent="0.35">
      <c r="B1280" s="632"/>
      <c r="C1280" s="620"/>
      <c r="D1280" s="728"/>
      <c r="E1280" s="620"/>
      <c r="N1280" s="1469"/>
    </row>
    <row r="1281" spans="1:15" x14ac:dyDescent="0.35">
      <c r="B1281" s="632"/>
      <c r="C1281" s="620"/>
      <c r="D1281" s="728"/>
      <c r="E1281" s="620"/>
      <c r="N1281" s="1469"/>
    </row>
    <row r="1282" spans="1:15" ht="105" x14ac:dyDescent="0.3">
      <c r="A1282" s="2095" t="s">
        <v>1157</v>
      </c>
      <c r="B1282" s="2095"/>
      <c r="C1282" s="2095"/>
      <c r="D1282" s="2095"/>
      <c r="E1282" s="2095"/>
      <c r="F1282" s="2095"/>
      <c r="G1282" s="2095"/>
      <c r="H1282" s="2095"/>
      <c r="I1282" s="2095"/>
      <c r="J1282" s="2095"/>
      <c r="K1282" s="2095"/>
      <c r="L1282" s="2095"/>
      <c r="M1282" s="2095"/>
      <c r="N1282" s="2095"/>
      <c r="O1282" s="756" t="str">
        <f>$O$6</f>
        <v>Month December-2022</v>
      </c>
    </row>
    <row r="1283" spans="1:15" x14ac:dyDescent="0.35">
      <c r="A1283" s="2096" t="s">
        <v>0</v>
      </c>
      <c r="B1283" s="2098" t="s">
        <v>1</v>
      </c>
      <c r="C1283" s="2100" t="s">
        <v>2</v>
      </c>
      <c r="D1283" s="2101"/>
      <c r="E1283" s="2102"/>
      <c r="F1283" s="2230" t="s">
        <v>3</v>
      </c>
      <c r="G1283" s="2100" t="s">
        <v>4</v>
      </c>
      <c r="H1283" s="2102"/>
      <c r="I1283" s="2085"/>
      <c r="J1283" s="2103" t="s">
        <v>5</v>
      </c>
      <c r="K1283" s="2100" t="s">
        <v>6</v>
      </c>
      <c r="L1283" s="2085"/>
      <c r="M1283" s="97" t="s">
        <v>32</v>
      </c>
      <c r="N1283" s="98"/>
      <c r="O1283" s="2084" t="s">
        <v>7</v>
      </c>
    </row>
    <row r="1284" spans="1:15" x14ac:dyDescent="0.3">
      <c r="A1284" s="2097"/>
      <c r="B1284" s="2099"/>
      <c r="C1284" s="2086" t="s">
        <v>1108</v>
      </c>
      <c r="D1284" s="2087"/>
      <c r="E1284" s="87" t="s">
        <v>9</v>
      </c>
      <c r="F1284" s="2229"/>
      <c r="G1284" s="2">
        <f>'NORTH-1'!$G$8</f>
        <v>44774</v>
      </c>
      <c r="H1284" s="2">
        <f>'NORTH-1'!$H$8</f>
        <v>44805</v>
      </c>
      <c r="I1284" s="1" t="s">
        <v>10</v>
      </c>
      <c r="J1284" s="2097"/>
      <c r="K1284" s="1" t="s">
        <v>11</v>
      </c>
      <c r="L1284" s="1" t="s">
        <v>12</v>
      </c>
      <c r="M1284" s="617" t="s">
        <v>33</v>
      </c>
      <c r="N1284" s="76" t="s">
        <v>47</v>
      </c>
      <c r="O1284" s="2085"/>
    </row>
    <row r="1285" spans="1:15" x14ac:dyDescent="0.3">
      <c r="A1285" s="3">
        <v>1</v>
      </c>
      <c r="B1285" s="88">
        <v>2</v>
      </c>
      <c r="C1285" s="2088">
        <v>4</v>
      </c>
      <c r="D1285" s="2089"/>
      <c r="E1285" s="88">
        <v>5</v>
      </c>
      <c r="F1285" s="786">
        <v>7</v>
      </c>
      <c r="G1285" s="3">
        <v>8</v>
      </c>
      <c r="H1285" s="3">
        <v>9</v>
      </c>
      <c r="I1285" s="3" t="s">
        <v>13</v>
      </c>
      <c r="J1285" s="3">
        <v>11</v>
      </c>
      <c r="K1285" s="3" t="s">
        <v>19</v>
      </c>
      <c r="L1285" s="3" t="s">
        <v>20</v>
      </c>
      <c r="M1285" s="3">
        <v>14</v>
      </c>
      <c r="N1285" s="77">
        <v>15</v>
      </c>
      <c r="O1285" s="3">
        <v>16</v>
      </c>
    </row>
    <row r="1286" spans="1:15" x14ac:dyDescent="0.35">
      <c r="A1286" s="631"/>
      <c r="B1286" s="624" t="s">
        <v>1628</v>
      </c>
      <c r="C1286" s="625"/>
      <c r="D1286" s="625"/>
      <c r="E1286" s="625"/>
      <c r="F1286" s="787"/>
      <c r="G1286" s="625"/>
      <c r="H1286" s="625"/>
      <c r="I1286" s="625"/>
      <c r="J1286" s="625"/>
      <c r="K1286" s="695"/>
      <c r="L1286" s="625"/>
      <c r="M1286" s="626"/>
      <c r="N1286" s="627"/>
      <c r="O1286" s="616"/>
    </row>
    <row r="1287" spans="1:15" x14ac:dyDescent="0.35">
      <c r="A1287" s="631">
        <v>1</v>
      </c>
      <c r="B1287" s="100" t="s">
        <v>3615</v>
      </c>
      <c r="C1287" s="52">
        <v>11</v>
      </c>
      <c r="D1287" s="1770" t="s">
        <v>339</v>
      </c>
      <c r="E1287" s="52" t="s">
        <v>3736</v>
      </c>
      <c r="F1287" s="4">
        <v>1</v>
      </c>
      <c r="G1287" s="21">
        <v>782549</v>
      </c>
      <c r="H1287" s="21">
        <v>782831</v>
      </c>
      <c r="I1287" s="21">
        <f>H1287-G1287</f>
        <v>282</v>
      </c>
      <c r="J1287" s="616">
        <v>180</v>
      </c>
      <c r="K1287" s="696">
        <f>J1287*I1287*F1287</f>
        <v>50760</v>
      </c>
      <c r="L1287" s="22"/>
      <c r="M1287" s="22"/>
      <c r="N1287" s="82"/>
      <c r="O1287" s="616"/>
    </row>
    <row r="1288" spans="1:15" x14ac:dyDescent="0.35">
      <c r="A1288" s="631">
        <v>2</v>
      </c>
      <c r="B1288" s="100" t="s">
        <v>3617</v>
      </c>
      <c r="C1288" s="52">
        <v>11</v>
      </c>
      <c r="D1288" s="1772" t="s">
        <v>339</v>
      </c>
      <c r="E1288" s="52" t="s">
        <v>3737</v>
      </c>
      <c r="F1288" s="4">
        <v>1</v>
      </c>
      <c r="G1288" s="21">
        <v>691470</v>
      </c>
      <c r="H1288" s="21">
        <v>715471</v>
      </c>
      <c r="I1288" s="21">
        <f>H1288-G1288</f>
        <v>24001</v>
      </c>
      <c r="J1288" s="616">
        <v>180</v>
      </c>
      <c r="K1288" s="696">
        <f>J1288*I1288*F1288</f>
        <v>4320180</v>
      </c>
      <c r="L1288" s="22"/>
      <c r="M1288" s="22"/>
      <c r="N1288" s="82"/>
      <c r="O1288" s="616"/>
    </row>
    <row r="1289" spans="1:15" x14ac:dyDescent="0.35">
      <c r="A1289" s="631"/>
      <c r="B1289" s="102"/>
      <c r="C1289" s="91"/>
      <c r="D1289" s="726"/>
      <c r="E1289" s="91"/>
      <c r="F1289" s="47"/>
      <c r="G1289" s="48"/>
      <c r="H1289" s="48"/>
      <c r="I1289" s="48"/>
      <c r="J1289" s="39" t="s">
        <v>30</v>
      </c>
      <c r="K1289" s="708">
        <f>SUM(K1287:K1288)</f>
        <v>4370940</v>
      </c>
      <c r="L1289" s="49"/>
      <c r="M1289" s="43">
        <f>SUM(M1287:M1288)</f>
        <v>0</v>
      </c>
      <c r="N1289" s="85"/>
      <c r="O1289" s="616"/>
    </row>
    <row r="1290" spans="1:15" x14ac:dyDescent="0.35">
      <c r="A1290" s="631"/>
      <c r="B1290" s="647" t="s">
        <v>1628</v>
      </c>
      <c r="C1290" s="648"/>
      <c r="D1290" s="648"/>
      <c r="E1290" s="648"/>
      <c r="F1290" s="789"/>
      <c r="G1290" s="648"/>
      <c r="H1290" s="648"/>
      <c r="I1290" s="648"/>
      <c r="J1290" s="50"/>
      <c r="K1290" s="710"/>
      <c r="L1290" s="51"/>
      <c r="M1290" s="51"/>
      <c r="N1290" s="649"/>
      <c r="O1290" s="616"/>
    </row>
    <row r="1291" spans="1:15" ht="15.75" customHeight="1" x14ac:dyDescent="0.35">
      <c r="A1291" s="631">
        <v>1</v>
      </c>
      <c r="B1291" s="100" t="s">
        <v>3738</v>
      </c>
      <c r="C1291" s="73">
        <v>11</v>
      </c>
      <c r="D1291" s="1781"/>
      <c r="E1291" s="52" t="s">
        <v>3739</v>
      </c>
      <c r="F1291" s="4">
        <v>1</v>
      </c>
      <c r="G1291" s="6">
        <v>17873</v>
      </c>
      <c r="H1291" s="6">
        <v>47299</v>
      </c>
      <c r="I1291" s="20">
        <f t="shared" ref="I1291:I1300" si="49">H1291-G1291</f>
        <v>29426</v>
      </c>
      <c r="J1291" s="616">
        <v>60</v>
      </c>
      <c r="K1291" s="703"/>
      <c r="L1291" s="22">
        <f t="shared" ref="L1291:L1300" si="50">J1291*I1291*F1291</f>
        <v>1765560</v>
      </c>
      <c r="M1291" s="22"/>
      <c r="N1291" s="1933" t="s">
        <v>4696</v>
      </c>
      <c r="O1291" s="15"/>
    </row>
    <row r="1292" spans="1:15" x14ac:dyDescent="0.35">
      <c r="A1292" s="631">
        <v>2</v>
      </c>
      <c r="B1292" s="100" t="s">
        <v>3740</v>
      </c>
      <c r="C1292" s="73">
        <v>11</v>
      </c>
      <c r="D1292" s="1782"/>
      <c r="E1292" s="52" t="s">
        <v>3741</v>
      </c>
      <c r="F1292" s="4">
        <v>1</v>
      </c>
      <c r="G1292" s="6">
        <v>38945</v>
      </c>
      <c r="H1292" s="6">
        <v>51100</v>
      </c>
      <c r="I1292" s="20">
        <f t="shared" si="49"/>
        <v>12155</v>
      </c>
      <c r="J1292" s="616">
        <v>60</v>
      </c>
      <c r="K1292" s="703"/>
      <c r="L1292" s="22">
        <f t="shared" si="50"/>
        <v>729300</v>
      </c>
      <c r="M1292" s="22"/>
      <c r="N1292" s="72" t="s">
        <v>114</v>
      </c>
      <c r="O1292" s="15"/>
    </row>
    <row r="1293" spans="1:15" x14ac:dyDescent="0.35">
      <c r="A1293" s="631">
        <v>3</v>
      </c>
      <c r="B1293" s="100" t="s">
        <v>3742</v>
      </c>
      <c r="C1293" s="73">
        <v>11</v>
      </c>
      <c r="D1293" s="1782"/>
      <c r="E1293" s="52" t="s">
        <v>3743</v>
      </c>
      <c r="F1293" s="4">
        <v>1</v>
      </c>
      <c r="G1293" s="6">
        <v>13631</v>
      </c>
      <c r="H1293" s="6">
        <v>13631</v>
      </c>
      <c r="I1293" s="20">
        <f t="shared" si="49"/>
        <v>0</v>
      </c>
      <c r="J1293" s="616">
        <v>60</v>
      </c>
      <c r="K1293" s="703"/>
      <c r="L1293" s="22">
        <f t="shared" si="50"/>
        <v>0</v>
      </c>
      <c r="M1293" s="22"/>
      <c r="N1293" s="72" t="s">
        <v>89</v>
      </c>
      <c r="O1293" s="15"/>
    </row>
    <row r="1294" spans="1:15" x14ac:dyDescent="0.35">
      <c r="A1294" s="631">
        <v>4</v>
      </c>
      <c r="B1294" s="100" t="s">
        <v>3744</v>
      </c>
      <c r="C1294" s="73">
        <v>11</v>
      </c>
      <c r="D1294" s="1782"/>
      <c r="E1294" s="52" t="s">
        <v>3745</v>
      </c>
      <c r="F1294" s="4">
        <v>1</v>
      </c>
      <c r="G1294" s="6">
        <v>424504</v>
      </c>
      <c r="H1294" s="6">
        <v>433178</v>
      </c>
      <c r="I1294" s="20">
        <f t="shared" si="49"/>
        <v>8674</v>
      </c>
      <c r="J1294" s="616">
        <v>60</v>
      </c>
      <c r="K1294" s="703"/>
      <c r="L1294" s="22">
        <f t="shared" si="50"/>
        <v>520440</v>
      </c>
      <c r="M1294" s="22"/>
      <c r="N1294" s="72" t="s">
        <v>114</v>
      </c>
      <c r="O1294" s="15"/>
    </row>
    <row r="1295" spans="1:15" x14ac:dyDescent="0.35">
      <c r="A1295" s="631">
        <v>1</v>
      </c>
      <c r="B1295" s="100" t="s">
        <v>3746</v>
      </c>
      <c r="C1295" s="73">
        <v>11</v>
      </c>
      <c r="D1295" s="1782"/>
      <c r="E1295" s="52" t="s">
        <v>3747</v>
      </c>
      <c r="F1295" s="4">
        <v>1</v>
      </c>
      <c r="G1295" s="6">
        <v>442528</v>
      </c>
      <c r="H1295" s="6">
        <v>454459</v>
      </c>
      <c r="I1295" s="20">
        <f t="shared" si="49"/>
        <v>11931</v>
      </c>
      <c r="J1295" s="616">
        <v>60</v>
      </c>
      <c r="K1295" s="703"/>
      <c r="L1295" s="22">
        <f t="shared" si="50"/>
        <v>715860</v>
      </c>
      <c r="M1295" s="22"/>
      <c r="N1295" s="72" t="s">
        <v>114</v>
      </c>
      <c r="O1295" s="15"/>
    </row>
    <row r="1296" spans="1:15" x14ac:dyDescent="0.35">
      <c r="A1296" s="631">
        <v>2</v>
      </c>
      <c r="B1296" s="100" t="s">
        <v>3748</v>
      </c>
      <c r="C1296" s="73">
        <v>11</v>
      </c>
      <c r="D1296" s="1782"/>
      <c r="E1296" s="52" t="s">
        <v>3749</v>
      </c>
      <c r="F1296" s="4">
        <v>1</v>
      </c>
      <c r="G1296" s="6">
        <v>506639</v>
      </c>
      <c r="H1296" s="6">
        <v>511148</v>
      </c>
      <c r="I1296" s="20">
        <f t="shared" si="49"/>
        <v>4509</v>
      </c>
      <c r="J1296" s="616">
        <v>60</v>
      </c>
      <c r="K1296" s="703"/>
      <c r="L1296" s="22">
        <f t="shared" si="50"/>
        <v>270540</v>
      </c>
      <c r="M1296" s="22"/>
      <c r="N1296" s="72" t="s">
        <v>114</v>
      </c>
      <c r="O1296" s="15" t="s">
        <v>237</v>
      </c>
    </row>
    <row r="1297" spans="1:15" ht="31" x14ac:dyDescent="0.35">
      <c r="A1297" s="631">
        <v>3</v>
      </c>
      <c r="B1297" s="1932" t="s">
        <v>4654</v>
      </c>
      <c r="C1297" s="73">
        <v>11</v>
      </c>
      <c r="D1297" s="1782"/>
      <c r="E1297" s="52" t="s">
        <v>3750</v>
      </c>
      <c r="F1297" s="4">
        <v>1</v>
      </c>
      <c r="G1297" s="6">
        <v>176396</v>
      </c>
      <c r="H1297" s="6">
        <v>177975</v>
      </c>
      <c r="I1297" s="20">
        <f t="shared" si="49"/>
        <v>1579</v>
      </c>
      <c r="J1297" s="616">
        <v>60</v>
      </c>
      <c r="K1297" s="703"/>
      <c r="L1297" s="22">
        <f t="shared" si="50"/>
        <v>94740</v>
      </c>
      <c r="M1297" s="22"/>
      <c r="N1297" s="72" t="s">
        <v>114</v>
      </c>
      <c r="O1297" s="15"/>
    </row>
    <row r="1298" spans="1:15" x14ac:dyDescent="0.35">
      <c r="A1298" s="631">
        <v>4</v>
      </c>
      <c r="B1298" s="100" t="s">
        <v>3751</v>
      </c>
      <c r="C1298" s="73">
        <v>11</v>
      </c>
      <c r="D1298" s="1782"/>
      <c r="E1298" s="52" t="s">
        <v>3752</v>
      </c>
      <c r="F1298" s="4">
        <v>1</v>
      </c>
      <c r="G1298" s="6">
        <v>143731</v>
      </c>
      <c r="H1298" s="6">
        <v>145500</v>
      </c>
      <c r="I1298" s="20">
        <f t="shared" si="49"/>
        <v>1769</v>
      </c>
      <c r="J1298" s="616">
        <v>60</v>
      </c>
      <c r="K1298" s="703"/>
      <c r="L1298" s="22">
        <f t="shared" si="50"/>
        <v>106140</v>
      </c>
      <c r="M1298" s="22"/>
      <c r="N1298" s="72" t="s">
        <v>114</v>
      </c>
      <c r="O1298" s="15"/>
    </row>
    <row r="1299" spans="1:15" x14ac:dyDescent="0.35">
      <c r="A1299" s="631">
        <v>5</v>
      </c>
      <c r="B1299" s="100" t="s">
        <v>3753</v>
      </c>
      <c r="C1299" s="73">
        <v>11</v>
      </c>
      <c r="D1299" s="1782"/>
      <c r="E1299" s="52" t="s">
        <v>3754</v>
      </c>
      <c r="F1299" s="4">
        <v>1</v>
      </c>
      <c r="G1299" s="6">
        <v>791090</v>
      </c>
      <c r="H1299" s="6">
        <v>795873</v>
      </c>
      <c r="I1299" s="20">
        <f t="shared" si="49"/>
        <v>4783</v>
      </c>
      <c r="J1299" s="616">
        <v>60</v>
      </c>
      <c r="K1299" s="703"/>
      <c r="L1299" s="22">
        <f t="shared" si="50"/>
        <v>286980</v>
      </c>
      <c r="M1299" s="22"/>
      <c r="N1299" s="72" t="s">
        <v>114</v>
      </c>
      <c r="O1299" s="15"/>
    </row>
    <row r="1300" spans="1:15" x14ac:dyDescent="0.35">
      <c r="A1300" s="631">
        <v>6</v>
      </c>
      <c r="B1300" s="100" t="s">
        <v>3755</v>
      </c>
      <c r="C1300" s="73">
        <v>415</v>
      </c>
      <c r="D1300" s="1782"/>
      <c r="E1300" s="52" t="s">
        <v>3756</v>
      </c>
      <c r="F1300" s="4">
        <v>1</v>
      </c>
      <c r="G1300" s="6">
        <v>1253.5899999999999</v>
      </c>
      <c r="H1300" s="6">
        <v>1317.9</v>
      </c>
      <c r="I1300" s="20">
        <f t="shared" si="49"/>
        <v>64.310000000000173</v>
      </c>
      <c r="J1300" s="616">
        <v>60</v>
      </c>
      <c r="K1300" s="703"/>
      <c r="L1300" s="22">
        <f t="shared" si="50"/>
        <v>3858.6000000000104</v>
      </c>
      <c r="M1300" s="22"/>
      <c r="N1300" s="72" t="s">
        <v>114</v>
      </c>
      <c r="O1300" s="15"/>
    </row>
    <row r="1301" spans="1:15" ht="28" x14ac:dyDescent="0.3">
      <c r="A1301" s="636"/>
      <c r="B1301" s="96" t="s">
        <v>237</v>
      </c>
      <c r="C1301" s="90"/>
      <c r="D1301" s="90"/>
      <c r="E1301" s="90"/>
      <c r="F1301" s="793"/>
      <c r="G1301" s="38"/>
      <c r="H1301" s="38"/>
      <c r="I1301" s="38"/>
      <c r="J1301" s="53" t="s">
        <v>44</v>
      </c>
      <c r="K1301" s="43">
        <f>M1289</f>
        <v>0</v>
      </c>
      <c r="L1301" s="43">
        <f>SUM(L1291:L1300)</f>
        <v>4493418.5999999996</v>
      </c>
      <c r="M1301" s="43">
        <f>SUM(M1291:M1300)</f>
        <v>0</v>
      </c>
      <c r="N1301" s="712">
        <f>(M1301-L1301)/L1301*100</f>
        <v>-100</v>
      </c>
      <c r="O1301" s="29"/>
    </row>
    <row r="1302" spans="1:15" x14ac:dyDescent="0.35">
      <c r="A1302"/>
      <c r="B1302"/>
      <c r="C1302"/>
      <c r="D1302"/>
      <c r="E1302"/>
      <c r="F1302" s="791"/>
      <c r="G1302"/>
      <c r="H1302"/>
      <c r="I1302"/>
      <c r="J1302"/>
      <c r="K1302"/>
      <c r="L1302"/>
      <c r="M1302"/>
      <c r="N1302" s="1451"/>
      <c r="O1302"/>
    </row>
    <row r="1303" spans="1:15" x14ac:dyDescent="0.35">
      <c r="E1303"/>
      <c r="F1303" s="2092" t="s">
        <v>1099</v>
      </c>
      <c r="G1303" s="2092"/>
      <c r="H1303" s="2092"/>
      <c r="I1303" s="677" t="s">
        <v>14</v>
      </c>
    </row>
    <row r="1304" spans="1:15" x14ac:dyDescent="0.35">
      <c r="E1304"/>
      <c r="F1304" s="2153" t="s">
        <v>232</v>
      </c>
      <c r="G1304" s="2154"/>
      <c r="H1304" s="2155"/>
      <c r="I1304" s="643">
        <f>SUM(M1291:M1292,M1295)</f>
        <v>0</v>
      </c>
      <c r="O1304" s="620" t="s">
        <v>237</v>
      </c>
    </row>
    <row r="1305" spans="1:15" x14ac:dyDescent="0.35">
      <c r="E1305"/>
      <c r="F1305" s="2153" t="s">
        <v>268</v>
      </c>
      <c r="G1305" s="2154"/>
      <c r="H1305" s="2155"/>
      <c r="I1305" s="643" t="e">
        <f>SUM(M1293:M1294,M1296,M1298,M1299,#REF!)</f>
        <v>#REF!</v>
      </c>
    </row>
    <row r="1306" spans="1:15" ht="16" thickBot="1" x14ac:dyDescent="0.4">
      <c r="E1306"/>
      <c r="F1306" s="2153" t="s">
        <v>269</v>
      </c>
      <c r="G1306" s="2154"/>
      <c r="H1306" s="2155"/>
      <c r="I1306" s="643">
        <f>SUM(M1297,M1300)</f>
        <v>0</v>
      </c>
      <c r="M1306" s="620" t="s">
        <v>237</v>
      </c>
    </row>
    <row r="1307" spans="1:15" ht="20.5" thickBot="1" x14ac:dyDescent="0.4">
      <c r="F1307" s="2156" t="s">
        <v>210</v>
      </c>
      <c r="G1307" s="2156"/>
      <c r="H1307" s="2156"/>
      <c r="I1307" s="656" t="e">
        <f>SUM(I1304:I1306)</f>
        <v>#REF!</v>
      </c>
      <c r="J1307" s="682" t="e">
        <f>I1307-M1301</f>
        <v>#REF!</v>
      </c>
    </row>
    <row r="1323" spans="1:15" ht="105" x14ac:dyDescent="0.3">
      <c r="A1323" s="2095" t="s">
        <v>1629</v>
      </c>
      <c r="B1323" s="2095"/>
      <c r="C1323" s="2095"/>
      <c r="D1323" s="2095"/>
      <c r="E1323" s="2095"/>
      <c r="F1323" s="2095"/>
      <c r="G1323" s="2095"/>
      <c r="H1323" s="2095"/>
      <c r="I1323" s="2095"/>
      <c r="J1323" s="2095"/>
      <c r="K1323" s="2095"/>
      <c r="L1323" s="2095"/>
      <c r="M1323" s="2095"/>
      <c r="N1323" s="2095"/>
      <c r="O1323" s="756" t="str">
        <f>$O$6</f>
        <v>Month December-2022</v>
      </c>
    </row>
    <row r="1324" spans="1:15" x14ac:dyDescent="0.35">
      <c r="A1324" s="2096" t="s">
        <v>0</v>
      </c>
      <c r="B1324" s="2098" t="s">
        <v>1</v>
      </c>
      <c r="C1324" s="2100" t="s">
        <v>2</v>
      </c>
      <c r="D1324" s="2101"/>
      <c r="E1324" s="2102"/>
      <c r="F1324" s="2230" t="s">
        <v>3</v>
      </c>
      <c r="G1324" s="2100" t="s">
        <v>4</v>
      </c>
      <c r="H1324" s="2102"/>
      <c r="I1324" s="2085"/>
      <c r="J1324" s="2103" t="s">
        <v>5</v>
      </c>
      <c r="K1324" s="2100" t="s">
        <v>6</v>
      </c>
      <c r="L1324" s="2085"/>
      <c r="M1324" s="97" t="s">
        <v>32</v>
      </c>
      <c r="N1324" s="98"/>
      <c r="O1324" s="2084" t="s">
        <v>7</v>
      </c>
    </row>
    <row r="1325" spans="1:15" x14ac:dyDescent="0.3">
      <c r="A1325" s="2097"/>
      <c r="B1325" s="2099"/>
      <c r="C1325" s="2086" t="s">
        <v>1108</v>
      </c>
      <c r="D1325" s="2087"/>
      <c r="E1325" s="87" t="s">
        <v>9</v>
      </c>
      <c r="F1325" s="2229"/>
      <c r="G1325" s="2">
        <f>'NORTH-1'!$G$8</f>
        <v>44774</v>
      </c>
      <c r="H1325" s="2">
        <f>'NORTH-1'!$H$8</f>
        <v>44805</v>
      </c>
      <c r="I1325" s="1" t="s">
        <v>10</v>
      </c>
      <c r="J1325" s="2097"/>
      <c r="K1325" s="1" t="s">
        <v>11</v>
      </c>
      <c r="L1325" s="1" t="s">
        <v>12</v>
      </c>
      <c r="M1325" s="617" t="s">
        <v>33</v>
      </c>
      <c r="N1325" s="76" t="s">
        <v>47</v>
      </c>
      <c r="O1325" s="2085"/>
    </row>
    <row r="1326" spans="1:15" x14ac:dyDescent="0.3">
      <c r="A1326" s="3">
        <v>1</v>
      </c>
      <c r="B1326" s="88">
        <v>2</v>
      </c>
      <c r="C1326" s="2088">
        <v>4</v>
      </c>
      <c r="D1326" s="2089"/>
      <c r="E1326" s="88">
        <v>5</v>
      </c>
      <c r="F1326" s="786">
        <v>7</v>
      </c>
      <c r="G1326" s="3">
        <v>8</v>
      </c>
      <c r="H1326" s="3">
        <v>9</v>
      </c>
      <c r="I1326" s="3" t="s">
        <v>13</v>
      </c>
      <c r="J1326" s="3">
        <v>11</v>
      </c>
      <c r="K1326" s="3" t="s">
        <v>19</v>
      </c>
      <c r="L1326" s="3" t="s">
        <v>20</v>
      </c>
      <c r="M1326" s="3">
        <v>14</v>
      </c>
      <c r="N1326" s="77">
        <v>15</v>
      </c>
      <c r="O1326" s="3">
        <v>16</v>
      </c>
    </row>
    <row r="1327" spans="1:15" x14ac:dyDescent="0.35">
      <c r="A1327" s="631"/>
      <c r="B1327" s="624" t="s">
        <v>3757</v>
      </c>
      <c r="C1327" s="625"/>
      <c r="D1327" s="625"/>
      <c r="E1327" s="625"/>
      <c r="F1327" s="787"/>
      <c r="G1327" s="625"/>
      <c r="H1327" s="625"/>
      <c r="I1327" s="625"/>
      <c r="J1327" s="625"/>
      <c r="K1327" s="695"/>
      <c r="L1327" s="625"/>
      <c r="M1327" s="626"/>
      <c r="N1327" s="627"/>
      <c r="O1327" s="616"/>
    </row>
    <row r="1328" spans="1:15" x14ac:dyDescent="0.3">
      <c r="A1328" s="11">
        <v>1</v>
      </c>
      <c r="B1328" s="100" t="s">
        <v>3758</v>
      </c>
      <c r="C1328" s="52">
        <v>33</v>
      </c>
      <c r="D1328" s="1859" t="s">
        <v>339</v>
      </c>
      <c r="E1328" s="52"/>
      <c r="F1328" s="4">
        <v>1</v>
      </c>
      <c r="G1328" s="20">
        <v>858.82399999999996</v>
      </c>
      <c r="H1328" s="20">
        <v>870.08799999999997</v>
      </c>
      <c r="I1328" s="20">
        <f>H1328-G1328</f>
        <v>11.26400000000001</v>
      </c>
      <c r="J1328" s="616">
        <v>180000</v>
      </c>
      <c r="K1328" s="696">
        <f>J1328*I1328*F1328</f>
        <v>2027520.0000000019</v>
      </c>
      <c r="L1328" s="22"/>
      <c r="M1328" s="22"/>
      <c r="N1328" s="82"/>
      <c r="O1328" s="9"/>
    </row>
    <row r="1329" spans="1:15" x14ac:dyDescent="0.35">
      <c r="A1329" s="631">
        <v>2</v>
      </c>
      <c r="B1329" s="100" t="s">
        <v>3759</v>
      </c>
      <c r="C1329" s="52">
        <v>33</v>
      </c>
      <c r="D1329" s="668" t="s">
        <v>339</v>
      </c>
      <c r="E1329" s="52"/>
      <c r="F1329" s="4">
        <v>1</v>
      </c>
      <c r="G1329" s="20">
        <v>589.58299999999997</v>
      </c>
      <c r="H1329" s="20">
        <v>609.34900000000005</v>
      </c>
      <c r="I1329" s="20">
        <f>H1329-G1329</f>
        <v>19.766000000000076</v>
      </c>
      <c r="J1329" s="616">
        <v>180000</v>
      </c>
      <c r="K1329" s="696">
        <f>J1329*I1329*F1329</f>
        <v>3557880.000000014</v>
      </c>
      <c r="L1329" s="22"/>
      <c r="M1329" s="22"/>
      <c r="N1329" s="82"/>
      <c r="O1329" s="616"/>
    </row>
    <row r="1330" spans="1:15" x14ac:dyDescent="0.35">
      <c r="A1330" s="631"/>
      <c r="B1330" s="102"/>
      <c r="C1330" s="91"/>
      <c r="D1330" s="726"/>
      <c r="E1330" s="745"/>
      <c r="F1330" s="746"/>
      <c r="G1330" s="747"/>
      <c r="H1330" s="747"/>
      <c r="I1330" s="747"/>
      <c r="J1330" s="748" t="s">
        <v>30</v>
      </c>
      <c r="K1330" s="750">
        <f>SUM(K1328:K1329)</f>
        <v>5585400.0000000158</v>
      </c>
      <c r="L1330" s="750">
        <f>SUM(L1328:L1329)</f>
        <v>0</v>
      </c>
      <c r="M1330" s="750">
        <f>SUM(M1328:M1329)</f>
        <v>0</v>
      </c>
      <c r="N1330" s="1914"/>
      <c r="O1330" s="616"/>
    </row>
    <row r="1331" spans="1:15" x14ac:dyDescent="0.3">
      <c r="A1331" s="616"/>
      <c r="B1331" s="624" t="s">
        <v>1630</v>
      </c>
      <c r="C1331" s="625"/>
      <c r="D1331" s="625"/>
      <c r="E1331" s="625"/>
      <c r="F1331" s="787"/>
      <c r="G1331" s="625"/>
      <c r="H1331" s="625"/>
      <c r="I1331" s="625"/>
      <c r="J1331" s="732"/>
      <c r="K1331" s="733"/>
      <c r="L1331" s="734"/>
      <c r="M1331" s="734"/>
      <c r="N1331" s="627"/>
      <c r="O1331" s="12"/>
    </row>
    <row r="1332" spans="1:15" x14ac:dyDescent="0.3">
      <c r="A1332" s="616">
        <v>1</v>
      </c>
      <c r="B1332" s="100" t="s">
        <v>3678</v>
      </c>
      <c r="C1332" s="52">
        <v>33</v>
      </c>
      <c r="D1332" s="1770" t="s">
        <v>339</v>
      </c>
      <c r="E1332" s="52" t="s">
        <v>3760</v>
      </c>
      <c r="F1332" s="4">
        <v>1</v>
      </c>
      <c r="G1332" s="21"/>
      <c r="H1332" s="21">
        <v>10342.61</v>
      </c>
      <c r="I1332" s="20">
        <f>H1332-G1332</f>
        <v>10342.61</v>
      </c>
      <c r="J1332" s="616">
        <v>1000</v>
      </c>
      <c r="K1332" s="696">
        <f>J1332*I1332*F1332</f>
        <v>10342610</v>
      </c>
      <c r="L1332" s="22"/>
      <c r="M1332" s="22"/>
      <c r="N1332" s="82"/>
      <c r="O1332" s="12"/>
    </row>
    <row r="1333" spans="1:15" x14ac:dyDescent="0.3">
      <c r="A1333" s="616">
        <v>2</v>
      </c>
      <c r="B1333" s="100" t="s">
        <v>3680</v>
      </c>
      <c r="C1333" s="52">
        <v>33</v>
      </c>
      <c r="D1333" s="1771" t="s">
        <v>339</v>
      </c>
      <c r="E1333" s="52" t="s">
        <v>3761</v>
      </c>
      <c r="F1333" s="4">
        <v>1</v>
      </c>
      <c r="G1333" s="21">
        <v>94252.800000000003</v>
      </c>
      <c r="H1333" s="21">
        <v>97397.18</v>
      </c>
      <c r="I1333" s="20">
        <f>H1333-G1333</f>
        <v>3144.3799999999901</v>
      </c>
      <c r="J1333" s="616">
        <v>1000</v>
      </c>
      <c r="K1333" s="696">
        <f>J1333*I1333*F1333</f>
        <v>3144379.9999999902</v>
      </c>
      <c r="L1333" s="22"/>
      <c r="M1333" s="22"/>
      <c r="N1333" s="82"/>
      <c r="O1333" s="12"/>
    </row>
    <row r="1334" spans="1:15" x14ac:dyDescent="0.3">
      <c r="A1334" s="616"/>
      <c r="B1334" s="102"/>
      <c r="C1334" s="91"/>
      <c r="D1334" s="726"/>
      <c r="E1334" s="91"/>
      <c r="F1334" s="47"/>
      <c r="G1334" s="48"/>
      <c r="H1334" s="48"/>
      <c r="I1334" s="36"/>
      <c r="J1334" s="96" t="s">
        <v>30</v>
      </c>
      <c r="K1334" s="43">
        <f>SUM(K1332:K1333)</f>
        <v>13486989.999999991</v>
      </c>
      <c r="L1334" s="43">
        <f>SUM(L1332:L1333)</f>
        <v>0</v>
      </c>
      <c r="M1334" s="43">
        <f>SUM(M1332:M1333)</f>
        <v>0</v>
      </c>
      <c r="N1334" s="85"/>
      <c r="O1334" s="12"/>
    </row>
    <row r="1335" spans="1:15" x14ac:dyDescent="0.3">
      <c r="A1335" s="616"/>
      <c r="B1335" s="647" t="s">
        <v>1631</v>
      </c>
      <c r="C1335" s="648"/>
      <c r="D1335" s="648"/>
      <c r="E1335" s="648"/>
      <c r="F1335" s="789"/>
      <c r="G1335" s="648"/>
      <c r="H1335" s="648"/>
      <c r="I1335" s="648"/>
      <c r="J1335" s="648"/>
      <c r="K1335" s="700"/>
      <c r="L1335" s="648"/>
      <c r="M1335" s="651"/>
      <c r="N1335" s="649"/>
      <c r="O1335" s="8"/>
    </row>
    <row r="1336" spans="1:15" x14ac:dyDescent="0.3">
      <c r="A1336" s="616"/>
      <c r="B1336" s="100" t="s">
        <v>1079</v>
      </c>
      <c r="C1336" s="52">
        <v>132</v>
      </c>
      <c r="D1336" s="2138" t="s">
        <v>1083</v>
      </c>
      <c r="E1336" s="615"/>
      <c r="F1336" s="4"/>
      <c r="G1336" s="5"/>
      <c r="H1336" s="5"/>
      <c r="I1336" s="5"/>
      <c r="J1336" s="616"/>
      <c r="K1336" s="696"/>
      <c r="L1336" s="16">
        <f>J1336*I1336*F1336</f>
        <v>0</v>
      </c>
      <c r="M1336" s="7"/>
      <c r="N1336" s="78"/>
      <c r="O1336" s="616"/>
    </row>
    <row r="1337" spans="1:15" x14ac:dyDescent="0.3">
      <c r="A1337" s="616"/>
      <c r="B1337" s="100" t="s">
        <v>1078</v>
      </c>
      <c r="C1337" s="52">
        <v>132</v>
      </c>
      <c r="D1337" s="2139"/>
      <c r="E1337" s="615"/>
      <c r="F1337" s="4"/>
      <c r="G1337" s="5"/>
      <c r="H1337" s="5"/>
      <c r="I1337" s="5"/>
      <c r="J1337" s="616"/>
      <c r="K1337" s="696"/>
      <c r="L1337" s="16">
        <f>J1337*I1337*F1337</f>
        <v>0</v>
      </c>
      <c r="M1337" s="16"/>
      <c r="N1337" s="79"/>
      <c r="O1337" s="616"/>
    </row>
    <row r="1338" spans="1:15" x14ac:dyDescent="0.35">
      <c r="A1338" s="616"/>
      <c r="B1338" s="95"/>
      <c r="C1338" s="89"/>
      <c r="D1338" s="89"/>
      <c r="E1338" s="89"/>
      <c r="F1338" s="788"/>
      <c r="G1338" s="37"/>
      <c r="H1338" s="37"/>
      <c r="I1338" s="37"/>
      <c r="J1338" s="95" t="s">
        <v>279</v>
      </c>
      <c r="K1338" s="699"/>
      <c r="L1338" s="55">
        <f>SUM(L1336:L1337)</f>
        <v>0</v>
      </c>
      <c r="M1338" s="633"/>
      <c r="N1338" s="631"/>
      <c r="O1338" s="616"/>
    </row>
    <row r="1339" spans="1:15" x14ac:dyDescent="0.3">
      <c r="A1339" s="616"/>
      <c r="B1339" s="102"/>
      <c r="C1339" s="91"/>
      <c r="D1339" s="726"/>
      <c r="E1339" s="91"/>
      <c r="F1339" s="47"/>
      <c r="G1339" s="48"/>
      <c r="H1339" s="48"/>
      <c r="I1339" s="36"/>
      <c r="J1339" s="96"/>
      <c r="K1339" s="706"/>
      <c r="L1339" s="43"/>
      <c r="M1339" s="43"/>
      <c r="N1339" s="85"/>
      <c r="O1339" s="12"/>
    </row>
    <row r="1340" spans="1:15" x14ac:dyDescent="0.3">
      <c r="A1340" s="636"/>
      <c r="B1340" s="647" t="s">
        <v>1632</v>
      </c>
      <c r="C1340" s="648"/>
      <c r="D1340" s="648"/>
      <c r="E1340" s="648"/>
      <c r="F1340" s="789"/>
      <c r="G1340" s="648"/>
      <c r="H1340" s="648"/>
      <c r="I1340" s="648"/>
      <c r="J1340" s="50"/>
      <c r="K1340" s="710"/>
      <c r="L1340" s="51"/>
      <c r="M1340" s="51"/>
      <c r="N1340" s="649"/>
      <c r="O1340" s="12"/>
    </row>
    <row r="1341" spans="1:15" x14ac:dyDescent="0.3">
      <c r="A1341" s="616">
        <v>3</v>
      </c>
      <c r="B1341" s="100" t="s">
        <v>3516</v>
      </c>
      <c r="C1341" s="52">
        <v>33</v>
      </c>
      <c r="D1341" s="2140" t="s">
        <v>326</v>
      </c>
      <c r="E1341" s="52" t="s">
        <v>3762</v>
      </c>
      <c r="F1341" s="4">
        <v>1</v>
      </c>
      <c r="G1341" s="21">
        <v>50671.15</v>
      </c>
      <c r="H1341" s="21">
        <v>57411.11</v>
      </c>
      <c r="I1341" s="21">
        <f>H1341-G1341</f>
        <v>6739.9599999999991</v>
      </c>
      <c r="J1341" s="31">
        <v>888.88890000000004</v>
      </c>
      <c r="K1341" s="707"/>
      <c r="L1341" s="22">
        <f>J1341*I1341*F1341</f>
        <v>5991075.6304439995</v>
      </c>
      <c r="M1341" s="22"/>
      <c r="N1341" s="83"/>
      <c r="O1341" s="12"/>
    </row>
    <row r="1342" spans="1:15" x14ac:dyDescent="0.3">
      <c r="A1342" s="616">
        <v>4</v>
      </c>
      <c r="B1342" s="100" t="s">
        <v>3517</v>
      </c>
      <c r="C1342" s="52">
        <v>33</v>
      </c>
      <c r="D1342" s="2157" t="s">
        <v>326</v>
      </c>
      <c r="E1342" s="52" t="s">
        <v>3763</v>
      </c>
      <c r="F1342" s="4">
        <v>1</v>
      </c>
      <c r="G1342" s="21">
        <v>6427.08</v>
      </c>
      <c r="H1342" s="21">
        <v>9999.67</v>
      </c>
      <c r="I1342" s="21">
        <f>H1342-G1342</f>
        <v>3572.59</v>
      </c>
      <c r="J1342" s="31">
        <v>888.88890000000004</v>
      </c>
      <c r="K1342" s="707"/>
      <c r="L1342" s="22">
        <f>J1342*I1342*F1342</f>
        <v>3175635.5952510005</v>
      </c>
      <c r="M1342" s="22"/>
      <c r="N1342" s="83"/>
      <c r="O1342" s="12"/>
    </row>
    <row r="1343" spans="1:15" ht="15" x14ac:dyDescent="0.3">
      <c r="A1343" s="636"/>
      <c r="B1343" s="96"/>
      <c r="C1343" s="90"/>
      <c r="D1343" s="90"/>
      <c r="E1343" s="90"/>
      <c r="F1343" s="793"/>
      <c r="G1343" s="38"/>
      <c r="H1343" s="38"/>
      <c r="I1343" s="38"/>
      <c r="J1343" s="96" t="s">
        <v>30</v>
      </c>
      <c r="K1343" s="708"/>
      <c r="L1343" s="43">
        <f>SUM(L1341:L1342)</f>
        <v>9166711.2256949991</v>
      </c>
      <c r="M1343" s="43">
        <f>SUM(M1341:M1342)</f>
        <v>0</v>
      </c>
      <c r="N1343" s="712"/>
      <c r="O1343" s="12"/>
    </row>
    <row r="1344" spans="1:15" thickBot="1" x14ac:dyDescent="0.35">
      <c r="A1344" s="702"/>
      <c r="B1344" s="736"/>
      <c r="C1344" s="92"/>
      <c r="D1344" s="92"/>
      <c r="E1344" s="92"/>
      <c r="F1344" s="795"/>
      <c r="G1344" s="737"/>
      <c r="H1344" s="737"/>
      <c r="I1344" s="737"/>
      <c r="J1344" s="736"/>
      <c r="K1344" s="738"/>
      <c r="L1344" s="739"/>
      <c r="M1344" s="739"/>
      <c r="N1344" s="1914"/>
      <c r="O1344" s="740"/>
    </row>
    <row r="1345" spans="1:15" ht="15" x14ac:dyDescent="0.35">
      <c r="A1345" s="702"/>
      <c r="B1345" s="2142" t="s">
        <v>1339</v>
      </c>
      <c r="C1345" s="2143"/>
      <c r="D1345" s="683" t="s">
        <v>14</v>
      </c>
      <c r="E1345"/>
      <c r="F1345" s="2144" t="s">
        <v>1350</v>
      </c>
      <c r="G1345" s="2145"/>
      <c r="H1345" s="2146"/>
      <c r="I1345" s="683" t="s">
        <v>14</v>
      </c>
      <c r="K1345" s="2147" t="s">
        <v>1092</v>
      </c>
      <c r="L1345" s="2148"/>
      <c r="M1345" s="684" t="s">
        <v>14</v>
      </c>
      <c r="N1345" s="1914"/>
      <c r="O1345" s="740"/>
    </row>
    <row r="1346" spans="1:15" ht="15" x14ac:dyDescent="0.35">
      <c r="A1346" s="702"/>
      <c r="B1346" s="2122" t="str">
        <f>B1327</f>
        <v>Agargoan 33 KV SIDE</v>
      </c>
      <c r="C1346" s="2123"/>
      <c r="D1346" s="689">
        <f>M1330</f>
        <v>0</v>
      </c>
      <c r="E1346"/>
      <c r="F1346" s="2124" t="s">
        <v>1093</v>
      </c>
      <c r="G1346" s="2125"/>
      <c r="H1346" s="2126"/>
      <c r="I1346" s="685">
        <f>L1338</f>
        <v>0</v>
      </c>
      <c r="K1346" s="2160" t="str">
        <f>F1347</f>
        <v>MONIPURIPARA 33 KV NET IMPORT</v>
      </c>
      <c r="L1346" s="2161"/>
      <c r="M1346" s="687" t="e">
        <f>I1347</f>
        <v>#REF!</v>
      </c>
      <c r="N1346" s="1914"/>
      <c r="O1346" s="740"/>
    </row>
    <row r="1347" spans="1:15" ht="15" x14ac:dyDescent="0.35">
      <c r="A1347" s="702"/>
      <c r="B1347" s="2122" t="e">
        <f>#REF!</f>
        <v>#REF!</v>
      </c>
      <c r="C1347" s="2123"/>
      <c r="D1347" s="741" t="e">
        <f>#REF!</f>
        <v>#REF!</v>
      </c>
      <c r="E1347"/>
      <c r="F1347" s="2124" t="s">
        <v>1633</v>
      </c>
      <c r="G1347" s="2125"/>
      <c r="H1347" s="2126"/>
      <c r="I1347" s="685" t="e">
        <f>D1350-I1346</f>
        <v>#REF!</v>
      </c>
      <c r="K1347" s="2162" t="s">
        <v>1634</v>
      </c>
      <c r="L1347" s="2163"/>
      <c r="M1347" s="685">
        <f>M1381</f>
        <v>0</v>
      </c>
      <c r="N1347" s="1914"/>
      <c r="O1347" s="740"/>
    </row>
    <row r="1348" spans="1:15" ht="15" x14ac:dyDescent="0.35">
      <c r="A1348" s="702"/>
      <c r="B1348" s="2122" t="s">
        <v>1117</v>
      </c>
      <c r="C1348" s="2123"/>
      <c r="D1348" s="721"/>
      <c r="E1348"/>
      <c r="F1348" s="2124" t="s">
        <v>1089</v>
      </c>
      <c r="G1348" s="2125"/>
      <c r="H1348" s="2126"/>
      <c r="I1348" s="685" t="e">
        <f>I1346+I1347</f>
        <v>#REF!</v>
      </c>
      <c r="K1348" s="2127" t="s">
        <v>284</v>
      </c>
      <c r="L1348" s="2128"/>
      <c r="M1348" s="685" t="e">
        <f>M1346-M1347</f>
        <v>#REF!</v>
      </c>
      <c r="N1348" s="1914"/>
      <c r="O1348" s="740"/>
    </row>
    <row r="1349" spans="1:15" ht="16" thickBot="1" x14ac:dyDescent="0.4">
      <c r="A1349" s="702"/>
      <c r="B1349" s="2122" t="s">
        <v>1118</v>
      </c>
      <c r="C1349" s="2123"/>
      <c r="D1349" s="722"/>
      <c r="E1349"/>
      <c r="F1349" s="2113" t="s">
        <v>1546</v>
      </c>
      <c r="G1349" s="2114"/>
      <c r="H1349" s="2115"/>
      <c r="I1349" s="690" t="e">
        <f>(D1350-I1348)/I1348</f>
        <v>#REF!</v>
      </c>
      <c r="K1349" s="2134" t="s">
        <v>285</v>
      </c>
      <c r="L1349" s="2135"/>
      <c r="M1349" s="688" t="e">
        <f>M1348/M1346</f>
        <v>#REF!</v>
      </c>
      <c r="N1349" s="1914"/>
      <c r="O1349" s="740"/>
    </row>
    <row r="1350" spans="1:15" thickBot="1" x14ac:dyDescent="0.4">
      <c r="A1350" s="702"/>
      <c r="B1350" s="2158" t="s">
        <v>1082</v>
      </c>
      <c r="C1350" s="2159"/>
      <c r="D1350" s="686" t="e">
        <f>SUM(D1346:D1348)</f>
        <v>#REF!</v>
      </c>
      <c r="E1350"/>
      <c r="N1350" s="1914"/>
      <c r="O1350" s="740"/>
    </row>
    <row r="1351" spans="1:15" ht="15" x14ac:dyDescent="0.3">
      <c r="A1351" s="702"/>
      <c r="B1351" s="736"/>
      <c r="C1351" s="92"/>
      <c r="D1351" s="92"/>
      <c r="E1351" s="92"/>
      <c r="F1351" s="795"/>
      <c r="G1351" s="737"/>
      <c r="H1351" s="737"/>
      <c r="I1351" s="737"/>
      <c r="J1351" s="736"/>
      <c r="K1351" s="738"/>
      <c r="L1351" s="739"/>
      <c r="M1351" s="739"/>
      <c r="N1351" s="1914"/>
      <c r="O1351" s="740"/>
    </row>
    <row r="1352" spans="1:15" x14ac:dyDescent="0.35">
      <c r="B1352" s="632"/>
      <c r="C1352" s="620"/>
      <c r="D1352" s="728"/>
      <c r="E1352" s="620"/>
      <c r="N1352" s="1469"/>
    </row>
    <row r="1353" spans="1:15" x14ac:dyDescent="0.35">
      <c r="B1353" s="632"/>
      <c r="C1353" s="620"/>
      <c r="D1353" s="728"/>
      <c r="E1353" s="620"/>
      <c r="N1353" s="1469"/>
    </row>
    <row r="1354" spans="1:15" ht="105" x14ac:dyDescent="0.3">
      <c r="A1354" s="2095" t="s">
        <v>1158</v>
      </c>
      <c r="B1354" s="2095"/>
      <c r="C1354" s="2095"/>
      <c r="D1354" s="2095"/>
      <c r="E1354" s="2095"/>
      <c r="F1354" s="2095"/>
      <c r="G1354" s="2095"/>
      <c r="H1354" s="2095"/>
      <c r="I1354" s="2095"/>
      <c r="J1354" s="2095"/>
      <c r="K1354" s="2095"/>
      <c r="L1354" s="2095"/>
      <c r="M1354" s="2095"/>
      <c r="N1354" s="2095"/>
      <c r="O1354" s="756" t="str">
        <f>$O$6</f>
        <v>Month December-2022</v>
      </c>
    </row>
    <row r="1355" spans="1:15" x14ac:dyDescent="0.35">
      <c r="A1355" s="2096" t="s">
        <v>0</v>
      </c>
      <c r="B1355" s="2098" t="s">
        <v>1</v>
      </c>
      <c r="C1355" s="2100" t="s">
        <v>2</v>
      </c>
      <c r="D1355" s="2101"/>
      <c r="E1355" s="2102"/>
      <c r="F1355" s="2230" t="s">
        <v>3</v>
      </c>
      <c r="G1355" s="2100" t="s">
        <v>4</v>
      </c>
      <c r="H1355" s="2102"/>
      <c r="I1355" s="2085"/>
      <c r="J1355" s="2103" t="s">
        <v>5</v>
      </c>
      <c r="K1355" s="2100" t="s">
        <v>6</v>
      </c>
      <c r="L1355" s="2085"/>
      <c r="M1355" s="97" t="s">
        <v>32</v>
      </c>
      <c r="N1355" s="98"/>
      <c r="O1355" s="2084" t="s">
        <v>7</v>
      </c>
    </row>
    <row r="1356" spans="1:15" x14ac:dyDescent="0.3">
      <c r="A1356" s="2097"/>
      <c r="B1356" s="2099"/>
      <c r="C1356" s="2086" t="s">
        <v>1108</v>
      </c>
      <c r="D1356" s="2087"/>
      <c r="E1356" s="87" t="s">
        <v>9</v>
      </c>
      <c r="F1356" s="2229"/>
      <c r="G1356" s="2">
        <f>'NORTH-1'!$G$8</f>
        <v>44774</v>
      </c>
      <c r="H1356" s="2">
        <f>'NORTH-1'!$H$8</f>
        <v>44805</v>
      </c>
      <c r="I1356" s="1" t="s">
        <v>10</v>
      </c>
      <c r="J1356" s="2097"/>
      <c r="K1356" s="1" t="s">
        <v>11</v>
      </c>
      <c r="L1356" s="1" t="s">
        <v>12</v>
      </c>
      <c r="M1356" s="617" t="s">
        <v>33</v>
      </c>
      <c r="N1356" s="76" t="s">
        <v>47</v>
      </c>
      <c r="O1356" s="2085"/>
    </row>
    <row r="1357" spans="1:15" x14ac:dyDescent="0.3">
      <c r="A1357" s="3">
        <v>1</v>
      </c>
      <c r="B1357" s="88">
        <v>2</v>
      </c>
      <c r="C1357" s="2088">
        <v>4</v>
      </c>
      <c r="D1357" s="2089"/>
      <c r="E1357" s="88">
        <v>5</v>
      </c>
      <c r="F1357" s="786">
        <v>7</v>
      </c>
      <c r="G1357" s="3">
        <v>8</v>
      </c>
      <c r="H1357" s="3">
        <v>9</v>
      </c>
      <c r="I1357" s="3" t="s">
        <v>13</v>
      </c>
      <c r="J1357" s="3">
        <v>11</v>
      </c>
      <c r="K1357" s="3" t="s">
        <v>19</v>
      </c>
      <c r="L1357" s="3" t="s">
        <v>20</v>
      </c>
      <c r="M1357" s="3">
        <v>14</v>
      </c>
      <c r="N1357" s="77">
        <v>15</v>
      </c>
      <c r="O1357" s="3">
        <v>16</v>
      </c>
    </row>
    <row r="1358" spans="1:15" x14ac:dyDescent="0.35">
      <c r="A1358" s="631"/>
      <c r="B1358" s="624" t="s">
        <v>1635</v>
      </c>
      <c r="C1358" s="625"/>
      <c r="D1358" s="625"/>
      <c r="E1358" s="625"/>
      <c r="F1358" s="787"/>
      <c r="G1358" s="625"/>
      <c r="H1358" s="625"/>
      <c r="I1358" s="625"/>
      <c r="J1358" s="625"/>
      <c r="K1358" s="695"/>
      <c r="L1358" s="625"/>
      <c r="M1358" s="626"/>
      <c r="N1358" s="627"/>
      <c r="O1358" s="616"/>
    </row>
    <row r="1359" spans="1:15" x14ac:dyDescent="0.35">
      <c r="A1359" s="631">
        <v>1</v>
      </c>
      <c r="B1359" s="100" t="s">
        <v>3615</v>
      </c>
      <c r="C1359" s="52">
        <v>11</v>
      </c>
      <c r="D1359" s="1770" t="s">
        <v>339</v>
      </c>
      <c r="E1359" s="52" t="s">
        <v>3764</v>
      </c>
      <c r="F1359" s="4">
        <v>1</v>
      </c>
      <c r="G1359" s="21"/>
      <c r="H1359" s="21">
        <v>56830.239999999998</v>
      </c>
      <c r="I1359" s="21">
        <f>H1359-G1359</f>
        <v>56830.239999999998</v>
      </c>
      <c r="J1359" s="616">
        <v>1000</v>
      </c>
      <c r="K1359" s="696">
        <f>J1359*I1359*F1359</f>
        <v>56830240</v>
      </c>
      <c r="L1359" s="22"/>
      <c r="M1359" s="22"/>
      <c r="N1359" s="82"/>
      <c r="O1359" s="616"/>
    </row>
    <row r="1360" spans="1:15" x14ac:dyDescent="0.35">
      <c r="A1360" s="631">
        <v>2</v>
      </c>
      <c r="B1360" s="100" t="s">
        <v>3765</v>
      </c>
      <c r="C1360" s="52">
        <v>11</v>
      </c>
      <c r="D1360" s="1772" t="s">
        <v>339</v>
      </c>
      <c r="E1360" s="52" t="s">
        <v>3766</v>
      </c>
      <c r="F1360" s="4">
        <v>1</v>
      </c>
      <c r="G1360" s="21">
        <v>5727.82</v>
      </c>
      <c r="H1360" s="21">
        <v>9272.11</v>
      </c>
      <c r="I1360" s="21">
        <f>H1360-G1360</f>
        <v>3544.2900000000009</v>
      </c>
      <c r="J1360" s="616">
        <v>1000</v>
      </c>
      <c r="K1360" s="696">
        <f>J1360*I1360*F1360</f>
        <v>3544290.0000000009</v>
      </c>
      <c r="L1360" s="22"/>
      <c r="M1360" s="22"/>
      <c r="N1360" s="82"/>
      <c r="O1360" s="616"/>
    </row>
    <row r="1361" spans="1:15" x14ac:dyDescent="0.35">
      <c r="A1361" s="631"/>
      <c r="B1361" s="102"/>
      <c r="C1361" s="91"/>
      <c r="D1361" s="726"/>
      <c r="E1361" s="91"/>
      <c r="F1361" s="47"/>
      <c r="G1361" s="48"/>
      <c r="H1361" s="48"/>
      <c r="I1361" s="48"/>
      <c r="J1361" s="39" t="s">
        <v>30</v>
      </c>
      <c r="K1361" s="708">
        <f>SUM(K1359:K1360)</f>
        <v>60374530</v>
      </c>
      <c r="L1361" s="43">
        <f>SUM(L1359:L1360)</f>
        <v>0</v>
      </c>
      <c r="M1361" s="43">
        <f>SUM(M1359:M1360)</f>
        <v>0</v>
      </c>
      <c r="N1361" s="85"/>
      <c r="O1361" s="616"/>
    </row>
    <row r="1362" spans="1:15" x14ac:dyDescent="0.35">
      <c r="A1362" s="631"/>
      <c r="B1362" s="647" t="s">
        <v>1635</v>
      </c>
      <c r="C1362" s="648"/>
      <c r="D1362" s="648"/>
      <c r="E1362" s="648"/>
      <c r="F1362" s="789"/>
      <c r="G1362" s="648"/>
      <c r="H1362" s="648"/>
      <c r="I1362" s="648"/>
      <c r="J1362" s="50"/>
      <c r="K1362" s="710"/>
      <c r="L1362" s="51"/>
      <c r="M1362" s="51"/>
      <c r="N1362" s="649"/>
      <c r="O1362" s="616"/>
    </row>
    <row r="1363" spans="1:15" x14ac:dyDescent="0.35">
      <c r="A1363" s="631">
        <v>1</v>
      </c>
      <c r="B1363" s="100" t="s">
        <v>1446</v>
      </c>
      <c r="C1363" s="73">
        <v>11</v>
      </c>
      <c r="D1363" s="1781"/>
      <c r="E1363" s="52" t="s">
        <v>3767</v>
      </c>
      <c r="F1363" s="4">
        <v>1</v>
      </c>
      <c r="G1363" s="6"/>
      <c r="H1363" s="6"/>
      <c r="I1363" s="20">
        <f t="shared" ref="I1363:I1380" si="51">H1363-G1363</f>
        <v>0</v>
      </c>
      <c r="J1363" s="616">
        <v>1000</v>
      </c>
      <c r="K1363" s="703"/>
      <c r="L1363" s="22">
        <f t="shared" ref="L1363:L1380" si="52">J1363*I1363*F1363</f>
        <v>0</v>
      </c>
      <c r="M1363" s="22"/>
      <c r="N1363" s="72"/>
      <c r="O1363" s="15"/>
    </row>
    <row r="1364" spans="1:15" x14ac:dyDescent="0.35">
      <c r="A1364" s="631">
        <v>2</v>
      </c>
      <c r="B1364" s="100" t="s">
        <v>3768</v>
      </c>
      <c r="C1364" s="73">
        <v>11</v>
      </c>
      <c r="D1364" s="1782"/>
      <c r="E1364" s="52" t="s">
        <v>3769</v>
      </c>
      <c r="F1364" s="4">
        <v>1</v>
      </c>
      <c r="G1364" s="6">
        <v>24972.66</v>
      </c>
      <c r="H1364" s="6">
        <v>25409.27</v>
      </c>
      <c r="I1364" s="20">
        <f t="shared" si="51"/>
        <v>436.61000000000058</v>
      </c>
      <c r="J1364" s="616">
        <v>1000</v>
      </c>
      <c r="K1364" s="703"/>
      <c r="L1364" s="22">
        <f t="shared" si="52"/>
        <v>436610.00000000058</v>
      </c>
      <c r="M1364" s="22"/>
      <c r="N1364" s="72" t="s">
        <v>4693</v>
      </c>
      <c r="O1364" s="15"/>
    </row>
    <row r="1365" spans="1:15" x14ac:dyDescent="0.35">
      <c r="A1365" s="631">
        <v>3</v>
      </c>
      <c r="B1365" s="100" t="s">
        <v>3770</v>
      </c>
      <c r="C1365" s="73">
        <v>11</v>
      </c>
      <c r="D1365" s="1782"/>
      <c r="E1365" s="52" t="s">
        <v>3771</v>
      </c>
      <c r="F1365" s="4">
        <v>1</v>
      </c>
      <c r="G1365" s="6">
        <v>12778.76</v>
      </c>
      <c r="H1365" s="6">
        <v>13273.09</v>
      </c>
      <c r="I1365" s="20">
        <f t="shared" si="51"/>
        <v>494.32999999999993</v>
      </c>
      <c r="J1365" s="616">
        <v>1000</v>
      </c>
      <c r="K1365" s="703"/>
      <c r="L1365" s="22">
        <f t="shared" si="52"/>
        <v>494329.99999999994</v>
      </c>
      <c r="M1365" s="22"/>
      <c r="N1365" s="72" t="s">
        <v>109</v>
      </c>
      <c r="O1365" s="15"/>
    </row>
    <row r="1366" spans="1:15" x14ac:dyDescent="0.35">
      <c r="A1366" s="631">
        <v>4</v>
      </c>
      <c r="B1366" s="100" t="s">
        <v>3772</v>
      </c>
      <c r="C1366" s="73">
        <v>11</v>
      </c>
      <c r="D1366" s="1782"/>
      <c r="E1366" s="52" t="s">
        <v>3773</v>
      </c>
      <c r="F1366" s="4">
        <v>1</v>
      </c>
      <c r="G1366" s="6">
        <v>22097.919999999998</v>
      </c>
      <c r="H1366" s="6">
        <v>22675.45</v>
      </c>
      <c r="I1366" s="20">
        <f t="shared" si="51"/>
        <v>577.53000000000247</v>
      </c>
      <c r="J1366" s="616">
        <v>1000</v>
      </c>
      <c r="K1366" s="703"/>
      <c r="L1366" s="22">
        <f t="shared" si="52"/>
        <v>577530.00000000244</v>
      </c>
      <c r="M1366" s="22"/>
      <c r="N1366" s="72" t="s">
        <v>4693</v>
      </c>
      <c r="O1366" s="15"/>
    </row>
    <row r="1367" spans="1:15" x14ac:dyDescent="0.35">
      <c r="A1367" s="631">
        <v>5</v>
      </c>
      <c r="B1367" s="100" t="s">
        <v>3774</v>
      </c>
      <c r="C1367" s="73">
        <v>11</v>
      </c>
      <c r="D1367" s="1782"/>
      <c r="E1367" s="52" t="s">
        <v>3775</v>
      </c>
      <c r="F1367" s="4">
        <v>1</v>
      </c>
      <c r="G1367" s="6">
        <v>8866.34</v>
      </c>
      <c r="H1367" s="6">
        <v>9223.57</v>
      </c>
      <c r="I1367" s="20">
        <f t="shared" si="51"/>
        <v>357.22999999999956</v>
      </c>
      <c r="J1367" s="616">
        <v>1000</v>
      </c>
      <c r="K1367" s="703"/>
      <c r="L1367" s="22">
        <f t="shared" si="52"/>
        <v>357229.99999999953</v>
      </c>
      <c r="M1367" s="22"/>
      <c r="N1367" s="72" t="s">
        <v>4693</v>
      </c>
      <c r="O1367" s="15"/>
    </row>
    <row r="1368" spans="1:15" x14ac:dyDescent="0.35">
      <c r="A1368" s="631">
        <v>6</v>
      </c>
      <c r="B1368" s="100" t="s">
        <v>3633</v>
      </c>
      <c r="C1368" s="73">
        <v>11</v>
      </c>
      <c r="D1368" s="1782"/>
      <c r="E1368" s="52" t="s">
        <v>3776</v>
      </c>
      <c r="F1368" s="4">
        <v>1</v>
      </c>
      <c r="G1368" s="6">
        <v>44756.78</v>
      </c>
      <c r="H1368" s="6">
        <v>45781.35</v>
      </c>
      <c r="I1368" s="20">
        <f t="shared" si="51"/>
        <v>1024.5699999999997</v>
      </c>
      <c r="J1368" s="616">
        <v>1000</v>
      </c>
      <c r="K1368" s="703"/>
      <c r="L1368" s="22">
        <f t="shared" si="52"/>
        <v>1024569.9999999998</v>
      </c>
      <c r="M1368" s="22"/>
      <c r="N1368" s="72" t="s">
        <v>4693</v>
      </c>
      <c r="O1368" s="15"/>
    </row>
    <row r="1369" spans="1:15" x14ac:dyDescent="0.35">
      <c r="A1369" s="631">
        <v>7</v>
      </c>
      <c r="B1369" s="100" t="s">
        <v>3777</v>
      </c>
      <c r="C1369" s="73">
        <v>11</v>
      </c>
      <c r="D1369" s="1782"/>
      <c r="E1369" s="52" t="s">
        <v>3778</v>
      </c>
      <c r="F1369" s="4">
        <v>1</v>
      </c>
      <c r="G1369" s="6">
        <v>22831.54</v>
      </c>
      <c r="H1369" s="6">
        <v>23342.71</v>
      </c>
      <c r="I1369" s="20">
        <f t="shared" si="51"/>
        <v>511.16999999999825</v>
      </c>
      <c r="J1369" s="616">
        <v>1000</v>
      </c>
      <c r="K1369" s="703"/>
      <c r="L1369" s="22">
        <f t="shared" si="52"/>
        <v>511169.99999999825</v>
      </c>
      <c r="M1369" s="22"/>
      <c r="N1369" s="72" t="s">
        <v>4693</v>
      </c>
      <c r="O1369" s="15"/>
    </row>
    <row r="1370" spans="1:15" x14ac:dyDescent="0.35">
      <c r="A1370" s="631">
        <v>8</v>
      </c>
      <c r="B1370" s="100" t="s">
        <v>3779</v>
      </c>
      <c r="C1370" s="73">
        <v>11</v>
      </c>
      <c r="D1370" s="1782"/>
      <c r="E1370" s="52" t="s">
        <v>3780</v>
      </c>
      <c r="F1370" s="4">
        <v>1</v>
      </c>
      <c r="G1370" s="6"/>
      <c r="H1370" s="6"/>
      <c r="I1370" s="20">
        <f t="shared" si="51"/>
        <v>0</v>
      </c>
      <c r="J1370" s="616">
        <v>1000</v>
      </c>
      <c r="K1370" s="703"/>
      <c r="L1370" s="22">
        <f t="shared" si="52"/>
        <v>0</v>
      </c>
      <c r="M1370" s="22"/>
      <c r="N1370" s="72" t="s">
        <v>4693</v>
      </c>
      <c r="O1370" s="15"/>
    </row>
    <row r="1371" spans="1:15" x14ac:dyDescent="0.35">
      <c r="A1371" s="631">
        <v>1</v>
      </c>
      <c r="B1371" s="100" t="s">
        <v>3781</v>
      </c>
      <c r="C1371" s="73">
        <v>11</v>
      </c>
      <c r="D1371" s="1782"/>
      <c r="E1371" s="52" t="s">
        <v>3782</v>
      </c>
      <c r="F1371" s="4">
        <v>1</v>
      </c>
      <c r="G1371" s="6"/>
      <c r="H1371" s="6"/>
      <c r="I1371" s="20">
        <f t="shared" si="51"/>
        <v>0</v>
      </c>
      <c r="J1371" s="616">
        <v>1000</v>
      </c>
      <c r="K1371" s="703"/>
      <c r="L1371" s="22">
        <f t="shared" si="52"/>
        <v>0</v>
      </c>
      <c r="M1371" s="22"/>
      <c r="N1371" s="72" t="s">
        <v>4693</v>
      </c>
      <c r="O1371" s="15"/>
    </row>
    <row r="1372" spans="1:15" x14ac:dyDescent="0.35">
      <c r="A1372" s="631">
        <v>2</v>
      </c>
      <c r="B1372" s="100" t="s">
        <v>3783</v>
      </c>
      <c r="C1372" s="73">
        <v>11</v>
      </c>
      <c r="D1372" s="1782"/>
      <c r="E1372" s="52" t="s">
        <v>3784</v>
      </c>
      <c r="F1372" s="4">
        <v>1</v>
      </c>
      <c r="G1372" s="6">
        <v>40112.39</v>
      </c>
      <c r="H1372" s="6">
        <v>40112.39</v>
      </c>
      <c r="I1372" s="20">
        <f t="shared" si="51"/>
        <v>0</v>
      </c>
      <c r="J1372" s="616">
        <v>1000</v>
      </c>
      <c r="K1372" s="703"/>
      <c r="L1372" s="22">
        <f t="shared" si="52"/>
        <v>0</v>
      </c>
      <c r="M1372" s="22"/>
      <c r="N1372" s="72" t="s">
        <v>109</v>
      </c>
      <c r="O1372" s="15"/>
    </row>
    <row r="1373" spans="1:15" x14ac:dyDescent="0.35">
      <c r="A1373" s="631">
        <v>3</v>
      </c>
      <c r="B1373" s="100" t="s">
        <v>3785</v>
      </c>
      <c r="C1373" s="73">
        <v>11</v>
      </c>
      <c r="D1373" s="1782"/>
      <c r="E1373" s="52" t="s">
        <v>3786</v>
      </c>
      <c r="F1373" s="4">
        <v>1</v>
      </c>
      <c r="G1373" s="6">
        <v>8599.7800000000007</v>
      </c>
      <c r="H1373" s="6">
        <v>9148.73</v>
      </c>
      <c r="I1373" s="20">
        <f t="shared" si="51"/>
        <v>548.94999999999891</v>
      </c>
      <c r="J1373" s="616">
        <v>1000</v>
      </c>
      <c r="K1373" s="703"/>
      <c r="L1373" s="22">
        <f t="shared" si="52"/>
        <v>548949.99999999895</v>
      </c>
      <c r="M1373" s="22"/>
      <c r="N1373" s="72" t="s">
        <v>4693</v>
      </c>
      <c r="O1373" s="15"/>
    </row>
    <row r="1374" spans="1:15" x14ac:dyDescent="0.35">
      <c r="A1374" s="631">
        <v>4</v>
      </c>
      <c r="B1374" s="100" t="s">
        <v>3787</v>
      </c>
      <c r="C1374" s="73">
        <v>11</v>
      </c>
      <c r="D1374" s="1782"/>
      <c r="E1374" s="52" t="s">
        <v>3788</v>
      </c>
      <c r="F1374" s="4">
        <v>1</v>
      </c>
      <c r="G1374" s="6"/>
      <c r="H1374" s="6"/>
      <c r="I1374" s="20">
        <f t="shared" si="51"/>
        <v>0</v>
      </c>
      <c r="J1374" s="616">
        <v>1000</v>
      </c>
      <c r="K1374" s="703"/>
      <c r="L1374" s="22">
        <f t="shared" si="52"/>
        <v>0</v>
      </c>
      <c r="M1374" s="22"/>
      <c r="N1374" s="72" t="s">
        <v>4693</v>
      </c>
      <c r="O1374" s="15"/>
    </row>
    <row r="1375" spans="1:15" x14ac:dyDescent="0.35">
      <c r="A1375" s="631">
        <v>5</v>
      </c>
      <c r="B1375" s="100" t="s">
        <v>3789</v>
      </c>
      <c r="C1375" s="73">
        <v>11</v>
      </c>
      <c r="D1375" s="1782"/>
      <c r="E1375" s="52" t="s">
        <v>3790</v>
      </c>
      <c r="F1375" s="4">
        <v>1</v>
      </c>
      <c r="G1375" s="6">
        <v>30767.77</v>
      </c>
      <c r="H1375" s="6">
        <v>31608.79</v>
      </c>
      <c r="I1375" s="20">
        <f t="shared" si="51"/>
        <v>841.02000000000044</v>
      </c>
      <c r="J1375" s="616">
        <v>1000</v>
      </c>
      <c r="K1375" s="703"/>
      <c r="L1375" s="22">
        <f t="shared" si="52"/>
        <v>841020.00000000047</v>
      </c>
      <c r="M1375" s="22"/>
      <c r="N1375" s="72" t="s">
        <v>106</v>
      </c>
      <c r="O1375" s="15"/>
    </row>
    <row r="1376" spans="1:15" x14ac:dyDescent="0.35">
      <c r="A1376" s="631">
        <v>6</v>
      </c>
      <c r="B1376" s="100" t="s">
        <v>3791</v>
      </c>
      <c r="C1376" s="73">
        <v>11</v>
      </c>
      <c r="D1376" s="1782"/>
      <c r="E1376" s="52" t="s">
        <v>3792</v>
      </c>
      <c r="F1376" s="4">
        <v>1</v>
      </c>
      <c r="G1376" s="6">
        <v>28489.48</v>
      </c>
      <c r="H1376" s="6">
        <v>29276.9</v>
      </c>
      <c r="I1376" s="20">
        <f t="shared" si="51"/>
        <v>787.42000000000189</v>
      </c>
      <c r="J1376" s="616">
        <v>1000</v>
      </c>
      <c r="K1376" s="703"/>
      <c r="L1376" s="22">
        <f t="shared" si="52"/>
        <v>787420.00000000186</v>
      </c>
      <c r="M1376" s="22"/>
      <c r="N1376" s="72" t="s">
        <v>106</v>
      </c>
      <c r="O1376" s="15"/>
    </row>
    <row r="1377" spans="1:15" x14ac:dyDescent="0.35">
      <c r="A1377" s="631">
        <v>7</v>
      </c>
      <c r="B1377" s="100" t="s">
        <v>3793</v>
      </c>
      <c r="C1377" s="73">
        <v>11</v>
      </c>
      <c r="D1377" s="1782"/>
      <c r="E1377" s="52" t="s">
        <v>3794</v>
      </c>
      <c r="F1377" s="4">
        <v>1</v>
      </c>
      <c r="G1377" s="6">
        <v>8672.51</v>
      </c>
      <c r="H1377" s="6">
        <v>8908.31</v>
      </c>
      <c r="I1377" s="20">
        <f t="shared" si="51"/>
        <v>235.79999999999927</v>
      </c>
      <c r="J1377" s="616">
        <v>1000</v>
      </c>
      <c r="K1377" s="703"/>
      <c r="L1377" s="22">
        <f t="shared" si="52"/>
        <v>235799.99999999927</v>
      </c>
      <c r="M1377" s="22"/>
      <c r="N1377" s="72" t="s">
        <v>106</v>
      </c>
      <c r="O1377" s="15"/>
    </row>
    <row r="1378" spans="1:15" x14ac:dyDescent="0.35">
      <c r="A1378" s="631">
        <v>8</v>
      </c>
      <c r="B1378" s="100" t="s">
        <v>3795</v>
      </c>
      <c r="C1378" s="73">
        <v>11</v>
      </c>
      <c r="D1378" s="1782"/>
      <c r="E1378" s="52" t="s">
        <v>3796</v>
      </c>
      <c r="F1378" s="4">
        <v>1</v>
      </c>
      <c r="G1378" s="6">
        <v>3968.43</v>
      </c>
      <c r="H1378" s="6">
        <v>4079.97</v>
      </c>
      <c r="I1378" s="20">
        <f t="shared" si="51"/>
        <v>111.53999999999996</v>
      </c>
      <c r="J1378" s="616">
        <v>1000</v>
      </c>
      <c r="K1378" s="703"/>
      <c r="L1378" s="22">
        <f t="shared" si="52"/>
        <v>111539.99999999997</v>
      </c>
      <c r="M1378" s="22"/>
      <c r="N1378" s="72" t="s">
        <v>106</v>
      </c>
      <c r="O1378" s="15"/>
    </row>
    <row r="1379" spans="1:15" x14ac:dyDescent="0.35">
      <c r="A1379" s="631">
        <v>9</v>
      </c>
      <c r="B1379" s="100" t="s">
        <v>3550</v>
      </c>
      <c r="C1379" s="73">
        <v>415</v>
      </c>
      <c r="D1379" s="1782"/>
      <c r="E1379" s="52"/>
      <c r="F1379" s="4">
        <v>1</v>
      </c>
      <c r="G1379" s="6"/>
      <c r="H1379" s="6"/>
      <c r="I1379" s="20">
        <f t="shared" si="51"/>
        <v>0</v>
      </c>
      <c r="J1379" s="616">
        <v>1</v>
      </c>
      <c r="K1379" s="703"/>
      <c r="L1379" s="22">
        <f t="shared" si="52"/>
        <v>0</v>
      </c>
      <c r="M1379" s="22"/>
      <c r="N1379" s="72" t="s">
        <v>4693</v>
      </c>
      <c r="O1379" s="15"/>
    </row>
    <row r="1380" spans="1:15" x14ac:dyDescent="0.35">
      <c r="A1380" s="631">
        <v>10</v>
      </c>
      <c r="B1380" s="100" t="s">
        <v>3551</v>
      </c>
      <c r="C1380" s="73">
        <v>415</v>
      </c>
      <c r="D1380" s="1783"/>
      <c r="E1380" s="52"/>
      <c r="F1380" s="4">
        <v>1</v>
      </c>
      <c r="G1380" s="6">
        <v>408.81</v>
      </c>
      <c r="H1380" s="6">
        <v>471.18</v>
      </c>
      <c r="I1380" s="20">
        <f t="shared" si="51"/>
        <v>62.370000000000005</v>
      </c>
      <c r="J1380" s="616">
        <v>1</v>
      </c>
      <c r="K1380" s="703"/>
      <c r="L1380" s="22">
        <f t="shared" si="52"/>
        <v>62.370000000000005</v>
      </c>
      <c r="M1380" s="22"/>
      <c r="N1380" s="72" t="s">
        <v>4693</v>
      </c>
      <c r="O1380" s="15"/>
    </row>
    <row r="1381" spans="1:15" ht="28" x14ac:dyDescent="0.3">
      <c r="A1381" s="636"/>
      <c r="B1381" s="96"/>
      <c r="C1381" s="90"/>
      <c r="D1381" s="90"/>
      <c r="E1381" s="90"/>
      <c r="F1381" s="793"/>
      <c r="G1381" s="38"/>
      <c r="H1381" s="38"/>
      <c r="I1381" s="38"/>
      <c r="J1381" s="53" t="s">
        <v>44</v>
      </c>
      <c r="K1381" s="43">
        <f>K1361</f>
        <v>60374530</v>
      </c>
      <c r="L1381" s="43">
        <f>SUM(L1363:L1380)</f>
        <v>5926232.370000001</v>
      </c>
      <c r="M1381" s="43">
        <f>SUM(M1363:M1380)</f>
        <v>0</v>
      </c>
      <c r="N1381" s="712">
        <f>(M1381-L1381)/L1381*100</f>
        <v>-100</v>
      </c>
      <c r="O1381" s="29"/>
    </row>
    <row r="1382" spans="1:15" x14ac:dyDescent="0.35">
      <c r="A1382"/>
      <c r="B1382"/>
      <c r="C1382"/>
      <c r="D1382"/>
      <c r="E1382"/>
      <c r="F1382" s="791"/>
      <c r="G1382"/>
      <c r="H1382"/>
      <c r="I1382"/>
      <c r="J1382"/>
      <c r="K1382"/>
      <c r="L1382"/>
      <c r="M1382"/>
      <c r="N1382" s="1451"/>
      <c r="O1382"/>
    </row>
    <row r="1383" spans="1:15" x14ac:dyDescent="0.35">
      <c r="E1383"/>
      <c r="F1383" s="2092" t="s">
        <v>1099</v>
      </c>
      <c r="G1383" s="2092"/>
      <c r="H1383" s="2092"/>
      <c r="I1383" s="677" t="s">
        <v>14</v>
      </c>
    </row>
    <row r="1384" spans="1:15" x14ac:dyDescent="0.35">
      <c r="E1384"/>
      <c r="F1384" s="2153" t="s">
        <v>232</v>
      </c>
      <c r="G1384" s="2154"/>
      <c r="H1384" s="2155"/>
      <c r="I1384" s="643">
        <f>SUM(M1363:M1364,M1374)</f>
        <v>0</v>
      </c>
      <c r="O1384" s="620" t="s">
        <v>237</v>
      </c>
    </row>
    <row r="1385" spans="1:15" x14ac:dyDescent="0.35">
      <c r="E1385"/>
      <c r="F1385" s="2153" t="s">
        <v>268</v>
      </c>
      <c r="G1385" s="2154"/>
      <c r="H1385" s="2155"/>
      <c r="I1385" s="643">
        <f>SUM(M1365:M1373,M1375,M1377,M1378,M1380)</f>
        <v>0</v>
      </c>
    </row>
    <row r="1386" spans="1:15" ht="16" thickBot="1" x14ac:dyDescent="0.4">
      <c r="E1386"/>
      <c r="F1386" s="2153" t="s">
        <v>269</v>
      </c>
      <c r="G1386" s="2154"/>
      <c r="H1386" s="2155"/>
      <c r="I1386" s="643">
        <f>SUM(M1376,M1379)</f>
        <v>0</v>
      </c>
    </row>
    <row r="1387" spans="1:15" ht="20.5" thickBot="1" x14ac:dyDescent="0.4">
      <c r="F1387" s="2156" t="s">
        <v>210</v>
      </c>
      <c r="G1387" s="2156"/>
      <c r="H1387" s="2156"/>
      <c r="I1387" s="656">
        <f>SUM(I1384:I1386)</f>
        <v>0</v>
      </c>
      <c r="J1387" s="682">
        <f>I1387-M1381</f>
        <v>0</v>
      </c>
    </row>
    <row r="1403" spans="1:15" ht="105" x14ac:dyDescent="0.3">
      <c r="A1403" s="2095" t="s">
        <v>3797</v>
      </c>
      <c r="B1403" s="2095"/>
      <c r="C1403" s="2095"/>
      <c r="D1403" s="2095"/>
      <c r="E1403" s="2095"/>
      <c r="F1403" s="2095"/>
      <c r="G1403" s="2095"/>
      <c r="H1403" s="2095"/>
      <c r="I1403" s="2095"/>
      <c r="J1403" s="2095"/>
      <c r="K1403" s="2095"/>
      <c r="L1403" s="2095"/>
      <c r="M1403" s="2095"/>
      <c r="N1403" s="2095"/>
      <c r="O1403" s="756" t="str">
        <f>$O$6</f>
        <v>Month December-2022</v>
      </c>
    </row>
    <row r="1404" spans="1:15" x14ac:dyDescent="0.35">
      <c r="A1404" s="2096" t="s">
        <v>0</v>
      </c>
      <c r="B1404" s="2098" t="s">
        <v>1</v>
      </c>
      <c r="C1404" s="2100" t="s">
        <v>2</v>
      </c>
      <c r="D1404" s="2101"/>
      <c r="E1404" s="2102"/>
      <c r="F1404" s="2230" t="s">
        <v>3</v>
      </c>
      <c r="G1404" s="2100" t="s">
        <v>4</v>
      </c>
      <c r="H1404" s="2102"/>
      <c r="I1404" s="2085"/>
      <c r="J1404" s="2103" t="s">
        <v>5</v>
      </c>
      <c r="K1404" s="2100" t="s">
        <v>6</v>
      </c>
      <c r="L1404" s="2085"/>
      <c r="M1404" s="97" t="s">
        <v>32</v>
      </c>
      <c r="N1404" s="98"/>
      <c r="O1404" s="2084" t="s">
        <v>7</v>
      </c>
    </row>
    <row r="1405" spans="1:15" x14ac:dyDescent="0.3">
      <c r="A1405" s="2097"/>
      <c r="B1405" s="2099"/>
      <c r="C1405" s="2086" t="s">
        <v>1108</v>
      </c>
      <c r="D1405" s="2087"/>
      <c r="E1405" s="87" t="s">
        <v>9</v>
      </c>
      <c r="F1405" s="2229"/>
      <c r="G1405" s="2">
        <f>'NORTH-1'!$G$8</f>
        <v>44774</v>
      </c>
      <c r="H1405" s="2">
        <f>'NORTH-1'!$H$8</f>
        <v>44805</v>
      </c>
      <c r="I1405" s="1" t="s">
        <v>10</v>
      </c>
      <c r="J1405" s="2097"/>
      <c r="K1405" s="1" t="s">
        <v>11</v>
      </c>
      <c r="L1405" s="1" t="s">
        <v>12</v>
      </c>
      <c r="M1405" s="617" t="s">
        <v>33</v>
      </c>
      <c r="N1405" s="76" t="s">
        <v>47</v>
      </c>
      <c r="O1405" s="2085"/>
    </row>
    <row r="1406" spans="1:15" x14ac:dyDescent="0.3">
      <c r="A1406" s="3">
        <v>1</v>
      </c>
      <c r="B1406" s="88">
        <v>2</v>
      </c>
      <c r="C1406" s="2088">
        <v>4</v>
      </c>
      <c r="D1406" s="2089"/>
      <c r="E1406" s="88">
        <v>5</v>
      </c>
      <c r="F1406" s="786">
        <v>7</v>
      </c>
      <c r="G1406" s="3">
        <v>8</v>
      </c>
      <c r="H1406" s="3">
        <v>9</v>
      </c>
      <c r="I1406" s="3" t="s">
        <v>13</v>
      </c>
      <c r="J1406" s="3">
        <v>11</v>
      </c>
      <c r="K1406" s="3" t="s">
        <v>19</v>
      </c>
      <c r="L1406" s="3" t="s">
        <v>20</v>
      </c>
      <c r="M1406" s="3">
        <v>14</v>
      </c>
      <c r="N1406" s="77">
        <v>15</v>
      </c>
      <c r="O1406" s="3">
        <v>16</v>
      </c>
    </row>
    <row r="1407" spans="1:15" x14ac:dyDescent="0.35">
      <c r="A1407" s="631"/>
      <c r="B1407" s="624" t="s">
        <v>3801</v>
      </c>
      <c r="C1407" s="625"/>
      <c r="D1407" s="625"/>
      <c r="E1407" s="625"/>
      <c r="F1407" s="787"/>
      <c r="G1407" s="625"/>
      <c r="H1407" s="625"/>
      <c r="I1407" s="625"/>
      <c r="J1407" s="625"/>
      <c r="K1407" s="695"/>
      <c r="L1407" s="625"/>
      <c r="M1407" s="626"/>
      <c r="N1407" s="627"/>
      <c r="O1407" s="616"/>
    </row>
    <row r="1408" spans="1:15" x14ac:dyDescent="0.3">
      <c r="A1408" s="11">
        <v>1</v>
      </c>
      <c r="B1408" s="100" t="s">
        <v>3802</v>
      </c>
      <c r="C1408" s="52">
        <v>33</v>
      </c>
      <c r="D1408" s="1859" t="s">
        <v>339</v>
      </c>
      <c r="E1408" s="52"/>
      <c r="F1408" s="4">
        <v>1</v>
      </c>
      <c r="G1408" s="20">
        <v>1901.32</v>
      </c>
      <c r="H1408" s="20">
        <v>1905.2</v>
      </c>
      <c r="I1408" s="20">
        <f>H1408-G1408</f>
        <v>3.8800000000001091</v>
      </c>
      <c r="J1408" s="616">
        <v>180000</v>
      </c>
      <c r="K1408" s="696">
        <f>J1408*I1408*F1408</f>
        <v>698400.00000001967</v>
      </c>
      <c r="L1408" s="22"/>
      <c r="M1408" s="22"/>
      <c r="N1408" s="82"/>
      <c r="O1408" s="9"/>
    </row>
    <row r="1409" spans="1:15" x14ac:dyDescent="0.35">
      <c r="A1409" s="631">
        <v>2</v>
      </c>
      <c r="B1409" s="100" t="s">
        <v>3803</v>
      </c>
      <c r="C1409" s="52">
        <v>33</v>
      </c>
      <c r="D1409" s="668" t="s">
        <v>339</v>
      </c>
      <c r="E1409" s="52"/>
      <c r="F1409" s="4">
        <v>1</v>
      </c>
      <c r="G1409" s="20">
        <v>3744.39</v>
      </c>
      <c r="H1409" s="20">
        <v>3747.42</v>
      </c>
      <c r="I1409" s="20">
        <f>H1409-G1409</f>
        <v>3.0300000000002001</v>
      </c>
      <c r="J1409" s="616">
        <v>180000</v>
      </c>
      <c r="K1409" s="696">
        <f>J1409*I1409*F1409</f>
        <v>545400.00000003597</v>
      </c>
      <c r="L1409" s="22"/>
      <c r="M1409" s="22"/>
      <c r="N1409" s="82"/>
      <c r="O1409" s="616"/>
    </row>
    <row r="1410" spans="1:15" x14ac:dyDescent="0.35">
      <c r="A1410" s="631"/>
      <c r="B1410" s="102"/>
      <c r="C1410" s="91"/>
      <c r="D1410" s="726"/>
      <c r="E1410" s="745"/>
      <c r="F1410" s="746"/>
      <c r="G1410" s="747"/>
      <c r="H1410" s="747"/>
      <c r="I1410" s="747"/>
      <c r="J1410" s="748" t="s">
        <v>30</v>
      </c>
      <c r="K1410" s="750">
        <f>SUM(K1408:K1409)</f>
        <v>1243800.0000000556</v>
      </c>
      <c r="L1410" s="750">
        <f>SUM(L1408:L1409)</f>
        <v>0</v>
      </c>
      <c r="M1410" s="750">
        <f>SUM(M1408:M1409)</f>
        <v>0</v>
      </c>
      <c r="N1410" s="1914"/>
      <c r="O1410" s="616"/>
    </row>
    <row r="1411" spans="1:15" x14ac:dyDescent="0.3">
      <c r="A1411" s="616"/>
      <c r="B1411" s="624" t="s">
        <v>3798</v>
      </c>
      <c r="C1411" s="625"/>
      <c r="D1411" s="625"/>
      <c r="E1411" s="625"/>
      <c r="F1411" s="787"/>
      <c r="G1411" s="625"/>
      <c r="H1411" s="625"/>
      <c r="I1411" s="625"/>
      <c r="J1411" s="732"/>
      <c r="K1411" s="733"/>
      <c r="L1411" s="734"/>
      <c r="M1411" s="734"/>
      <c r="N1411" s="627"/>
      <c r="O1411" s="12"/>
    </row>
    <row r="1412" spans="1:15" x14ac:dyDescent="0.3">
      <c r="A1412" s="616">
        <v>1</v>
      </c>
      <c r="B1412" s="100" t="s">
        <v>3802</v>
      </c>
      <c r="C1412" s="52">
        <v>33</v>
      </c>
      <c r="D1412" s="1770" t="s">
        <v>339</v>
      </c>
      <c r="E1412" s="52"/>
      <c r="F1412" s="4">
        <v>1</v>
      </c>
      <c r="G1412" s="21">
        <v>859.34</v>
      </c>
      <c r="H1412" s="21">
        <v>2319.15</v>
      </c>
      <c r="I1412" s="20">
        <f>H1412-G1412</f>
        <v>1459.81</v>
      </c>
      <c r="J1412" s="616">
        <v>1000</v>
      </c>
      <c r="K1412" s="696">
        <f>J1412*I1412*F1412</f>
        <v>1459810</v>
      </c>
      <c r="L1412" s="22"/>
      <c r="M1412" s="22"/>
      <c r="N1412" s="82"/>
      <c r="O1412" s="12"/>
    </row>
    <row r="1413" spans="1:15" x14ac:dyDescent="0.3">
      <c r="A1413" s="616">
        <v>2</v>
      </c>
      <c r="B1413" s="100" t="s">
        <v>3803</v>
      </c>
      <c r="C1413" s="52">
        <v>33</v>
      </c>
      <c r="D1413" s="1771" t="s">
        <v>339</v>
      </c>
      <c r="E1413" s="52"/>
      <c r="F1413" s="4">
        <v>1</v>
      </c>
      <c r="G1413" s="21">
        <v>5863.03</v>
      </c>
      <c r="H1413" s="21">
        <v>6414.75</v>
      </c>
      <c r="I1413" s="20">
        <f>H1413-G1413</f>
        <v>551.72000000000025</v>
      </c>
      <c r="J1413" s="616">
        <v>1000</v>
      </c>
      <c r="K1413" s="696">
        <f>J1413*I1413*F1413</f>
        <v>551720.00000000023</v>
      </c>
      <c r="L1413" s="22"/>
      <c r="M1413" s="22"/>
      <c r="N1413" s="82"/>
      <c r="O1413" s="12"/>
    </row>
    <row r="1414" spans="1:15" x14ac:dyDescent="0.3">
      <c r="A1414" s="616"/>
      <c r="B1414" s="102"/>
      <c r="C1414" s="91"/>
      <c r="D1414" s="726"/>
      <c r="E1414" s="91"/>
      <c r="F1414" s="47"/>
      <c r="G1414" s="48"/>
      <c r="H1414" s="48"/>
      <c r="I1414" s="36"/>
      <c r="J1414" s="96" t="s">
        <v>30</v>
      </c>
      <c r="K1414" s="43">
        <f>SUM(K1412:K1413)</f>
        <v>2011530.0000000002</v>
      </c>
      <c r="L1414" s="43">
        <f>SUM(L1412:L1413)</f>
        <v>0</v>
      </c>
      <c r="M1414" s="43">
        <f>SUM(M1412:M1413)</f>
        <v>0</v>
      </c>
      <c r="N1414" s="85"/>
      <c r="O1414" s="12"/>
    </row>
    <row r="1415" spans="1:15" x14ac:dyDescent="0.3">
      <c r="A1415" s="616"/>
      <c r="B1415" s="647" t="s">
        <v>3799</v>
      </c>
      <c r="C1415" s="648"/>
      <c r="D1415" s="648"/>
      <c r="E1415" s="648"/>
      <c r="F1415" s="789"/>
      <c r="G1415" s="648"/>
      <c r="H1415" s="648"/>
      <c r="I1415" s="648"/>
      <c r="J1415" s="648"/>
      <c r="K1415" s="700"/>
      <c r="L1415" s="648"/>
      <c r="M1415" s="651"/>
      <c r="N1415" s="649"/>
      <c r="O1415" s="8"/>
    </row>
    <row r="1416" spans="1:15" x14ac:dyDescent="0.3">
      <c r="A1416" s="616"/>
      <c r="B1416" s="100" t="s">
        <v>1079</v>
      </c>
      <c r="C1416" s="52">
        <v>132</v>
      </c>
      <c r="D1416" s="2138" t="s">
        <v>1083</v>
      </c>
      <c r="E1416" s="615"/>
      <c r="F1416" s="4"/>
      <c r="G1416" s="5"/>
      <c r="H1416" s="5"/>
      <c r="I1416" s="5"/>
      <c r="J1416" s="616"/>
      <c r="K1416" s="696"/>
      <c r="L1416" s="16">
        <f>J1416*I1416*F1416</f>
        <v>0</v>
      </c>
      <c r="M1416" s="7"/>
      <c r="N1416" s="78"/>
      <c r="O1416" s="616"/>
    </row>
    <row r="1417" spans="1:15" x14ac:dyDescent="0.3">
      <c r="A1417" s="616"/>
      <c r="B1417" s="100" t="s">
        <v>1078</v>
      </c>
      <c r="C1417" s="52">
        <v>132</v>
      </c>
      <c r="D1417" s="2139"/>
      <c r="E1417" s="615"/>
      <c r="F1417" s="4"/>
      <c r="G1417" s="5"/>
      <c r="H1417" s="5"/>
      <c r="I1417" s="5"/>
      <c r="J1417" s="616"/>
      <c r="K1417" s="696"/>
      <c r="L1417" s="16">
        <f>J1417*I1417*F1417</f>
        <v>0</v>
      </c>
      <c r="M1417" s="16"/>
      <c r="N1417" s="79"/>
      <c r="O1417" s="616"/>
    </row>
    <row r="1418" spans="1:15" x14ac:dyDescent="0.35">
      <c r="A1418" s="616"/>
      <c r="B1418" s="95"/>
      <c r="C1418" s="89"/>
      <c r="D1418" s="89"/>
      <c r="E1418" s="89"/>
      <c r="F1418" s="788"/>
      <c r="G1418" s="37"/>
      <c r="H1418" s="37"/>
      <c r="I1418" s="37"/>
      <c r="J1418" s="95" t="s">
        <v>279</v>
      </c>
      <c r="K1418" s="699"/>
      <c r="L1418" s="55">
        <f>SUM(L1416:L1417)</f>
        <v>0</v>
      </c>
      <c r="M1418" s="633"/>
      <c r="N1418" s="631"/>
      <c r="O1418" s="616"/>
    </row>
    <row r="1419" spans="1:15" x14ac:dyDescent="0.3">
      <c r="A1419" s="616"/>
      <c r="B1419" s="102"/>
      <c r="C1419" s="91"/>
      <c r="D1419" s="726"/>
      <c r="E1419" s="91"/>
      <c r="F1419" s="47"/>
      <c r="G1419" s="48"/>
      <c r="H1419" s="48"/>
      <c r="I1419" s="36"/>
      <c r="J1419" s="96"/>
      <c r="K1419" s="706"/>
      <c r="L1419" s="43"/>
      <c r="M1419" s="43"/>
      <c r="N1419" s="85"/>
      <c r="O1419" s="12"/>
    </row>
    <row r="1420" spans="1:15" x14ac:dyDescent="0.3">
      <c r="A1420" s="636"/>
      <c r="B1420" s="647" t="s">
        <v>3800</v>
      </c>
      <c r="C1420" s="648"/>
      <c r="D1420" s="648"/>
      <c r="E1420" s="648"/>
      <c r="F1420" s="789"/>
      <c r="G1420" s="648"/>
      <c r="H1420" s="648"/>
      <c r="I1420" s="648"/>
      <c r="J1420" s="50"/>
      <c r="K1420" s="710"/>
      <c r="L1420" s="51"/>
      <c r="M1420" s="51"/>
      <c r="N1420" s="649"/>
      <c r="O1420" s="12"/>
    </row>
    <row r="1421" spans="1:15" x14ac:dyDescent="0.3">
      <c r="A1421" s="616">
        <v>3</v>
      </c>
      <c r="B1421" s="100" t="s">
        <v>3516</v>
      </c>
      <c r="C1421" s="52">
        <v>33</v>
      </c>
      <c r="D1421" s="2140" t="s">
        <v>326</v>
      </c>
      <c r="E1421" s="52"/>
      <c r="F1421" s="4">
        <v>1</v>
      </c>
      <c r="G1421" s="21">
        <v>6432.37</v>
      </c>
      <c r="H1421" s="21">
        <v>8072.59</v>
      </c>
      <c r="I1421" s="21">
        <f>H1421-G1421</f>
        <v>1640.2200000000003</v>
      </c>
      <c r="J1421" s="31">
        <v>888.88890000000004</v>
      </c>
      <c r="K1421" s="707"/>
      <c r="L1421" s="22">
        <f>J1421*I1421*F1421</f>
        <v>1457973.3515580003</v>
      </c>
      <c r="M1421" s="22"/>
      <c r="N1421" s="83" t="e">
        <f>(K1418-L1423)/K1418*100</f>
        <v>#DIV/0!</v>
      </c>
      <c r="O1421" s="12"/>
    </row>
    <row r="1422" spans="1:15" x14ac:dyDescent="0.3">
      <c r="A1422" s="616">
        <v>4</v>
      </c>
      <c r="B1422" s="100" t="s">
        <v>3517</v>
      </c>
      <c r="C1422" s="52">
        <v>33</v>
      </c>
      <c r="D1422" s="2157" t="s">
        <v>326</v>
      </c>
      <c r="E1422" s="52"/>
      <c r="F1422" s="4">
        <v>1</v>
      </c>
      <c r="G1422" s="21">
        <v>1038.6400000000001</v>
      </c>
      <c r="H1422" s="21">
        <v>1609.3</v>
      </c>
      <c r="I1422" s="21">
        <f>H1422-G1422</f>
        <v>570.65999999999985</v>
      </c>
      <c r="J1422" s="31">
        <v>888.88890000000004</v>
      </c>
      <c r="K1422" s="707"/>
      <c r="L1422" s="22">
        <f>J1422*I1422*F1422</f>
        <v>507253.33967399987</v>
      </c>
      <c r="M1422" s="22"/>
      <c r="N1422" s="83"/>
      <c r="O1422" s="12"/>
    </row>
    <row r="1423" spans="1:15" ht="15" x14ac:dyDescent="0.3">
      <c r="A1423" s="636"/>
      <c r="B1423" s="96"/>
      <c r="C1423" s="90"/>
      <c r="D1423" s="90"/>
      <c r="E1423" s="90"/>
      <c r="F1423" s="793"/>
      <c r="G1423" s="38"/>
      <c r="H1423" s="38"/>
      <c r="I1423" s="38"/>
      <c r="J1423" s="96" t="s">
        <v>30</v>
      </c>
      <c r="K1423" s="708"/>
      <c r="L1423" s="43">
        <f>SUM(L1421:L1422)</f>
        <v>1965226.6912320002</v>
      </c>
      <c r="M1423" s="43">
        <f>SUM(M1421:M1422)</f>
        <v>0</v>
      </c>
      <c r="N1423" s="712"/>
      <c r="O1423" s="12"/>
    </row>
    <row r="1424" spans="1:15" thickBot="1" x14ac:dyDescent="0.35">
      <c r="A1424" s="702"/>
      <c r="B1424" s="736"/>
      <c r="C1424" s="92"/>
      <c r="D1424" s="92"/>
      <c r="E1424" s="92"/>
      <c r="F1424" s="795"/>
      <c r="G1424" s="737"/>
      <c r="H1424" s="737"/>
      <c r="I1424" s="737"/>
      <c r="J1424" s="736"/>
      <c r="K1424" s="738"/>
      <c r="L1424" s="739"/>
      <c r="M1424" s="739"/>
      <c r="N1424" s="1914"/>
      <c r="O1424" s="740"/>
    </row>
    <row r="1425" spans="1:15" ht="15" x14ac:dyDescent="0.35">
      <c r="A1425" s="702"/>
      <c r="B1425" s="2142" t="s">
        <v>1339</v>
      </c>
      <c r="C1425" s="2143"/>
      <c r="D1425" s="683" t="s">
        <v>14</v>
      </c>
      <c r="E1425"/>
      <c r="F1425" s="2144" t="s">
        <v>1350</v>
      </c>
      <c r="G1425" s="2145"/>
      <c r="H1425" s="2146"/>
      <c r="I1425" s="683" t="s">
        <v>14</v>
      </c>
      <c r="K1425" s="2147" t="s">
        <v>1092</v>
      </c>
      <c r="L1425" s="2148"/>
      <c r="M1425" s="684" t="s">
        <v>14</v>
      </c>
      <c r="N1425" s="1914"/>
      <c r="O1425" s="740"/>
    </row>
    <row r="1426" spans="1:15" ht="15" x14ac:dyDescent="0.35">
      <c r="A1426" s="702"/>
      <c r="B1426" s="2122" t="str">
        <f>B1407</f>
        <v>Mogbazar 33 KV SIDE</v>
      </c>
      <c r="C1426" s="2123"/>
      <c r="D1426" s="689">
        <f>K1410</f>
        <v>1243800.0000000556</v>
      </c>
      <c r="E1426"/>
      <c r="F1426" s="2124" t="s">
        <v>1093</v>
      </c>
      <c r="G1426" s="2125"/>
      <c r="H1426" s="2126"/>
      <c r="I1426" s="685">
        <f>L1418</f>
        <v>0</v>
      </c>
      <c r="K1426" s="2160" t="str">
        <f>F1427</f>
        <v>MONIPURIPARA 33 KV NET IMPORT</v>
      </c>
      <c r="L1426" s="2161"/>
      <c r="M1426" s="687">
        <f>I1427</f>
        <v>1243800.0000000556</v>
      </c>
      <c r="N1426" s="1914"/>
      <c r="O1426" s="740"/>
    </row>
    <row r="1427" spans="1:15" ht="15" x14ac:dyDescent="0.35">
      <c r="A1427" s="702"/>
      <c r="B1427" s="2122" t="s">
        <v>1116</v>
      </c>
      <c r="C1427" s="2123"/>
      <c r="D1427" s="741"/>
      <c r="E1427"/>
      <c r="F1427" s="2124" t="s">
        <v>1633</v>
      </c>
      <c r="G1427" s="2125"/>
      <c r="H1427" s="2126"/>
      <c r="I1427" s="685">
        <f>D1430-I1426</f>
        <v>1243800.0000000556</v>
      </c>
      <c r="K1427" s="2162" t="s">
        <v>1634</v>
      </c>
      <c r="L1427" s="2163"/>
      <c r="M1427" s="685">
        <f>M1461</f>
        <v>0</v>
      </c>
      <c r="N1427" s="1914"/>
      <c r="O1427" s="740"/>
    </row>
    <row r="1428" spans="1:15" ht="15" x14ac:dyDescent="0.35">
      <c r="A1428" s="702"/>
      <c r="B1428" s="2122" t="s">
        <v>1117</v>
      </c>
      <c r="C1428" s="2123"/>
      <c r="D1428" s="721"/>
      <c r="E1428"/>
      <c r="F1428" s="2124" t="s">
        <v>1089</v>
      </c>
      <c r="G1428" s="2125"/>
      <c r="H1428" s="2126"/>
      <c r="I1428" s="685">
        <f>I1426+I1427</f>
        <v>1243800.0000000556</v>
      </c>
      <c r="K1428" s="2127" t="s">
        <v>284</v>
      </c>
      <c r="L1428" s="2128"/>
      <c r="M1428" s="685">
        <f>M1426-M1427</f>
        <v>1243800.0000000556</v>
      </c>
      <c r="N1428" s="1914"/>
      <c r="O1428" s="740"/>
    </row>
    <row r="1429" spans="1:15" ht="16" thickBot="1" x14ac:dyDescent="0.4">
      <c r="A1429" s="702"/>
      <c r="B1429" s="2122" t="s">
        <v>1118</v>
      </c>
      <c r="C1429" s="2123"/>
      <c r="D1429" s="722"/>
      <c r="E1429"/>
      <c r="F1429" s="2113" t="s">
        <v>1546</v>
      </c>
      <c r="G1429" s="2114"/>
      <c r="H1429" s="2115"/>
      <c r="I1429" s="690">
        <f>(D1430-I1428)/I1428</f>
        <v>0</v>
      </c>
      <c r="K1429" s="2134" t="s">
        <v>285</v>
      </c>
      <c r="L1429" s="2135"/>
      <c r="M1429" s="688">
        <f>M1428/M1426</f>
        <v>1</v>
      </c>
      <c r="N1429" s="1914"/>
      <c r="O1429" s="740"/>
    </row>
    <row r="1430" spans="1:15" thickBot="1" x14ac:dyDescent="0.4">
      <c r="A1430" s="702"/>
      <c r="B1430" s="2158" t="s">
        <v>1082</v>
      </c>
      <c r="C1430" s="2159"/>
      <c r="D1430" s="686">
        <f>SUM(D1426:D1428)</f>
        <v>1243800.0000000556</v>
      </c>
      <c r="E1430"/>
      <c r="N1430" s="1914"/>
      <c r="O1430" s="740"/>
    </row>
    <row r="1431" spans="1:15" ht="15" x14ac:dyDescent="0.3">
      <c r="A1431" s="702"/>
      <c r="B1431" s="736"/>
      <c r="C1431" s="92"/>
      <c r="D1431" s="92"/>
      <c r="E1431" s="92"/>
      <c r="F1431" s="795"/>
      <c r="G1431" s="737"/>
      <c r="H1431" s="737"/>
      <c r="I1431" s="737"/>
      <c r="J1431" s="736"/>
      <c r="K1431" s="738"/>
      <c r="L1431" s="739"/>
      <c r="M1431" s="739"/>
      <c r="N1431" s="1914"/>
      <c r="O1431" s="740"/>
    </row>
    <row r="1432" spans="1:15" x14ac:dyDescent="0.35">
      <c r="B1432" s="632"/>
      <c r="C1432" s="620"/>
      <c r="D1432" s="728"/>
      <c r="E1432" s="620"/>
      <c r="N1432" s="1469"/>
    </row>
    <row r="1433" spans="1:15" x14ac:dyDescent="0.35">
      <c r="B1433" s="632"/>
      <c r="C1433" s="620"/>
      <c r="D1433" s="728"/>
      <c r="E1433" s="620"/>
      <c r="N1433" s="1469"/>
    </row>
    <row r="1434" spans="1:15" ht="105" x14ac:dyDescent="0.3">
      <c r="A1434" s="2095" t="s">
        <v>3808</v>
      </c>
      <c r="B1434" s="2095"/>
      <c r="C1434" s="2095"/>
      <c r="D1434" s="2095"/>
      <c r="E1434" s="2095"/>
      <c r="F1434" s="2095"/>
      <c r="G1434" s="2095"/>
      <c r="H1434" s="2095"/>
      <c r="I1434" s="2095"/>
      <c r="J1434" s="2095"/>
      <c r="K1434" s="2095"/>
      <c r="L1434" s="2095"/>
      <c r="M1434" s="2095"/>
      <c r="N1434" s="2095"/>
      <c r="O1434" s="756" t="str">
        <f>$O$6</f>
        <v>Month December-2022</v>
      </c>
    </row>
    <row r="1435" spans="1:15" x14ac:dyDescent="0.35">
      <c r="A1435" s="2096" t="s">
        <v>0</v>
      </c>
      <c r="B1435" s="2098" t="s">
        <v>1</v>
      </c>
      <c r="C1435" s="2100" t="s">
        <v>2</v>
      </c>
      <c r="D1435" s="2101"/>
      <c r="E1435" s="2102"/>
      <c r="F1435" s="2230" t="s">
        <v>3</v>
      </c>
      <c r="G1435" s="2100" t="s">
        <v>4</v>
      </c>
      <c r="H1435" s="2102"/>
      <c r="I1435" s="2085"/>
      <c r="J1435" s="2103" t="s">
        <v>5</v>
      </c>
      <c r="K1435" s="2100" t="s">
        <v>6</v>
      </c>
      <c r="L1435" s="2085"/>
      <c r="M1435" s="97" t="s">
        <v>32</v>
      </c>
      <c r="N1435" s="98"/>
      <c r="O1435" s="2084" t="s">
        <v>7</v>
      </c>
    </row>
    <row r="1436" spans="1:15" x14ac:dyDescent="0.3">
      <c r="A1436" s="2097"/>
      <c r="B1436" s="2099"/>
      <c r="C1436" s="2086" t="s">
        <v>1108</v>
      </c>
      <c r="D1436" s="2087"/>
      <c r="E1436" s="87" t="s">
        <v>9</v>
      </c>
      <c r="F1436" s="2229"/>
      <c r="G1436" s="2">
        <f>'NORTH-1'!$G$8</f>
        <v>44774</v>
      </c>
      <c r="H1436" s="2">
        <f>'NORTH-1'!$H$8</f>
        <v>44805</v>
      </c>
      <c r="I1436" s="1" t="s">
        <v>10</v>
      </c>
      <c r="J1436" s="2097"/>
      <c r="K1436" s="1" t="s">
        <v>11</v>
      </c>
      <c r="L1436" s="1" t="s">
        <v>12</v>
      </c>
      <c r="M1436" s="617" t="s">
        <v>33</v>
      </c>
      <c r="N1436" s="76" t="s">
        <v>47</v>
      </c>
      <c r="O1436" s="2085"/>
    </row>
    <row r="1437" spans="1:15" x14ac:dyDescent="0.3">
      <c r="A1437" s="3">
        <v>1</v>
      </c>
      <c r="B1437" s="88">
        <v>2</v>
      </c>
      <c r="C1437" s="2088">
        <v>4</v>
      </c>
      <c r="D1437" s="2089"/>
      <c r="E1437" s="88">
        <v>5</v>
      </c>
      <c r="F1437" s="786">
        <v>7</v>
      </c>
      <c r="G1437" s="3">
        <v>8</v>
      </c>
      <c r="H1437" s="3">
        <v>9</v>
      </c>
      <c r="I1437" s="3" t="s">
        <v>13</v>
      </c>
      <c r="J1437" s="3">
        <v>11</v>
      </c>
      <c r="K1437" s="3" t="s">
        <v>19</v>
      </c>
      <c r="L1437" s="3" t="s">
        <v>20</v>
      </c>
      <c r="M1437" s="3">
        <v>14</v>
      </c>
      <c r="N1437" s="77">
        <v>15</v>
      </c>
      <c r="O1437" s="3">
        <v>16</v>
      </c>
    </row>
    <row r="1438" spans="1:15" x14ac:dyDescent="0.35">
      <c r="A1438" s="631"/>
      <c r="B1438" s="624" t="s">
        <v>3809</v>
      </c>
      <c r="C1438" s="625"/>
      <c r="D1438" s="625"/>
      <c r="E1438" s="625"/>
      <c r="F1438" s="787"/>
      <c r="G1438" s="625"/>
      <c r="H1438" s="625"/>
      <c r="I1438" s="625"/>
      <c r="J1438" s="625"/>
      <c r="K1438" s="695"/>
      <c r="L1438" s="625"/>
      <c r="M1438" s="626"/>
      <c r="N1438" s="627"/>
      <c r="O1438" s="616"/>
    </row>
    <row r="1439" spans="1:15" x14ac:dyDescent="0.35">
      <c r="A1439" s="631">
        <v>1</v>
      </c>
      <c r="B1439" s="100" t="s">
        <v>3615</v>
      </c>
      <c r="C1439" s="52">
        <v>11</v>
      </c>
      <c r="D1439" s="1770" t="s">
        <v>339</v>
      </c>
      <c r="E1439" s="52"/>
      <c r="F1439" s="4">
        <v>1</v>
      </c>
      <c r="G1439" s="21">
        <v>5544.04</v>
      </c>
      <c r="H1439" s="21">
        <v>6976.78</v>
      </c>
      <c r="I1439" s="21">
        <f>H1439-G1439</f>
        <v>1432.7399999999998</v>
      </c>
      <c r="J1439" s="616">
        <v>1000</v>
      </c>
      <c r="K1439" s="696">
        <f>J1439*I1439*F1439</f>
        <v>1432739.9999999998</v>
      </c>
      <c r="L1439" s="22"/>
      <c r="M1439" s="22"/>
      <c r="N1439" s="82"/>
      <c r="O1439" s="616"/>
    </row>
    <row r="1440" spans="1:15" x14ac:dyDescent="0.35">
      <c r="A1440" s="631">
        <v>2</v>
      </c>
      <c r="B1440" s="100" t="s">
        <v>3765</v>
      </c>
      <c r="C1440" s="52">
        <v>11</v>
      </c>
      <c r="D1440" s="1772" t="s">
        <v>339</v>
      </c>
      <c r="E1440" s="52"/>
      <c r="F1440" s="4">
        <v>1</v>
      </c>
      <c r="G1440" s="21">
        <v>248.81</v>
      </c>
      <c r="H1440" s="21">
        <v>427.92</v>
      </c>
      <c r="I1440" s="21">
        <f>H1440-G1440</f>
        <v>179.11</v>
      </c>
      <c r="J1440" s="616">
        <v>1000</v>
      </c>
      <c r="K1440" s="696">
        <f>J1440*I1440*F1440</f>
        <v>179110</v>
      </c>
      <c r="L1440" s="22"/>
      <c r="M1440" s="22"/>
      <c r="N1440" s="82"/>
      <c r="O1440" s="616"/>
    </row>
    <row r="1441" spans="1:15" x14ac:dyDescent="0.35">
      <c r="A1441" s="631"/>
      <c r="B1441" s="102"/>
      <c r="C1441" s="91"/>
      <c r="D1441" s="726"/>
      <c r="E1441" s="91"/>
      <c r="F1441" s="47"/>
      <c r="G1441" s="48"/>
      <c r="H1441" s="48"/>
      <c r="I1441" s="48"/>
      <c r="J1441" s="39" t="s">
        <v>30</v>
      </c>
      <c r="K1441" s="43">
        <f>SUM(K1439:K1440)</f>
        <v>1611849.9999999998</v>
      </c>
      <c r="L1441" s="43">
        <f>SUM(L1439:L1440)</f>
        <v>0</v>
      </c>
      <c r="M1441" s="43">
        <f>SUM(M1439:M1440)</f>
        <v>0</v>
      </c>
      <c r="N1441" s="85"/>
      <c r="O1441" s="616"/>
    </row>
    <row r="1442" spans="1:15" x14ac:dyDescent="0.35">
      <c r="A1442" s="631"/>
      <c r="B1442" s="647" t="s">
        <v>3809</v>
      </c>
      <c r="C1442" s="648"/>
      <c r="D1442" s="648"/>
      <c r="E1442" s="648"/>
      <c r="F1442" s="789"/>
      <c r="G1442" s="648"/>
      <c r="H1442" s="648"/>
      <c r="I1442" s="648"/>
      <c r="J1442" s="50"/>
      <c r="K1442" s="710"/>
      <c r="L1442" s="51"/>
      <c r="M1442" s="51"/>
      <c r="N1442" s="649"/>
      <c r="O1442" s="616"/>
    </row>
    <row r="1443" spans="1:15" x14ac:dyDescent="0.35">
      <c r="A1443" s="631">
        <v>1</v>
      </c>
      <c r="B1443" s="100" t="s">
        <v>3804</v>
      </c>
      <c r="C1443" s="73">
        <v>11</v>
      </c>
      <c r="D1443" s="1781"/>
      <c r="E1443" s="52"/>
      <c r="F1443" s="4">
        <v>1</v>
      </c>
      <c r="G1443" s="6">
        <v>1920</v>
      </c>
      <c r="H1443" s="6">
        <v>2437.8200000000002</v>
      </c>
      <c r="I1443" s="20">
        <f t="shared" ref="I1443:I1460" si="53">H1443-G1443</f>
        <v>517.82000000000016</v>
      </c>
      <c r="J1443" s="616">
        <v>1000</v>
      </c>
      <c r="K1443" s="703"/>
      <c r="L1443" s="22">
        <f t="shared" ref="L1443:L1460" si="54">J1443*I1443*F1443</f>
        <v>517820.00000000017</v>
      </c>
      <c r="M1443" s="22"/>
      <c r="N1443" s="72"/>
      <c r="O1443" s="15"/>
    </row>
    <row r="1444" spans="1:15" x14ac:dyDescent="0.35">
      <c r="A1444" s="631">
        <v>2</v>
      </c>
      <c r="B1444" s="100" t="s">
        <v>3805</v>
      </c>
      <c r="C1444" s="73">
        <v>11</v>
      </c>
      <c r="D1444" s="1782"/>
      <c r="E1444" s="52"/>
      <c r="F1444" s="4">
        <v>1</v>
      </c>
      <c r="G1444" s="6">
        <v>2154.79</v>
      </c>
      <c r="H1444" s="6">
        <v>2694.89</v>
      </c>
      <c r="I1444" s="20">
        <f t="shared" si="53"/>
        <v>540.09999999999991</v>
      </c>
      <c r="J1444" s="616">
        <v>1000</v>
      </c>
      <c r="K1444" s="703"/>
      <c r="L1444" s="22">
        <f t="shared" si="54"/>
        <v>540099.99999999988</v>
      </c>
      <c r="M1444" s="22"/>
      <c r="N1444" s="72"/>
      <c r="O1444" s="15"/>
    </row>
    <row r="1445" spans="1:15" x14ac:dyDescent="0.35">
      <c r="A1445" s="631">
        <v>3</v>
      </c>
      <c r="B1445" s="100" t="s">
        <v>3806</v>
      </c>
      <c r="C1445" s="73">
        <v>11</v>
      </c>
      <c r="D1445" s="1782"/>
      <c r="E1445" s="52"/>
      <c r="F1445" s="4">
        <v>1</v>
      </c>
      <c r="G1445" s="6">
        <v>524.49</v>
      </c>
      <c r="H1445" s="6">
        <v>1001.54</v>
      </c>
      <c r="I1445" s="20">
        <f t="shared" si="53"/>
        <v>477.04999999999995</v>
      </c>
      <c r="J1445" s="616">
        <v>1000</v>
      </c>
      <c r="K1445" s="703"/>
      <c r="L1445" s="22">
        <f t="shared" si="54"/>
        <v>477049.99999999994</v>
      </c>
      <c r="M1445" s="22"/>
      <c r="N1445" s="72"/>
      <c r="O1445" s="15"/>
    </row>
    <row r="1446" spans="1:15" x14ac:dyDescent="0.35">
      <c r="A1446" s="631">
        <v>4</v>
      </c>
      <c r="B1446" s="100" t="s">
        <v>1446</v>
      </c>
      <c r="C1446" s="73">
        <v>11</v>
      </c>
      <c r="D1446" s="1782"/>
      <c r="E1446" s="52"/>
      <c r="F1446" s="4">
        <v>1</v>
      </c>
      <c r="G1446" s="6">
        <v>0</v>
      </c>
      <c r="H1446" s="6">
        <v>0</v>
      </c>
      <c r="I1446" s="20">
        <f t="shared" si="53"/>
        <v>0</v>
      </c>
      <c r="J1446" s="616">
        <v>1000</v>
      </c>
      <c r="K1446" s="703"/>
      <c r="L1446" s="22">
        <f t="shared" si="54"/>
        <v>0</v>
      </c>
      <c r="M1446" s="22"/>
      <c r="N1446" s="72"/>
      <c r="O1446" s="15"/>
    </row>
    <row r="1447" spans="1:15" x14ac:dyDescent="0.35">
      <c r="A1447" s="631">
        <v>5</v>
      </c>
      <c r="B1447" s="100" t="s">
        <v>1446</v>
      </c>
      <c r="C1447" s="73">
        <v>11</v>
      </c>
      <c r="D1447" s="1782"/>
      <c r="E1447" s="52"/>
      <c r="F1447" s="4">
        <v>1</v>
      </c>
      <c r="G1447" s="6">
        <v>0</v>
      </c>
      <c r="H1447" s="6">
        <v>0</v>
      </c>
      <c r="I1447" s="20">
        <f t="shared" si="53"/>
        <v>0</v>
      </c>
      <c r="J1447" s="616">
        <v>1000</v>
      </c>
      <c r="K1447" s="703"/>
      <c r="L1447" s="22">
        <f t="shared" si="54"/>
        <v>0</v>
      </c>
      <c r="M1447" s="22"/>
      <c r="N1447" s="72"/>
      <c r="O1447" s="15"/>
    </row>
    <row r="1448" spans="1:15" x14ac:dyDescent="0.35">
      <c r="A1448" s="631">
        <v>6</v>
      </c>
      <c r="B1448" s="100" t="s">
        <v>1446</v>
      </c>
      <c r="C1448" s="73">
        <v>11</v>
      </c>
      <c r="D1448" s="1782"/>
      <c r="E1448" s="52"/>
      <c r="F1448" s="4">
        <v>1</v>
      </c>
      <c r="G1448" s="6">
        <v>0</v>
      </c>
      <c r="H1448" s="6">
        <v>0</v>
      </c>
      <c r="I1448" s="20">
        <f t="shared" si="53"/>
        <v>0</v>
      </c>
      <c r="J1448" s="616">
        <v>1000</v>
      </c>
      <c r="K1448" s="703"/>
      <c r="L1448" s="22">
        <f t="shared" si="54"/>
        <v>0</v>
      </c>
      <c r="M1448" s="22"/>
      <c r="N1448" s="72"/>
      <c r="O1448" s="15"/>
    </row>
    <row r="1449" spans="1:15" x14ac:dyDescent="0.35">
      <c r="A1449" s="631">
        <v>7</v>
      </c>
      <c r="B1449" s="100" t="s">
        <v>1446</v>
      </c>
      <c r="C1449" s="73">
        <v>11</v>
      </c>
      <c r="D1449" s="1782"/>
      <c r="E1449" s="52"/>
      <c r="F1449" s="4">
        <v>1</v>
      </c>
      <c r="G1449" s="6">
        <v>0</v>
      </c>
      <c r="H1449" s="6">
        <v>0</v>
      </c>
      <c r="I1449" s="20">
        <f t="shared" si="53"/>
        <v>0</v>
      </c>
      <c r="J1449" s="616">
        <v>1000</v>
      </c>
      <c r="K1449" s="703"/>
      <c r="L1449" s="22">
        <f t="shared" si="54"/>
        <v>0</v>
      </c>
      <c r="M1449" s="22"/>
      <c r="N1449" s="72"/>
      <c r="O1449" s="15"/>
    </row>
    <row r="1450" spans="1:15" x14ac:dyDescent="0.35">
      <c r="A1450" s="631">
        <v>8</v>
      </c>
      <c r="B1450" s="100" t="s">
        <v>1446</v>
      </c>
      <c r="C1450" s="73">
        <v>11</v>
      </c>
      <c r="D1450" s="1782"/>
      <c r="E1450" s="52"/>
      <c r="F1450" s="4">
        <v>1</v>
      </c>
      <c r="G1450" s="6">
        <v>0</v>
      </c>
      <c r="H1450" s="6">
        <v>0</v>
      </c>
      <c r="I1450" s="20">
        <f t="shared" si="53"/>
        <v>0</v>
      </c>
      <c r="J1450" s="616">
        <v>1000</v>
      </c>
      <c r="K1450" s="703"/>
      <c r="L1450" s="22">
        <f t="shared" si="54"/>
        <v>0</v>
      </c>
      <c r="M1450" s="22"/>
      <c r="N1450" s="72"/>
      <c r="O1450" s="15"/>
    </row>
    <row r="1451" spans="1:15" x14ac:dyDescent="0.35">
      <c r="A1451" s="631">
        <v>1</v>
      </c>
      <c r="B1451" s="100" t="s">
        <v>3807</v>
      </c>
      <c r="C1451" s="73">
        <v>11</v>
      </c>
      <c r="D1451" s="1782"/>
      <c r="E1451" s="52"/>
      <c r="F1451" s="4">
        <v>1</v>
      </c>
      <c r="G1451" s="6">
        <v>1586.6</v>
      </c>
      <c r="H1451" s="6">
        <v>2021.65</v>
      </c>
      <c r="I1451" s="20">
        <f t="shared" si="53"/>
        <v>435.05000000000018</v>
      </c>
      <c r="J1451" s="616">
        <v>1000</v>
      </c>
      <c r="K1451" s="703"/>
      <c r="L1451" s="22">
        <f t="shared" si="54"/>
        <v>435050.00000000017</v>
      </c>
      <c r="M1451" s="22"/>
      <c r="N1451" s="72"/>
      <c r="O1451" s="15"/>
    </row>
    <row r="1452" spans="1:15" x14ac:dyDescent="0.35">
      <c r="A1452" s="631">
        <v>2</v>
      </c>
      <c r="B1452" s="100" t="s">
        <v>1446</v>
      </c>
      <c r="C1452" s="73">
        <v>11</v>
      </c>
      <c r="D1452" s="1782"/>
      <c r="E1452" s="52"/>
      <c r="F1452" s="4">
        <v>1</v>
      </c>
      <c r="G1452" s="6">
        <v>0</v>
      </c>
      <c r="H1452" s="6">
        <v>0</v>
      </c>
      <c r="I1452" s="20">
        <f t="shared" si="53"/>
        <v>0</v>
      </c>
      <c r="J1452" s="616">
        <v>1000</v>
      </c>
      <c r="K1452" s="703"/>
      <c r="L1452" s="22">
        <f t="shared" si="54"/>
        <v>0</v>
      </c>
      <c r="M1452" s="22"/>
      <c r="N1452" s="72"/>
      <c r="O1452" s="15"/>
    </row>
    <row r="1453" spans="1:15" x14ac:dyDescent="0.35">
      <c r="A1453" s="631">
        <v>3</v>
      </c>
      <c r="B1453" s="100" t="s">
        <v>1446</v>
      </c>
      <c r="C1453" s="73">
        <v>11</v>
      </c>
      <c r="D1453" s="1782"/>
      <c r="E1453" s="52"/>
      <c r="F1453" s="4">
        <v>1</v>
      </c>
      <c r="G1453" s="6">
        <v>0</v>
      </c>
      <c r="H1453" s="6">
        <v>0</v>
      </c>
      <c r="I1453" s="20">
        <f t="shared" si="53"/>
        <v>0</v>
      </c>
      <c r="J1453" s="616">
        <v>1000</v>
      </c>
      <c r="K1453" s="703"/>
      <c r="L1453" s="22">
        <f t="shared" si="54"/>
        <v>0</v>
      </c>
      <c r="M1453" s="22"/>
      <c r="N1453" s="72"/>
      <c r="O1453" s="15"/>
    </row>
    <row r="1454" spans="1:15" x14ac:dyDescent="0.35">
      <c r="A1454" s="631">
        <v>4</v>
      </c>
      <c r="B1454" s="100" t="s">
        <v>1446</v>
      </c>
      <c r="C1454" s="73">
        <v>11</v>
      </c>
      <c r="D1454" s="1782"/>
      <c r="E1454" s="52"/>
      <c r="F1454" s="4">
        <v>1</v>
      </c>
      <c r="G1454" s="6">
        <v>0</v>
      </c>
      <c r="H1454" s="6">
        <v>0</v>
      </c>
      <c r="I1454" s="20">
        <f t="shared" si="53"/>
        <v>0</v>
      </c>
      <c r="J1454" s="616">
        <v>1000</v>
      </c>
      <c r="K1454" s="703"/>
      <c r="L1454" s="22">
        <f t="shared" si="54"/>
        <v>0</v>
      </c>
      <c r="M1454" s="22"/>
      <c r="N1454" s="72"/>
      <c r="O1454" s="15"/>
    </row>
    <row r="1455" spans="1:15" x14ac:dyDescent="0.35">
      <c r="A1455" s="631">
        <v>5</v>
      </c>
      <c r="B1455" s="100" t="s">
        <v>1446</v>
      </c>
      <c r="C1455" s="73">
        <v>11</v>
      </c>
      <c r="D1455" s="1782"/>
      <c r="E1455" s="52"/>
      <c r="F1455" s="4">
        <v>1</v>
      </c>
      <c r="G1455" s="6">
        <v>0</v>
      </c>
      <c r="H1455" s="6">
        <v>0</v>
      </c>
      <c r="I1455" s="20">
        <f t="shared" si="53"/>
        <v>0</v>
      </c>
      <c r="J1455" s="616">
        <v>1000</v>
      </c>
      <c r="K1455" s="703"/>
      <c r="L1455" s="22">
        <f t="shared" si="54"/>
        <v>0</v>
      </c>
      <c r="M1455" s="22"/>
      <c r="N1455" s="72"/>
      <c r="O1455" s="15"/>
    </row>
    <row r="1456" spans="1:15" x14ac:dyDescent="0.35">
      <c r="A1456" s="631">
        <v>6</v>
      </c>
      <c r="B1456" s="100" t="s">
        <v>1446</v>
      </c>
      <c r="C1456" s="73">
        <v>11</v>
      </c>
      <c r="D1456" s="1782"/>
      <c r="E1456" s="52"/>
      <c r="F1456" s="4">
        <v>1</v>
      </c>
      <c r="G1456" s="6">
        <v>0</v>
      </c>
      <c r="H1456" s="6">
        <v>0</v>
      </c>
      <c r="I1456" s="20">
        <f t="shared" si="53"/>
        <v>0</v>
      </c>
      <c r="J1456" s="616">
        <v>1000</v>
      </c>
      <c r="K1456" s="703"/>
      <c r="L1456" s="22">
        <f t="shared" si="54"/>
        <v>0</v>
      </c>
      <c r="M1456" s="22"/>
      <c r="N1456" s="72"/>
      <c r="O1456" s="15"/>
    </row>
    <row r="1457" spans="1:15" x14ac:dyDescent="0.35">
      <c r="A1457" s="631">
        <v>7</v>
      </c>
      <c r="B1457" s="100" t="s">
        <v>1446</v>
      </c>
      <c r="C1457" s="73">
        <v>11</v>
      </c>
      <c r="D1457" s="1782"/>
      <c r="E1457" s="52"/>
      <c r="F1457" s="4">
        <v>1</v>
      </c>
      <c r="G1457" s="6">
        <v>0</v>
      </c>
      <c r="H1457" s="6">
        <v>0</v>
      </c>
      <c r="I1457" s="20">
        <f t="shared" si="53"/>
        <v>0</v>
      </c>
      <c r="J1457" s="616">
        <v>1000</v>
      </c>
      <c r="K1457" s="703"/>
      <c r="L1457" s="22">
        <f t="shared" si="54"/>
        <v>0</v>
      </c>
      <c r="M1457" s="22"/>
      <c r="N1457" s="72"/>
      <c r="O1457" s="15"/>
    </row>
    <row r="1458" spans="1:15" x14ac:dyDescent="0.35">
      <c r="A1458" s="631">
        <v>8</v>
      </c>
      <c r="B1458" s="100" t="s">
        <v>1446</v>
      </c>
      <c r="C1458" s="73">
        <v>11</v>
      </c>
      <c r="D1458" s="1782"/>
      <c r="E1458" s="52"/>
      <c r="F1458" s="4">
        <v>1</v>
      </c>
      <c r="G1458" s="6">
        <v>0</v>
      </c>
      <c r="H1458" s="6">
        <v>0</v>
      </c>
      <c r="I1458" s="20">
        <f t="shared" si="53"/>
        <v>0</v>
      </c>
      <c r="J1458" s="616">
        <v>1000</v>
      </c>
      <c r="K1458" s="703"/>
      <c r="L1458" s="22">
        <f t="shared" si="54"/>
        <v>0</v>
      </c>
      <c r="M1458" s="22"/>
      <c r="N1458" s="72"/>
      <c r="O1458" s="15"/>
    </row>
    <row r="1459" spans="1:15" x14ac:dyDescent="0.35">
      <c r="A1459" s="631">
        <v>9</v>
      </c>
      <c r="B1459" s="100" t="s">
        <v>3550</v>
      </c>
      <c r="C1459" s="73">
        <v>415</v>
      </c>
      <c r="D1459" s="1782"/>
      <c r="E1459" s="52"/>
      <c r="F1459" s="4">
        <v>1</v>
      </c>
      <c r="G1459" s="6"/>
      <c r="H1459" s="6"/>
      <c r="I1459" s="20">
        <f t="shared" si="53"/>
        <v>0</v>
      </c>
      <c r="J1459" s="616">
        <v>1</v>
      </c>
      <c r="K1459" s="703"/>
      <c r="L1459" s="22">
        <f t="shared" si="54"/>
        <v>0</v>
      </c>
      <c r="M1459" s="22"/>
      <c r="N1459" s="72"/>
      <c r="O1459" s="15"/>
    </row>
    <row r="1460" spans="1:15" x14ac:dyDescent="0.35">
      <c r="A1460" s="631">
        <v>10</v>
      </c>
      <c r="B1460" s="100" t="s">
        <v>3551</v>
      </c>
      <c r="C1460" s="73">
        <v>415</v>
      </c>
      <c r="D1460" s="1783"/>
      <c r="E1460" s="52"/>
      <c r="F1460" s="4">
        <v>1</v>
      </c>
      <c r="G1460" s="6"/>
      <c r="H1460" s="6"/>
      <c r="I1460" s="20">
        <f t="shared" si="53"/>
        <v>0</v>
      </c>
      <c r="J1460" s="616">
        <v>1</v>
      </c>
      <c r="K1460" s="703"/>
      <c r="L1460" s="22">
        <f t="shared" si="54"/>
        <v>0</v>
      </c>
      <c r="M1460" s="22"/>
      <c r="N1460" s="72"/>
      <c r="O1460" s="15"/>
    </row>
    <row r="1461" spans="1:15" ht="28" x14ac:dyDescent="0.3">
      <c r="A1461" s="636"/>
      <c r="B1461" s="96"/>
      <c r="C1461" s="90"/>
      <c r="D1461" s="90"/>
      <c r="E1461" s="90"/>
      <c r="F1461" s="793"/>
      <c r="G1461" s="38"/>
      <c r="H1461" s="38"/>
      <c r="I1461" s="38"/>
      <c r="J1461" s="53" t="s">
        <v>44</v>
      </c>
      <c r="K1461" s="43">
        <f>K1441</f>
        <v>1611849.9999999998</v>
      </c>
      <c r="L1461" s="43">
        <f>SUM(L1443:L1460)</f>
        <v>1970020.0000000002</v>
      </c>
      <c r="M1461" s="43">
        <f>SUM(M1443:M1460)</f>
        <v>0</v>
      </c>
      <c r="N1461" s="712">
        <f>(M1461-L1461)/L1461*100</f>
        <v>-100</v>
      </c>
      <c r="O1461" s="29"/>
    </row>
    <row r="1462" spans="1:15" x14ac:dyDescent="0.35">
      <c r="A1462"/>
      <c r="B1462"/>
      <c r="C1462"/>
      <c r="D1462"/>
      <c r="E1462"/>
      <c r="F1462" s="791"/>
      <c r="G1462"/>
      <c r="H1462"/>
      <c r="I1462"/>
      <c r="J1462"/>
      <c r="K1462"/>
      <c r="L1462"/>
      <c r="M1462"/>
      <c r="N1462" s="1451"/>
      <c r="O1462"/>
    </row>
    <row r="1463" spans="1:15" x14ac:dyDescent="0.35">
      <c r="E1463"/>
      <c r="F1463" s="2092" t="s">
        <v>1099</v>
      </c>
      <c r="G1463" s="2092"/>
      <c r="H1463" s="2092"/>
      <c r="I1463" s="677" t="s">
        <v>14</v>
      </c>
    </row>
    <row r="1464" spans="1:15" x14ac:dyDescent="0.35">
      <c r="E1464"/>
      <c r="F1464" s="2153" t="s">
        <v>232</v>
      </c>
      <c r="G1464" s="2154"/>
      <c r="H1464" s="2155"/>
      <c r="I1464" s="643">
        <f>SUM(M1443:M1444,M1454)</f>
        <v>0</v>
      </c>
      <c r="O1464" s="620" t="s">
        <v>237</v>
      </c>
    </row>
    <row r="1465" spans="1:15" x14ac:dyDescent="0.35">
      <c r="E1465"/>
      <c r="F1465" s="2153" t="s">
        <v>268</v>
      </c>
      <c r="G1465" s="2154"/>
      <c r="H1465" s="2155"/>
      <c r="I1465" s="643">
        <f>SUM(M1445:M1453,M1455,M1457,M1458,M1460)</f>
        <v>0</v>
      </c>
    </row>
    <row r="1466" spans="1:15" ht="16" thickBot="1" x14ac:dyDescent="0.4">
      <c r="E1466"/>
      <c r="F1466" s="2153" t="s">
        <v>269</v>
      </c>
      <c r="G1466" s="2154"/>
      <c r="H1466" s="2155"/>
      <c r="I1466" s="643">
        <f>SUM(M1456,M1459)</f>
        <v>0</v>
      </c>
    </row>
    <row r="1467" spans="1:15" ht="20.5" thickBot="1" x14ac:dyDescent="0.4">
      <c r="F1467" s="2156" t="s">
        <v>210</v>
      </c>
      <c r="G1467" s="2156"/>
      <c r="H1467" s="2156"/>
      <c r="I1467" s="656">
        <f>SUM(I1464:I1466)</f>
        <v>0</v>
      </c>
      <c r="J1467" s="682">
        <f>I1467-M1461</f>
        <v>0</v>
      </c>
    </row>
  </sheetData>
  <mergeCells count="892">
    <mergeCell ref="O124:Q124"/>
    <mergeCell ref="B855:M855"/>
    <mergeCell ref="N855:Q855"/>
    <mergeCell ref="F1387:H1387"/>
    <mergeCell ref="O1355:O1356"/>
    <mergeCell ref="C1356:D1356"/>
    <mergeCell ref="C1357:D1357"/>
    <mergeCell ref="F1383:H1383"/>
    <mergeCell ref="F1384:H1384"/>
    <mergeCell ref="F1385:H1385"/>
    <mergeCell ref="F1386:H1386"/>
    <mergeCell ref="B1349:C1349"/>
    <mergeCell ref="F1349:H1349"/>
    <mergeCell ref="K1349:L1349"/>
    <mergeCell ref="B1350:C1350"/>
    <mergeCell ref="A1354:N1354"/>
    <mergeCell ref="A1355:A1356"/>
    <mergeCell ref="B1355:B1356"/>
    <mergeCell ref="C1355:E1355"/>
    <mergeCell ref="F1355:F1356"/>
    <mergeCell ref="C1326:D1326"/>
    <mergeCell ref="D1336:D1337"/>
    <mergeCell ref="D1341:D1342"/>
    <mergeCell ref="B1345:C1345"/>
    <mergeCell ref="F1345:H1345"/>
    <mergeCell ref="K1345:L1345"/>
    <mergeCell ref="G1355:I1355"/>
    <mergeCell ref="J1355:J1356"/>
    <mergeCell ref="K1355:L1355"/>
    <mergeCell ref="B1346:C1346"/>
    <mergeCell ref="F1346:H1346"/>
    <mergeCell ref="K1346:L1346"/>
    <mergeCell ref="B1347:C1347"/>
    <mergeCell ref="F1347:H1347"/>
    <mergeCell ref="K1347:L1347"/>
    <mergeCell ref="B1348:C1348"/>
    <mergeCell ref="F1348:H1348"/>
    <mergeCell ref="K1348:L1348"/>
    <mergeCell ref="A1324:A1325"/>
    <mergeCell ref="B1324:B1325"/>
    <mergeCell ref="C1324:E1324"/>
    <mergeCell ref="F1324:F1325"/>
    <mergeCell ref="G1324:I1324"/>
    <mergeCell ref="J1324:J1325"/>
    <mergeCell ref="K1324:L1324"/>
    <mergeCell ref="O1324:O1325"/>
    <mergeCell ref="C1325:D1325"/>
    <mergeCell ref="O1283:O1284"/>
    <mergeCell ref="C1284:D1284"/>
    <mergeCell ref="C1285:D1285"/>
    <mergeCell ref="F1303:H1303"/>
    <mergeCell ref="F1304:H1304"/>
    <mergeCell ref="F1305:H1305"/>
    <mergeCell ref="F1306:H1306"/>
    <mergeCell ref="F1307:H1307"/>
    <mergeCell ref="A1323:N1323"/>
    <mergeCell ref="B1278:C1278"/>
    <mergeCell ref="A1282:N1282"/>
    <mergeCell ref="A1283:A1284"/>
    <mergeCell ref="B1283:B1284"/>
    <mergeCell ref="C1283:E1283"/>
    <mergeCell ref="F1283:F1284"/>
    <mergeCell ref="G1283:I1283"/>
    <mergeCell ref="J1283:J1284"/>
    <mergeCell ref="K1283:L1283"/>
    <mergeCell ref="B1275:C1275"/>
    <mergeCell ref="F1275:H1275"/>
    <mergeCell ref="K1275:L1275"/>
    <mergeCell ref="B1276:C1276"/>
    <mergeCell ref="F1276:H1276"/>
    <mergeCell ref="K1276:L1276"/>
    <mergeCell ref="B1277:C1277"/>
    <mergeCell ref="F1277:H1277"/>
    <mergeCell ref="K1277:L1277"/>
    <mergeCell ref="C1250:D1250"/>
    <mergeCell ref="D1264:D1265"/>
    <mergeCell ref="D1269:D1270"/>
    <mergeCell ref="B1273:C1273"/>
    <mergeCell ref="F1273:H1273"/>
    <mergeCell ref="K1273:L1273"/>
    <mergeCell ref="D1258:D1261"/>
    <mergeCell ref="B1274:C1274"/>
    <mergeCell ref="F1274:H1274"/>
    <mergeCell ref="K1274:L1274"/>
    <mergeCell ref="A1248:A1249"/>
    <mergeCell ref="B1248:B1249"/>
    <mergeCell ref="C1248:E1248"/>
    <mergeCell ref="F1248:F1249"/>
    <mergeCell ref="G1248:I1248"/>
    <mergeCell ref="J1248:J1249"/>
    <mergeCell ref="K1248:L1248"/>
    <mergeCell ref="O1248:O1249"/>
    <mergeCell ref="C1249:D1249"/>
    <mergeCell ref="O1201:O1202"/>
    <mergeCell ref="C1202:D1202"/>
    <mergeCell ref="C1203:D1203"/>
    <mergeCell ref="F1227:H1227"/>
    <mergeCell ref="F1228:H1228"/>
    <mergeCell ref="F1229:H1229"/>
    <mergeCell ref="F1230:H1230"/>
    <mergeCell ref="F1231:H1231"/>
    <mergeCell ref="A1247:N1247"/>
    <mergeCell ref="B1196:C1196"/>
    <mergeCell ref="A1200:N1200"/>
    <mergeCell ref="A1201:A1202"/>
    <mergeCell ref="B1201:B1202"/>
    <mergeCell ref="C1201:E1201"/>
    <mergeCell ref="F1201:F1202"/>
    <mergeCell ref="G1201:I1201"/>
    <mergeCell ref="J1201:J1202"/>
    <mergeCell ref="K1201:L1201"/>
    <mergeCell ref="B1193:C1193"/>
    <mergeCell ref="F1193:H1193"/>
    <mergeCell ref="K1193:L1193"/>
    <mergeCell ref="B1194:C1194"/>
    <mergeCell ref="F1194:H1194"/>
    <mergeCell ref="K1194:L1194"/>
    <mergeCell ref="B1195:C1195"/>
    <mergeCell ref="F1195:H1195"/>
    <mergeCell ref="K1195:L1195"/>
    <mergeCell ref="C1172:D1172"/>
    <mergeCell ref="D1174:D1175"/>
    <mergeCell ref="D1182:D1183"/>
    <mergeCell ref="B1191:C1191"/>
    <mergeCell ref="F1191:H1191"/>
    <mergeCell ref="K1191:L1191"/>
    <mergeCell ref="B1192:C1192"/>
    <mergeCell ref="F1192:H1192"/>
    <mergeCell ref="K1192:L1192"/>
    <mergeCell ref="A1169:N1169"/>
    <mergeCell ref="A1170:A1171"/>
    <mergeCell ref="B1170:B1171"/>
    <mergeCell ref="C1170:E1170"/>
    <mergeCell ref="F1170:F1171"/>
    <mergeCell ref="G1170:I1170"/>
    <mergeCell ref="J1170:J1171"/>
    <mergeCell ref="K1170:L1170"/>
    <mergeCell ref="O1170:O1171"/>
    <mergeCell ref="C1171:D1171"/>
    <mergeCell ref="O1124:O1125"/>
    <mergeCell ref="C1125:D1125"/>
    <mergeCell ref="C1126:D1126"/>
    <mergeCell ref="D1128:D1129"/>
    <mergeCell ref="F1149:H1149"/>
    <mergeCell ref="F1150:H1150"/>
    <mergeCell ref="F1151:H1151"/>
    <mergeCell ref="F1152:H1152"/>
    <mergeCell ref="F1153:H1153"/>
    <mergeCell ref="B1119:C1119"/>
    <mergeCell ref="A1123:N1123"/>
    <mergeCell ref="A1124:A1125"/>
    <mergeCell ref="B1124:B1125"/>
    <mergeCell ref="C1124:E1124"/>
    <mergeCell ref="F1124:F1125"/>
    <mergeCell ref="G1124:I1124"/>
    <mergeCell ref="J1124:J1125"/>
    <mergeCell ref="K1124:L1124"/>
    <mergeCell ref="B1116:C1116"/>
    <mergeCell ref="F1116:H1116"/>
    <mergeCell ref="K1116:L1116"/>
    <mergeCell ref="B1117:C1117"/>
    <mergeCell ref="F1117:H1117"/>
    <mergeCell ref="K1117:L1117"/>
    <mergeCell ref="B1118:C1118"/>
    <mergeCell ref="F1118:H1118"/>
    <mergeCell ref="K1118:L1118"/>
    <mergeCell ref="C1095:D1095"/>
    <mergeCell ref="D1105:D1106"/>
    <mergeCell ref="D1110:D1111"/>
    <mergeCell ref="B1114:C1114"/>
    <mergeCell ref="F1114:H1114"/>
    <mergeCell ref="K1114:L1114"/>
    <mergeCell ref="B1115:C1115"/>
    <mergeCell ref="F1115:H1115"/>
    <mergeCell ref="K1115:L1115"/>
    <mergeCell ref="A1093:A1094"/>
    <mergeCell ref="B1093:B1094"/>
    <mergeCell ref="C1093:E1093"/>
    <mergeCell ref="F1093:F1094"/>
    <mergeCell ref="G1093:I1093"/>
    <mergeCell ref="J1093:J1094"/>
    <mergeCell ref="K1093:L1093"/>
    <mergeCell ref="O1093:O1094"/>
    <mergeCell ref="C1094:D1094"/>
    <mergeCell ref="O1046:O1047"/>
    <mergeCell ref="C1047:D1047"/>
    <mergeCell ref="C1048:D1048"/>
    <mergeCell ref="F1072:H1072"/>
    <mergeCell ref="F1073:H1073"/>
    <mergeCell ref="F1074:H1074"/>
    <mergeCell ref="F1075:H1075"/>
    <mergeCell ref="F1076:H1076"/>
    <mergeCell ref="A1092:N1092"/>
    <mergeCell ref="B1041:C1041"/>
    <mergeCell ref="A1045:N1045"/>
    <mergeCell ref="A1046:A1047"/>
    <mergeCell ref="B1046:B1047"/>
    <mergeCell ref="C1046:E1046"/>
    <mergeCell ref="F1046:F1047"/>
    <mergeCell ref="G1046:I1046"/>
    <mergeCell ref="J1046:J1047"/>
    <mergeCell ref="K1046:L1046"/>
    <mergeCell ref="B1038:C1038"/>
    <mergeCell ref="F1038:H1038"/>
    <mergeCell ref="K1038:L1038"/>
    <mergeCell ref="B1039:C1039"/>
    <mergeCell ref="F1039:H1039"/>
    <mergeCell ref="K1039:L1039"/>
    <mergeCell ref="B1040:C1040"/>
    <mergeCell ref="F1040:H1040"/>
    <mergeCell ref="K1040:L1040"/>
    <mergeCell ref="C1016:D1016"/>
    <mergeCell ref="D1018:D1019"/>
    <mergeCell ref="D1022:D1023"/>
    <mergeCell ref="D1026:D1027"/>
    <mergeCell ref="D1031:D1033"/>
    <mergeCell ref="B1036:C1036"/>
    <mergeCell ref="F1036:H1036"/>
    <mergeCell ref="K1036:L1036"/>
    <mergeCell ref="B1037:C1037"/>
    <mergeCell ref="F1037:H1037"/>
    <mergeCell ref="K1037:L1037"/>
    <mergeCell ref="A1013:N1013"/>
    <mergeCell ref="A1014:A1015"/>
    <mergeCell ref="B1014:B1015"/>
    <mergeCell ref="C1014:E1014"/>
    <mergeCell ref="F1014:F1015"/>
    <mergeCell ref="G1014:I1014"/>
    <mergeCell ref="J1014:J1015"/>
    <mergeCell ref="K1014:L1014"/>
    <mergeCell ref="O1014:O1015"/>
    <mergeCell ref="C1015:D1015"/>
    <mergeCell ref="O967:O968"/>
    <mergeCell ref="C968:D968"/>
    <mergeCell ref="C969:D969"/>
    <mergeCell ref="D971:D972"/>
    <mergeCell ref="F992:H992"/>
    <mergeCell ref="F993:H993"/>
    <mergeCell ref="F994:H994"/>
    <mergeCell ref="F995:H995"/>
    <mergeCell ref="F996:H996"/>
    <mergeCell ref="B962:C962"/>
    <mergeCell ref="A966:N966"/>
    <mergeCell ref="A967:A968"/>
    <mergeCell ref="B967:B968"/>
    <mergeCell ref="C967:E967"/>
    <mergeCell ref="F967:F968"/>
    <mergeCell ref="G967:I967"/>
    <mergeCell ref="J967:J968"/>
    <mergeCell ref="K967:L967"/>
    <mergeCell ref="B959:C959"/>
    <mergeCell ref="F959:H959"/>
    <mergeCell ref="K959:L959"/>
    <mergeCell ref="B960:C960"/>
    <mergeCell ref="F960:H960"/>
    <mergeCell ref="K960:L960"/>
    <mergeCell ref="B961:C961"/>
    <mergeCell ref="F961:H961"/>
    <mergeCell ref="K961:L961"/>
    <mergeCell ref="C936:D936"/>
    <mergeCell ref="D948:D949"/>
    <mergeCell ref="D953:D954"/>
    <mergeCell ref="B957:C957"/>
    <mergeCell ref="F957:H957"/>
    <mergeCell ref="K957:L957"/>
    <mergeCell ref="B958:C958"/>
    <mergeCell ref="F958:H958"/>
    <mergeCell ref="K958:L958"/>
    <mergeCell ref="A933:N933"/>
    <mergeCell ref="A934:A935"/>
    <mergeCell ref="B934:B935"/>
    <mergeCell ref="C934:E934"/>
    <mergeCell ref="F934:F935"/>
    <mergeCell ref="G934:I934"/>
    <mergeCell ref="J934:J935"/>
    <mergeCell ref="K934:L934"/>
    <mergeCell ref="O934:O935"/>
    <mergeCell ref="C935:D935"/>
    <mergeCell ref="O891:O892"/>
    <mergeCell ref="C892:D892"/>
    <mergeCell ref="C893:D893"/>
    <mergeCell ref="D899:D909"/>
    <mergeCell ref="F913:H913"/>
    <mergeCell ref="F914:H914"/>
    <mergeCell ref="F915:H915"/>
    <mergeCell ref="F916:H916"/>
    <mergeCell ref="F917:H917"/>
    <mergeCell ref="B886:C886"/>
    <mergeCell ref="A890:N890"/>
    <mergeCell ref="A891:A892"/>
    <mergeCell ref="B891:B892"/>
    <mergeCell ref="C891:E891"/>
    <mergeCell ref="F891:F892"/>
    <mergeCell ref="G891:I891"/>
    <mergeCell ref="J891:J892"/>
    <mergeCell ref="K891:L891"/>
    <mergeCell ref="B883:C883"/>
    <mergeCell ref="F883:H883"/>
    <mergeCell ref="K883:L883"/>
    <mergeCell ref="B884:C884"/>
    <mergeCell ref="F884:H884"/>
    <mergeCell ref="K884:L884"/>
    <mergeCell ref="B885:C885"/>
    <mergeCell ref="F885:H885"/>
    <mergeCell ref="K885:L885"/>
    <mergeCell ref="O860:O861"/>
    <mergeCell ref="C861:D861"/>
    <mergeCell ref="C862:D862"/>
    <mergeCell ref="D872:D873"/>
    <mergeCell ref="D877:D878"/>
    <mergeCell ref="B881:C881"/>
    <mergeCell ref="F881:H881"/>
    <mergeCell ref="K881:L881"/>
    <mergeCell ref="B882:C882"/>
    <mergeCell ref="F882:H882"/>
    <mergeCell ref="K882:L882"/>
    <mergeCell ref="A859:N859"/>
    <mergeCell ref="A860:A861"/>
    <mergeCell ref="B860:B861"/>
    <mergeCell ref="C860:E860"/>
    <mergeCell ref="F860:F861"/>
    <mergeCell ref="G860:I860"/>
    <mergeCell ref="J860:J861"/>
    <mergeCell ref="K860:L860"/>
    <mergeCell ref="D302:D303"/>
    <mergeCell ref="C470:D470"/>
    <mergeCell ref="D482:D483"/>
    <mergeCell ref="B492:C492"/>
    <mergeCell ref="F492:H492"/>
    <mergeCell ref="J468:J469"/>
    <mergeCell ref="I370:J370"/>
    <mergeCell ref="E450:H450"/>
    <mergeCell ref="E449:H449"/>
    <mergeCell ref="A421:N421"/>
    <mergeCell ref="A422:A423"/>
    <mergeCell ref="B422:B423"/>
    <mergeCell ref="G468:I468"/>
    <mergeCell ref="F422:F423"/>
    <mergeCell ref="G422:I422"/>
    <mergeCell ref="J422:J423"/>
    <mergeCell ref="B272:C272"/>
    <mergeCell ref="F272:H272"/>
    <mergeCell ref="B273:C273"/>
    <mergeCell ref="F273:H273"/>
    <mergeCell ref="K273:L273"/>
    <mergeCell ref="B274:C274"/>
    <mergeCell ref="F274:H274"/>
    <mergeCell ref="K274:L274"/>
    <mergeCell ref="B275:C275"/>
    <mergeCell ref="F275:H275"/>
    <mergeCell ref="K275:L275"/>
    <mergeCell ref="B40:C40"/>
    <mergeCell ref="B42:C42"/>
    <mergeCell ref="B41:C41"/>
    <mergeCell ref="C184:D184"/>
    <mergeCell ref="B172:C172"/>
    <mergeCell ref="F172:H172"/>
    <mergeCell ref="K172:L172"/>
    <mergeCell ref="B173:C173"/>
    <mergeCell ref="F173:H173"/>
    <mergeCell ref="K173:L173"/>
    <mergeCell ref="B174:C174"/>
    <mergeCell ref="F174:H174"/>
    <mergeCell ref="K174:L174"/>
    <mergeCell ref="B175:C175"/>
    <mergeCell ref="F175:H175"/>
    <mergeCell ref="K175:L175"/>
    <mergeCell ref="B176:C176"/>
    <mergeCell ref="F176:H176"/>
    <mergeCell ref="K176:L176"/>
    <mergeCell ref="B177:C177"/>
    <mergeCell ref="A46:N46"/>
    <mergeCell ref="N57:N60"/>
    <mergeCell ref="N62:N63"/>
    <mergeCell ref="C183:D183"/>
    <mergeCell ref="O394:O395"/>
    <mergeCell ref="E413:H413"/>
    <mergeCell ref="E414:H414"/>
    <mergeCell ref="E415:H415"/>
    <mergeCell ref="E416:H416"/>
    <mergeCell ref="E417:H417"/>
    <mergeCell ref="O422:O423"/>
    <mergeCell ref="O245:O256"/>
    <mergeCell ref="I255:J255"/>
    <mergeCell ref="I256:J256"/>
    <mergeCell ref="E245:E246"/>
    <mergeCell ref="E247:E248"/>
    <mergeCell ref="E249:E250"/>
    <mergeCell ref="E251:E252"/>
    <mergeCell ref="E253:E254"/>
    <mergeCell ref="K271:L271"/>
    <mergeCell ref="F271:H271"/>
    <mergeCell ref="O284:O285"/>
    <mergeCell ref="E306:H306"/>
    <mergeCell ref="O355:O356"/>
    <mergeCell ref="I363:J363"/>
    <mergeCell ref="I364:J364"/>
    <mergeCell ref="I371:J371"/>
    <mergeCell ref="C422:E422"/>
    <mergeCell ref="O149:O150"/>
    <mergeCell ref="E339:H339"/>
    <mergeCell ref="E308:H308"/>
    <mergeCell ref="E309:H309"/>
    <mergeCell ref="E310:H310"/>
    <mergeCell ref="E311:H311"/>
    <mergeCell ref="E312:H312"/>
    <mergeCell ref="E313:H313"/>
    <mergeCell ref="E314:H314"/>
    <mergeCell ref="E315:H315"/>
    <mergeCell ref="I242:J242"/>
    <mergeCell ref="I243:J243"/>
    <mergeCell ref="E233:E234"/>
    <mergeCell ref="E238:E239"/>
    <mergeCell ref="E240:E241"/>
    <mergeCell ref="O182:O183"/>
    <mergeCell ref="C149:E149"/>
    <mergeCell ref="F149:F150"/>
    <mergeCell ref="G149:I149"/>
    <mergeCell ref="J149:J150"/>
    <mergeCell ref="O222:O223"/>
    <mergeCell ref="E226:E227"/>
    <mergeCell ref="E228:E229"/>
    <mergeCell ref="B218:M218"/>
    <mergeCell ref="O89:O90"/>
    <mergeCell ref="I15:J15"/>
    <mergeCell ref="I22:J22"/>
    <mergeCell ref="I23:J23"/>
    <mergeCell ref="O47:O48"/>
    <mergeCell ref="C47:E47"/>
    <mergeCell ref="K34:L34"/>
    <mergeCell ref="K35:L35"/>
    <mergeCell ref="K36:L36"/>
    <mergeCell ref="F34:H34"/>
    <mergeCell ref="F35:H35"/>
    <mergeCell ref="F36:H36"/>
    <mergeCell ref="F37:H37"/>
    <mergeCell ref="A88:N88"/>
    <mergeCell ref="A89:A90"/>
    <mergeCell ref="B89:B90"/>
    <mergeCell ref="C89:E89"/>
    <mergeCell ref="F89:F90"/>
    <mergeCell ref="G89:I89"/>
    <mergeCell ref="J89:J90"/>
    <mergeCell ref="K89:L89"/>
    <mergeCell ref="G84:I84"/>
    <mergeCell ref="G76:I76"/>
    <mergeCell ref="G77:I77"/>
    <mergeCell ref="A7:A8"/>
    <mergeCell ref="B7:B8"/>
    <mergeCell ref="C7:E7"/>
    <mergeCell ref="F7:F8"/>
    <mergeCell ref="J7:J8"/>
    <mergeCell ref="K7:L7"/>
    <mergeCell ref="A57:A58"/>
    <mergeCell ref="I74:J74"/>
    <mergeCell ref="B47:B48"/>
    <mergeCell ref="F39:H39"/>
    <mergeCell ref="B34:C34"/>
    <mergeCell ref="B35:C35"/>
    <mergeCell ref="B36:C36"/>
    <mergeCell ref="B37:C37"/>
    <mergeCell ref="B38:C38"/>
    <mergeCell ref="B39:C39"/>
    <mergeCell ref="D51:D53"/>
    <mergeCell ref="E20:E21"/>
    <mergeCell ref="K37:L37"/>
    <mergeCell ref="K38:L38"/>
    <mergeCell ref="C8:D8"/>
    <mergeCell ref="C9:D9"/>
    <mergeCell ref="C48:D48"/>
    <mergeCell ref="C49:D49"/>
    <mergeCell ref="O7:O8"/>
    <mergeCell ref="Q48:Q49"/>
    <mergeCell ref="T48:T49"/>
    <mergeCell ref="U48:U49"/>
    <mergeCell ref="V48:V49"/>
    <mergeCell ref="R7:R8"/>
    <mergeCell ref="S7:S8"/>
    <mergeCell ref="R48:R49"/>
    <mergeCell ref="S48:S49"/>
    <mergeCell ref="Q7:Q8"/>
    <mergeCell ref="T7:T8"/>
    <mergeCell ref="U7:U8"/>
    <mergeCell ref="V7:V8"/>
    <mergeCell ref="O25:O27"/>
    <mergeCell ref="O29:O31"/>
    <mergeCell ref="B3:M3"/>
    <mergeCell ref="B145:M145"/>
    <mergeCell ref="A181:N181"/>
    <mergeCell ref="A182:A183"/>
    <mergeCell ref="B182:B183"/>
    <mergeCell ref="C182:E182"/>
    <mergeCell ref="F182:F183"/>
    <mergeCell ref="G182:I182"/>
    <mergeCell ref="J182:J183"/>
    <mergeCell ref="K182:L182"/>
    <mergeCell ref="A148:N148"/>
    <mergeCell ref="A149:A150"/>
    <mergeCell ref="B149:B150"/>
    <mergeCell ref="A6:N6"/>
    <mergeCell ref="A47:A48"/>
    <mergeCell ref="D29:D31"/>
    <mergeCell ref="D11:D14"/>
    <mergeCell ref="D18:D21"/>
    <mergeCell ref="D25:D26"/>
    <mergeCell ref="G7:I7"/>
    <mergeCell ref="F47:F48"/>
    <mergeCell ref="E11:E12"/>
    <mergeCell ref="E13:E14"/>
    <mergeCell ref="E18:E19"/>
    <mergeCell ref="K422:L422"/>
    <mergeCell ref="G355:I355"/>
    <mergeCell ref="J355:J356"/>
    <mergeCell ref="C284:E284"/>
    <mergeCell ref="F284:F285"/>
    <mergeCell ref="G284:I284"/>
    <mergeCell ref="J284:J285"/>
    <mergeCell ref="K284:L284"/>
    <mergeCell ref="B383:C383"/>
    <mergeCell ref="F383:H383"/>
    <mergeCell ref="K383:L383"/>
    <mergeCell ref="B384:C384"/>
    <mergeCell ref="F384:H384"/>
    <mergeCell ref="K384:L384"/>
    <mergeCell ref="B385:C385"/>
    <mergeCell ref="F385:H385"/>
    <mergeCell ref="K385:L385"/>
    <mergeCell ref="I412:J412"/>
    <mergeCell ref="B382:C382"/>
    <mergeCell ref="F382:H382"/>
    <mergeCell ref="K382:L382"/>
    <mergeCell ref="B386:C386"/>
    <mergeCell ref="F386:H386"/>
    <mergeCell ref="B387:C387"/>
    <mergeCell ref="G222:I222"/>
    <mergeCell ref="J222:J223"/>
    <mergeCell ref="K222:L222"/>
    <mergeCell ref="D226:D241"/>
    <mergeCell ref="I230:J230"/>
    <mergeCell ref="I231:J231"/>
    <mergeCell ref="I235:J235"/>
    <mergeCell ref="G78:I78"/>
    <mergeCell ref="G79:I79"/>
    <mergeCell ref="G80:I80"/>
    <mergeCell ref="G129:I129"/>
    <mergeCell ref="G130:I130"/>
    <mergeCell ref="G81:I81"/>
    <mergeCell ref="G82:I82"/>
    <mergeCell ref="G83:I83"/>
    <mergeCell ref="C90:D90"/>
    <mergeCell ref="C91:D91"/>
    <mergeCell ref="E451:H451"/>
    <mergeCell ref="E452:H452"/>
    <mergeCell ref="A393:N393"/>
    <mergeCell ref="A394:A395"/>
    <mergeCell ref="B394:B395"/>
    <mergeCell ref="I236:J236"/>
    <mergeCell ref="C394:E394"/>
    <mergeCell ref="F394:F395"/>
    <mergeCell ref="G394:I394"/>
    <mergeCell ref="J394:J395"/>
    <mergeCell ref="K394:L394"/>
    <mergeCell ref="A319:N319"/>
    <mergeCell ref="A320:A321"/>
    <mergeCell ref="E338:H338"/>
    <mergeCell ref="K355:L355"/>
    <mergeCell ref="F355:F356"/>
    <mergeCell ref="B271:C271"/>
    <mergeCell ref="D245:D255"/>
    <mergeCell ref="D266:D268"/>
    <mergeCell ref="D258:D263"/>
    <mergeCell ref="A283:N283"/>
    <mergeCell ref="A284:A285"/>
    <mergeCell ref="B284:B285"/>
    <mergeCell ref="K381:L381"/>
    <mergeCell ref="K468:L468"/>
    <mergeCell ref="O468:O469"/>
    <mergeCell ref="C469:D469"/>
    <mergeCell ref="K320:L320"/>
    <mergeCell ref="K149:L149"/>
    <mergeCell ref="G47:I47"/>
    <mergeCell ref="J47:J48"/>
    <mergeCell ref="K47:L47"/>
    <mergeCell ref="E453:H453"/>
    <mergeCell ref="A464:L464"/>
    <mergeCell ref="O320:O321"/>
    <mergeCell ref="B320:B321"/>
    <mergeCell ref="C320:E320"/>
    <mergeCell ref="F320:F321"/>
    <mergeCell ref="G320:I320"/>
    <mergeCell ref="J320:J321"/>
    <mergeCell ref="B351:M351"/>
    <mergeCell ref="A354:N354"/>
    <mergeCell ref="A355:A356"/>
    <mergeCell ref="B355:B356"/>
    <mergeCell ref="C355:E355"/>
    <mergeCell ref="E307:H307"/>
    <mergeCell ref="G131:I131"/>
    <mergeCell ref="G132:I132"/>
    <mergeCell ref="B493:C493"/>
    <mergeCell ref="F493:H493"/>
    <mergeCell ref="K493:L493"/>
    <mergeCell ref="B494:C494"/>
    <mergeCell ref="K492:L492"/>
    <mergeCell ref="B276:C276"/>
    <mergeCell ref="K272:L272"/>
    <mergeCell ref="O502:O503"/>
    <mergeCell ref="C503:D503"/>
    <mergeCell ref="F494:H494"/>
    <mergeCell ref="K494:L494"/>
    <mergeCell ref="B495:C495"/>
    <mergeCell ref="F495:H495"/>
    <mergeCell ref="K495:L495"/>
    <mergeCell ref="B496:C496"/>
    <mergeCell ref="F496:H496"/>
    <mergeCell ref="K496:L496"/>
    <mergeCell ref="B497:C497"/>
    <mergeCell ref="M464:N464"/>
    <mergeCell ref="A467:N467"/>
    <mergeCell ref="A468:A469"/>
    <mergeCell ref="B468:B469"/>
    <mergeCell ref="C468:E468"/>
    <mergeCell ref="F468:F469"/>
    <mergeCell ref="C504:D504"/>
    <mergeCell ref="F535:H535"/>
    <mergeCell ref="F536:H536"/>
    <mergeCell ref="F537:H537"/>
    <mergeCell ref="F538:H538"/>
    <mergeCell ref="F539:H539"/>
    <mergeCell ref="A501:N501"/>
    <mergeCell ref="A502:A503"/>
    <mergeCell ref="B502:B503"/>
    <mergeCell ref="C502:E502"/>
    <mergeCell ref="F502:F503"/>
    <mergeCell ref="G502:I502"/>
    <mergeCell ref="J502:J503"/>
    <mergeCell ref="K502:L502"/>
    <mergeCell ref="A555:N555"/>
    <mergeCell ref="A556:A557"/>
    <mergeCell ref="B556:B557"/>
    <mergeCell ref="C556:E556"/>
    <mergeCell ref="F556:F557"/>
    <mergeCell ref="G556:I556"/>
    <mergeCell ref="J556:J557"/>
    <mergeCell ref="K556:L556"/>
    <mergeCell ref="O556:O557"/>
    <mergeCell ref="C557:D557"/>
    <mergeCell ref="C558:D558"/>
    <mergeCell ref="D560:D561"/>
    <mergeCell ref="D564:D565"/>
    <mergeCell ref="D568:D569"/>
    <mergeCell ref="D573:D574"/>
    <mergeCell ref="B577:C577"/>
    <mergeCell ref="F577:H577"/>
    <mergeCell ref="K577:L577"/>
    <mergeCell ref="B578:C578"/>
    <mergeCell ref="F578:H578"/>
    <mergeCell ref="K578:L578"/>
    <mergeCell ref="B579:C579"/>
    <mergeCell ref="F579:H579"/>
    <mergeCell ref="K579:L579"/>
    <mergeCell ref="B580:C580"/>
    <mergeCell ref="F580:H580"/>
    <mergeCell ref="K580:L580"/>
    <mergeCell ref="B581:C581"/>
    <mergeCell ref="F581:H581"/>
    <mergeCell ref="K581:L581"/>
    <mergeCell ref="O587:O588"/>
    <mergeCell ref="C588:D588"/>
    <mergeCell ref="C589:D589"/>
    <mergeCell ref="F614:H614"/>
    <mergeCell ref="F615:H615"/>
    <mergeCell ref="F616:H616"/>
    <mergeCell ref="F617:H617"/>
    <mergeCell ref="B582:C582"/>
    <mergeCell ref="A586:N586"/>
    <mergeCell ref="A587:A588"/>
    <mergeCell ref="B587:B588"/>
    <mergeCell ref="C587:E587"/>
    <mergeCell ref="F587:F588"/>
    <mergeCell ref="G587:I587"/>
    <mergeCell ref="J587:J588"/>
    <mergeCell ref="K587:L587"/>
    <mergeCell ref="O635:O636"/>
    <mergeCell ref="C636:D636"/>
    <mergeCell ref="C637:D637"/>
    <mergeCell ref="D644:D646"/>
    <mergeCell ref="D649:D650"/>
    <mergeCell ref="B658:C658"/>
    <mergeCell ref="F658:H658"/>
    <mergeCell ref="K658:L658"/>
    <mergeCell ref="F618:H618"/>
    <mergeCell ref="A634:N634"/>
    <mergeCell ref="A635:A636"/>
    <mergeCell ref="B635:B636"/>
    <mergeCell ref="C635:E635"/>
    <mergeCell ref="F635:F636"/>
    <mergeCell ref="G635:I635"/>
    <mergeCell ref="J635:J636"/>
    <mergeCell ref="K635:L635"/>
    <mergeCell ref="B659:C659"/>
    <mergeCell ref="F659:H659"/>
    <mergeCell ref="K659:L659"/>
    <mergeCell ref="B660:C660"/>
    <mergeCell ref="F660:H660"/>
    <mergeCell ref="K660:L660"/>
    <mergeCell ref="B661:C661"/>
    <mergeCell ref="F661:H661"/>
    <mergeCell ref="K661:L661"/>
    <mergeCell ref="O668:O669"/>
    <mergeCell ref="C669:D669"/>
    <mergeCell ref="C670:D670"/>
    <mergeCell ref="F690:H690"/>
    <mergeCell ref="F691:H691"/>
    <mergeCell ref="F692:H692"/>
    <mergeCell ref="F693:H693"/>
    <mergeCell ref="B662:C662"/>
    <mergeCell ref="F662:H662"/>
    <mergeCell ref="K662:L662"/>
    <mergeCell ref="B663:C663"/>
    <mergeCell ref="A667:N667"/>
    <mergeCell ref="A668:A669"/>
    <mergeCell ref="B668:B669"/>
    <mergeCell ref="C668:E668"/>
    <mergeCell ref="F668:F669"/>
    <mergeCell ref="G668:I668"/>
    <mergeCell ref="J668:J669"/>
    <mergeCell ref="K668:L668"/>
    <mergeCell ref="O711:O712"/>
    <mergeCell ref="C712:D712"/>
    <mergeCell ref="C713:D713"/>
    <mergeCell ref="D719:D720"/>
    <mergeCell ref="D723:D724"/>
    <mergeCell ref="B733:C733"/>
    <mergeCell ref="F733:H733"/>
    <mergeCell ref="K733:L733"/>
    <mergeCell ref="F694:H694"/>
    <mergeCell ref="A710:N710"/>
    <mergeCell ref="A711:A712"/>
    <mergeCell ref="B711:B712"/>
    <mergeCell ref="C711:E711"/>
    <mergeCell ref="F711:F712"/>
    <mergeCell ref="G711:I711"/>
    <mergeCell ref="J711:J712"/>
    <mergeCell ref="K711:L711"/>
    <mergeCell ref="B734:C734"/>
    <mergeCell ref="F734:H734"/>
    <mergeCell ref="K734:L734"/>
    <mergeCell ref="B735:C735"/>
    <mergeCell ref="F735:H735"/>
    <mergeCell ref="K735:L735"/>
    <mergeCell ref="B736:C736"/>
    <mergeCell ref="F736:H736"/>
    <mergeCell ref="K736:L736"/>
    <mergeCell ref="O817:O818"/>
    <mergeCell ref="K784:L784"/>
    <mergeCell ref="O784:O785"/>
    <mergeCell ref="B737:C737"/>
    <mergeCell ref="F737:H737"/>
    <mergeCell ref="K737:L737"/>
    <mergeCell ref="B738:C738"/>
    <mergeCell ref="A742:N742"/>
    <mergeCell ref="A743:A744"/>
    <mergeCell ref="B743:B744"/>
    <mergeCell ref="C743:E743"/>
    <mergeCell ref="F743:F744"/>
    <mergeCell ref="G743:I743"/>
    <mergeCell ref="J743:J744"/>
    <mergeCell ref="K743:L743"/>
    <mergeCell ref="O743:O744"/>
    <mergeCell ref="C744:D744"/>
    <mergeCell ref="C745:D745"/>
    <mergeCell ref="F763:H763"/>
    <mergeCell ref="F764:H764"/>
    <mergeCell ref="F765:H765"/>
    <mergeCell ref="F766:H766"/>
    <mergeCell ref="K807:L807"/>
    <mergeCell ref="B808:C808"/>
    <mergeCell ref="F767:H767"/>
    <mergeCell ref="A783:N783"/>
    <mergeCell ref="F840:H840"/>
    <mergeCell ref="F841:H841"/>
    <mergeCell ref="F842:H842"/>
    <mergeCell ref="C817:E817"/>
    <mergeCell ref="F817:F818"/>
    <mergeCell ref="G817:I817"/>
    <mergeCell ref="C818:D818"/>
    <mergeCell ref="C819:D819"/>
    <mergeCell ref="K817:L817"/>
    <mergeCell ref="B812:C812"/>
    <mergeCell ref="A816:N816"/>
    <mergeCell ref="A817:A818"/>
    <mergeCell ref="B817:B818"/>
    <mergeCell ref="F808:H808"/>
    <mergeCell ref="K808:L808"/>
    <mergeCell ref="B809:C809"/>
    <mergeCell ref="F809:H809"/>
    <mergeCell ref="K809:L809"/>
    <mergeCell ref="B810:C810"/>
    <mergeCell ref="F810:H810"/>
    <mergeCell ref="K810:L810"/>
    <mergeCell ref="O1404:O1405"/>
    <mergeCell ref="C1405:D1405"/>
    <mergeCell ref="D821:D822"/>
    <mergeCell ref="D825:D835"/>
    <mergeCell ref="F839:H839"/>
    <mergeCell ref="A784:A785"/>
    <mergeCell ref="B784:B785"/>
    <mergeCell ref="C784:E784"/>
    <mergeCell ref="F784:F785"/>
    <mergeCell ref="G784:I784"/>
    <mergeCell ref="J784:J785"/>
    <mergeCell ref="C785:D785"/>
    <mergeCell ref="C786:D786"/>
    <mergeCell ref="D788:D790"/>
    <mergeCell ref="D793:D795"/>
    <mergeCell ref="D798:D799"/>
    <mergeCell ref="D803:D804"/>
    <mergeCell ref="B807:C807"/>
    <mergeCell ref="F807:H807"/>
    <mergeCell ref="J817:J818"/>
    <mergeCell ref="F843:H843"/>
    <mergeCell ref="B811:C811"/>
    <mergeCell ref="F811:H811"/>
    <mergeCell ref="K811:L811"/>
    <mergeCell ref="B1426:C1426"/>
    <mergeCell ref="F1426:H1426"/>
    <mergeCell ref="K1426:L1426"/>
    <mergeCell ref="A1403:N1403"/>
    <mergeCell ref="A1404:A1405"/>
    <mergeCell ref="B1404:B1405"/>
    <mergeCell ref="C1404:E1404"/>
    <mergeCell ref="F1404:F1405"/>
    <mergeCell ref="G1404:I1404"/>
    <mergeCell ref="J1404:J1405"/>
    <mergeCell ref="K1404:L1404"/>
    <mergeCell ref="C1406:D1406"/>
    <mergeCell ref="D1416:D1417"/>
    <mergeCell ref="D1421:D1422"/>
    <mergeCell ref="B1425:C1425"/>
    <mergeCell ref="F1425:H1425"/>
    <mergeCell ref="K1425:L1425"/>
    <mergeCell ref="F1465:H1465"/>
    <mergeCell ref="F1466:H1466"/>
    <mergeCell ref="F1467:H1467"/>
    <mergeCell ref="B1430:C1430"/>
    <mergeCell ref="A1434:N1434"/>
    <mergeCell ref="A1435:A1436"/>
    <mergeCell ref="B1435:B1436"/>
    <mergeCell ref="C1435:E1435"/>
    <mergeCell ref="F1435:F1436"/>
    <mergeCell ref="G1435:I1435"/>
    <mergeCell ref="J1435:J1436"/>
    <mergeCell ref="K1435:L1435"/>
    <mergeCell ref="O1435:O1436"/>
    <mergeCell ref="C1436:D1436"/>
    <mergeCell ref="C1437:D1437"/>
    <mergeCell ref="F1463:H1463"/>
    <mergeCell ref="F1464:H1464"/>
    <mergeCell ref="B1427:C1427"/>
    <mergeCell ref="F1427:H1427"/>
    <mergeCell ref="K1427:L1427"/>
    <mergeCell ref="B1428:C1428"/>
    <mergeCell ref="F1428:H1428"/>
    <mergeCell ref="K1428:L1428"/>
    <mergeCell ref="B1429:C1429"/>
    <mergeCell ref="F1429:H1429"/>
    <mergeCell ref="K1429:L1429"/>
    <mergeCell ref="B388:C388"/>
    <mergeCell ref="B389:C389"/>
    <mergeCell ref="F38:H38"/>
    <mergeCell ref="F276:H276"/>
    <mergeCell ref="B277:C277"/>
    <mergeCell ref="B278:C278"/>
    <mergeCell ref="B279:C279"/>
    <mergeCell ref="B381:C381"/>
    <mergeCell ref="F381:H381"/>
    <mergeCell ref="G133:I133"/>
    <mergeCell ref="G134:I134"/>
    <mergeCell ref="D163:D164"/>
    <mergeCell ref="C150:D150"/>
    <mergeCell ref="C151:D151"/>
    <mergeCell ref="F203:H203"/>
    <mergeCell ref="F204:H204"/>
    <mergeCell ref="F205:H205"/>
    <mergeCell ref="F206:H206"/>
    <mergeCell ref="F207:H207"/>
    <mergeCell ref="A221:N221"/>
    <mergeCell ref="A222:A223"/>
    <mergeCell ref="B222:B223"/>
    <mergeCell ref="C222:E222"/>
    <mergeCell ref="F222:F223"/>
  </mergeCells>
  <phoneticPr fontId="3" type="noConversion"/>
  <conditionalFormatting sqref="U7:U23 U28:U32 U47:U74 U88:U127">
    <cfRule type="cellIs" dxfId="3" priority="11" operator="lessThan">
      <formula>-40</formula>
    </cfRule>
    <cfRule type="cellIs" dxfId="2" priority="12" operator="greaterThan">
      <formula>40</formula>
    </cfRule>
  </conditionalFormatting>
  <conditionalFormatting sqref="U265:U269">
    <cfRule type="cellIs" dxfId="1" priority="3" operator="lessThan">
      <formula>-40</formula>
    </cfRule>
    <cfRule type="cellIs" dxfId="0" priority="4" operator="greaterThan">
      <formula>40</formula>
    </cfRule>
  </conditionalFormatting>
  <pageMargins left="0.7" right="0.7" top="0.75" bottom="0.75" header="0.3" footer="0.3"/>
  <pageSetup orientation="portrait" r:id="rId1"/>
  <ignoredErrors>
    <ignoredError sqref="M61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N422:N447 N271:N279 N1435:N1460 N1404:N1409 N1419:N1422 N1411:N1417 N1463:N1048576 N1383:N1402 N1256:N1265 N1177:N1183 N1100:N1106 N942:N949 N864:N873 N792:N799 N718:N724 N643:N650 N476:N483 N284:N304 N157:N164 N381:N389 N64:N73 N61:N62 N47:N57 N1021:N1027 N1283:N1300 N743:N749 N502:N532 N182:N187 N891:N910 N563:N569 N967:N989 N1324:N1329 N1339:N1342 N1331:N1337 N1303:N1322 N320:N336 N1248:N1254 N1267:N1270 N1227:N1246 N1201:N1224 N1170:N1175 N1185:N1188 N1149:N1168 N1046:N1069 N1093:N1098 N1108:N1111 N1072:N1091 N751:N760 N1014:N1019 N1029:N1033 N992:N1012 N951:N954 N668:N687 N934:N940 N913:N932 N860:N862 N875:N878 N89:N126 N839:N858 N784:N790 N801:N804 N763:N782 N711:N716 N726:N730 N690:N709 N652:N655 N1124:N1146 N635:N641 N614:N633 N556:N561 N571:N574 N587:N611 N535:N554 N817:N836 N468:N474 N485:N489 N465:N466 N449:N463 N1355:N1380 N189:N200 N372:N374 N24:N26 N413:N420 N401:N411 N394:N399 N365:N370 N355:N363 N376:N378 N338:N353 N28:N45 N306:N318 N282 N265:N269 N232:N235 N237:N242 N222:N230 N244:N255 N257:N263 N203:N220 N7:N15 N149:N155 N166:N169 N146:N147 N129:N144 N17:N22 N75:N87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A674"/>
  <sheetViews>
    <sheetView zoomScale="90" zoomScaleNormal="90" zoomScaleSheetLayoutView="90" zoomScalePageLayoutView="55" workbookViewId="0">
      <selection activeCell="P57" sqref="P57"/>
    </sheetView>
  </sheetViews>
  <sheetFormatPr defaultColWidth="9.453125" defaultRowHeight="12.5" x14ac:dyDescent="0.25"/>
  <cols>
    <col min="1" max="1" width="3.54296875" style="820" customWidth="1"/>
    <col min="2" max="2" width="19" style="821" customWidth="1"/>
    <col min="3" max="3" width="6.54296875" style="820" customWidth="1"/>
    <col min="4" max="4" width="4.54296875" style="820" customWidth="1"/>
    <col min="5" max="5" width="5.453125" style="825" customWidth="1"/>
    <col min="6" max="6" width="8" style="825" customWidth="1"/>
    <col min="7" max="7" width="4.54296875" style="825" customWidth="1"/>
    <col min="8" max="8" width="3.54296875" style="826" customWidth="1"/>
    <col min="9" max="9" width="7.453125" style="825" customWidth="1"/>
    <col min="10" max="11" width="11.26953125" style="827" customWidth="1"/>
    <col min="12" max="12" width="9.54296875" style="820" customWidth="1"/>
    <col min="13" max="13" width="11.7265625" style="820" customWidth="1"/>
    <col min="14" max="14" width="13.7265625" style="1150" customWidth="1"/>
    <col min="15" max="15" width="13.453125" style="1151" customWidth="1"/>
    <col min="16" max="16" width="12.26953125" style="820" customWidth="1"/>
    <col min="17" max="18" width="10.7265625" style="827" hidden="1" customWidth="1"/>
    <col min="19" max="19" width="8.453125" style="820" hidden="1" customWidth="1"/>
    <col min="20" max="20" width="11.26953125" style="820" hidden="1" customWidth="1"/>
    <col min="21" max="21" width="12.26953125" style="820" hidden="1" customWidth="1"/>
    <col min="22" max="22" width="12.7265625" style="106" customWidth="1"/>
    <col min="23" max="23" width="12" style="1150" hidden="1" customWidth="1"/>
    <col min="24" max="24" width="6.453125" style="823" hidden="1" customWidth="1"/>
    <col min="25" max="25" width="6.54296875" style="820" hidden="1" customWidth="1"/>
    <col min="26" max="26" width="9.453125" style="820" customWidth="1"/>
    <col min="27" max="27" width="14.453125" style="105" hidden="1" customWidth="1"/>
    <col min="28" max="28" width="9.54296875" style="820" customWidth="1"/>
    <col min="29" max="29" width="10.453125" style="820" customWidth="1"/>
    <col min="30" max="30" width="9.453125" style="820" hidden="1" customWidth="1"/>
    <col min="31" max="31" width="7.453125" style="820" hidden="1" customWidth="1"/>
    <col min="32" max="32" width="22.54296875" style="821" hidden="1" customWidth="1"/>
    <col min="33" max="33" width="11" style="820" hidden="1" customWidth="1"/>
    <col min="34" max="36" width="12.453125" style="820" hidden="1" customWidth="1"/>
    <col min="37" max="39" width="10.54296875" style="820" hidden="1" customWidth="1"/>
    <col min="40" max="41" width="11.54296875" style="820" hidden="1" customWidth="1"/>
    <col min="42" max="42" width="14.453125" style="820" hidden="1" customWidth="1"/>
    <col min="43" max="46" width="10.54296875" style="820" hidden="1" customWidth="1"/>
    <col min="47" max="48" width="0.54296875" style="820" hidden="1" customWidth="1"/>
    <col min="49" max="49" width="10.54296875" style="820" hidden="1" customWidth="1"/>
    <col min="50" max="50" width="11.453125" style="820" hidden="1" customWidth="1"/>
    <col min="51" max="51" width="10.54296875" style="820" hidden="1" customWidth="1"/>
    <col min="52" max="52" width="9.453125" style="822" hidden="1" customWidth="1"/>
    <col min="53" max="53" width="19" style="822" hidden="1" customWidth="1"/>
    <col min="54" max="54" width="17.54296875" style="822" hidden="1" customWidth="1"/>
    <col min="55" max="55" width="10.54296875" style="822" hidden="1" customWidth="1"/>
    <col min="56" max="56" width="11.453125" style="822" hidden="1" customWidth="1"/>
    <col min="57" max="58" width="9.453125" style="822" hidden="1" customWidth="1"/>
    <col min="59" max="59" width="13.54296875" style="822" hidden="1" customWidth="1"/>
    <col min="60" max="60" width="13.453125" style="822" hidden="1" customWidth="1"/>
    <col min="61" max="62" width="10.54296875" style="820" hidden="1" customWidth="1"/>
    <col min="63" max="63" width="12.54296875" style="823" hidden="1" customWidth="1"/>
    <col min="64" max="64" width="9.54296875" style="823" hidden="1" customWidth="1"/>
    <col min="65" max="66" width="11.453125" style="824" hidden="1" customWidth="1"/>
    <col min="67" max="67" width="11.453125" style="820" hidden="1" customWidth="1"/>
    <col min="68" max="68" width="14" style="820" hidden="1" customWidth="1"/>
    <col min="69" max="69" width="11.453125" style="820" hidden="1" customWidth="1"/>
    <col min="70" max="70" width="15" style="820" hidden="1" customWidth="1"/>
    <col min="71" max="71" width="11.453125" style="820" customWidth="1"/>
    <col min="72" max="74" width="15.453125" style="820" customWidth="1"/>
    <col min="75" max="75" width="14.453125" style="820" customWidth="1"/>
    <col min="76" max="76" width="11.54296875" style="820" customWidth="1"/>
    <col min="77" max="77" width="17.54296875" style="820" customWidth="1"/>
    <col min="78" max="81" width="9.453125" style="820" customWidth="1"/>
    <col min="82" max="82" width="4.453125" style="820" customWidth="1"/>
    <col min="83" max="83" width="10.54296875" style="821" customWidth="1"/>
    <col min="84" max="84" width="6.453125" style="820" customWidth="1"/>
    <col min="85" max="85" width="7" style="820" customWidth="1"/>
    <col min="86" max="86" width="5.453125" style="825" customWidth="1"/>
    <col min="87" max="87" width="8.453125" style="825" customWidth="1"/>
    <col min="88" max="88" width="6.453125" style="825" customWidth="1"/>
    <col min="89" max="89" width="6.453125" style="826" customWidth="1"/>
    <col min="90" max="90" width="7.453125" style="825" customWidth="1"/>
    <col min="91" max="91" width="10.453125" style="827" customWidth="1"/>
    <col min="92" max="92" width="10" style="827" customWidth="1"/>
    <col min="93" max="93" width="8.54296875" style="820" customWidth="1"/>
    <col min="94" max="94" width="10.54296875" style="820" customWidth="1"/>
    <col min="95" max="95" width="11" style="820" customWidth="1"/>
    <col min="96" max="96" width="9.54296875" style="827" customWidth="1"/>
    <col min="97" max="97" width="10.54296875" style="827" customWidth="1"/>
    <col min="98" max="98" width="9.54296875" style="820" customWidth="1"/>
    <col min="99" max="99" width="9.453125" style="820" customWidth="1"/>
    <col min="100" max="100" width="12.54296875" style="820" customWidth="1"/>
    <col min="101" max="101" width="14.453125" style="823" customWidth="1"/>
    <col min="102" max="102" width="15.54296875" style="820" customWidth="1"/>
    <col min="103" max="130" width="9.453125" style="820" customWidth="1"/>
    <col min="131" max="131" width="9.453125" style="820"/>
    <col min="132" max="135" width="9.453125" style="820" bestFit="1" customWidth="1"/>
    <col min="136" max="136" width="9.453125" style="820"/>
    <col min="137" max="140" width="9.453125" style="820" bestFit="1" customWidth="1"/>
    <col min="141" max="141" width="9.453125" style="820"/>
    <col min="142" max="145" width="9.453125" style="820" bestFit="1" customWidth="1"/>
    <col min="146" max="146" width="9.453125" style="820"/>
    <col min="147" max="150" width="9.453125" style="820" bestFit="1" customWidth="1"/>
    <col min="151" max="151" width="9.453125" style="820"/>
    <col min="152" max="155" width="9.453125" style="820" bestFit="1" customWidth="1"/>
    <col min="156" max="156" width="9.453125" style="820"/>
    <col min="157" max="160" width="9.453125" style="820" bestFit="1" customWidth="1"/>
    <col min="161" max="161" width="9.453125" style="820"/>
    <col min="162" max="165" width="9.453125" style="820" bestFit="1" customWidth="1"/>
    <col min="166" max="166" width="9.453125" style="820"/>
    <col min="167" max="170" width="9.453125" style="820" bestFit="1" customWidth="1"/>
    <col min="171" max="171" width="9.453125" style="820"/>
    <col min="172" max="175" width="9.453125" style="820" bestFit="1" customWidth="1"/>
    <col min="176" max="176" width="9.453125" style="820"/>
    <col min="177" max="180" width="9.453125" style="820" bestFit="1" customWidth="1"/>
    <col min="181" max="181" width="9.453125" style="820"/>
    <col min="182" max="185" width="9.453125" style="820" bestFit="1" customWidth="1"/>
    <col min="186" max="16384" width="9.453125" style="820"/>
  </cols>
  <sheetData>
    <row r="1" spans="1:102" ht="24.65" customHeight="1" x14ac:dyDescent="0.25">
      <c r="A1" s="2423" t="s">
        <v>695</v>
      </c>
      <c r="B1" s="2423"/>
      <c r="C1" s="2423"/>
      <c r="D1" s="2423"/>
      <c r="E1" s="2423"/>
      <c r="F1" s="2423"/>
      <c r="G1" s="2423"/>
      <c r="H1" s="2423"/>
      <c r="I1" s="2423"/>
      <c r="J1" s="2423"/>
      <c r="K1" s="2423"/>
      <c r="L1" s="2423"/>
      <c r="M1" s="2423"/>
      <c r="N1" s="2423"/>
      <c r="O1" s="2423"/>
      <c r="P1" s="2423"/>
      <c r="Q1" s="2423"/>
      <c r="R1" s="2423"/>
      <c r="S1" s="2423"/>
      <c r="T1" s="2423"/>
      <c r="U1" s="2423"/>
      <c r="V1" s="2423"/>
      <c r="W1" s="2423"/>
      <c r="X1" s="2423"/>
      <c r="Y1" s="2423"/>
      <c r="Z1" s="2423"/>
      <c r="AA1" s="2423"/>
      <c r="AB1" s="2423"/>
      <c r="AC1" s="2423"/>
    </row>
    <row r="2" spans="1:102" ht="27" customHeight="1" x14ac:dyDescent="0.25">
      <c r="A2" s="828"/>
      <c r="B2" s="829"/>
      <c r="C2" s="828"/>
      <c r="D2" s="828"/>
      <c r="E2" s="830"/>
      <c r="F2" s="2424" t="s">
        <v>693</v>
      </c>
      <c r="G2" s="2424"/>
      <c r="H2" s="2424"/>
      <c r="I2" s="831"/>
      <c r="J2" s="832"/>
      <c r="K2" s="832"/>
      <c r="L2" s="828"/>
      <c r="M2" s="828"/>
      <c r="N2" s="833" t="s">
        <v>1406</v>
      </c>
      <c r="O2" s="834"/>
      <c r="P2" s="835"/>
      <c r="Q2" s="836"/>
      <c r="R2" s="836"/>
      <c r="S2" s="837"/>
      <c r="T2" s="837"/>
      <c r="U2" s="837"/>
      <c r="V2" s="130"/>
      <c r="W2" s="838"/>
      <c r="X2" s="839"/>
      <c r="Y2" s="837"/>
      <c r="Z2" s="837"/>
      <c r="AA2" s="129"/>
      <c r="AB2" s="837"/>
      <c r="AC2" s="837"/>
      <c r="AD2" s="837"/>
      <c r="AE2" s="837"/>
      <c r="AF2" s="828"/>
      <c r="AG2" s="837"/>
      <c r="AH2" s="837"/>
      <c r="AI2" s="837"/>
      <c r="AJ2" s="837"/>
      <c r="AK2" s="837"/>
      <c r="AL2" s="837"/>
      <c r="AM2" s="837"/>
      <c r="AN2" s="837"/>
      <c r="AO2" s="837"/>
      <c r="AP2" s="837"/>
      <c r="AQ2" s="837"/>
      <c r="AR2" s="837"/>
      <c r="AS2" s="837"/>
      <c r="AT2" s="837"/>
      <c r="AU2" s="837"/>
      <c r="AV2" s="837"/>
      <c r="AW2" s="837"/>
      <c r="AX2" s="837"/>
      <c r="AY2" s="837"/>
      <c r="BI2" s="837"/>
      <c r="BJ2" s="837"/>
      <c r="BK2" s="2425" t="s">
        <v>694</v>
      </c>
      <c r="BL2" s="2425"/>
      <c r="BM2" s="840"/>
      <c r="BN2" s="840"/>
      <c r="BO2" s="837"/>
      <c r="BP2" s="837"/>
      <c r="BQ2" s="837"/>
      <c r="BR2" s="828"/>
      <c r="BS2" s="828"/>
      <c r="BT2" s="828"/>
      <c r="BU2" s="828"/>
      <c r="BV2" s="837"/>
      <c r="BW2" s="837"/>
      <c r="BX2" s="828"/>
      <c r="BY2" s="828"/>
      <c r="BZ2" s="828"/>
      <c r="CA2" s="828"/>
      <c r="CB2" s="828"/>
      <c r="CC2" s="828"/>
      <c r="CD2" s="828"/>
      <c r="CE2" s="829"/>
      <c r="CF2" s="828"/>
      <c r="CG2" s="828"/>
      <c r="CH2" s="830"/>
      <c r="CI2" s="2424" t="s">
        <v>693</v>
      </c>
      <c r="CJ2" s="2424"/>
      <c r="CK2" s="2424"/>
      <c r="CL2" s="831"/>
      <c r="CM2" s="832"/>
      <c r="CN2" s="832"/>
      <c r="CO2" s="828"/>
      <c r="CP2" s="828"/>
      <c r="CQ2" s="841" t="s">
        <v>692</v>
      </c>
      <c r="CR2" s="836"/>
      <c r="CS2" s="836"/>
      <c r="CT2" s="837"/>
      <c r="CU2" s="837"/>
      <c r="CV2" s="837"/>
      <c r="CW2" s="839"/>
    </row>
    <row r="3" spans="1:102" ht="20.9" customHeight="1" x14ac:dyDescent="0.25">
      <c r="A3" s="2426" t="s">
        <v>397</v>
      </c>
      <c r="B3" s="2426"/>
      <c r="C3" s="2426"/>
      <c r="D3" s="2426"/>
      <c r="E3" s="2426"/>
      <c r="F3" s="2426"/>
      <c r="G3" s="2426"/>
      <c r="H3" s="2426"/>
      <c r="I3" s="2426" t="s">
        <v>396</v>
      </c>
      <c r="J3" s="2426"/>
      <c r="K3" s="2426"/>
      <c r="L3" s="2426"/>
      <c r="M3" s="2283" t="s">
        <v>691</v>
      </c>
      <c r="N3" s="2283"/>
      <c r="O3" s="2427" t="s">
        <v>404</v>
      </c>
      <c r="P3" s="2426" t="s">
        <v>403</v>
      </c>
      <c r="Q3" s="2426"/>
      <c r="R3" s="2426"/>
      <c r="S3" s="2426"/>
      <c r="T3" s="2426"/>
      <c r="U3" s="2426"/>
      <c r="V3" s="2426" t="s">
        <v>529</v>
      </c>
      <c r="W3" s="2426"/>
      <c r="X3" s="2426"/>
      <c r="Y3" s="2426"/>
      <c r="Z3" s="842"/>
      <c r="AA3" s="113"/>
      <c r="AB3" s="2283" t="s">
        <v>402</v>
      </c>
      <c r="AC3" s="2283" t="s">
        <v>402</v>
      </c>
      <c r="AD3" s="837"/>
      <c r="AE3" s="837"/>
      <c r="AF3" s="837"/>
      <c r="AG3" s="2385" t="s">
        <v>527</v>
      </c>
      <c r="AH3" s="2385"/>
      <c r="AI3" s="2385"/>
      <c r="AJ3" s="2385"/>
      <c r="AK3" s="2385" t="s">
        <v>516</v>
      </c>
      <c r="AL3" s="2385"/>
      <c r="AM3" s="2385"/>
      <c r="AN3" s="2385"/>
      <c r="AO3" s="845"/>
      <c r="AP3" s="837" t="s">
        <v>526</v>
      </c>
      <c r="AQ3" s="837"/>
      <c r="AR3" s="837"/>
      <c r="AS3" s="837"/>
      <c r="AT3" s="837"/>
      <c r="AU3" s="837"/>
      <c r="AV3" s="837"/>
      <c r="AW3" s="837"/>
      <c r="AX3" s="837"/>
      <c r="AY3" s="837"/>
      <c r="BI3" s="837"/>
      <c r="BJ3" s="837"/>
      <c r="BK3" s="839">
        <v>0.9</v>
      </c>
      <c r="BL3" s="839">
        <v>0.9</v>
      </c>
      <c r="BM3" s="2313" t="s">
        <v>398</v>
      </c>
      <c r="BN3" s="2314"/>
      <c r="BO3" s="2315" t="s">
        <v>399</v>
      </c>
      <c r="BP3" s="2274"/>
      <c r="BQ3" s="846" t="s">
        <v>398</v>
      </c>
      <c r="BR3" s="828"/>
      <c r="BS3" s="828"/>
      <c r="BT3" s="828"/>
      <c r="BU3" s="828"/>
      <c r="BV3" s="837"/>
      <c r="BW3" s="837"/>
      <c r="BX3" s="828"/>
      <c r="BY3" s="828"/>
      <c r="BZ3" s="828"/>
      <c r="CA3" s="828"/>
      <c r="CB3" s="828"/>
      <c r="CC3" s="828"/>
      <c r="CD3" s="2305" t="s">
        <v>397</v>
      </c>
      <c r="CE3" s="2306"/>
      <c r="CF3" s="2306"/>
      <c r="CG3" s="2306"/>
      <c r="CH3" s="2306"/>
      <c r="CI3" s="2306"/>
      <c r="CJ3" s="2306"/>
      <c r="CK3" s="2307"/>
      <c r="CL3" s="2305" t="s">
        <v>396</v>
      </c>
      <c r="CM3" s="2306"/>
      <c r="CN3" s="2306"/>
      <c r="CO3" s="2307"/>
      <c r="CP3" s="2278" t="s">
        <v>691</v>
      </c>
      <c r="CQ3" s="2280"/>
      <c r="CR3" s="2305" t="s">
        <v>403</v>
      </c>
      <c r="CS3" s="2306"/>
      <c r="CT3" s="2306"/>
      <c r="CU3" s="2278" t="s">
        <v>690</v>
      </c>
      <c r="CV3" s="2279"/>
      <c r="CW3" s="2308" t="s">
        <v>391</v>
      </c>
      <c r="CX3" s="2310" t="s">
        <v>393</v>
      </c>
    </row>
    <row r="4" spans="1:102" ht="45" customHeight="1" x14ac:dyDescent="0.35">
      <c r="A4" s="843" t="s">
        <v>376</v>
      </c>
      <c r="B4" s="852" t="s">
        <v>375</v>
      </c>
      <c r="C4" s="843" t="s">
        <v>374</v>
      </c>
      <c r="D4" s="843" t="s">
        <v>373</v>
      </c>
      <c r="E4" s="853" t="s">
        <v>385</v>
      </c>
      <c r="F4" s="853" t="s">
        <v>384</v>
      </c>
      <c r="G4" s="853" t="s">
        <v>383</v>
      </c>
      <c r="H4" s="854" t="s">
        <v>382</v>
      </c>
      <c r="I4" s="855" t="s">
        <v>5</v>
      </c>
      <c r="J4" s="843" t="s">
        <v>689</v>
      </c>
      <c r="K4" s="843" t="s">
        <v>689</v>
      </c>
      <c r="L4" s="853" t="s">
        <v>381</v>
      </c>
      <c r="M4" s="843" t="s">
        <v>372</v>
      </c>
      <c r="N4" s="856" t="s">
        <v>380</v>
      </c>
      <c r="O4" s="2428"/>
      <c r="P4" s="843" t="s">
        <v>392</v>
      </c>
      <c r="Q4" s="843" t="str">
        <f>J4</f>
        <v>Reading at 00.00hr 
01.11.2021</v>
      </c>
      <c r="R4" s="843" t="str">
        <f>K4</f>
        <v>Reading at 00.00hr 
01.11.2021</v>
      </c>
      <c r="S4" s="843" t="s">
        <v>379</v>
      </c>
      <c r="T4" s="843" t="s">
        <v>378</v>
      </c>
      <c r="U4" s="843" t="s">
        <v>377</v>
      </c>
      <c r="V4" s="116" t="s">
        <v>523</v>
      </c>
      <c r="W4" s="856" t="s">
        <v>522</v>
      </c>
      <c r="X4" s="851" t="s">
        <v>391</v>
      </c>
      <c r="Y4" s="843" t="s">
        <v>390</v>
      </c>
      <c r="Z4" s="843" t="s">
        <v>688</v>
      </c>
      <c r="AA4" s="113" t="s">
        <v>520</v>
      </c>
      <c r="AB4" s="2283"/>
      <c r="AC4" s="2283"/>
      <c r="AD4" s="837"/>
      <c r="AE4" s="837"/>
      <c r="AF4" s="857" t="s">
        <v>375</v>
      </c>
      <c r="AG4" s="857" t="str">
        <f>AK4</f>
        <v>PF</v>
      </c>
      <c r="AH4" s="857" t="str">
        <f>AL4</f>
        <v>CF</v>
      </c>
      <c r="AI4" s="857" t="s">
        <v>518</v>
      </c>
      <c r="AJ4" s="857" t="str">
        <f>AN4</f>
        <v>PFC Surcharge</v>
      </c>
      <c r="AK4" s="857" t="s">
        <v>519</v>
      </c>
      <c r="AL4" s="857" t="s">
        <v>3</v>
      </c>
      <c r="AM4" s="857" t="s">
        <v>518</v>
      </c>
      <c r="AN4" s="857" t="s">
        <v>517</v>
      </c>
      <c r="AO4" s="2418" t="s">
        <v>10</v>
      </c>
      <c r="AP4" s="2419"/>
      <c r="AQ4" s="837"/>
      <c r="AR4" s="837"/>
      <c r="AS4" s="837" t="s">
        <v>519</v>
      </c>
      <c r="AT4" s="2420" t="s">
        <v>687</v>
      </c>
      <c r="AU4" s="2420"/>
      <c r="AV4" s="2420"/>
      <c r="AW4" s="837"/>
      <c r="AX4" s="837"/>
      <c r="AY4" s="837"/>
      <c r="AZ4" s="837"/>
      <c r="BA4" s="837"/>
      <c r="BB4" s="837"/>
      <c r="BC4" s="837"/>
      <c r="BD4" s="837"/>
      <c r="BE4" s="837"/>
      <c r="BF4" s="837"/>
      <c r="BG4" s="837"/>
      <c r="BH4" s="837"/>
      <c r="BI4" s="837"/>
      <c r="BJ4" s="837"/>
      <c r="BK4" s="839">
        <v>0.9</v>
      </c>
      <c r="BL4" s="839">
        <v>0.9</v>
      </c>
      <c r="BM4" s="860" t="s">
        <v>372</v>
      </c>
      <c r="BN4" s="860" t="s">
        <v>380</v>
      </c>
      <c r="BO4" s="861" t="s">
        <v>372</v>
      </c>
      <c r="BP4" s="861" t="s">
        <v>380</v>
      </c>
      <c r="BQ4" s="861" t="s">
        <v>388</v>
      </c>
      <c r="BR4" s="861" t="s">
        <v>388</v>
      </c>
      <c r="BS4" s="828"/>
      <c r="BT4" s="828"/>
      <c r="BU4" s="828"/>
      <c r="BV4" s="837"/>
      <c r="BW4" s="837"/>
      <c r="BX4" s="828"/>
      <c r="BY4" s="828"/>
      <c r="BZ4" s="828"/>
      <c r="CA4" s="828"/>
      <c r="CB4" s="828"/>
      <c r="CC4" s="828"/>
      <c r="CD4" s="843" t="s">
        <v>376</v>
      </c>
      <c r="CE4" s="852" t="s">
        <v>375</v>
      </c>
      <c r="CF4" s="843" t="s">
        <v>374</v>
      </c>
      <c r="CG4" s="843" t="s">
        <v>373</v>
      </c>
      <c r="CH4" s="853" t="s">
        <v>385</v>
      </c>
      <c r="CI4" s="853" t="s">
        <v>384</v>
      </c>
      <c r="CJ4" s="853" t="s">
        <v>383</v>
      </c>
      <c r="CK4" s="854" t="s">
        <v>382</v>
      </c>
      <c r="CL4" s="855" t="s">
        <v>5</v>
      </c>
      <c r="CM4" s="862" t="s">
        <v>686</v>
      </c>
      <c r="CN4" s="862" t="s">
        <v>685</v>
      </c>
      <c r="CO4" s="853" t="s">
        <v>381</v>
      </c>
      <c r="CP4" s="843" t="s">
        <v>372</v>
      </c>
      <c r="CQ4" s="843" t="s">
        <v>380</v>
      </c>
      <c r="CR4" s="862" t="str">
        <f>CM4</f>
        <v>Reading at 00.00hr 
01.01.18</v>
      </c>
      <c r="CS4" s="862" t="str">
        <f>CN4</f>
        <v>Reading at 00.00hr 
01.02.18</v>
      </c>
      <c r="CT4" s="843" t="s">
        <v>379</v>
      </c>
      <c r="CU4" s="843" t="s">
        <v>378</v>
      </c>
      <c r="CV4" s="849" t="s">
        <v>377</v>
      </c>
      <c r="CW4" s="2309"/>
      <c r="CX4" s="2310"/>
    </row>
    <row r="5" spans="1:102" ht="14" x14ac:dyDescent="0.35">
      <c r="A5" s="843">
        <v>1</v>
      </c>
      <c r="B5" s="852">
        <v>2</v>
      </c>
      <c r="C5" s="843">
        <v>3</v>
      </c>
      <c r="D5" s="843">
        <v>4</v>
      </c>
      <c r="E5" s="853">
        <v>5</v>
      </c>
      <c r="F5" s="853">
        <v>6</v>
      </c>
      <c r="G5" s="853">
        <v>7</v>
      </c>
      <c r="H5" s="854">
        <v>8</v>
      </c>
      <c r="I5" s="855">
        <v>10</v>
      </c>
      <c r="J5" s="843">
        <v>12</v>
      </c>
      <c r="K5" s="843">
        <v>12</v>
      </c>
      <c r="L5" s="843">
        <v>13</v>
      </c>
      <c r="M5" s="843">
        <v>14</v>
      </c>
      <c r="N5" s="856">
        <v>15</v>
      </c>
      <c r="O5" s="863">
        <v>16</v>
      </c>
      <c r="P5" s="843">
        <v>17</v>
      </c>
      <c r="Q5" s="843">
        <v>19</v>
      </c>
      <c r="R5" s="843">
        <v>19</v>
      </c>
      <c r="S5" s="843">
        <v>20</v>
      </c>
      <c r="T5" s="843">
        <v>21</v>
      </c>
      <c r="U5" s="843">
        <v>22</v>
      </c>
      <c r="V5" s="843">
        <v>23</v>
      </c>
      <c r="W5" s="863">
        <v>24</v>
      </c>
      <c r="X5" s="843">
        <v>25</v>
      </c>
      <c r="Y5" s="843">
        <v>26</v>
      </c>
      <c r="Z5" s="843">
        <v>27</v>
      </c>
      <c r="AA5" s="843">
        <v>28</v>
      </c>
      <c r="AB5" s="843">
        <v>29</v>
      </c>
      <c r="AC5" s="843">
        <v>30</v>
      </c>
      <c r="AD5" s="837"/>
      <c r="AE5" s="837"/>
      <c r="AF5" s="857">
        <v>2</v>
      </c>
      <c r="AG5" s="857"/>
      <c r="AH5" s="857"/>
      <c r="AI5" s="857"/>
      <c r="AJ5" s="857"/>
      <c r="AK5" s="857"/>
      <c r="AL5" s="857"/>
      <c r="AM5" s="858"/>
      <c r="AN5" s="857" t="s">
        <v>684</v>
      </c>
      <c r="AO5" s="857" t="s">
        <v>545</v>
      </c>
      <c r="AP5" s="857" t="s">
        <v>683</v>
      </c>
      <c r="AQ5" s="837"/>
      <c r="AR5" s="837"/>
      <c r="AS5" s="837"/>
      <c r="AT5" s="837"/>
      <c r="AU5" s="837"/>
      <c r="AV5" s="837"/>
      <c r="AW5" s="837"/>
      <c r="AX5" s="837"/>
      <c r="AY5" s="837"/>
      <c r="AZ5" s="2421" t="s">
        <v>682</v>
      </c>
      <c r="BA5" s="2422"/>
      <c r="BB5" s="865"/>
      <c r="BC5" s="865"/>
      <c r="BD5" s="865"/>
      <c r="BE5" s="865"/>
      <c r="BF5" s="865"/>
      <c r="BG5" s="865" t="str">
        <f>N2</f>
        <v>Month December-2022</v>
      </c>
      <c r="BH5" s="866"/>
      <c r="BI5" s="843"/>
      <c r="BJ5" s="837"/>
      <c r="BK5" s="839">
        <f>BK4</f>
        <v>0.9</v>
      </c>
      <c r="BL5" s="839">
        <f>BL4</f>
        <v>0.9</v>
      </c>
      <c r="BM5" s="860"/>
      <c r="BN5" s="860"/>
      <c r="BO5" s="861"/>
      <c r="BP5" s="843"/>
      <c r="BQ5" s="843"/>
      <c r="BR5" s="861"/>
      <c r="BS5" s="828"/>
      <c r="BT5" s="828"/>
      <c r="BU5" s="828"/>
      <c r="BV5" s="837"/>
      <c r="BW5" s="837"/>
      <c r="BX5" s="828"/>
      <c r="BY5" s="828"/>
      <c r="BZ5" s="828"/>
      <c r="CA5" s="828"/>
      <c r="CB5" s="828"/>
      <c r="CC5" s="828"/>
      <c r="CD5" s="843">
        <v>1</v>
      </c>
      <c r="CE5" s="843">
        <v>2</v>
      </c>
      <c r="CF5" s="843">
        <v>3</v>
      </c>
      <c r="CG5" s="843">
        <v>4</v>
      </c>
      <c r="CH5" s="843">
        <v>5</v>
      </c>
      <c r="CI5" s="843">
        <v>6</v>
      </c>
      <c r="CJ5" s="843">
        <v>7</v>
      </c>
      <c r="CK5" s="843">
        <v>8</v>
      </c>
      <c r="CL5" s="843">
        <v>9</v>
      </c>
      <c r="CM5" s="843">
        <v>10</v>
      </c>
      <c r="CN5" s="843">
        <v>11</v>
      </c>
      <c r="CO5" s="843">
        <v>12</v>
      </c>
      <c r="CP5" s="843">
        <v>13</v>
      </c>
      <c r="CQ5" s="843">
        <v>14</v>
      </c>
      <c r="CR5" s="843">
        <v>15</v>
      </c>
      <c r="CS5" s="843">
        <v>16</v>
      </c>
      <c r="CT5" s="843">
        <v>17</v>
      </c>
      <c r="CU5" s="843">
        <v>18</v>
      </c>
      <c r="CV5" s="843">
        <v>19</v>
      </c>
      <c r="CW5" s="843">
        <v>20</v>
      </c>
      <c r="CX5" s="843">
        <v>21</v>
      </c>
    </row>
    <row r="6" spans="1:102" ht="24" customHeight="1" thickBot="1" x14ac:dyDescent="0.3">
      <c r="A6" s="2390" t="s">
        <v>681</v>
      </c>
      <c r="B6" s="2390"/>
      <c r="C6" s="2390"/>
      <c r="D6" s="2390"/>
      <c r="E6" s="2390"/>
      <c r="F6" s="2390"/>
      <c r="G6" s="2390"/>
      <c r="H6" s="2390"/>
      <c r="I6" s="2390"/>
      <c r="J6" s="867"/>
      <c r="K6" s="867"/>
      <c r="L6" s="861"/>
      <c r="M6" s="861"/>
      <c r="N6" s="868"/>
      <c r="O6" s="869"/>
      <c r="P6" s="861"/>
      <c r="Q6" s="867"/>
      <c r="R6" s="867"/>
      <c r="S6" s="861"/>
      <c r="T6" s="861"/>
      <c r="U6" s="861"/>
      <c r="V6" s="122"/>
      <c r="W6" s="868"/>
      <c r="X6" s="870"/>
      <c r="Y6" s="871"/>
      <c r="Z6" s="861"/>
      <c r="AA6" s="121"/>
      <c r="AB6" s="861"/>
      <c r="AC6" s="861"/>
      <c r="AD6" s="861">
        <v>0.89</v>
      </c>
      <c r="AE6" s="843">
        <v>5.0000000000000001E-3</v>
      </c>
      <c r="AF6" s="872"/>
      <c r="AG6" s="872"/>
      <c r="AH6" s="872"/>
      <c r="AI6" s="872"/>
      <c r="AJ6" s="872"/>
      <c r="AK6" s="872"/>
      <c r="AL6" s="872"/>
      <c r="AM6" s="873"/>
      <c r="AN6" s="874"/>
      <c r="AO6" s="874"/>
      <c r="AP6" s="874"/>
      <c r="AQ6" s="828"/>
      <c r="AR6" s="828"/>
      <c r="AS6" s="828"/>
      <c r="AT6" s="828"/>
      <c r="AU6" s="828"/>
      <c r="AV6" s="828"/>
      <c r="AW6" s="828"/>
      <c r="AX6" s="828"/>
      <c r="AY6" s="828"/>
      <c r="AZ6" s="875" t="s">
        <v>608</v>
      </c>
      <c r="BA6" s="875" t="s">
        <v>607</v>
      </c>
      <c r="BB6" s="875" t="s">
        <v>606</v>
      </c>
      <c r="BC6" s="875" t="s">
        <v>605</v>
      </c>
      <c r="BD6" s="875" t="s">
        <v>604</v>
      </c>
      <c r="BE6" s="875" t="s">
        <v>519</v>
      </c>
      <c r="BF6" s="875" t="s">
        <v>603</v>
      </c>
      <c r="BG6" s="876" t="s">
        <v>602</v>
      </c>
      <c r="BH6" s="875" t="s">
        <v>601</v>
      </c>
      <c r="BI6" s="861" t="s">
        <v>393</v>
      </c>
      <c r="BJ6" s="828"/>
      <c r="BK6" s="877">
        <f>BK5</f>
        <v>0.9</v>
      </c>
      <c r="BL6" s="839">
        <f t="shared" ref="BL6:BL69" si="0">BL5</f>
        <v>0.9</v>
      </c>
      <c r="BM6" s="860"/>
      <c r="BN6" s="860"/>
      <c r="BO6" s="861"/>
      <c r="BP6" s="843"/>
      <c r="BQ6" s="843"/>
      <c r="BR6" s="861"/>
      <c r="BS6" s="828"/>
      <c r="BT6" s="828"/>
      <c r="BU6" s="828"/>
      <c r="BV6" s="837"/>
      <c r="BW6" s="837"/>
      <c r="BX6" s="828"/>
      <c r="BY6" s="828"/>
      <c r="BZ6" s="828"/>
      <c r="CA6" s="828"/>
      <c r="CB6" s="828"/>
      <c r="CC6" s="828"/>
      <c r="CD6" s="2278"/>
      <c r="CE6" s="2279"/>
      <c r="CF6" s="2279"/>
      <c r="CG6" s="2279"/>
      <c r="CH6" s="2279"/>
      <c r="CI6" s="2279"/>
      <c r="CJ6" s="2279"/>
      <c r="CK6" s="2280"/>
      <c r="CL6" s="855"/>
      <c r="CM6" s="867"/>
      <c r="CN6" s="867"/>
      <c r="CO6" s="861"/>
      <c r="CP6" s="861"/>
      <c r="CQ6" s="861"/>
      <c r="CR6" s="867"/>
      <c r="CS6" s="867"/>
      <c r="CT6" s="861"/>
      <c r="CU6" s="861"/>
      <c r="CV6" s="846"/>
      <c r="CW6" s="878"/>
      <c r="CX6" s="879"/>
    </row>
    <row r="7" spans="1:102" ht="14.15" customHeight="1" x14ac:dyDescent="0.25">
      <c r="A7" s="2283"/>
      <c r="B7" s="2416" t="s">
        <v>678</v>
      </c>
      <c r="C7" s="2359" t="s">
        <v>677</v>
      </c>
      <c r="D7" s="881">
        <v>132</v>
      </c>
      <c r="E7" s="882" t="s">
        <v>326</v>
      </c>
      <c r="F7" s="2417">
        <v>8993531</v>
      </c>
      <c r="G7" s="2414" t="s">
        <v>560</v>
      </c>
      <c r="H7" s="2415" t="s">
        <v>324</v>
      </c>
      <c r="I7" s="882">
        <v>960000</v>
      </c>
      <c r="J7" s="884">
        <v>4362.4470000000001</v>
      </c>
      <c r="K7" s="884">
        <v>4362.4470000000001</v>
      </c>
      <c r="L7" s="885">
        <f t="shared" ref="L7:L18" si="1">K7-J7</f>
        <v>0</v>
      </c>
      <c r="M7" s="886"/>
      <c r="N7" s="887">
        <f>L7*I7</f>
        <v>0</v>
      </c>
      <c r="O7" s="888"/>
      <c r="P7" s="885"/>
      <c r="Q7" s="884">
        <v>2913.1889999999999</v>
      </c>
      <c r="R7" s="884">
        <v>2913.1889999999999</v>
      </c>
      <c r="S7" s="885">
        <f t="shared" ref="S7:S18" si="2">R7-Q7</f>
        <v>0</v>
      </c>
      <c r="T7" s="861"/>
      <c r="U7" s="861">
        <f>S7*I7</f>
        <v>0</v>
      </c>
      <c r="V7" s="122">
        <f>N7-M8</f>
        <v>0</v>
      </c>
      <c r="W7" s="868">
        <f>U7-T8</f>
        <v>0</v>
      </c>
      <c r="X7" s="870">
        <f>ROUND(IF(W7&lt;0.00001,"0",COS(ATAN(W7/V7))),2)</f>
        <v>0</v>
      </c>
      <c r="Y7" s="871">
        <f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889">
        <f>Y7*V7</f>
        <v>0</v>
      </c>
      <c r="AA7" s="121">
        <f>Z7*6.3882</f>
        <v>0</v>
      </c>
      <c r="AB7" s="890"/>
      <c r="AC7" s="861"/>
      <c r="AD7" s="861">
        <v>0.88</v>
      </c>
      <c r="AE7" s="843">
        <v>0.01</v>
      </c>
      <c r="AF7" s="2401" t="s">
        <v>678</v>
      </c>
      <c r="AG7" s="878">
        <f>X7</f>
        <v>0</v>
      </c>
      <c r="AH7" s="891">
        <f>Y7</f>
        <v>0</v>
      </c>
      <c r="AI7" s="874" t="e">
        <f>#REF!</f>
        <v>#REF!</v>
      </c>
      <c r="AJ7" s="874">
        <f>AA7</f>
        <v>0</v>
      </c>
      <c r="AK7" s="892">
        <v>0.8</v>
      </c>
      <c r="AL7" s="893">
        <v>0.09</v>
      </c>
      <c r="AM7" s="894">
        <v>3715286</v>
      </c>
      <c r="AN7" s="889">
        <f>AM7*5.878</f>
        <v>21838451.107999999</v>
      </c>
      <c r="AO7" s="889" t="e">
        <f>AM7-AI7</f>
        <v>#REF!</v>
      </c>
      <c r="AP7" s="889">
        <f>AN7-AJ7</f>
        <v>21838451.107999999</v>
      </c>
      <c r="AQ7" s="895">
        <v>0.89</v>
      </c>
      <c r="AR7" s="896">
        <v>5.0000000000000001E-3</v>
      </c>
      <c r="AS7" s="897" t="e">
        <f>COS(ATAN(#REF!/#REF!))</f>
        <v>#REF!</v>
      </c>
      <c r="AT7" s="898"/>
      <c r="AU7" s="898"/>
      <c r="AV7" s="899"/>
      <c r="AW7" s="898">
        <v>17610187.050000001</v>
      </c>
      <c r="AX7" s="899">
        <f>AA7-AW7</f>
        <v>-17610187.050000001</v>
      </c>
      <c r="AY7" s="899"/>
      <c r="AZ7" s="900" t="s">
        <v>672</v>
      </c>
      <c r="BA7" s="901" t="s">
        <v>680</v>
      </c>
      <c r="BB7" s="902" t="s">
        <v>679</v>
      </c>
      <c r="BC7" s="902">
        <f>V24</f>
        <v>0</v>
      </c>
      <c r="BD7" s="902">
        <f>U24</f>
        <v>0</v>
      </c>
      <c r="BE7" s="903" t="str">
        <f>X24</f>
        <v>0</v>
      </c>
      <c r="BF7" s="904"/>
      <c r="BG7" s="905"/>
      <c r="BH7" s="902"/>
      <c r="BI7" s="906"/>
      <c r="BJ7" s="899"/>
      <c r="BK7" s="839">
        <f>BK6</f>
        <v>0.9</v>
      </c>
      <c r="BL7" s="839">
        <f>BL6</f>
        <v>0.9</v>
      </c>
      <c r="BM7" s="860">
        <f>M7</f>
        <v>0</v>
      </c>
      <c r="BN7" s="860">
        <f>N7</f>
        <v>0</v>
      </c>
      <c r="BO7" s="861">
        <v>0</v>
      </c>
      <c r="BP7" s="843">
        <v>31939200</v>
      </c>
      <c r="BQ7" s="843">
        <f>BM7-BO7</f>
        <v>0</v>
      </c>
      <c r="BR7" s="890">
        <f>BN7-BP7</f>
        <v>-31939200</v>
      </c>
      <c r="BS7" s="828"/>
      <c r="BT7" s="828"/>
      <c r="BU7" s="828"/>
      <c r="BV7" s="837"/>
      <c r="BW7" s="837"/>
      <c r="BX7" s="828"/>
      <c r="BY7" s="828"/>
      <c r="BZ7" s="828"/>
      <c r="CA7" s="828"/>
      <c r="CB7" s="828"/>
      <c r="CC7" s="828"/>
      <c r="CD7" s="907">
        <v>1</v>
      </c>
      <c r="CE7" s="2344" t="s">
        <v>678</v>
      </c>
      <c r="CF7" s="2356" t="s">
        <v>677</v>
      </c>
      <c r="CG7" s="843">
        <v>132</v>
      </c>
      <c r="CH7" s="909" t="s">
        <v>326</v>
      </c>
      <c r="CI7" s="2311">
        <v>8993531</v>
      </c>
      <c r="CJ7" s="2358" t="s">
        <v>560</v>
      </c>
      <c r="CK7" s="2397" t="s">
        <v>324</v>
      </c>
      <c r="CL7" s="855">
        <v>960000</v>
      </c>
      <c r="CM7" s="867">
        <f>J7</f>
        <v>4362.4470000000001</v>
      </c>
      <c r="CN7" s="867">
        <f>K7</f>
        <v>4362.4470000000001</v>
      </c>
      <c r="CO7" s="913">
        <f t="shared" ref="CO7:CO18" si="3">CN7-CM7</f>
        <v>0</v>
      </c>
      <c r="CP7" s="879"/>
      <c r="CQ7" s="861">
        <f>CO7*CL7</f>
        <v>0</v>
      </c>
      <c r="CR7" s="867">
        <v>2020.336</v>
      </c>
      <c r="CS7" s="867">
        <v>2046.546</v>
      </c>
      <c r="CT7" s="861">
        <f>CS7-CR7</f>
        <v>26.210000000000036</v>
      </c>
      <c r="CU7" s="861"/>
      <c r="CV7" s="846">
        <f>CT7*CL7</f>
        <v>25161600.000000034</v>
      </c>
      <c r="CW7" s="878" t="e">
        <f t="shared" ref="CW7:CW18" si="4">IF(CT7&lt;0.00001,"0",COS(ATAN(CT7/CO7)))</f>
        <v>#DIV/0!</v>
      </c>
      <c r="CX7" s="879"/>
    </row>
    <row r="8" spans="1:102" ht="14.5" x14ac:dyDescent="0.35">
      <c r="A8" s="2283"/>
      <c r="B8" s="2416"/>
      <c r="C8" s="2359"/>
      <c r="D8" s="881">
        <v>132</v>
      </c>
      <c r="E8" s="882" t="s">
        <v>339</v>
      </c>
      <c r="F8" s="2417"/>
      <c r="G8" s="2414"/>
      <c r="H8" s="2415"/>
      <c r="I8" s="882">
        <v>960000</v>
      </c>
      <c r="J8" s="884">
        <v>1241.7249999999999</v>
      </c>
      <c r="K8" s="884">
        <v>1241.7249999999999</v>
      </c>
      <c r="L8" s="885">
        <f t="shared" si="1"/>
        <v>0</v>
      </c>
      <c r="M8" s="885">
        <f>L8*I8</f>
        <v>0</v>
      </c>
      <c r="N8" s="887"/>
      <c r="O8" s="888"/>
      <c r="P8" s="885"/>
      <c r="Q8" s="884">
        <v>1135.9459999999999</v>
      </c>
      <c r="R8" s="884">
        <v>1135.9459999999999</v>
      </c>
      <c r="S8" s="885">
        <f t="shared" si="2"/>
        <v>0</v>
      </c>
      <c r="T8" s="861">
        <f>S8*I8</f>
        <v>0</v>
      </c>
      <c r="U8" s="861"/>
      <c r="V8" s="122"/>
      <c r="W8" s="868"/>
      <c r="X8" s="870"/>
      <c r="Y8" s="870"/>
      <c r="Z8" s="889">
        <f t="shared" ref="Z8:Z74" si="5">Y8*V8</f>
        <v>0</v>
      </c>
      <c r="AA8" s="121">
        <f t="shared" ref="AA8:AA74" si="6">Z8*6.3882</f>
        <v>0</v>
      </c>
      <c r="AB8" s="890"/>
      <c r="AC8" s="861"/>
      <c r="AD8" s="861">
        <v>0.87</v>
      </c>
      <c r="AE8" s="843">
        <v>0.02</v>
      </c>
      <c r="AF8" s="2402"/>
      <c r="AG8" s="872"/>
      <c r="AH8" s="891"/>
      <c r="AI8" s="874"/>
      <c r="AJ8" s="874"/>
      <c r="AK8" s="892"/>
      <c r="AL8" s="874"/>
      <c r="AM8" s="915"/>
      <c r="AN8" s="889"/>
      <c r="AO8" s="889"/>
      <c r="AP8" s="916"/>
      <c r="AQ8" s="917">
        <v>0.88</v>
      </c>
      <c r="AR8" s="918">
        <v>0.01</v>
      </c>
      <c r="AS8" s="897"/>
      <c r="AT8" s="898"/>
      <c r="AU8" s="898"/>
      <c r="AV8" s="899"/>
      <c r="AW8" s="899"/>
      <c r="AX8" s="899"/>
      <c r="AY8" s="899"/>
      <c r="AZ8" s="900" t="s">
        <v>672</v>
      </c>
      <c r="BA8" s="901" t="s">
        <v>676</v>
      </c>
      <c r="BB8" s="902" t="s">
        <v>675</v>
      </c>
      <c r="BC8" s="902">
        <f>V20</f>
        <v>35702400.000000365</v>
      </c>
      <c r="BD8" s="902">
        <f>W20</f>
        <v>13525439.999999834</v>
      </c>
      <c r="BE8" s="919">
        <f>X20</f>
        <v>0.94</v>
      </c>
      <c r="BF8" s="920">
        <f>Y20</f>
        <v>0</v>
      </c>
      <c r="BG8" s="921" t="e">
        <f>#REF!</f>
        <v>#REF!</v>
      </c>
      <c r="BH8" s="922">
        <f>AA20</f>
        <v>0</v>
      </c>
      <c r="BI8" s="906"/>
      <c r="BJ8" s="899"/>
      <c r="BK8" s="877">
        <f>BK7</f>
        <v>0.9</v>
      </c>
      <c r="BL8" s="839">
        <f t="shared" si="0"/>
        <v>0.9</v>
      </c>
      <c r="BM8" s="860">
        <f>M8</f>
        <v>0</v>
      </c>
      <c r="BN8" s="860">
        <f>N8</f>
        <v>0</v>
      </c>
      <c r="BO8" s="861"/>
      <c r="BP8" s="843"/>
      <c r="BQ8" s="843">
        <f t="shared" ref="BQ8:BR72" si="7">BM8-BO8</f>
        <v>0</v>
      </c>
      <c r="BR8" s="890">
        <f t="shared" si="7"/>
        <v>0</v>
      </c>
      <c r="BS8" s="828"/>
      <c r="BT8" s="828"/>
      <c r="BU8" s="828"/>
      <c r="BV8" s="837"/>
      <c r="BW8" s="837"/>
      <c r="BX8" s="828"/>
      <c r="BY8" s="828"/>
      <c r="BZ8" s="828"/>
      <c r="CA8" s="828"/>
      <c r="CB8" s="828"/>
      <c r="CC8" s="828"/>
      <c r="CD8" s="923"/>
      <c r="CE8" s="2345"/>
      <c r="CF8" s="2358"/>
      <c r="CG8" s="843">
        <v>132</v>
      </c>
      <c r="CH8" s="855" t="s">
        <v>339</v>
      </c>
      <c r="CI8" s="2312"/>
      <c r="CJ8" s="2357"/>
      <c r="CK8" s="2398"/>
      <c r="CL8" s="855">
        <v>960000</v>
      </c>
      <c r="CM8" s="867">
        <f>J8</f>
        <v>1241.7249999999999</v>
      </c>
      <c r="CN8" s="867">
        <f>K8</f>
        <v>1241.7249999999999</v>
      </c>
      <c r="CO8" s="861">
        <f t="shared" si="3"/>
        <v>0</v>
      </c>
      <c r="CP8" s="861">
        <f>CO8*CL8</f>
        <v>0</v>
      </c>
      <c r="CQ8" s="861"/>
      <c r="CR8" s="867">
        <v>1108.9580000000001</v>
      </c>
      <c r="CS8" s="867">
        <v>1108.9580000000001</v>
      </c>
      <c r="CT8" s="861">
        <f>CS8-CR8</f>
        <v>0</v>
      </c>
      <c r="CU8" s="861">
        <f>CT8*CL8</f>
        <v>0</v>
      </c>
      <c r="CV8" s="846"/>
      <c r="CW8" s="890" t="str">
        <f t="shared" si="4"/>
        <v>0</v>
      </c>
      <c r="CX8" s="879"/>
    </row>
    <row r="9" spans="1:102" ht="14.15" customHeight="1" x14ac:dyDescent="0.35">
      <c r="A9" s="2283"/>
      <c r="B9" s="2416" t="s">
        <v>674</v>
      </c>
      <c r="C9" s="2359"/>
      <c r="D9" s="881">
        <v>132</v>
      </c>
      <c r="E9" s="882" t="s">
        <v>326</v>
      </c>
      <c r="F9" s="2414" t="s">
        <v>673</v>
      </c>
      <c r="G9" s="882"/>
      <c r="H9" s="2415" t="s">
        <v>324</v>
      </c>
      <c r="I9" s="882">
        <v>960000</v>
      </c>
      <c r="J9" s="884">
        <v>84.397999999999996</v>
      </c>
      <c r="K9" s="884">
        <v>84.397999999999996</v>
      </c>
      <c r="L9" s="885">
        <f t="shared" si="1"/>
        <v>0</v>
      </c>
      <c r="M9" s="886"/>
      <c r="N9" s="887">
        <f>L9*I9</f>
        <v>0</v>
      </c>
      <c r="O9" s="888"/>
      <c r="P9" s="885"/>
      <c r="Q9" s="884">
        <v>50.704999999999998</v>
      </c>
      <c r="R9" s="884">
        <v>50.704999999999998</v>
      </c>
      <c r="S9" s="885">
        <f t="shared" si="2"/>
        <v>0</v>
      </c>
      <c r="T9" s="861"/>
      <c r="U9" s="861">
        <f>S9*I9</f>
        <v>0</v>
      </c>
      <c r="V9" s="122"/>
      <c r="W9" s="868"/>
      <c r="X9" s="870"/>
      <c r="Y9" s="870"/>
      <c r="Z9" s="889">
        <f t="shared" si="5"/>
        <v>0</v>
      </c>
      <c r="AA9" s="121">
        <f t="shared" si="6"/>
        <v>0</v>
      </c>
      <c r="AB9" s="890"/>
      <c r="AC9" s="861"/>
      <c r="AD9" s="861"/>
      <c r="AE9" s="843"/>
      <c r="AF9" s="926"/>
      <c r="AG9" s="872"/>
      <c r="AH9" s="891"/>
      <c r="AI9" s="874"/>
      <c r="AJ9" s="874"/>
      <c r="AK9" s="892"/>
      <c r="AL9" s="874"/>
      <c r="AM9" s="915"/>
      <c r="AN9" s="889"/>
      <c r="AO9" s="889"/>
      <c r="AP9" s="916"/>
      <c r="AQ9" s="917"/>
      <c r="AR9" s="918"/>
      <c r="AS9" s="897"/>
      <c r="AT9" s="898"/>
      <c r="AU9" s="898"/>
      <c r="AV9" s="899"/>
      <c r="AW9" s="899"/>
      <c r="AX9" s="899"/>
      <c r="AY9" s="899"/>
      <c r="AZ9" s="900"/>
      <c r="BC9" s="902"/>
      <c r="BD9" s="902"/>
      <c r="BE9" s="919"/>
      <c r="BF9" s="920"/>
      <c r="BG9" s="921"/>
      <c r="BH9" s="922"/>
      <c r="BI9" s="899"/>
      <c r="BJ9" s="899"/>
      <c r="BK9" s="877"/>
      <c r="BL9" s="839"/>
      <c r="BM9" s="860"/>
      <c r="BN9" s="860"/>
      <c r="BO9" s="861"/>
      <c r="BP9" s="843"/>
      <c r="BQ9" s="843"/>
      <c r="BR9" s="890"/>
      <c r="BS9" s="828"/>
      <c r="BT9" s="828"/>
      <c r="BU9" s="828"/>
      <c r="BV9" s="837"/>
      <c r="BW9" s="837"/>
      <c r="BX9" s="828"/>
      <c r="BY9" s="828"/>
      <c r="BZ9" s="828"/>
      <c r="CA9" s="828"/>
      <c r="CB9" s="828"/>
      <c r="CC9" s="828"/>
      <c r="CD9" s="927"/>
      <c r="CE9" s="928"/>
      <c r="CF9" s="2358"/>
      <c r="CG9" s="924"/>
      <c r="CH9" s="909"/>
      <c r="CI9" s="929"/>
      <c r="CJ9" s="911"/>
      <c r="CK9" s="930"/>
      <c r="CL9" s="909"/>
      <c r="CM9" s="867"/>
      <c r="CN9" s="867"/>
      <c r="CO9" s="913"/>
      <c r="CP9" s="861"/>
      <c r="CQ9" s="861"/>
      <c r="CR9" s="867"/>
      <c r="CS9" s="867"/>
      <c r="CT9" s="861"/>
      <c r="CU9" s="861"/>
      <c r="CV9" s="846"/>
      <c r="CW9" s="890"/>
      <c r="CX9" s="879"/>
    </row>
    <row r="10" spans="1:102" ht="14.5" x14ac:dyDescent="0.35">
      <c r="A10" s="2283"/>
      <c r="B10" s="2416"/>
      <c r="C10" s="2359"/>
      <c r="D10" s="881">
        <v>132</v>
      </c>
      <c r="E10" s="882" t="s">
        <v>339</v>
      </c>
      <c r="F10" s="2414"/>
      <c r="G10" s="882"/>
      <c r="H10" s="2415"/>
      <c r="I10" s="882">
        <v>960000</v>
      </c>
      <c r="J10" s="884">
        <v>2.8359999999999999</v>
      </c>
      <c r="K10" s="884">
        <v>2.8359999999999999</v>
      </c>
      <c r="L10" s="885">
        <f t="shared" si="1"/>
        <v>0</v>
      </c>
      <c r="M10" s="885">
        <f>L10*I10</f>
        <v>0</v>
      </c>
      <c r="N10" s="887"/>
      <c r="O10" s="888"/>
      <c r="P10" s="885"/>
      <c r="Q10" s="884">
        <v>2.1680000000000001</v>
      </c>
      <c r="R10" s="884">
        <v>2.1680000000000001</v>
      </c>
      <c r="S10" s="885">
        <f t="shared" si="2"/>
        <v>0</v>
      </c>
      <c r="T10" s="861">
        <f>S10*I10</f>
        <v>0</v>
      </c>
      <c r="U10" s="861"/>
      <c r="V10" s="122"/>
      <c r="W10" s="868"/>
      <c r="X10" s="870"/>
      <c r="Y10" s="870"/>
      <c r="Z10" s="889">
        <f t="shared" si="5"/>
        <v>0</v>
      </c>
      <c r="AA10" s="121">
        <f t="shared" si="6"/>
        <v>0</v>
      </c>
      <c r="AB10" s="890"/>
      <c r="AC10" s="861"/>
      <c r="AD10" s="861"/>
      <c r="AE10" s="843"/>
      <c r="AF10" s="926"/>
      <c r="AG10" s="872"/>
      <c r="AH10" s="891"/>
      <c r="AI10" s="874"/>
      <c r="AJ10" s="874"/>
      <c r="AK10" s="892"/>
      <c r="AL10" s="874"/>
      <c r="AM10" s="915"/>
      <c r="AN10" s="889"/>
      <c r="AO10" s="889"/>
      <c r="AP10" s="916"/>
      <c r="AQ10" s="917"/>
      <c r="AR10" s="918"/>
      <c r="AS10" s="897"/>
      <c r="AT10" s="898"/>
      <c r="AU10" s="898"/>
      <c r="AV10" s="899"/>
      <c r="AW10" s="899"/>
      <c r="AX10" s="899"/>
      <c r="AY10" s="899"/>
      <c r="AZ10" s="900"/>
      <c r="BC10" s="902"/>
      <c r="BD10" s="902"/>
      <c r="BE10" s="919"/>
      <c r="BF10" s="920"/>
      <c r="BG10" s="921"/>
      <c r="BH10" s="922"/>
      <c r="BI10" s="899"/>
      <c r="BJ10" s="899"/>
      <c r="BK10" s="877"/>
      <c r="BL10" s="839"/>
      <c r="BM10" s="860"/>
      <c r="BN10" s="860"/>
      <c r="BO10" s="861"/>
      <c r="BP10" s="843"/>
      <c r="BQ10" s="843"/>
      <c r="BR10" s="890"/>
      <c r="BS10" s="828"/>
      <c r="BT10" s="828"/>
      <c r="BU10" s="828"/>
      <c r="BV10" s="837"/>
      <c r="BW10" s="837"/>
      <c r="BX10" s="828"/>
      <c r="BY10" s="828"/>
      <c r="BZ10" s="828"/>
      <c r="CA10" s="828"/>
      <c r="CB10" s="828"/>
      <c r="CC10" s="828"/>
      <c r="CD10" s="927"/>
      <c r="CE10" s="928"/>
      <c r="CF10" s="2358"/>
      <c r="CG10" s="924"/>
      <c r="CH10" s="909"/>
      <c r="CI10" s="929"/>
      <c r="CJ10" s="911"/>
      <c r="CK10" s="930"/>
      <c r="CL10" s="909"/>
      <c r="CM10" s="867"/>
      <c r="CN10" s="867"/>
      <c r="CO10" s="913"/>
      <c r="CP10" s="861"/>
      <c r="CQ10" s="861"/>
      <c r="CR10" s="867"/>
      <c r="CS10" s="867"/>
      <c r="CT10" s="861"/>
      <c r="CU10" s="861"/>
      <c r="CV10" s="846"/>
      <c r="CW10" s="890"/>
      <c r="CX10" s="879"/>
    </row>
    <row r="11" spans="1:102" ht="23.25" customHeight="1" x14ac:dyDescent="0.35">
      <c r="A11" s="2283">
        <v>1</v>
      </c>
      <c r="B11" s="2343" t="s">
        <v>671</v>
      </c>
      <c r="C11" s="2359"/>
      <c r="D11" s="861">
        <v>132</v>
      </c>
      <c r="E11" s="855" t="s">
        <v>326</v>
      </c>
      <c r="F11" s="2359">
        <v>8993532</v>
      </c>
      <c r="G11" s="2359" t="s">
        <v>560</v>
      </c>
      <c r="H11" s="2400" t="s">
        <v>324</v>
      </c>
      <c r="I11" s="855">
        <v>960000</v>
      </c>
      <c r="J11" s="933">
        <v>2219.9119999999998</v>
      </c>
      <c r="K11" s="933">
        <v>2219.9119999999998</v>
      </c>
      <c r="L11" s="861">
        <f t="shared" si="1"/>
        <v>0</v>
      </c>
      <c r="M11" s="879"/>
      <c r="N11" s="868">
        <f>L11*I11</f>
        <v>0</v>
      </c>
      <c r="O11" s="934"/>
      <c r="P11" s="843"/>
      <c r="Q11" s="933">
        <v>1940.6110000000001</v>
      </c>
      <c r="R11" s="933">
        <v>1940.6110000000001</v>
      </c>
      <c r="S11" s="861">
        <f t="shared" si="2"/>
        <v>0</v>
      </c>
      <c r="T11" s="861"/>
      <c r="U11" s="861">
        <f>S11*I11</f>
        <v>0</v>
      </c>
      <c r="V11" s="122">
        <f>N11-M12</f>
        <v>-37439.999999987776</v>
      </c>
      <c r="W11" s="868">
        <f>U11-T12</f>
        <v>-189120.00000000262</v>
      </c>
      <c r="X11" s="870">
        <v>0.94</v>
      </c>
      <c r="Y11" s="871">
        <f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889">
        <v>0</v>
      </c>
      <c r="AA11" s="121">
        <f t="shared" si="6"/>
        <v>0</v>
      </c>
      <c r="AB11" s="2395" t="s">
        <v>550</v>
      </c>
      <c r="AC11" s="2395"/>
      <c r="AD11" s="879">
        <v>0.86</v>
      </c>
      <c r="AE11" s="843">
        <v>0.03</v>
      </c>
      <c r="AF11" s="2401" t="s">
        <v>671</v>
      </c>
      <c r="AG11" s="935">
        <f>X11</f>
        <v>0.94</v>
      </c>
      <c r="AH11" s="936">
        <f>Y11</f>
        <v>0</v>
      </c>
      <c r="AI11" s="937" t="e">
        <f>#REF!</f>
        <v>#REF!</v>
      </c>
      <c r="AJ11" s="937">
        <f>AA11</f>
        <v>0</v>
      </c>
      <c r="AK11" s="935">
        <v>0.86</v>
      </c>
      <c r="AL11" s="938">
        <v>0.03</v>
      </c>
      <c r="AM11" s="915">
        <v>936662</v>
      </c>
      <c r="AN11" s="889">
        <f>AM11*5.878</f>
        <v>5505699.2360000005</v>
      </c>
      <c r="AO11" s="889" t="e">
        <f>AM11-AI11</f>
        <v>#REF!</v>
      </c>
      <c r="AP11" s="916">
        <f>AN11-AJ11</f>
        <v>5505699.2360000005</v>
      </c>
      <c r="AQ11" s="939">
        <v>0.87</v>
      </c>
      <c r="AR11" s="940">
        <v>0.02</v>
      </c>
      <c r="AS11" s="897" t="e">
        <f>COS(ATAN(#REF!/#REF!))</f>
        <v>#REF!</v>
      </c>
      <c r="AT11" s="941"/>
      <c r="AU11" s="941"/>
      <c r="AV11" s="899"/>
      <c r="AW11" s="898">
        <v>3624083.25</v>
      </c>
      <c r="AX11" s="899">
        <f>AA11-AW11</f>
        <v>-3624083.25</v>
      </c>
      <c r="AY11" s="899"/>
      <c r="AZ11" s="900" t="s">
        <v>672</v>
      </c>
      <c r="BC11" s="902">
        <f>V22</f>
        <v>11814719.999999797</v>
      </c>
      <c r="BD11" s="902">
        <f>W22</f>
        <v>1440000</v>
      </c>
      <c r="BE11" s="919">
        <f>X22</f>
        <v>0.99</v>
      </c>
      <c r="BF11" s="920">
        <f>Y22</f>
        <v>0</v>
      </c>
      <c r="BG11" s="921" t="e">
        <f>#REF!</f>
        <v>#REF!</v>
      </c>
      <c r="BH11" s="922">
        <f>AA22</f>
        <v>0</v>
      </c>
      <c r="BJ11" s="899"/>
      <c r="BK11" s="823">
        <f>BK6</f>
        <v>0.9</v>
      </c>
      <c r="BL11" s="839">
        <f>BL6</f>
        <v>0.9</v>
      </c>
      <c r="BM11" s="860">
        <f>M11</f>
        <v>0</v>
      </c>
      <c r="BN11" s="860">
        <f>N11</f>
        <v>0</v>
      </c>
      <c r="BO11" s="861"/>
      <c r="BP11" s="861">
        <v>25914240</v>
      </c>
      <c r="BQ11" s="843">
        <f t="shared" si="7"/>
        <v>0</v>
      </c>
      <c r="BR11" s="890">
        <f t="shared" si="7"/>
        <v>-25914240</v>
      </c>
      <c r="BS11" s="828"/>
      <c r="BT11" s="828"/>
      <c r="BU11" s="828"/>
      <c r="BV11" s="828"/>
      <c r="BW11" s="828"/>
      <c r="BX11" s="828"/>
      <c r="BY11" s="828"/>
      <c r="BZ11" s="828"/>
      <c r="CA11" s="828"/>
      <c r="CB11" s="828"/>
      <c r="CC11" s="828"/>
      <c r="CD11" s="907">
        <v>2</v>
      </c>
      <c r="CE11" s="2344" t="s">
        <v>671</v>
      </c>
      <c r="CF11" s="2358"/>
      <c r="CG11" s="913">
        <v>132</v>
      </c>
      <c r="CH11" s="909" t="s">
        <v>326</v>
      </c>
      <c r="CI11" s="2358">
        <v>8993532</v>
      </c>
      <c r="CJ11" s="2358" t="s">
        <v>560</v>
      </c>
      <c r="CK11" s="2408" t="s">
        <v>324</v>
      </c>
      <c r="CL11" s="909">
        <v>960000</v>
      </c>
      <c r="CM11" s="867">
        <f>J11</f>
        <v>2219.9119999999998</v>
      </c>
      <c r="CN11" s="867">
        <f>K11</f>
        <v>2219.9119999999998</v>
      </c>
      <c r="CO11" s="913">
        <f t="shared" si="3"/>
        <v>0</v>
      </c>
      <c r="CP11" s="879"/>
      <c r="CQ11" s="861">
        <f>CO11*CL11</f>
        <v>0</v>
      </c>
      <c r="CR11" s="867">
        <v>1401.7529999999999</v>
      </c>
      <c r="CS11" s="867">
        <v>1424.799</v>
      </c>
      <c r="CT11" s="861">
        <f t="shared" ref="CT11:CT16" si="8">CS11-CR11</f>
        <v>23.046000000000049</v>
      </c>
      <c r="CU11" s="861"/>
      <c r="CV11" s="846">
        <f>CT11*CL11</f>
        <v>22124160.000000048</v>
      </c>
      <c r="CW11" s="878" t="e">
        <f t="shared" si="4"/>
        <v>#DIV/0!</v>
      </c>
      <c r="CX11" s="879"/>
    </row>
    <row r="12" spans="1:102" ht="18.75" customHeight="1" x14ac:dyDescent="0.25">
      <c r="A12" s="2283"/>
      <c r="B12" s="2343"/>
      <c r="C12" s="2359"/>
      <c r="D12" s="861">
        <v>132</v>
      </c>
      <c r="E12" s="855" t="s">
        <v>339</v>
      </c>
      <c r="F12" s="2359"/>
      <c r="G12" s="2359"/>
      <c r="H12" s="2400"/>
      <c r="I12" s="855">
        <v>960000</v>
      </c>
      <c r="J12" s="933">
        <v>658.91600000000005</v>
      </c>
      <c r="K12" s="933">
        <v>658.95500000000004</v>
      </c>
      <c r="L12" s="861">
        <f t="shared" si="1"/>
        <v>3.8999999999987267E-2</v>
      </c>
      <c r="M12" s="861">
        <f>L12*I12</f>
        <v>37439.999999987776</v>
      </c>
      <c r="N12" s="868"/>
      <c r="O12" s="869"/>
      <c r="P12" s="843"/>
      <c r="Q12" s="933">
        <v>361.654</v>
      </c>
      <c r="R12" s="933">
        <v>361.851</v>
      </c>
      <c r="S12" s="861">
        <f t="shared" si="2"/>
        <v>0.19700000000000273</v>
      </c>
      <c r="T12" s="861">
        <f>S12*I12</f>
        <v>189120.00000000262</v>
      </c>
      <c r="U12" s="861"/>
      <c r="V12" s="122"/>
      <c r="W12" s="868"/>
      <c r="X12" s="870"/>
      <c r="Y12" s="870"/>
      <c r="Z12" s="889">
        <f t="shared" si="5"/>
        <v>0</v>
      </c>
      <c r="AA12" s="121">
        <f t="shared" si="6"/>
        <v>0</v>
      </c>
      <c r="AB12" s="890"/>
      <c r="AC12" s="942"/>
      <c r="AD12" s="879">
        <v>0.85</v>
      </c>
      <c r="AE12" s="843">
        <v>0.04</v>
      </c>
      <c r="AF12" s="2402"/>
      <c r="AG12" s="872"/>
      <c r="AH12" s="936"/>
      <c r="AI12" s="937"/>
      <c r="AJ12" s="937"/>
      <c r="AK12" s="935"/>
      <c r="AL12" s="937"/>
      <c r="AM12" s="943"/>
      <c r="AN12" s="889"/>
      <c r="AO12" s="889"/>
      <c r="AP12" s="937"/>
      <c r="AQ12" s="939">
        <v>0.86</v>
      </c>
      <c r="AR12" s="940">
        <v>0.03</v>
      </c>
      <c r="AS12" s="897"/>
      <c r="AT12" s="941"/>
      <c r="AU12" s="941"/>
      <c r="AV12" s="899"/>
      <c r="AW12" s="899"/>
      <c r="AX12" s="899"/>
      <c r="AY12" s="899"/>
      <c r="AZ12" s="900" t="s">
        <v>597</v>
      </c>
      <c r="BA12" s="901" t="s">
        <v>670</v>
      </c>
      <c r="BB12" s="902" t="s">
        <v>669</v>
      </c>
      <c r="BC12" s="902">
        <f>V15</f>
        <v>12194880.000000004</v>
      </c>
      <c r="BD12" s="902">
        <f>W15</f>
        <v>5837760.0000000028</v>
      </c>
      <c r="BE12" s="919">
        <f>X15</f>
        <v>0.9</v>
      </c>
      <c r="BF12" s="920">
        <f>Y15</f>
        <v>0</v>
      </c>
      <c r="BG12" s="921" t="e">
        <f>#REF!</f>
        <v>#REF!</v>
      </c>
      <c r="BH12" s="922">
        <f>AA15</f>
        <v>0</v>
      </c>
      <c r="BI12" s="906" t="s">
        <v>668</v>
      </c>
      <c r="BJ12" s="899"/>
      <c r="BK12" s="823">
        <f>BK11</f>
        <v>0.9</v>
      </c>
      <c r="BL12" s="839">
        <f>BL11</f>
        <v>0.9</v>
      </c>
      <c r="BM12" s="860">
        <f>M12</f>
        <v>37439.999999987776</v>
      </c>
      <c r="BN12" s="860">
        <f>N12</f>
        <v>0</v>
      </c>
      <c r="BO12" s="861"/>
      <c r="BP12" s="861"/>
      <c r="BQ12" s="843">
        <f>BM12-BO12</f>
        <v>37439.999999987776</v>
      </c>
      <c r="BR12" s="890">
        <f>BN12-BP12</f>
        <v>0</v>
      </c>
      <c r="BS12" s="828"/>
      <c r="BT12" s="828"/>
      <c r="BU12" s="828"/>
      <c r="BV12" s="828"/>
      <c r="BW12" s="828"/>
      <c r="BX12" s="828"/>
      <c r="BY12" s="828"/>
      <c r="BZ12" s="828"/>
      <c r="CA12" s="828"/>
      <c r="CB12" s="828"/>
      <c r="CC12" s="828"/>
      <c r="CD12" s="923"/>
      <c r="CE12" s="2345"/>
      <c r="CF12" s="2358"/>
      <c r="CG12" s="861">
        <v>132</v>
      </c>
      <c r="CH12" s="855" t="s">
        <v>339</v>
      </c>
      <c r="CI12" s="2357"/>
      <c r="CJ12" s="2357"/>
      <c r="CK12" s="2398"/>
      <c r="CL12" s="855">
        <v>960000</v>
      </c>
      <c r="CM12" s="867">
        <f>J12</f>
        <v>658.91600000000005</v>
      </c>
      <c r="CN12" s="867">
        <f>K12</f>
        <v>658.95500000000004</v>
      </c>
      <c r="CO12" s="861">
        <f t="shared" si="3"/>
        <v>3.8999999999987267E-2</v>
      </c>
      <c r="CP12" s="861">
        <f>CO12*CL12</f>
        <v>37439.999999987776</v>
      </c>
      <c r="CQ12" s="861"/>
      <c r="CR12" s="867">
        <v>131.69399999999999</v>
      </c>
      <c r="CS12" s="867">
        <v>131.69399999999999</v>
      </c>
      <c r="CT12" s="861">
        <f t="shared" si="8"/>
        <v>0</v>
      </c>
      <c r="CU12" s="861">
        <f>CT12*CL12</f>
        <v>0</v>
      </c>
      <c r="CV12" s="846"/>
      <c r="CW12" s="890" t="str">
        <f t="shared" si="4"/>
        <v>0</v>
      </c>
      <c r="CX12" s="879"/>
    </row>
    <row r="13" spans="1:102" ht="29.15" customHeight="1" x14ac:dyDescent="0.25">
      <c r="A13" s="2283">
        <v>2</v>
      </c>
      <c r="B13" s="2343" t="s">
        <v>667</v>
      </c>
      <c r="C13" s="2359"/>
      <c r="D13" s="861">
        <v>132</v>
      </c>
      <c r="E13" s="855" t="s">
        <v>326</v>
      </c>
      <c r="F13" s="2359" t="s">
        <v>666</v>
      </c>
      <c r="G13" s="2359" t="s">
        <v>560</v>
      </c>
      <c r="H13" s="2400" t="s">
        <v>324</v>
      </c>
      <c r="I13" s="855">
        <v>960000</v>
      </c>
      <c r="J13" s="933">
        <v>325.37200000000001</v>
      </c>
      <c r="K13" s="933">
        <v>331.005</v>
      </c>
      <c r="L13" s="861">
        <f t="shared" si="1"/>
        <v>5.6329999999999814</v>
      </c>
      <c r="M13" s="861"/>
      <c r="N13" s="868">
        <f>L13*I13</f>
        <v>5407679.9999999823</v>
      </c>
      <c r="O13" s="869"/>
      <c r="P13" s="843"/>
      <c r="Q13" s="933">
        <v>198.554</v>
      </c>
      <c r="R13" s="933">
        <v>202.13800000000001</v>
      </c>
      <c r="S13" s="861">
        <f t="shared" si="2"/>
        <v>3.5840000000000032</v>
      </c>
      <c r="T13" s="861"/>
      <c r="U13" s="861">
        <f>S13*I13</f>
        <v>3440640.0000000033</v>
      </c>
      <c r="V13" s="122">
        <f>N13</f>
        <v>5407679.9999999823</v>
      </c>
      <c r="W13" s="868">
        <f>U13</f>
        <v>3440640.0000000033</v>
      </c>
      <c r="X13" s="870"/>
      <c r="Y13" s="870"/>
      <c r="Z13" s="889">
        <f t="shared" si="5"/>
        <v>0</v>
      </c>
      <c r="AA13" s="121">
        <f t="shared" si="6"/>
        <v>0</v>
      </c>
      <c r="AB13" s="944"/>
      <c r="AC13" s="944"/>
      <c r="AD13" s="879"/>
      <c r="AE13" s="843"/>
      <c r="AF13" s="926"/>
      <c r="AG13" s="872"/>
      <c r="AH13" s="936"/>
      <c r="AI13" s="937"/>
      <c r="AJ13" s="937"/>
      <c r="AK13" s="935"/>
      <c r="AL13" s="937"/>
      <c r="AM13" s="943"/>
      <c r="AN13" s="889"/>
      <c r="AO13" s="889"/>
      <c r="AP13" s="937"/>
      <c r="AQ13" s="939"/>
      <c r="AR13" s="940"/>
      <c r="AS13" s="897"/>
      <c r="AT13" s="941"/>
      <c r="AU13" s="941"/>
      <c r="AV13" s="899"/>
      <c r="AW13" s="899"/>
      <c r="AX13" s="899"/>
      <c r="AY13" s="899"/>
      <c r="AZ13" s="900" t="s">
        <v>597</v>
      </c>
      <c r="BA13" s="901" t="s">
        <v>665</v>
      </c>
      <c r="BB13" s="902" t="s">
        <v>664</v>
      </c>
      <c r="BC13" s="902">
        <f>V7</f>
        <v>0</v>
      </c>
      <c r="BD13" s="902">
        <f>W7</f>
        <v>0</v>
      </c>
      <c r="BE13" s="919">
        <f>X7</f>
        <v>0</v>
      </c>
      <c r="BF13" s="920">
        <f>Y7</f>
        <v>0</v>
      </c>
      <c r="BG13" s="921" t="e">
        <f>#REF!</f>
        <v>#REF!</v>
      </c>
      <c r="BH13" s="922">
        <f>AA7</f>
        <v>0</v>
      </c>
      <c r="BI13" s="906"/>
      <c r="BJ13" s="899"/>
      <c r="BL13" s="839"/>
      <c r="BM13" s="860"/>
      <c r="BN13" s="860"/>
      <c r="BO13" s="861"/>
      <c r="BP13" s="861"/>
      <c r="BQ13" s="843"/>
      <c r="BR13" s="890"/>
      <c r="BS13" s="828"/>
      <c r="BT13" s="828"/>
      <c r="BU13" s="828"/>
      <c r="BV13" s="828"/>
      <c r="BW13" s="828"/>
      <c r="BX13" s="828"/>
      <c r="BY13" s="828"/>
      <c r="BZ13" s="828"/>
      <c r="CA13" s="828"/>
      <c r="CB13" s="828"/>
      <c r="CC13" s="828"/>
      <c r="CD13" s="927"/>
      <c r="CE13" s="928"/>
      <c r="CF13" s="2358"/>
      <c r="CG13" s="861"/>
      <c r="CH13" s="855"/>
      <c r="CI13" s="911"/>
      <c r="CJ13" s="911"/>
      <c r="CK13" s="930"/>
      <c r="CL13" s="855"/>
      <c r="CM13" s="867">
        <f t="shared" ref="CM13:CM18" si="9">J13</f>
        <v>325.37200000000001</v>
      </c>
      <c r="CN13" s="867"/>
      <c r="CO13" s="861"/>
      <c r="CP13" s="861"/>
      <c r="CQ13" s="861"/>
      <c r="CR13" s="867"/>
      <c r="CS13" s="867"/>
      <c r="CT13" s="861"/>
      <c r="CU13" s="861"/>
      <c r="CV13" s="846"/>
      <c r="CW13" s="890"/>
      <c r="CX13" s="879"/>
    </row>
    <row r="14" spans="1:102" ht="14" x14ac:dyDescent="0.25">
      <c r="A14" s="2283"/>
      <c r="B14" s="2343"/>
      <c r="C14" s="2359"/>
      <c r="D14" s="861">
        <v>132</v>
      </c>
      <c r="E14" s="855" t="s">
        <v>339</v>
      </c>
      <c r="F14" s="2359"/>
      <c r="G14" s="2359"/>
      <c r="H14" s="2400"/>
      <c r="I14" s="855">
        <v>960000</v>
      </c>
      <c r="J14" s="933">
        <v>5.0209999999999999</v>
      </c>
      <c r="K14" s="933">
        <v>5.1020000000000003</v>
      </c>
      <c r="L14" s="861">
        <f t="shared" si="1"/>
        <v>8.1000000000000405E-2</v>
      </c>
      <c r="M14" s="933">
        <f>L14*I14</f>
        <v>77760.000000000393</v>
      </c>
      <c r="N14" s="945"/>
      <c r="O14" s="946"/>
      <c r="P14" s="933"/>
      <c r="Q14" s="933">
        <v>3.92</v>
      </c>
      <c r="R14" s="933">
        <v>3.968</v>
      </c>
      <c r="S14" s="861">
        <f t="shared" si="2"/>
        <v>4.8000000000000043E-2</v>
      </c>
      <c r="T14" s="861">
        <f>S14*I14</f>
        <v>46080.000000000044</v>
      </c>
      <c r="U14" s="861"/>
      <c r="V14" s="122"/>
      <c r="W14" s="868"/>
      <c r="X14" s="870"/>
      <c r="Y14" s="870"/>
      <c r="Z14" s="889">
        <f t="shared" si="5"/>
        <v>0</v>
      </c>
      <c r="AA14" s="121">
        <f t="shared" si="6"/>
        <v>0</v>
      </c>
      <c r="AB14" s="890"/>
      <c r="AC14" s="879"/>
      <c r="AD14" s="879"/>
      <c r="AE14" s="843"/>
      <c r="AF14" s="926"/>
      <c r="AG14" s="872"/>
      <c r="AH14" s="936"/>
      <c r="AI14" s="937"/>
      <c r="AJ14" s="937"/>
      <c r="AK14" s="935"/>
      <c r="AL14" s="937"/>
      <c r="AM14" s="943"/>
      <c r="AN14" s="889"/>
      <c r="AO14" s="889"/>
      <c r="AP14" s="937"/>
      <c r="AQ14" s="939"/>
      <c r="AR14" s="940"/>
      <c r="AS14" s="897"/>
      <c r="AT14" s="941"/>
      <c r="AU14" s="941"/>
      <c r="AV14" s="899"/>
      <c r="AW14" s="899"/>
      <c r="AX14" s="899"/>
      <c r="AY14" s="899"/>
      <c r="AZ14" s="900" t="s">
        <v>597</v>
      </c>
      <c r="BA14" s="901" t="s">
        <v>663</v>
      </c>
      <c r="BB14" s="902" t="s">
        <v>662</v>
      </c>
      <c r="BC14" s="902">
        <f>V11</f>
        <v>-37439.999999987776</v>
      </c>
      <c r="BD14" s="902">
        <f>W11</f>
        <v>-189120.00000000262</v>
      </c>
      <c r="BE14" s="919">
        <f>X11</f>
        <v>0.94</v>
      </c>
      <c r="BF14" s="920">
        <f>Y11</f>
        <v>0</v>
      </c>
      <c r="BG14" s="921" t="e">
        <f>#REF!</f>
        <v>#REF!</v>
      </c>
      <c r="BH14" s="922">
        <f>AA11</f>
        <v>0</v>
      </c>
      <c r="BI14" s="906"/>
      <c r="BJ14" s="899"/>
      <c r="BL14" s="839"/>
      <c r="BM14" s="860"/>
      <c r="BN14" s="860"/>
      <c r="BO14" s="861"/>
      <c r="BP14" s="861"/>
      <c r="BQ14" s="843"/>
      <c r="BR14" s="890"/>
      <c r="BS14" s="828"/>
      <c r="BT14" s="828"/>
      <c r="BU14" s="828"/>
      <c r="BV14" s="828"/>
      <c r="BW14" s="828"/>
      <c r="BX14" s="828"/>
      <c r="BY14" s="828"/>
      <c r="BZ14" s="828"/>
      <c r="CA14" s="828"/>
      <c r="CB14" s="828"/>
      <c r="CC14" s="828"/>
      <c r="CD14" s="927"/>
      <c r="CE14" s="928"/>
      <c r="CF14" s="2358"/>
      <c r="CG14" s="861"/>
      <c r="CH14" s="855"/>
      <c r="CI14" s="911"/>
      <c r="CJ14" s="911"/>
      <c r="CK14" s="930"/>
      <c r="CL14" s="855"/>
      <c r="CM14" s="867">
        <f t="shared" si="9"/>
        <v>5.0209999999999999</v>
      </c>
      <c r="CN14" s="867"/>
      <c r="CO14" s="861"/>
      <c r="CP14" s="861"/>
      <c r="CQ14" s="861"/>
      <c r="CR14" s="867"/>
      <c r="CS14" s="867"/>
      <c r="CT14" s="861"/>
      <c r="CU14" s="861"/>
      <c r="CV14" s="846"/>
      <c r="CW14" s="890"/>
      <c r="CX14" s="879"/>
    </row>
    <row r="15" spans="1:102" ht="14.15" customHeight="1" x14ac:dyDescent="0.35">
      <c r="A15" s="2283">
        <v>3</v>
      </c>
      <c r="B15" s="2343" t="s">
        <v>661</v>
      </c>
      <c r="C15" s="2359"/>
      <c r="D15" s="861">
        <v>132</v>
      </c>
      <c r="E15" s="855" t="s">
        <v>326</v>
      </c>
      <c r="F15" s="2359">
        <v>42627826</v>
      </c>
      <c r="G15" s="2359" t="s">
        <v>560</v>
      </c>
      <c r="H15" s="2400" t="s">
        <v>324</v>
      </c>
      <c r="I15" s="855">
        <v>960000</v>
      </c>
      <c r="J15" s="947">
        <v>134.38300000000001</v>
      </c>
      <c r="K15" s="947">
        <v>147.08600000000001</v>
      </c>
      <c r="L15" s="861">
        <f t="shared" si="1"/>
        <v>12.703000000000003</v>
      </c>
      <c r="M15" s="933"/>
      <c r="N15" s="945">
        <f>L15*I15</f>
        <v>12194880.000000004</v>
      </c>
      <c r="O15" s="946"/>
      <c r="P15" s="933"/>
      <c r="Q15" s="933">
        <v>61.088999999999999</v>
      </c>
      <c r="R15" s="933">
        <v>67.17</v>
      </c>
      <c r="S15" s="861">
        <f t="shared" si="2"/>
        <v>6.0810000000000031</v>
      </c>
      <c r="T15" s="861"/>
      <c r="U15" s="861">
        <f>S15*I15</f>
        <v>5837760.0000000028</v>
      </c>
      <c r="V15" s="122">
        <f>N15-M16</f>
        <v>12194880.000000004</v>
      </c>
      <c r="W15" s="868">
        <f>U15-T16+P15</f>
        <v>5837760.0000000028</v>
      </c>
      <c r="X15" s="870">
        <f>ROUND(IF(W15&lt;0.00001,"0",COS(ATAN(W15/V15))),2)</f>
        <v>0.9</v>
      </c>
      <c r="Y15" s="871">
        <f>IF(AND(X15&gt;=0.885,X15&lt;0.9),1*0.005,IF(AND(X15&gt;=0.875,X15&lt;0.89),1*0.01,IF(AND(X15&gt;=0.865,X15&lt;0.88),1*0.02,IF(AND(X15&gt;=0.855,X15&lt;0.87),1*0.03,IF(AND(X15&gt;=0.845,X15&lt;0.86),1*0.04,IF(AND(X15&gt;=0.835,X15&lt;0.85),1*0.05,IF(AND(X15&gt;=0.825,X15&lt;0.84),1*0.06,IF(AND(X15&gt;=0.815,X15&lt;0.83),1*0.07,IF(AND(X15&gt;=0.805,X15&lt;0.82),1*0.08,IF(AND(X15&gt;=0.795,X15&lt;0.81),1*0.09,IF(AND(X15&gt;=0.785,X15&lt;0.8),1*0.105,IF(AND(X15&gt;=0.775,X15&lt;0.79),1*0.12,IF(AND(X15&gt;=0.765,X15&lt;0.78),1*0.135,IF(AND(X15&gt;=0.755,X15&lt;0.77),1*0.15,IF(AND(X15&gt;=0.3,X15&lt;0.76),1*0.165,0)))))))))))))))</f>
        <v>0</v>
      </c>
      <c r="Z15" s="889">
        <f>Y15*V15</f>
        <v>0</v>
      </c>
      <c r="AA15" s="121">
        <f t="shared" si="6"/>
        <v>0</v>
      </c>
      <c r="AB15" s="2403"/>
      <c r="AC15" s="2403"/>
      <c r="AD15" s="879">
        <v>0.84</v>
      </c>
      <c r="AE15" s="843">
        <v>0.05</v>
      </c>
      <c r="AF15" s="2401" t="s">
        <v>658</v>
      </c>
      <c r="AG15" s="935">
        <f>X15</f>
        <v>0.9</v>
      </c>
      <c r="AH15" s="936">
        <f>Y15</f>
        <v>0</v>
      </c>
      <c r="AI15" s="937" t="e">
        <f>#REF!</f>
        <v>#REF!</v>
      </c>
      <c r="AJ15" s="937">
        <f>AA15</f>
        <v>0</v>
      </c>
      <c r="AK15" s="935"/>
      <c r="AL15" s="935"/>
      <c r="AM15" s="935"/>
      <c r="AN15" s="889">
        <f>AM15*5.878</f>
        <v>0</v>
      </c>
      <c r="AO15" s="889" t="e">
        <f>AM15-AI15</f>
        <v>#REF!</v>
      </c>
      <c r="AP15" s="916">
        <f>AN15-AJ15</f>
        <v>0</v>
      </c>
      <c r="AQ15" s="939">
        <v>0.85</v>
      </c>
      <c r="AR15" s="940">
        <v>0.04</v>
      </c>
      <c r="AS15" s="897" t="e">
        <f>COS(ATAN(#REF!/#REF!))</f>
        <v>#REF!</v>
      </c>
      <c r="AT15" s="941"/>
      <c r="AU15" s="941"/>
      <c r="AV15" s="899"/>
      <c r="AW15" s="899"/>
      <c r="AX15" s="121">
        <v>17576092.765439928</v>
      </c>
      <c r="AY15" s="899"/>
      <c r="AZ15" s="900" t="s">
        <v>590</v>
      </c>
      <c r="BA15" s="901" t="s">
        <v>660</v>
      </c>
      <c r="BB15" s="902" t="s">
        <v>659</v>
      </c>
      <c r="BC15" s="902">
        <f>V29</f>
        <v>12772800.000000007</v>
      </c>
      <c r="BD15" s="902">
        <f>W29</f>
        <v>5016959.9999999888</v>
      </c>
      <c r="BE15" s="919">
        <f>X29</f>
        <v>0.93</v>
      </c>
      <c r="BF15" s="904">
        <f>Y29</f>
        <v>0</v>
      </c>
      <c r="BG15" s="921" t="e">
        <f>#REF!</f>
        <v>#REF!</v>
      </c>
      <c r="BH15" s="922">
        <f>AA29</f>
        <v>0</v>
      </c>
      <c r="BI15" s="906"/>
      <c r="BJ15" s="899"/>
      <c r="BK15" s="823">
        <f>BK12</f>
        <v>0.9</v>
      </c>
      <c r="BL15" s="839">
        <f>BL12</f>
        <v>0.9</v>
      </c>
      <c r="BM15" s="860">
        <f t="shared" ref="BM15:BN34" si="10">M15</f>
        <v>0</v>
      </c>
      <c r="BN15" s="860">
        <f t="shared" si="10"/>
        <v>12194880.000000004</v>
      </c>
      <c r="BO15" s="861"/>
      <c r="BP15" s="861">
        <v>26328000</v>
      </c>
      <c r="BQ15" s="843">
        <f t="shared" si="7"/>
        <v>0</v>
      </c>
      <c r="BR15" s="890">
        <f t="shared" si="7"/>
        <v>-14133119.999999996</v>
      </c>
      <c r="BS15" s="828"/>
      <c r="BT15" s="828"/>
      <c r="BU15" s="828"/>
      <c r="BV15" s="828"/>
      <c r="BW15" s="828"/>
      <c r="BX15" s="828"/>
      <c r="BY15" s="828"/>
      <c r="BZ15" s="828"/>
      <c r="CA15" s="828"/>
      <c r="CB15" s="828"/>
      <c r="CC15" s="828"/>
      <c r="CD15" s="907">
        <v>3</v>
      </c>
      <c r="CE15" s="2344" t="s">
        <v>658</v>
      </c>
      <c r="CF15" s="2358"/>
      <c r="CG15" s="861">
        <v>132</v>
      </c>
      <c r="CH15" s="855" t="s">
        <v>326</v>
      </c>
      <c r="CI15" s="2356">
        <v>50146912</v>
      </c>
      <c r="CJ15" s="2356" t="s">
        <v>560</v>
      </c>
      <c r="CK15" s="2397" t="s">
        <v>324</v>
      </c>
      <c r="CL15" s="855">
        <v>960000</v>
      </c>
      <c r="CM15" s="867">
        <f t="shared" si="9"/>
        <v>134.38300000000001</v>
      </c>
      <c r="CN15" s="867">
        <f>K15</f>
        <v>147.08600000000001</v>
      </c>
      <c r="CO15" s="861">
        <f t="shared" si="3"/>
        <v>12.703000000000003</v>
      </c>
      <c r="CP15" s="879"/>
      <c r="CQ15" s="861">
        <f>CO15*CL15</f>
        <v>12194880.000000004</v>
      </c>
      <c r="CR15" s="867">
        <v>362.10700000000003</v>
      </c>
      <c r="CS15" s="867">
        <v>372.47800000000001</v>
      </c>
      <c r="CT15" s="861">
        <f t="shared" si="8"/>
        <v>10.370999999999981</v>
      </c>
      <c r="CU15" s="861"/>
      <c r="CV15" s="846">
        <f>CT15*CL15</f>
        <v>9956159.9999999814</v>
      </c>
      <c r="CW15" s="878">
        <f t="shared" si="4"/>
        <v>0.77462522985399285</v>
      </c>
      <c r="CX15" s="879"/>
    </row>
    <row r="16" spans="1:102" ht="21" customHeight="1" x14ac:dyDescent="0.25">
      <c r="A16" s="2283"/>
      <c r="B16" s="2343"/>
      <c r="C16" s="2359"/>
      <c r="D16" s="861">
        <v>132</v>
      </c>
      <c r="E16" s="855" t="s">
        <v>339</v>
      </c>
      <c r="F16" s="2359"/>
      <c r="G16" s="2359"/>
      <c r="H16" s="2400"/>
      <c r="I16" s="882">
        <v>960000</v>
      </c>
      <c r="J16" s="948">
        <v>0</v>
      </c>
      <c r="K16" s="948">
        <v>0</v>
      </c>
      <c r="L16" s="885">
        <f t="shared" si="1"/>
        <v>0</v>
      </c>
      <c r="M16" s="948">
        <f>L16*I16</f>
        <v>0</v>
      </c>
      <c r="N16" s="949"/>
      <c r="O16" s="950"/>
      <c r="P16" s="948"/>
      <c r="Q16" s="948">
        <v>0</v>
      </c>
      <c r="R16" s="948">
        <v>0</v>
      </c>
      <c r="S16" s="861">
        <f t="shared" si="2"/>
        <v>0</v>
      </c>
      <c r="T16" s="861">
        <f>S16*I16</f>
        <v>0</v>
      </c>
      <c r="U16" s="861"/>
      <c r="V16" s="122"/>
      <c r="W16" s="868"/>
      <c r="X16" s="870"/>
      <c r="Y16" s="870"/>
      <c r="Z16" s="889">
        <f t="shared" si="5"/>
        <v>0</v>
      </c>
      <c r="AA16" s="121">
        <f t="shared" si="6"/>
        <v>0</v>
      </c>
      <c r="AB16" s="890"/>
      <c r="AC16" s="942"/>
      <c r="AD16" s="879">
        <v>0.83</v>
      </c>
      <c r="AE16" s="843">
        <v>6.0000000000000005E-2</v>
      </c>
      <c r="AF16" s="2402"/>
      <c r="AG16" s="872"/>
      <c r="AH16" s="936"/>
      <c r="AI16" s="937"/>
      <c r="AJ16" s="937"/>
      <c r="AK16" s="935"/>
      <c r="AL16" s="937"/>
      <c r="AM16" s="943"/>
      <c r="AN16" s="889"/>
      <c r="AO16" s="889"/>
      <c r="AP16" s="937"/>
      <c r="AQ16" s="939">
        <v>0.84</v>
      </c>
      <c r="AR16" s="940">
        <v>0.05</v>
      </c>
      <c r="AS16" s="897"/>
      <c r="AT16" s="941"/>
      <c r="AU16" s="941"/>
      <c r="AV16" s="899"/>
      <c r="AW16" s="899"/>
      <c r="AX16" s="899"/>
      <c r="AY16" s="899"/>
      <c r="AZ16" s="900" t="s">
        <v>590</v>
      </c>
      <c r="BA16" s="901" t="s">
        <v>657</v>
      </c>
      <c r="BB16" s="902" t="s">
        <v>656</v>
      </c>
      <c r="BC16" s="902">
        <f>V27</f>
        <v>13549440.000000032</v>
      </c>
      <c r="BD16" s="902">
        <f>W27</f>
        <v>5234880.0000000568</v>
      </c>
      <c r="BE16" s="919">
        <f>X27</f>
        <v>0.93</v>
      </c>
      <c r="BF16" s="904">
        <f>Y27</f>
        <v>0</v>
      </c>
      <c r="BG16" s="921" t="e">
        <f>#REF!</f>
        <v>#REF!</v>
      </c>
      <c r="BH16" s="922">
        <f>AA27</f>
        <v>0</v>
      </c>
      <c r="BI16" s="906"/>
      <c r="BJ16" s="899"/>
      <c r="BK16" s="823">
        <f>BK15</f>
        <v>0.9</v>
      </c>
      <c r="BL16" s="839">
        <f>BL15</f>
        <v>0.9</v>
      </c>
      <c r="BM16" s="860">
        <f t="shared" si="10"/>
        <v>0</v>
      </c>
      <c r="BN16" s="860">
        <f t="shared" si="10"/>
        <v>0</v>
      </c>
      <c r="BO16" s="861">
        <v>1376640</v>
      </c>
      <c r="BP16" s="861"/>
      <c r="BQ16" s="843">
        <f t="shared" si="7"/>
        <v>-1376640</v>
      </c>
      <c r="BR16" s="890">
        <f t="shared" si="7"/>
        <v>0</v>
      </c>
      <c r="BS16" s="828"/>
      <c r="BT16" s="828"/>
      <c r="BU16" s="828"/>
      <c r="BV16" s="828"/>
      <c r="BW16" s="828"/>
      <c r="BX16" s="828"/>
      <c r="BY16" s="828"/>
      <c r="BZ16" s="828"/>
      <c r="CA16" s="828"/>
      <c r="CB16" s="828"/>
      <c r="CC16" s="828"/>
      <c r="CD16" s="923"/>
      <c r="CE16" s="2345"/>
      <c r="CF16" s="2358"/>
      <c r="CG16" s="861">
        <v>132</v>
      </c>
      <c r="CH16" s="855" t="s">
        <v>339</v>
      </c>
      <c r="CI16" s="2357"/>
      <c r="CJ16" s="2357"/>
      <c r="CK16" s="2398"/>
      <c r="CL16" s="855">
        <v>960000</v>
      </c>
      <c r="CM16" s="867">
        <f t="shared" si="9"/>
        <v>0</v>
      </c>
      <c r="CN16" s="867">
        <f>K16</f>
        <v>0</v>
      </c>
      <c r="CO16" s="861">
        <f t="shared" si="3"/>
        <v>0</v>
      </c>
      <c r="CP16" s="861">
        <f>CO16*CL16</f>
        <v>0</v>
      </c>
      <c r="CQ16" s="861"/>
      <c r="CR16" s="867">
        <v>27.968</v>
      </c>
      <c r="CS16" s="867">
        <v>28.669</v>
      </c>
      <c r="CT16" s="861">
        <f t="shared" si="8"/>
        <v>0.70100000000000051</v>
      </c>
      <c r="CU16" s="861">
        <f>CT16*CL16</f>
        <v>672960.00000000047</v>
      </c>
      <c r="CV16" s="846"/>
      <c r="CW16" s="878" t="e">
        <f t="shared" si="4"/>
        <v>#DIV/0!</v>
      </c>
      <c r="CX16" s="879"/>
    </row>
    <row r="17" spans="1:102" ht="14.15" customHeight="1" x14ac:dyDescent="0.25">
      <c r="A17" s="2283">
        <v>4</v>
      </c>
      <c r="B17" s="2343" t="s">
        <v>655</v>
      </c>
      <c r="C17" s="2359"/>
      <c r="D17" s="861">
        <v>132</v>
      </c>
      <c r="E17" s="855" t="s">
        <v>326</v>
      </c>
      <c r="F17" s="2359">
        <v>42627815</v>
      </c>
      <c r="G17" s="2359" t="s">
        <v>560</v>
      </c>
      <c r="H17" s="2400" t="s">
        <v>324</v>
      </c>
      <c r="I17" s="855">
        <v>960000</v>
      </c>
      <c r="J17" s="933">
        <v>78.528999999999996</v>
      </c>
      <c r="K17" s="933">
        <v>83.816000000000003</v>
      </c>
      <c r="L17" s="861">
        <f t="shared" si="1"/>
        <v>5.2870000000000061</v>
      </c>
      <c r="M17" s="933"/>
      <c r="N17" s="945">
        <f>L17*I17</f>
        <v>5075520.0000000056</v>
      </c>
      <c r="O17" s="946"/>
      <c r="P17" s="933"/>
      <c r="Q17" s="933">
        <v>30.260999999999999</v>
      </c>
      <c r="R17" s="933">
        <v>32.113</v>
      </c>
      <c r="S17" s="861">
        <f t="shared" si="2"/>
        <v>1.8520000000000003</v>
      </c>
      <c r="T17" s="861"/>
      <c r="U17" s="861">
        <f>S17*I17</f>
        <v>1777920.0000000002</v>
      </c>
      <c r="V17" s="122">
        <f>N17</f>
        <v>5075520.0000000056</v>
      </c>
      <c r="W17" s="868">
        <f>U17</f>
        <v>1777920.0000000002</v>
      </c>
      <c r="X17" s="870">
        <f>ROUND(IF(W17&lt;0.00001,"0",COS(ATAN(W17/V17))),2)</f>
        <v>0.94</v>
      </c>
      <c r="Y17" s="871">
        <f>IF(AND(X17&gt;=0.885,X17&lt;0.9),1*0.005,IF(AND(X17&gt;=0.875,X17&lt;0.89),1*0.01,IF(AND(X17&gt;=0.865,X17&lt;0.88),1*0.02,IF(AND(X17&gt;=0.855,X17&lt;0.87),1*0.03,IF(AND(X17&gt;=0.845,X17&lt;0.86),1*0.04,IF(AND(X17&gt;=0.835,X17&lt;0.85),1*0.05,IF(AND(X17&gt;=0.825,X17&lt;0.84),1*0.06,IF(AND(X17&gt;=0.815,X17&lt;0.83),1*0.07,IF(AND(X17&gt;=0.805,X17&lt;0.82),1*0.08,IF(AND(X17&gt;=0.795,X17&lt;0.81),1*0.09,IF(AND(X17&gt;=0.785,X17&lt;0.8),1*0.105,IF(AND(X17&gt;=0.775,X17&lt;0.79),1*0.12,IF(AND(X17&gt;=0.765,X17&lt;0.78),1*0.135,IF(AND(X17&gt;=0.755,X17&lt;0.77),1*0.15,IF(AND(X17&gt;=0.3,X17&lt;0.76),1*0.165,0)))))))))))))))</f>
        <v>0</v>
      </c>
      <c r="Z17" s="889">
        <f t="shared" si="5"/>
        <v>0</v>
      </c>
      <c r="AA17" s="121">
        <f t="shared" si="6"/>
        <v>0</v>
      </c>
      <c r="AB17" s="890"/>
      <c r="AC17" s="879"/>
      <c r="AD17" s="879">
        <v>0.82</v>
      </c>
      <c r="AE17" s="843">
        <v>7.0000000000000007E-2</v>
      </c>
      <c r="AF17" s="2401" t="s">
        <v>652</v>
      </c>
      <c r="AG17" s="892">
        <f>X17</f>
        <v>0.94</v>
      </c>
      <c r="AH17" s="936">
        <v>0</v>
      </c>
      <c r="AI17" s="937" t="e">
        <f>#REF!</f>
        <v>#REF!</v>
      </c>
      <c r="AJ17" s="937"/>
      <c r="AK17" s="935"/>
      <c r="AL17" s="937"/>
      <c r="AM17" s="943"/>
      <c r="AN17" s="889"/>
      <c r="AO17" s="889"/>
      <c r="AP17" s="937"/>
      <c r="AQ17" s="939">
        <v>0.83</v>
      </c>
      <c r="AR17" s="940">
        <v>6.0000000000000005E-2</v>
      </c>
      <c r="AS17" s="897" t="e">
        <f>COS(ATAN(#REF!/#REF!))</f>
        <v>#REF!</v>
      </c>
      <c r="AT17" s="941"/>
      <c r="AU17" s="941"/>
      <c r="AV17" s="899"/>
      <c r="AW17" s="899"/>
      <c r="AX17" s="899"/>
      <c r="AY17" s="899"/>
      <c r="AZ17" s="900" t="s">
        <v>651</v>
      </c>
      <c r="BA17" s="901" t="s">
        <v>654</v>
      </c>
      <c r="BB17" s="902" t="s">
        <v>653</v>
      </c>
      <c r="BC17" s="902">
        <f t="shared" ref="BC17:BF18" si="11">V68</f>
        <v>66072960.000000022</v>
      </c>
      <c r="BD17" s="902">
        <f t="shared" si="11"/>
        <v>23400959.999999758</v>
      </c>
      <c r="BE17" s="919">
        <f t="shared" si="11"/>
        <v>0.94</v>
      </c>
      <c r="BF17" s="920">
        <f t="shared" si="11"/>
        <v>0</v>
      </c>
      <c r="BG17" s="921" t="e">
        <f>#REF!</f>
        <v>#REF!</v>
      </c>
      <c r="BH17" s="922">
        <f>AA68</f>
        <v>0</v>
      </c>
      <c r="BI17" s="906"/>
      <c r="BJ17" s="899"/>
      <c r="BK17" s="823">
        <f>BK16</f>
        <v>0.9</v>
      </c>
      <c r="BL17" s="839">
        <f t="shared" si="0"/>
        <v>0.9</v>
      </c>
      <c r="BM17" s="860">
        <f t="shared" si="10"/>
        <v>0</v>
      </c>
      <c r="BN17" s="860">
        <f t="shared" si="10"/>
        <v>5075520.0000000056</v>
      </c>
      <c r="BO17" s="861"/>
      <c r="BP17" s="861">
        <v>13878720</v>
      </c>
      <c r="BQ17" s="843">
        <f t="shared" si="7"/>
        <v>0</v>
      </c>
      <c r="BR17" s="890">
        <f t="shared" si="7"/>
        <v>-8803199.9999999944</v>
      </c>
      <c r="BS17" s="828"/>
      <c r="BT17" s="828"/>
      <c r="BU17" s="828"/>
      <c r="BV17" s="828"/>
      <c r="BW17" s="828"/>
      <c r="BX17" s="828"/>
      <c r="BY17" s="828"/>
      <c r="BZ17" s="828"/>
      <c r="CA17" s="828"/>
      <c r="CB17" s="828"/>
      <c r="CC17" s="828"/>
      <c r="CD17" s="907">
        <v>4</v>
      </c>
      <c r="CE17" s="2344" t="s">
        <v>652</v>
      </c>
      <c r="CF17" s="2358"/>
      <c r="CG17" s="951">
        <v>132</v>
      </c>
      <c r="CH17" s="855" t="s">
        <v>326</v>
      </c>
      <c r="CI17" s="2356">
        <v>12393383</v>
      </c>
      <c r="CJ17" s="2358" t="s">
        <v>560</v>
      </c>
      <c r="CK17" s="2397" t="s">
        <v>324</v>
      </c>
      <c r="CL17" s="855">
        <v>960000</v>
      </c>
      <c r="CM17" s="867">
        <f t="shared" si="9"/>
        <v>78.528999999999996</v>
      </c>
      <c r="CN17" s="867">
        <f>K17</f>
        <v>83.816000000000003</v>
      </c>
      <c r="CO17" s="861">
        <f t="shared" si="3"/>
        <v>5.2870000000000061</v>
      </c>
      <c r="CP17" s="879"/>
      <c r="CQ17" s="861">
        <f>CO17*CL17</f>
        <v>5075520.0000000056</v>
      </c>
      <c r="CR17" s="867">
        <v>903.048</v>
      </c>
      <c r="CS17" s="867">
        <v>910.38</v>
      </c>
      <c r="CT17" s="861">
        <f>CS17-CR17</f>
        <v>7.3319999999999936</v>
      </c>
      <c r="CU17" s="861"/>
      <c r="CV17" s="846">
        <f>CT17*CL17</f>
        <v>7038719.9999999935</v>
      </c>
      <c r="CW17" s="878">
        <f t="shared" si="4"/>
        <v>0.58488452282342396</v>
      </c>
      <c r="CX17" s="879"/>
    </row>
    <row r="18" spans="1:102" ht="14" x14ac:dyDescent="0.25">
      <c r="A18" s="2283"/>
      <c r="B18" s="2343"/>
      <c r="C18" s="2359"/>
      <c r="D18" s="861">
        <v>132</v>
      </c>
      <c r="E18" s="855" t="s">
        <v>339</v>
      </c>
      <c r="F18" s="2359"/>
      <c r="G18" s="2359"/>
      <c r="H18" s="2400"/>
      <c r="I18" s="882">
        <v>960000</v>
      </c>
      <c r="J18" s="948">
        <v>0</v>
      </c>
      <c r="K18" s="948">
        <v>0</v>
      </c>
      <c r="L18" s="885">
        <f t="shared" si="1"/>
        <v>0</v>
      </c>
      <c r="M18" s="948">
        <f>L18*I18</f>
        <v>0</v>
      </c>
      <c r="N18" s="949"/>
      <c r="O18" s="950"/>
      <c r="P18" s="948"/>
      <c r="Q18" s="948">
        <v>0</v>
      </c>
      <c r="R18" s="948">
        <v>0</v>
      </c>
      <c r="S18" s="861">
        <f t="shared" si="2"/>
        <v>0</v>
      </c>
      <c r="T18" s="861">
        <f>S18*I18</f>
        <v>0</v>
      </c>
      <c r="U18" s="861"/>
      <c r="V18" s="122"/>
      <c r="W18" s="952"/>
      <c r="X18" s="870"/>
      <c r="Y18" s="870"/>
      <c r="Z18" s="889">
        <f t="shared" si="5"/>
        <v>0</v>
      </c>
      <c r="AA18" s="121">
        <f t="shared" si="6"/>
        <v>0</v>
      </c>
      <c r="AB18" s="890"/>
      <c r="AC18" s="879"/>
      <c r="AD18" s="879">
        <v>0.81</v>
      </c>
      <c r="AE18" s="843">
        <v>0.08</v>
      </c>
      <c r="AF18" s="2402"/>
      <c r="AG18" s="872"/>
      <c r="AH18" s="936"/>
      <c r="AI18" s="937"/>
      <c r="AJ18" s="937"/>
      <c r="AK18" s="935"/>
      <c r="AL18" s="937"/>
      <c r="AM18" s="943"/>
      <c r="AN18" s="889"/>
      <c r="AO18" s="889"/>
      <c r="AP18" s="937"/>
      <c r="AQ18" s="939">
        <v>0.82</v>
      </c>
      <c r="AR18" s="940">
        <v>7.0000000000000007E-2</v>
      </c>
      <c r="AS18" s="897"/>
      <c r="AT18" s="941"/>
      <c r="AU18" s="941"/>
      <c r="AV18" s="899"/>
      <c r="AW18" s="899"/>
      <c r="AX18" s="899"/>
      <c r="AY18" s="899"/>
      <c r="AZ18" s="900" t="s">
        <v>651</v>
      </c>
      <c r="BA18" s="901" t="s">
        <v>650</v>
      </c>
      <c r="BB18" s="902" t="s">
        <v>649</v>
      </c>
      <c r="BC18" s="902">
        <f t="shared" si="11"/>
        <v>49877760.000000127</v>
      </c>
      <c r="BD18" s="902">
        <f t="shared" si="11"/>
        <v>17859839.999999821</v>
      </c>
      <c r="BE18" s="919">
        <f t="shared" si="11"/>
        <v>0.94</v>
      </c>
      <c r="BF18" s="920">
        <f t="shared" si="11"/>
        <v>0</v>
      </c>
      <c r="BG18" s="921" t="e">
        <f>#REF!</f>
        <v>#REF!</v>
      </c>
      <c r="BH18" s="922">
        <f>AA69</f>
        <v>0</v>
      </c>
      <c r="BI18" s="906"/>
      <c r="BJ18" s="899"/>
      <c r="BK18" s="823">
        <f>BK17</f>
        <v>0.9</v>
      </c>
      <c r="BL18" s="839">
        <f t="shared" si="0"/>
        <v>0.9</v>
      </c>
      <c r="BM18" s="860">
        <f t="shared" si="10"/>
        <v>0</v>
      </c>
      <c r="BN18" s="860">
        <f t="shared" si="10"/>
        <v>0</v>
      </c>
      <c r="BO18" s="861">
        <v>197760</v>
      </c>
      <c r="BP18" s="861"/>
      <c r="BQ18" s="851">
        <f t="shared" si="7"/>
        <v>-197760</v>
      </c>
      <c r="BR18" s="890">
        <f t="shared" si="7"/>
        <v>0</v>
      </c>
      <c r="BS18" s="828"/>
      <c r="BT18" s="828"/>
      <c r="BU18" s="828"/>
      <c r="BV18" s="828"/>
      <c r="BW18" s="828"/>
      <c r="BX18" s="828"/>
      <c r="BY18" s="828"/>
      <c r="BZ18" s="828"/>
      <c r="CA18" s="828"/>
      <c r="CB18" s="828"/>
      <c r="CC18" s="828"/>
      <c r="CD18" s="923"/>
      <c r="CE18" s="2345"/>
      <c r="CF18" s="2357"/>
      <c r="CG18" s="951">
        <v>132</v>
      </c>
      <c r="CH18" s="855" t="s">
        <v>339</v>
      </c>
      <c r="CI18" s="2357"/>
      <c r="CJ18" s="2357"/>
      <c r="CK18" s="2398"/>
      <c r="CL18" s="855">
        <v>960000</v>
      </c>
      <c r="CM18" s="867">
        <f t="shared" si="9"/>
        <v>0</v>
      </c>
      <c r="CN18" s="867">
        <f>K18</f>
        <v>0</v>
      </c>
      <c r="CO18" s="861">
        <f t="shared" si="3"/>
        <v>0</v>
      </c>
      <c r="CP18" s="861">
        <f>CO18*CL18</f>
        <v>0</v>
      </c>
      <c r="CQ18" s="861"/>
      <c r="CR18" s="867">
        <v>2.109</v>
      </c>
      <c r="CS18" s="867">
        <v>2.1869999999999998</v>
      </c>
      <c r="CT18" s="861">
        <f>CS18-CR18</f>
        <v>7.7999999999999847E-2</v>
      </c>
      <c r="CU18" s="861">
        <f>CT18*CL18</f>
        <v>74879.999999999854</v>
      </c>
      <c r="CV18" s="846"/>
      <c r="CW18" s="878" t="e">
        <f t="shared" si="4"/>
        <v>#DIV/0!</v>
      </c>
      <c r="CX18" s="879"/>
    </row>
    <row r="19" spans="1:102" ht="14.15" customHeight="1" x14ac:dyDescent="0.25">
      <c r="A19" s="2283" t="s">
        <v>648</v>
      </c>
      <c r="B19" s="2283"/>
      <c r="C19" s="2283"/>
      <c r="D19" s="2283"/>
      <c r="E19" s="2283"/>
      <c r="F19" s="2283"/>
      <c r="G19" s="855"/>
      <c r="H19" s="932"/>
      <c r="I19" s="855"/>
      <c r="J19" s="953"/>
      <c r="K19" s="953"/>
      <c r="L19" s="843" t="s">
        <v>323</v>
      </c>
      <c r="M19" s="843">
        <f>SUM(M6:M18)</f>
        <v>115199.99999998817</v>
      </c>
      <c r="N19" s="856">
        <f>SUM(N7:N18)</f>
        <v>22678079.999999993</v>
      </c>
      <c r="O19" s="1272">
        <f>N19-M19</f>
        <v>22562880.000000004</v>
      </c>
      <c r="P19" s="955" t="s">
        <v>323</v>
      </c>
      <c r="Q19" s="953"/>
      <c r="R19" s="953"/>
      <c r="S19" s="955"/>
      <c r="T19" s="955">
        <f>SUM(T7:T18)</f>
        <v>235200.00000000268</v>
      </c>
      <c r="U19" s="955">
        <f>SUM(U7:U18)</f>
        <v>11056320.000000006</v>
      </c>
      <c r="V19" s="879"/>
      <c r="W19" s="954">
        <f>U19-T19</f>
        <v>10821120.000000004</v>
      </c>
      <c r="X19" s="870"/>
      <c r="Y19" s="870"/>
      <c r="Z19" s="889">
        <f>Y19*W19</f>
        <v>0</v>
      </c>
      <c r="AA19" s="121">
        <f t="shared" si="6"/>
        <v>0</v>
      </c>
      <c r="AB19" s="890"/>
      <c r="AC19" s="956"/>
      <c r="AD19" s="957">
        <v>0.8</v>
      </c>
      <c r="AE19" s="843">
        <v>0.09</v>
      </c>
      <c r="AF19" s="958"/>
      <c r="AG19" s="959"/>
      <c r="AH19" s="959"/>
      <c r="AI19" s="960"/>
      <c r="AJ19" s="960"/>
      <c r="AK19" s="961"/>
      <c r="AL19" s="962"/>
      <c r="AM19" s="963"/>
      <c r="AN19" s="889"/>
      <c r="AO19" s="889"/>
      <c r="AP19" s="960"/>
      <c r="AQ19" s="964">
        <v>0.81</v>
      </c>
      <c r="AR19" s="965">
        <v>0.08</v>
      </c>
      <c r="AS19" s="897"/>
      <c r="AT19" s="941"/>
      <c r="AU19" s="941"/>
      <c r="AV19" s="899"/>
      <c r="AW19" s="966">
        <f>Z7+Z11+Z15</f>
        <v>0</v>
      </c>
      <c r="AX19" s="899"/>
      <c r="AY19" s="899"/>
      <c r="AZ19" s="866" t="s">
        <v>647</v>
      </c>
      <c r="BA19" s="901" t="s">
        <v>646</v>
      </c>
      <c r="BB19" s="902" t="s">
        <v>645</v>
      </c>
      <c r="BC19" s="902">
        <f>V17</f>
        <v>5075520.0000000056</v>
      </c>
      <c r="BD19" s="902">
        <f>W17</f>
        <v>1777920.0000000002</v>
      </c>
      <c r="BE19" s="919">
        <f>X17</f>
        <v>0.94</v>
      </c>
      <c r="BF19" s="904">
        <f>Y17</f>
        <v>0</v>
      </c>
      <c r="BG19" s="921" t="e">
        <f>#REF!</f>
        <v>#REF!</v>
      </c>
      <c r="BH19" s="922">
        <f>AA17</f>
        <v>0</v>
      </c>
      <c r="BI19" s="906" t="s">
        <v>644</v>
      </c>
      <c r="BJ19" s="899"/>
      <c r="BK19" s="823">
        <f>BK16</f>
        <v>0.9</v>
      </c>
      <c r="BL19" s="839">
        <f t="shared" si="0"/>
        <v>0.9</v>
      </c>
      <c r="BM19" s="860">
        <f t="shared" si="10"/>
        <v>115199.99999998817</v>
      </c>
      <c r="BN19" s="860">
        <f t="shared" si="10"/>
        <v>22678079.999999993</v>
      </c>
      <c r="BO19" s="861">
        <f>SUM(BO7:BO18)</f>
        <v>1574400</v>
      </c>
      <c r="BP19" s="861">
        <f>SUM(BP7:BP18)</f>
        <v>98060160</v>
      </c>
      <c r="BQ19" s="851">
        <f t="shared" si="7"/>
        <v>-1459200.0000000119</v>
      </c>
      <c r="BR19" s="890">
        <f t="shared" si="7"/>
        <v>-75382080</v>
      </c>
      <c r="BS19" s="828"/>
      <c r="BT19" s="828"/>
      <c r="BU19" s="828"/>
      <c r="BV19" s="828"/>
      <c r="BW19" s="828"/>
      <c r="BX19" s="828"/>
      <c r="BY19" s="828"/>
      <c r="BZ19" s="828"/>
      <c r="CA19" s="828"/>
      <c r="CB19" s="828"/>
      <c r="CC19" s="828"/>
      <c r="CD19" s="2278"/>
      <c r="CE19" s="2279"/>
      <c r="CF19" s="2279"/>
      <c r="CG19" s="2279"/>
      <c r="CH19" s="2279"/>
      <c r="CI19" s="2280"/>
      <c r="CJ19" s="855"/>
      <c r="CK19" s="932"/>
      <c r="CL19" s="855"/>
      <c r="CM19" s="867"/>
      <c r="CN19" s="867"/>
      <c r="CO19" s="843" t="s">
        <v>323</v>
      </c>
      <c r="CP19" s="843">
        <f>CP18+CP16+CP12+CP8</f>
        <v>37439.999999987776</v>
      </c>
      <c r="CQ19" s="843">
        <f>CQ17+CQ15+CQ11+CQ7</f>
        <v>17270400.000000007</v>
      </c>
      <c r="CR19" s="867"/>
      <c r="CS19" s="867"/>
      <c r="CT19" s="955"/>
      <c r="CU19" s="955">
        <f>SUM(CU7:CU18)</f>
        <v>747840.00000000035</v>
      </c>
      <c r="CV19" s="967">
        <f>SUM(CV7:CV18)</f>
        <v>64280640.000000052</v>
      </c>
      <c r="CW19" s="968"/>
      <c r="CX19" s="879"/>
    </row>
    <row r="20" spans="1:102" ht="20.25" customHeight="1" x14ac:dyDescent="0.25">
      <c r="A20" s="2295">
        <v>5</v>
      </c>
      <c r="B20" s="2343" t="s">
        <v>100</v>
      </c>
      <c r="C20" s="2359" t="s">
        <v>641</v>
      </c>
      <c r="D20" s="861">
        <v>132</v>
      </c>
      <c r="E20" s="855" t="s">
        <v>326</v>
      </c>
      <c r="F20" s="2359">
        <v>8993647</v>
      </c>
      <c r="G20" s="2359" t="s">
        <v>560</v>
      </c>
      <c r="H20" s="2400" t="s">
        <v>324</v>
      </c>
      <c r="I20" s="855">
        <v>960000</v>
      </c>
      <c r="J20" s="933">
        <v>5645.8109999999997</v>
      </c>
      <c r="K20" s="933">
        <v>5683.17</v>
      </c>
      <c r="L20" s="861">
        <f t="shared" ref="L20:L25" si="12">K20-J20</f>
        <v>37.359000000000378</v>
      </c>
      <c r="M20" s="879"/>
      <c r="N20" s="868">
        <f>L20*I20</f>
        <v>35864640.000000365</v>
      </c>
      <c r="O20" s="869"/>
      <c r="P20" s="861"/>
      <c r="Q20" s="933">
        <v>2447.835</v>
      </c>
      <c r="R20" s="933">
        <v>2462.0349999999999</v>
      </c>
      <c r="S20" s="861">
        <f t="shared" ref="S20:S25" si="13">R20-Q20</f>
        <v>14.199999999999818</v>
      </c>
      <c r="T20" s="861"/>
      <c r="U20" s="861">
        <f>S20*I20</f>
        <v>13631999.999999825</v>
      </c>
      <c r="V20" s="122">
        <f>N20-M21</f>
        <v>35702400.000000365</v>
      </c>
      <c r="W20" s="868">
        <f>U20-T21</f>
        <v>13525439.999999834</v>
      </c>
      <c r="X20" s="870">
        <v>0.94</v>
      </c>
      <c r="Y20" s="871">
        <f t="shared" ref="Y20:Y74" si="14">IF(AND(X20&gt;=0.885,X20&lt;0.9),1*0.005,IF(AND(X20&gt;=0.875,X20&lt;0.89),1*0.01,IF(AND(X20&gt;=0.865,X20&lt;0.88),1*0.02,IF(AND(X20&gt;=0.855,X20&lt;0.87),1*0.03,IF(AND(X20&gt;=0.845,X20&lt;0.86),1*0.04,IF(AND(X20&gt;=0.835,X20&lt;0.85),1*0.05,IF(AND(X20&gt;=0.825,X20&lt;0.84),1*0.06,IF(AND(X20&gt;=0.815,X20&lt;0.83),1*0.07,IF(AND(X20&gt;=0.805,X20&lt;0.82),1*0.08,IF(AND(X20&gt;=0.795,X20&lt;0.81),1*0.09,IF(AND(X20&gt;=0.785,X20&lt;0.8),1*0.105,IF(AND(X20&gt;=0.775,X20&lt;0.79),1*0.12,IF(AND(X20&gt;=0.765,X20&lt;0.78),1*0.135,IF(AND(X20&gt;=0.755,X20&lt;0.77),1*0.15,IF(AND(X20&gt;=0.3,X20&lt;0.76),1*0.165,0)))))))))))))))</f>
        <v>0</v>
      </c>
      <c r="Z20" s="889">
        <f>Y20*V20</f>
        <v>0</v>
      </c>
      <c r="AA20" s="121">
        <f t="shared" si="6"/>
        <v>0</v>
      </c>
      <c r="AB20" s="2395" t="s">
        <v>550</v>
      </c>
      <c r="AC20" s="2395"/>
      <c r="AD20" s="879">
        <v>0.79</v>
      </c>
      <c r="AE20" s="843">
        <v>0.105</v>
      </c>
      <c r="AF20" s="2401" t="s">
        <v>100</v>
      </c>
      <c r="AG20" s="935">
        <f>X20</f>
        <v>0.94</v>
      </c>
      <c r="AH20" s="961">
        <f>Y20</f>
        <v>0</v>
      </c>
      <c r="AI20" s="960" t="e">
        <f>#REF!</f>
        <v>#REF!</v>
      </c>
      <c r="AJ20" s="937">
        <f>AA20</f>
        <v>0</v>
      </c>
      <c r="AK20" s="935">
        <v>0.88880194293856196</v>
      </c>
      <c r="AL20" s="938">
        <v>0.01</v>
      </c>
      <c r="AM20" s="969">
        <v>443462</v>
      </c>
      <c r="AN20" s="889">
        <f>AM20*5.878</f>
        <v>2606669.6359999999</v>
      </c>
      <c r="AO20" s="889" t="e">
        <f>AM20-AI20</f>
        <v>#REF!</v>
      </c>
      <c r="AP20" s="937">
        <f>AN20-AJ20</f>
        <v>2606669.6359999999</v>
      </c>
      <c r="AQ20" s="939">
        <v>0.8</v>
      </c>
      <c r="AR20" s="940">
        <v>0.09</v>
      </c>
      <c r="AS20" s="897" t="e">
        <f>COS(ATAN(#REF!/#REF!))</f>
        <v>#REF!</v>
      </c>
      <c r="AT20" s="941"/>
      <c r="AU20" s="941"/>
      <c r="AV20" s="899"/>
      <c r="AW20" s="898">
        <v>5722444.6100000003</v>
      </c>
      <c r="AX20" s="899">
        <f>AA20-AW20</f>
        <v>-5722444.6100000003</v>
      </c>
      <c r="AY20" s="899"/>
      <c r="AZ20" s="900" t="s">
        <v>637</v>
      </c>
      <c r="BA20" s="901" t="s">
        <v>643</v>
      </c>
      <c r="BB20" s="902" t="s">
        <v>642</v>
      </c>
      <c r="BC20" s="902">
        <f>V54</f>
        <v>19210560.000000406</v>
      </c>
      <c r="BD20" s="902">
        <f>W54</f>
        <v>8697599.9999999478</v>
      </c>
      <c r="BE20" s="919">
        <f>X54</f>
        <v>0.91</v>
      </c>
      <c r="BF20" s="920">
        <f>Y54</f>
        <v>0</v>
      </c>
      <c r="BG20" s="921" t="e">
        <f>#REF!</f>
        <v>#REF!</v>
      </c>
      <c r="BH20" s="922">
        <f>AA54</f>
        <v>0</v>
      </c>
      <c r="BI20" s="906"/>
      <c r="BJ20" s="899"/>
      <c r="BK20" s="823">
        <f t="shared" ref="BK20:BK34" si="15">BK19</f>
        <v>0.9</v>
      </c>
      <c r="BL20" s="839">
        <f t="shared" si="0"/>
        <v>0.9</v>
      </c>
      <c r="BM20" s="860">
        <f t="shared" si="10"/>
        <v>0</v>
      </c>
      <c r="BN20" s="860">
        <f t="shared" si="10"/>
        <v>35864640.000000365</v>
      </c>
      <c r="BO20" s="861"/>
      <c r="BP20" s="861">
        <v>32599680</v>
      </c>
      <c r="BQ20" s="851">
        <f t="shared" si="7"/>
        <v>0</v>
      </c>
      <c r="BR20" s="890">
        <f t="shared" si="7"/>
        <v>3264960.0000003651</v>
      </c>
      <c r="BS20" s="828"/>
      <c r="BT20" s="828"/>
      <c r="BU20" s="828"/>
      <c r="BV20" s="828"/>
      <c r="BW20" s="828"/>
      <c r="BX20" s="828"/>
      <c r="BY20" s="828"/>
      <c r="BZ20" s="828"/>
      <c r="CA20" s="828"/>
      <c r="CB20" s="828"/>
      <c r="CC20" s="828"/>
      <c r="CD20" s="2311">
        <v>5</v>
      </c>
      <c r="CE20" s="2344" t="s">
        <v>100</v>
      </c>
      <c r="CF20" s="2356" t="s">
        <v>641</v>
      </c>
      <c r="CG20" s="861">
        <v>132</v>
      </c>
      <c r="CH20" s="855" t="s">
        <v>326</v>
      </c>
      <c r="CI20" s="2356">
        <v>8993647</v>
      </c>
      <c r="CJ20" s="2358" t="s">
        <v>560</v>
      </c>
      <c r="CK20" s="2397" t="s">
        <v>324</v>
      </c>
      <c r="CL20" s="855">
        <v>960000</v>
      </c>
      <c r="CM20" s="867">
        <f t="shared" ref="CM20:CN25" si="16">J20</f>
        <v>5645.8109999999997</v>
      </c>
      <c r="CN20" s="867">
        <f t="shared" si="16"/>
        <v>5683.17</v>
      </c>
      <c r="CO20" s="861">
        <f t="shared" ref="CO20:CO25" si="17">CN20-CM20</f>
        <v>37.359000000000378</v>
      </c>
      <c r="CP20" s="879"/>
      <c r="CQ20" s="861">
        <f>CO20*CL20</f>
        <v>35864640.000000365</v>
      </c>
      <c r="CR20" s="867">
        <v>1752.83</v>
      </c>
      <c r="CS20" s="867">
        <v>1776.6510000000001</v>
      </c>
      <c r="CT20" s="861">
        <f t="shared" ref="CT20:CT25" si="18">CS20-CR20</f>
        <v>23.82100000000014</v>
      </c>
      <c r="CU20" s="861"/>
      <c r="CV20" s="846">
        <f>CT20*CL20</f>
        <v>22868160.000000134</v>
      </c>
      <c r="CW20" s="878">
        <f t="shared" ref="CW20:CW25" si="19">IF(CT20&lt;0.00001,"0",COS(ATAN(CT20/CO20)))</f>
        <v>0.84317975110611632</v>
      </c>
      <c r="CX20" s="879"/>
    </row>
    <row r="21" spans="1:102" ht="14" x14ac:dyDescent="0.25">
      <c r="A21" s="2295"/>
      <c r="B21" s="2343"/>
      <c r="C21" s="2359"/>
      <c r="D21" s="861">
        <v>132</v>
      </c>
      <c r="E21" s="855" t="s">
        <v>339</v>
      </c>
      <c r="F21" s="2359"/>
      <c r="G21" s="2359" t="s">
        <v>560</v>
      </c>
      <c r="H21" s="2400"/>
      <c r="I21" s="855">
        <v>960000</v>
      </c>
      <c r="J21" s="933">
        <v>37.067</v>
      </c>
      <c r="K21" s="933">
        <v>37.235999999999997</v>
      </c>
      <c r="L21" s="861">
        <f t="shared" si="12"/>
        <v>0.16899999999999693</v>
      </c>
      <c r="M21" s="861">
        <f>L21*I21</f>
        <v>162239.99999999706</v>
      </c>
      <c r="N21" s="868"/>
      <c r="O21" s="869"/>
      <c r="P21" s="861"/>
      <c r="Q21" s="933">
        <v>548.06299999999999</v>
      </c>
      <c r="R21" s="933">
        <v>548.17399999999998</v>
      </c>
      <c r="S21" s="861">
        <f t="shared" si="13"/>
        <v>0.11099999999999</v>
      </c>
      <c r="T21" s="861">
        <f>S21*I21</f>
        <v>106559.9999999904</v>
      </c>
      <c r="U21" s="861"/>
      <c r="V21" s="122"/>
      <c r="W21" s="868"/>
      <c r="X21" s="870"/>
      <c r="Y21" s="870"/>
      <c r="Z21" s="889">
        <f t="shared" si="5"/>
        <v>0</v>
      </c>
      <c r="AA21" s="121">
        <f t="shared" si="6"/>
        <v>0</v>
      </c>
      <c r="AB21" s="890"/>
      <c r="AC21" s="942"/>
      <c r="AD21" s="879">
        <v>0.78</v>
      </c>
      <c r="AE21" s="843">
        <v>0.12</v>
      </c>
      <c r="AF21" s="2402"/>
      <c r="AG21" s="872"/>
      <c r="AH21" s="936"/>
      <c r="AI21" s="937"/>
      <c r="AJ21" s="937"/>
      <c r="AK21" s="935"/>
      <c r="AL21" s="937"/>
      <c r="AM21" s="943"/>
      <c r="AN21" s="889"/>
      <c r="AO21" s="889"/>
      <c r="AP21" s="937"/>
      <c r="AQ21" s="939">
        <v>0.79</v>
      </c>
      <c r="AR21" s="940">
        <v>0.105</v>
      </c>
      <c r="AS21" s="897"/>
      <c r="AT21" s="941"/>
      <c r="AU21" s="941"/>
      <c r="AV21" s="899"/>
      <c r="AW21" s="899"/>
      <c r="AX21" s="899"/>
      <c r="AY21" s="899"/>
      <c r="AZ21" s="900" t="s">
        <v>637</v>
      </c>
      <c r="BA21" s="901" t="s">
        <v>636</v>
      </c>
      <c r="BB21" s="902" t="s">
        <v>640</v>
      </c>
      <c r="BC21" s="902">
        <f>V52</f>
        <v>25206720.000000495</v>
      </c>
      <c r="BD21" s="902">
        <f>W52</f>
        <v>11533439.999999681</v>
      </c>
      <c r="BE21" s="919">
        <f>X52</f>
        <v>0.91</v>
      </c>
      <c r="BF21" s="920">
        <f>Y52</f>
        <v>0</v>
      </c>
      <c r="BG21" s="921" t="e">
        <f>#REF!</f>
        <v>#REF!</v>
      </c>
      <c r="BH21" s="922">
        <f>AA52</f>
        <v>0</v>
      </c>
      <c r="BI21" s="906"/>
      <c r="BJ21" s="899"/>
      <c r="BK21" s="823">
        <f t="shared" si="15"/>
        <v>0.9</v>
      </c>
      <c r="BL21" s="839">
        <f t="shared" si="0"/>
        <v>0.9</v>
      </c>
      <c r="BM21" s="860">
        <f t="shared" si="10"/>
        <v>162239.99999999706</v>
      </c>
      <c r="BN21" s="860">
        <f t="shared" si="10"/>
        <v>0</v>
      </c>
      <c r="BO21" s="861"/>
      <c r="BP21" s="861"/>
      <c r="BQ21" s="851">
        <f t="shared" si="7"/>
        <v>162239.99999999706</v>
      </c>
      <c r="BR21" s="890">
        <f t="shared" si="7"/>
        <v>0</v>
      </c>
      <c r="BS21" s="828"/>
      <c r="BT21" s="828"/>
      <c r="BU21" s="828"/>
      <c r="BV21" s="828"/>
      <c r="BW21" s="828"/>
      <c r="BX21" s="828"/>
      <c r="BY21" s="828"/>
      <c r="BZ21" s="828"/>
      <c r="CA21" s="828"/>
      <c r="CB21" s="828"/>
      <c r="CC21" s="828"/>
      <c r="CD21" s="2312"/>
      <c r="CE21" s="2345"/>
      <c r="CF21" s="2358"/>
      <c r="CG21" s="861">
        <v>132</v>
      </c>
      <c r="CH21" s="855" t="s">
        <v>339</v>
      </c>
      <c r="CI21" s="2357"/>
      <c r="CJ21" s="2357" t="s">
        <v>560</v>
      </c>
      <c r="CK21" s="2398"/>
      <c r="CL21" s="855">
        <v>960000</v>
      </c>
      <c r="CM21" s="867">
        <f t="shared" si="16"/>
        <v>37.067</v>
      </c>
      <c r="CN21" s="867">
        <f t="shared" si="16"/>
        <v>37.235999999999997</v>
      </c>
      <c r="CO21" s="861">
        <f t="shared" si="17"/>
        <v>0.16899999999999693</v>
      </c>
      <c r="CP21" s="861">
        <f>CO21*CL21</f>
        <v>162239.99999999706</v>
      </c>
      <c r="CQ21" s="861"/>
      <c r="CR21" s="867">
        <v>2.1680000000000001</v>
      </c>
      <c r="CS21" s="867">
        <v>2.1789999999999998</v>
      </c>
      <c r="CT21" s="861">
        <f t="shared" si="18"/>
        <v>1.0999999999999677E-2</v>
      </c>
      <c r="CU21" s="861">
        <f>CT21*CL21</f>
        <v>10559.999999999689</v>
      </c>
      <c r="CV21" s="846"/>
      <c r="CW21" s="878">
        <f t="shared" si="19"/>
        <v>0.99788843377771719</v>
      </c>
      <c r="CX21" s="879"/>
    </row>
    <row r="22" spans="1:102" ht="14.15" customHeight="1" x14ac:dyDescent="0.25">
      <c r="A22" s="2295">
        <v>6</v>
      </c>
      <c r="B22" s="2343" t="s">
        <v>273</v>
      </c>
      <c r="C22" s="2359"/>
      <c r="D22" s="861">
        <v>132</v>
      </c>
      <c r="E22" s="855" t="s">
        <v>326</v>
      </c>
      <c r="F22" s="2359">
        <v>8993624</v>
      </c>
      <c r="G22" s="2359" t="s">
        <v>560</v>
      </c>
      <c r="H22" s="2400" t="s">
        <v>324</v>
      </c>
      <c r="I22" s="855">
        <v>960000</v>
      </c>
      <c r="J22" s="933">
        <v>4641.3810000000003</v>
      </c>
      <c r="K22" s="933">
        <v>4653.6880000000001</v>
      </c>
      <c r="L22" s="861">
        <f t="shared" si="12"/>
        <v>12.306999999999789</v>
      </c>
      <c r="M22" s="861"/>
      <c r="N22" s="856">
        <f>L22*I22</f>
        <v>11814719.999999797</v>
      </c>
      <c r="O22" s="869"/>
      <c r="P22" s="861"/>
      <c r="Q22" s="933">
        <v>2350.9250000000002</v>
      </c>
      <c r="R22" s="933">
        <v>2352.4250000000002</v>
      </c>
      <c r="S22" s="861">
        <f t="shared" si="13"/>
        <v>1.5</v>
      </c>
      <c r="T22" s="861"/>
      <c r="U22" s="861">
        <f>S22*I22</f>
        <v>1440000</v>
      </c>
      <c r="V22" s="122">
        <f>N22-M23</f>
        <v>11814719.999999797</v>
      </c>
      <c r="W22" s="868">
        <f>U22-T23</f>
        <v>1440000</v>
      </c>
      <c r="X22" s="870">
        <f>ROUND(IF(W22&lt;0.00001,"0",COS(ATAN(W22/V22))),2)</f>
        <v>0.99</v>
      </c>
      <c r="Y22" s="871">
        <f t="shared" si="14"/>
        <v>0</v>
      </c>
      <c r="Z22" s="889">
        <f t="shared" si="5"/>
        <v>0</v>
      </c>
      <c r="AA22" s="121">
        <f t="shared" si="6"/>
        <v>0</v>
      </c>
      <c r="AB22" s="890"/>
      <c r="AC22" s="2403"/>
      <c r="AD22" s="879">
        <v>0.77</v>
      </c>
      <c r="AE22" s="843">
        <v>0.13500000000000001</v>
      </c>
      <c r="AF22" s="2401" t="s">
        <v>638</v>
      </c>
      <c r="AG22" s="892">
        <f>X22</f>
        <v>0.99</v>
      </c>
      <c r="AH22" s="936">
        <f>Y22</f>
        <v>0</v>
      </c>
      <c r="AI22" s="937" t="e">
        <f>#REF!</f>
        <v>#REF!</v>
      </c>
      <c r="AJ22" s="937"/>
      <c r="AK22" s="935">
        <v>0.91027966455559628</v>
      </c>
      <c r="AL22" s="937"/>
      <c r="AM22" s="943"/>
      <c r="AN22" s="889"/>
      <c r="AO22" s="889"/>
      <c r="AP22" s="937"/>
      <c r="AQ22" s="939">
        <v>0.78</v>
      </c>
      <c r="AR22" s="940">
        <v>0.12</v>
      </c>
      <c r="AS22" s="897" t="e">
        <f>COS(ATAN(#REF!/#REF!))</f>
        <v>#REF!</v>
      </c>
      <c r="AT22" s="941"/>
      <c r="AU22" s="941"/>
      <c r="AV22" s="899"/>
      <c r="AW22" s="898">
        <v>423441.72</v>
      </c>
      <c r="AX22" s="899">
        <f>AA22-AW22</f>
        <v>-423441.72</v>
      </c>
      <c r="AY22" s="899"/>
      <c r="AZ22" s="900" t="s">
        <v>637</v>
      </c>
      <c r="BA22" s="901" t="s">
        <v>636</v>
      </c>
      <c r="BB22" s="902" t="s">
        <v>639</v>
      </c>
      <c r="BC22" s="902">
        <f>V58</f>
        <v>16676160.000000091</v>
      </c>
      <c r="BD22" s="922">
        <f>W58</f>
        <v>3783360.0000000298</v>
      </c>
      <c r="BE22" s="919">
        <f>X58</f>
        <v>0.98</v>
      </c>
      <c r="BF22" s="920">
        <f>Y58</f>
        <v>0</v>
      </c>
      <c r="BG22" s="921" t="e">
        <f>#REF!</f>
        <v>#REF!</v>
      </c>
      <c r="BH22" s="922">
        <f>AA58</f>
        <v>0</v>
      </c>
      <c r="BI22" s="879"/>
      <c r="BJ22" s="899"/>
      <c r="BK22" s="823">
        <f t="shared" si="15"/>
        <v>0.9</v>
      </c>
      <c r="BL22" s="839">
        <f t="shared" si="0"/>
        <v>0.9</v>
      </c>
      <c r="BM22" s="860">
        <f t="shared" si="10"/>
        <v>0</v>
      </c>
      <c r="BN22" s="860">
        <f t="shared" si="10"/>
        <v>11814719.999999797</v>
      </c>
      <c r="BO22" s="861"/>
      <c r="BP22" s="861">
        <v>17099520</v>
      </c>
      <c r="BQ22" s="851">
        <f t="shared" si="7"/>
        <v>0</v>
      </c>
      <c r="BR22" s="890">
        <f t="shared" si="7"/>
        <v>-5284800.000000203</v>
      </c>
      <c r="BS22" s="828"/>
      <c r="BT22" s="828"/>
      <c r="BU22" s="828"/>
      <c r="BV22" s="828"/>
      <c r="BW22" s="828"/>
      <c r="BX22" s="828"/>
      <c r="BY22" s="828"/>
      <c r="BZ22" s="828"/>
      <c r="CA22" s="828"/>
      <c r="CB22" s="828"/>
      <c r="CC22" s="828"/>
      <c r="CD22" s="2311">
        <v>6</v>
      </c>
      <c r="CE22" s="2344" t="s">
        <v>638</v>
      </c>
      <c r="CF22" s="2358"/>
      <c r="CG22" s="861">
        <v>132</v>
      </c>
      <c r="CH22" s="855" t="s">
        <v>326</v>
      </c>
      <c r="CI22" s="2356">
        <v>8993624</v>
      </c>
      <c r="CJ22" s="2358" t="s">
        <v>560</v>
      </c>
      <c r="CK22" s="2397" t="s">
        <v>324</v>
      </c>
      <c r="CL22" s="855">
        <v>960000</v>
      </c>
      <c r="CM22" s="867">
        <f t="shared" si="16"/>
        <v>4641.3810000000003</v>
      </c>
      <c r="CN22" s="867">
        <f t="shared" si="16"/>
        <v>4653.6880000000001</v>
      </c>
      <c r="CO22" s="861">
        <f t="shared" si="17"/>
        <v>12.306999999999789</v>
      </c>
      <c r="CP22" s="861"/>
      <c r="CQ22" s="843">
        <f>CO22*CL22</f>
        <v>11814719.999999797</v>
      </c>
      <c r="CR22" s="867">
        <v>1800.6179999999999</v>
      </c>
      <c r="CS22" s="867">
        <v>1803.395</v>
      </c>
      <c r="CT22" s="861">
        <f t="shared" si="18"/>
        <v>2.7770000000000437</v>
      </c>
      <c r="CU22" s="861"/>
      <c r="CV22" s="846">
        <f>CT22*CL22</f>
        <v>2665920.0000000419</v>
      </c>
      <c r="CW22" s="878">
        <f t="shared" si="19"/>
        <v>0.9754750494396035</v>
      </c>
      <c r="CX22" s="879"/>
    </row>
    <row r="23" spans="1:102" ht="21" customHeight="1" x14ac:dyDescent="0.25">
      <c r="A23" s="2295"/>
      <c r="B23" s="2343"/>
      <c r="C23" s="2359"/>
      <c r="D23" s="861">
        <v>132</v>
      </c>
      <c r="E23" s="855" t="s">
        <v>339</v>
      </c>
      <c r="F23" s="2359"/>
      <c r="G23" s="2359" t="s">
        <v>560</v>
      </c>
      <c r="H23" s="2400"/>
      <c r="I23" s="855">
        <v>960000</v>
      </c>
      <c r="J23" s="953">
        <v>11.003</v>
      </c>
      <c r="K23" s="953">
        <v>11.003</v>
      </c>
      <c r="L23" s="861">
        <f t="shared" si="12"/>
        <v>0</v>
      </c>
      <c r="M23" s="861">
        <f>L23*I23</f>
        <v>0</v>
      </c>
      <c r="N23" s="868"/>
      <c r="O23" s="869"/>
      <c r="P23" s="861"/>
      <c r="Q23" s="953">
        <v>7.78</v>
      </c>
      <c r="R23" s="953">
        <v>7.78</v>
      </c>
      <c r="S23" s="861">
        <f t="shared" si="13"/>
        <v>0</v>
      </c>
      <c r="T23" s="861">
        <f>S23*I23</f>
        <v>0</v>
      </c>
      <c r="U23" s="861"/>
      <c r="V23" s="122"/>
      <c r="W23" s="868"/>
      <c r="X23" s="870"/>
      <c r="Y23" s="870"/>
      <c r="Z23" s="889">
        <f t="shared" si="5"/>
        <v>0</v>
      </c>
      <c r="AA23" s="121">
        <f t="shared" si="6"/>
        <v>0</v>
      </c>
      <c r="AB23" s="890"/>
      <c r="AC23" s="2403"/>
      <c r="AD23" s="879">
        <v>0.76</v>
      </c>
      <c r="AE23" s="843">
        <v>0.15000000000000002</v>
      </c>
      <c r="AF23" s="2402"/>
      <c r="AG23" s="892"/>
      <c r="AH23" s="936"/>
      <c r="AI23" s="937"/>
      <c r="AJ23" s="937"/>
      <c r="AK23" s="935"/>
      <c r="AL23" s="937"/>
      <c r="AM23" s="943"/>
      <c r="AN23" s="889"/>
      <c r="AO23" s="889"/>
      <c r="AP23" s="937"/>
      <c r="AQ23" s="939">
        <v>0.77</v>
      </c>
      <c r="AR23" s="940">
        <v>0.13500000000000001</v>
      </c>
      <c r="AS23" s="897"/>
      <c r="AT23" s="941"/>
      <c r="AU23" s="941"/>
      <c r="AV23" s="899"/>
      <c r="AW23" s="899"/>
      <c r="AX23" s="899"/>
      <c r="AY23" s="899"/>
      <c r="AZ23" s="900" t="s">
        <v>637</v>
      </c>
      <c r="BA23" s="901" t="s">
        <v>636</v>
      </c>
      <c r="BB23" s="902" t="s">
        <v>635</v>
      </c>
      <c r="BC23" s="902">
        <f>V60</f>
        <v>15240000</v>
      </c>
      <c r="BD23" s="902">
        <f>W60</f>
        <v>5389439.9999999227</v>
      </c>
      <c r="BE23" s="919">
        <f>X60</f>
        <v>0.94</v>
      </c>
      <c r="BF23" s="920">
        <f>Y60</f>
        <v>0</v>
      </c>
      <c r="BG23" s="921" t="e">
        <f>#REF!</f>
        <v>#REF!</v>
      </c>
      <c r="BH23" s="922">
        <f>AA60</f>
        <v>0</v>
      </c>
      <c r="BI23" s="879"/>
      <c r="BJ23" s="899"/>
      <c r="BK23" s="823">
        <f t="shared" si="15"/>
        <v>0.9</v>
      </c>
      <c r="BL23" s="839">
        <f t="shared" si="0"/>
        <v>0.9</v>
      </c>
      <c r="BM23" s="860">
        <f t="shared" si="10"/>
        <v>0</v>
      </c>
      <c r="BN23" s="860">
        <f t="shared" si="10"/>
        <v>0</v>
      </c>
      <c r="BO23" s="861">
        <v>22080</v>
      </c>
      <c r="BP23" s="861"/>
      <c r="BQ23" s="851">
        <f t="shared" si="7"/>
        <v>-22080</v>
      </c>
      <c r="BR23" s="890">
        <f t="shared" si="7"/>
        <v>0</v>
      </c>
      <c r="BS23" s="828"/>
      <c r="BT23" s="828"/>
      <c r="BU23" s="828"/>
      <c r="BV23" s="828"/>
      <c r="BW23" s="828"/>
      <c r="BX23" s="828"/>
      <c r="BY23" s="828"/>
      <c r="BZ23" s="828"/>
      <c r="CA23" s="828"/>
      <c r="CB23" s="828"/>
      <c r="CC23" s="828"/>
      <c r="CD23" s="2312"/>
      <c r="CE23" s="2345"/>
      <c r="CF23" s="2358"/>
      <c r="CG23" s="861">
        <v>132</v>
      </c>
      <c r="CH23" s="855" t="s">
        <v>339</v>
      </c>
      <c r="CI23" s="2357"/>
      <c r="CJ23" s="2357" t="s">
        <v>560</v>
      </c>
      <c r="CK23" s="2398"/>
      <c r="CL23" s="855">
        <v>960000</v>
      </c>
      <c r="CM23" s="867">
        <f t="shared" si="16"/>
        <v>11.003</v>
      </c>
      <c r="CN23" s="867">
        <f t="shared" si="16"/>
        <v>11.003</v>
      </c>
      <c r="CO23" s="861">
        <f t="shared" si="17"/>
        <v>0</v>
      </c>
      <c r="CP23" s="861">
        <f>CO23*CL23</f>
        <v>0</v>
      </c>
      <c r="CQ23" s="861"/>
      <c r="CR23" s="867">
        <v>0.11</v>
      </c>
      <c r="CS23" s="867">
        <v>0.28899999999999998</v>
      </c>
      <c r="CT23" s="861">
        <f t="shared" si="18"/>
        <v>0.17899999999999999</v>
      </c>
      <c r="CU23" s="861">
        <f>CT23*CL23</f>
        <v>171840</v>
      </c>
      <c r="CV23" s="846"/>
      <c r="CW23" s="878" t="e">
        <f t="shared" si="19"/>
        <v>#DIV/0!</v>
      </c>
      <c r="CX23" s="879"/>
    </row>
    <row r="24" spans="1:102" ht="14.15" customHeight="1" x14ac:dyDescent="0.25">
      <c r="A24" s="2295">
        <v>7</v>
      </c>
      <c r="B24" s="2343" t="s">
        <v>116</v>
      </c>
      <c r="C24" s="2359"/>
      <c r="D24" s="885">
        <v>132</v>
      </c>
      <c r="E24" s="882" t="s">
        <v>326</v>
      </c>
      <c r="F24" s="2414">
        <v>8993646</v>
      </c>
      <c r="G24" s="2414" t="s">
        <v>560</v>
      </c>
      <c r="H24" s="2415" t="s">
        <v>324</v>
      </c>
      <c r="I24" s="882">
        <v>960000</v>
      </c>
      <c r="J24" s="884">
        <v>3042.6759999999999</v>
      </c>
      <c r="K24" s="884">
        <v>3042.6759999999999</v>
      </c>
      <c r="L24" s="884">
        <f t="shared" si="12"/>
        <v>0</v>
      </c>
      <c r="M24" s="884" t="s">
        <v>237</v>
      </c>
      <c r="N24" s="970">
        <f>L24*I24</f>
        <v>0</v>
      </c>
      <c r="O24" s="971"/>
      <c r="P24" s="884"/>
      <c r="Q24" s="884">
        <v>1660.595</v>
      </c>
      <c r="R24" s="884">
        <v>1660.595</v>
      </c>
      <c r="S24" s="972">
        <f t="shared" si="13"/>
        <v>0</v>
      </c>
      <c r="T24" s="861"/>
      <c r="U24" s="861">
        <f>S24*I24</f>
        <v>0</v>
      </c>
      <c r="V24" s="122">
        <f>N24-M25</f>
        <v>0</v>
      </c>
      <c r="W24" s="868">
        <f>U24-T25</f>
        <v>0</v>
      </c>
      <c r="X24" s="870" t="str">
        <f>IF(W24&lt;0.00001,"0",COS(ATAN(W24/V24)))</f>
        <v>0</v>
      </c>
      <c r="Y24" s="871">
        <f t="shared" si="14"/>
        <v>0</v>
      </c>
      <c r="Z24" s="889">
        <f t="shared" si="5"/>
        <v>0</v>
      </c>
      <c r="AA24" s="121">
        <f t="shared" si="6"/>
        <v>0</v>
      </c>
      <c r="AB24" s="890"/>
      <c r="AC24" s="2403"/>
      <c r="AD24" s="879">
        <v>0.75</v>
      </c>
      <c r="AE24" s="843">
        <v>0.16500000000000004</v>
      </c>
      <c r="AF24" s="2401" t="s">
        <v>116</v>
      </c>
      <c r="AG24" s="892" t="str">
        <f>X24</f>
        <v>0</v>
      </c>
      <c r="AH24" s="936">
        <f>Y24</f>
        <v>0</v>
      </c>
      <c r="AI24" s="937" t="e">
        <f>#REF!</f>
        <v>#REF!</v>
      </c>
      <c r="AJ24" s="937">
        <f>AH24*5.878</f>
        <v>0</v>
      </c>
      <c r="AK24" s="935" t="s">
        <v>634</v>
      </c>
      <c r="AL24" s="936"/>
      <c r="AM24" s="969"/>
      <c r="AN24" s="889"/>
      <c r="AO24" s="889"/>
      <c r="AP24" s="937"/>
      <c r="AQ24" s="939">
        <v>0.76</v>
      </c>
      <c r="AR24" s="940">
        <v>0.15000000000000002</v>
      </c>
      <c r="AS24" s="897" t="e">
        <f>COS(ATAN(#REF!/#REF!))</f>
        <v>#REF!</v>
      </c>
      <c r="AT24" s="941"/>
      <c r="AU24" s="941"/>
      <c r="AV24" s="899"/>
      <c r="AW24" s="899"/>
      <c r="AX24" s="899"/>
      <c r="AY24" s="899"/>
      <c r="AZ24" s="900" t="s">
        <v>623</v>
      </c>
      <c r="BA24" s="901" t="s">
        <v>633</v>
      </c>
      <c r="BB24" s="902" t="s">
        <v>632</v>
      </c>
      <c r="BC24" s="902">
        <f>V42</f>
        <v>25307520.000000078</v>
      </c>
      <c r="BD24" s="902">
        <f>W42</f>
        <v>11451840.000000084</v>
      </c>
      <c r="BE24" s="919">
        <f>X42</f>
        <v>0.91</v>
      </c>
      <c r="BF24" s="920">
        <f>Y42</f>
        <v>0</v>
      </c>
      <c r="BG24" s="921" t="e">
        <f>#REF!+#REF!</f>
        <v>#REF!</v>
      </c>
      <c r="BH24" s="922">
        <f>AA42+AA43</f>
        <v>0</v>
      </c>
      <c r="BI24" s="906"/>
      <c r="BJ24" s="899"/>
      <c r="BK24" s="823">
        <f t="shared" si="15"/>
        <v>0.9</v>
      </c>
      <c r="BL24" s="839">
        <f t="shared" si="0"/>
        <v>0.9</v>
      </c>
      <c r="BM24" s="860" t="str">
        <f t="shared" si="10"/>
        <v xml:space="preserve"> </v>
      </c>
      <c r="BN24" s="860">
        <f t="shared" si="10"/>
        <v>0</v>
      </c>
      <c r="BO24" s="861"/>
      <c r="BP24" s="861">
        <v>29952960</v>
      </c>
      <c r="BQ24" s="851" t="e">
        <f t="shared" si="7"/>
        <v>#VALUE!</v>
      </c>
      <c r="BR24" s="890">
        <f t="shared" si="7"/>
        <v>-29952960</v>
      </c>
      <c r="BS24" s="828"/>
      <c r="BT24" s="828"/>
      <c r="BU24" s="828"/>
      <c r="BV24" s="828"/>
      <c r="BW24" s="828"/>
      <c r="BX24" s="828"/>
      <c r="BY24" s="828"/>
      <c r="BZ24" s="828"/>
      <c r="CA24" s="828"/>
      <c r="CB24" s="828"/>
      <c r="CC24" s="828"/>
      <c r="CD24" s="2311">
        <v>7</v>
      </c>
      <c r="CE24" s="2344" t="s">
        <v>116</v>
      </c>
      <c r="CF24" s="2358"/>
      <c r="CG24" s="861">
        <v>132</v>
      </c>
      <c r="CH24" s="855" t="s">
        <v>326</v>
      </c>
      <c r="CI24" s="2356">
        <v>8993646</v>
      </c>
      <c r="CJ24" s="2358" t="s">
        <v>560</v>
      </c>
      <c r="CK24" s="2397" t="s">
        <v>324</v>
      </c>
      <c r="CL24" s="855">
        <v>960000</v>
      </c>
      <c r="CM24" s="867">
        <f t="shared" si="16"/>
        <v>3042.6759999999999</v>
      </c>
      <c r="CN24" s="867">
        <f t="shared" si="16"/>
        <v>3042.6759999999999</v>
      </c>
      <c r="CO24" s="861">
        <f t="shared" si="17"/>
        <v>0</v>
      </c>
      <c r="CP24" s="861" t="s">
        <v>237</v>
      </c>
      <c r="CQ24" s="861">
        <f>CO24*CL24</f>
        <v>0</v>
      </c>
      <c r="CR24" s="867">
        <v>1660.595</v>
      </c>
      <c r="CS24" s="867">
        <v>1660.595</v>
      </c>
      <c r="CT24" s="861">
        <f t="shared" si="18"/>
        <v>0</v>
      </c>
      <c r="CU24" s="861"/>
      <c r="CV24" s="846">
        <f>CT24*CL24</f>
        <v>0</v>
      </c>
      <c r="CW24" s="878" t="str">
        <f t="shared" si="19"/>
        <v>0</v>
      </c>
      <c r="CX24" s="879"/>
    </row>
    <row r="25" spans="1:102" ht="14.5" thickBot="1" x14ac:dyDescent="0.3">
      <c r="A25" s="2295"/>
      <c r="B25" s="2343"/>
      <c r="C25" s="2359"/>
      <c r="D25" s="885">
        <v>132</v>
      </c>
      <c r="E25" s="882" t="s">
        <v>339</v>
      </c>
      <c r="F25" s="2414"/>
      <c r="G25" s="2414" t="s">
        <v>560</v>
      </c>
      <c r="H25" s="2415"/>
      <c r="I25" s="882">
        <v>960000</v>
      </c>
      <c r="J25" s="884">
        <v>2.1000000000000001E-2</v>
      </c>
      <c r="K25" s="884">
        <v>2.1000000000000001E-2</v>
      </c>
      <c r="L25" s="884">
        <f t="shared" si="12"/>
        <v>0</v>
      </c>
      <c r="M25" s="884">
        <f>L25*I25</f>
        <v>0</v>
      </c>
      <c r="N25" s="970"/>
      <c r="O25" s="971"/>
      <c r="P25" s="884"/>
      <c r="Q25" s="884">
        <v>2E-3</v>
      </c>
      <c r="R25" s="884">
        <v>2E-3</v>
      </c>
      <c r="S25" s="972">
        <f t="shared" si="13"/>
        <v>0</v>
      </c>
      <c r="T25" s="861">
        <f>S25*I25</f>
        <v>0</v>
      </c>
      <c r="U25" s="861"/>
      <c r="V25" s="122"/>
      <c r="W25" s="868"/>
      <c r="X25" s="870"/>
      <c r="Y25" s="870"/>
      <c r="Z25" s="889">
        <f t="shared" si="5"/>
        <v>0</v>
      </c>
      <c r="AA25" s="121">
        <f t="shared" si="6"/>
        <v>0</v>
      </c>
      <c r="AB25" s="890"/>
      <c r="AC25" s="2403"/>
      <c r="AE25" s="837"/>
      <c r="AF25" s="2402"/>
      <c r="AG25" s="892"/>
      <c r="AH25" s="936"/>
      <c r="AI25" s="937"/>
      <c r="AJ25" s="937"/>
      <c r="AK25" s="935"/>
      <c r="AL25" s="937"/>
      <c r="AM25" s="943"/>
      <c r="AN25" s="889"/>
      <c r="AO25" s="889"/>
      <c r="AP25" s="937"/>
      <c r="AQ25" s="973">
        <v>0.75</v>
      </c>
      <c r="AR25" s="974">
        <v>0.16500000000000004</v>
      </c>
      <c r="AS25" s="897"/>
      <c r="AT25" s="941"/>
      <c r="AU25" s="941"/>
      <c r="AV25" s="899"/>
      <c r="AW25" s="899"/>
      <c r="AX25" s="899"/>
      <c r="AY25" s="899"/>
      <c r="AZ25" s="900" t="s">
        <v>623</v>
      </c>
      <c r="BA25" s="901" t="s">
        <v>631</v>
      </c>
      <c r="BB25" s="902" t="s">
        <v>630</v>
      </c>
      <c r="BC25" s="902">
        <f t="shared" ref="BC25:BF26" si="20">V44</f>
        <v>25112640.000000536</v>
      </c>
      <c r="BD25" s="902">
        <f t="shared" si="20"/>
        <v>11413440.000000119</v>
      </c>
      <c r="BE25" s="919">
        <f t="shared" si="20"/>
        <v>0.91</v>
      </c>
      <c r="BF25" s="920">
        <f t="shared" si="20"/>
        <v>0</v>
      </c>
      <c r="BG25" s="921" t="e">
        <f>#REF!</f>
        <v>#REF!</v>
      </c>
      <c r="BH25" s="922">
        <f>AA44</f>
        <v>0</v>
      </c>
      <c r="BI25" s="906"/>
      <c r="BJ25" s="899"/>
      <c r="BK25" s="823">
        <f t="shared" si="15"/>
        <v>0.9</v>
      </c>
      <c r="BL25" s="839">
        <f t="shared" si="0"/>
        <v>0.9</v>
      </c>
      <c r="BM25" s="860">
        <f t="shared" si="10"/>
        <v>0</v>
      </c>
      <c r="BN25" s="860">
        <f t="shared" si="10"/>
        <v>0</v>
      </c>
      <c r="BO25" s="861"/>
      <c r="BP25" s="861"/>
      <c r="BQ25" s="851">
        <f t="shared" si="7"/>
        <v>0</v>
      </c>
      <c r="BR25" s="890">
        <f t="shared" si="7"/>
        <v>0</v>
      </c>
      <c r="BS25" s="828"/>
      <c r="BT25" s="828"/>
      <c r="BU25" s="828"/>
      <c r="BV25" s="828"/>
      <c r="BW25" s="828"/>
      <c r="BX25" s="828"/>
      <c r="BY25" s="828"/>
      <c r="BZ25" s="828"/>
      <c r="CA25" s="828"/>
      <c r="CB25" s="828"/>
      <c r="CC25" s="828"/>
      <c r="CD25" s="2312"/>
      <c r="CE25" s="2345"/>
      <c r="CF25" s="2357"/>
      <c r="CG25" s="861">
        <v>132</v>
      </c>
      <c r="CH25" s="855" t="s">
        <v>339</v>
      </c>
      <c r="CI25" s="2357"/>
      <c r="CJ25" s="2357" t="s">
        <v>560</v>
      </c>
      <c r="CK25" s="2398"/>
      <c r="CL25" s="855">
        <v>960000</v>
      </c>
      <c r="CM25" s="867">
        <f t="shared" si="16"/>
        <v>2.1000000000000001E-2</v>
      </c>
      <c r="CN25" s="867">
        <f t="shared" si="16"/>
        <v>2.1000000000000001E-2</v>
      </c>
      <c r="CO25" s="861">
        <f t="shared" si="17"/>
        <v>0</v>
      </c>
      <c r="CP25" s="861">
        <f>CO25*CL25</f>
        <v>0</v>
      </c>
      <c r="CQ25" s="861"/>
      <c r="CR25" s="867">
        <v>2E-3</v>
      </c>
      <c r="CS25" s="867">
        <v>2E-3</v>
      </c>
      <c r="CT25" s="861">
        <f t="shared" si="18"/>
        <v>0</v>
      </c>
      <c r="CU25" s="861">
        <f>CT25*CL25</f>
        <v>0</v>
      </c>
      <c r="CV25" s="846"/>
      <c r="CW25" s="878" t="str">
        <f t="shared" si="19"/>
        <v>0</v>
      </c>
      <c r="CX25" s="879"/>
    </row>
    <row r="26" spans="1:102" ht="14.9" customHeight="1" x14ac:dyDescent="0.25">
      <c r="A26" s="2283" t="s">
        <v>467</v>
      </c>
      <c r="B26" s="2283"/>
      <c r="C26" s="2283"/>
      <c r="D26" s="2283"/>
      <c r="E26" s="2283"/>
      <c r="F26" s="2283"/>
      <c r="G26" s="855"/>
      <c r="H26" s="932"/>
      <c r="I26" s="855"/>
      <c r="J26" s="953"/>
      <c r="K26" s="953"/>
      <c r="L26" s="843" t="s">
        <v>323</v>
      </c>
      <c r="M26" s="843">
        <f>SUM(M20:M25)</f>
        <v>162239.99999999706</v>
      </c>
      <c r="N26" s="856">
        <f>SUM(N20:N25)</f>
        <v>47679360.000000164</v>
      </c>
      <c r="O26" s="954">
        <f>N26-M26</f>
        <v>47517120.000000164</v>
      </c>
      <c r="P26" s="955" t="s">
        <v>323</v>
      </c>
      <c r="Q26" s="953"/>
      <c r="R26" s="953"/>
      <c r="S26" s="955"/>
      <c r="T26" s="843">
        <f>SUM(T20:T25)</f>
        <v>106559.9999999904</v>
      </c>
      <c r="U26" s="843">
        <f>SUM(U20:U25)</f>
        <v>15071999.999999825</v>
      </c>
      <c r="V26" s="879"/>
      <c r="W26" s="954">
        <f>U26-T26</f>
        <v>14965439.999999834</v>
      </c>
      <c r="X26" s="870"/>
      <c r="Y26" s="870"/>
      <c r="Z26" s="889">
        <f>Y26*W26</f>
        <v>0</v>
      </c>
      <c r="AA26" s="121">
        <f t="shared" si="6"/>
        <v>0</v>
      </c>
      <c r="AB26" s="890"/>
      <c r="AC26" s="879"/>
      <c r="AE26" s="837"/>
      <c r="AF26" s="975"/>
      <c r="AG26" s="892"/>
      <c r="AH26" s="936"/>
      <c r="AI26" s="937"/>
      <c r="AJ26" s="937"/>
      <c r="AK26" s="935"/>
      <c r="AL26" s="937"/>
      <c r="AM26" s="943"/>
      <c r="AN26" s="889"/>
      <c r="AO26" s="889"/>
      <c r="AP26" s="937"/>
      <c r="AQ26" s="941"/>
      <c r="AR26" s="941"/>
      <c r="AS26" s="897"/>
      <c r="AT26" s="941"/>
      <c r="AU26" s="941"/>
      <c r="AV26" s="899"/>
      <c r="AW26" s="966">
        <f>Z20</f>
        <v>0</v>
      </c>
      <c r="AX26" s="899"/>
      <c r="AY26" s="899"/>
      <c r="AZ26" s="900" t="s">
        <v>623</v>
      </c>
      <c r="BA26" s="901" t="s">
        <v>629</v>
      </c>
      <c r="BB26" s="902" t="s">
        <v>628</v>
      </c>
      <c r="BC26" s="902">
        <f t="shared" si="20"/>
        <v>13489919.999999911</v>
      </c>
      <c r="BD26" s="902">
        <f t="shared" si="20"/>
        <v>2725920.0000000419</v>
      </c>
      <c r="BE26" s="919">
        <f t="shared" si="20"/>
        <v>0.98</v>
      </c>
      <c r="BF26" s="920">
        <f t="shared" si="20"/>
        <v>0</v>
      </c>
      <c r="BG26" s="921" t="e">
        <f>#REF!</f>
        <v>#REF!</v>
      </c>
      <c r="BH26" s="922">
        <f>AA45</f>
        <v>0</v>
      </c>
      <c r="BI26" s="906"/>
      <c r="BJ26" s="899"/>
      <c r="BK26" s="823">
        <f t="shared" si="15"/>
        <v>0.9</v>
      </c>
      <c r="BL26" s="839">
        <f t="shared" si="0"/>
        <v>0.9</v>
      </c>
      <c r="BM26" s="860">
        <f t="shared" si="10"/>
        <v>162239.99999999706</v>
      </c>
      <c r="BN26" s="860">
        <f t="shared" si="10"/>
        <v>47679360.000000164</v>
      </c>
      <c r="BO26" s="861">
        <f>SUM(BO20:BO25)</f>
        <v>22080</v>
      </c>
      <c r="BP26" s="861">
        <f>SUM(BP20:BP25)</f>
        <v>79652160</v>
      </c>
      <c r="BQ26" s="851">
        <f t="shared" si="7"/>
        <v>140159.99999999706</v>
      </c>
      <c r="BR26" s="890">
        <f t="shared" si="7"/>
        <v>-31972799.999999836</v>
      </c>
      <c r="BS26" s="828"/>
      <c r="BT26" s="828"/>
      <c r="BU26" s="828"/>
      <c r="BV26" s="828"/>
      <c r="BW26" s="828"/>
      <c r="BX26" s="828"/>
      <c r="BY26" s="828"/>
      <c r="BZ26" s="828"/>
      <c r="CA26" s="828"/>
      <c r="CB26" s="828"/>
      <c r="CC26" s="828"/>
      <c r="CD26" s="2278"/>
      <c r="CE26" s="2279"/>
      <c r="CF26" s="2279"/>
      <c r="CG26" s="2279"/>
      <c r="CH26" s="2279"/>
      <c r="CI26" s="2280"/>
      <c r="CJ26" s="855"/>
      <c r="CK26" s="932"/>
      <c r="CL26" s="855"/>
      <c r="CM26" s="867"/>
      <c r="CN26" s="867"/>
      <c r="CO26" s="843" t="s">
        <v>323</v>
      </c>
      <c r="CP26" s="843">
        <f>SUM(CP20:CP25)</f>
        <v>162239.99999999706</v>
      </c>
      <c r="CQ26" s="843">
        <f>SUM(CQ20:CQ25)</f>
        <v>47679360.000000164</v>
      </c>
      <c r="CR26" s="867"/>
      <c r="CS26" s="867"/>
      <c r="CT26" s="955"/>
      <c r="CU26" s="843">
        <f>SUM(CU20:CU25)</f>
        <v>182399.99999999968</v>
      </c>
      <c r="CV26" s="849">
        <f>SUM(CV20:CV25)</f>
        <v>25534080.000000175</v>
      </c>
      <c r="CW26" s="968"/>
      <c r="CX26" s="879"/>
    </row>
    <row r="27" spans="1:102" ht="28.5" customHeight="1" x14ac:dyDescent="0.25">
      <c r="A27" s="2295">
        <v>8</v>
      </c>
      <c r="B27" s="2343" t="s">
        <v>625</v>
      </c>
      <c r="C27" s="2359" t="s">
        <v>624</v>
      </c>
      <c r="D27" s="861">
        <v>132</v>
      </c>
      <c r="E27" s="855" t="s">
        <v>326</v>
      </c>
      <c r="F27" s="2359">
        <v>8993518</v>
      </c>
      <c r="G27" s="2359" t="s">
        <v>560</v>
      </c>
      <c r="H27" s="2400" t="s">
        <v>324</v>
      </c>
      <c r="I27" s="855">
        <v>960000</v>
      </c>
      <c r="J27" s="933">
        <v>987.52</v>
      </c>
      <c r="K27" s="933">
        <v>1001.634</v>
      </c>
      <c r="L27" s="861">
        <f>K27-J27</f>
        <v>14.114000000000033</v>
      </c>
      <c r="M27" s="861"/>
      <c r="N27" s="868">
        <f>L27*I27</f>
        <v>13549440.000000032</v>
      </c>
      <c r="O27" s="869"/>
      <c r="P27" s="861"/>
      <c r="Q27" s="933">
        <v>712.41300000000001</v>
      </c>
      <c r="R27" s="933">
        <v>717.86800000000005</v>
      </c>
      <c r="S27" s="861">
        <f>R27-Q27</f>
        <v>5.4550000000000409</v>
      </c>
      <c r="T27" s="861"/>
      <c r="U27" s="861">
        <f>S27*I27</f>
        <v>5236800.0000000391</v>
      </c>
      <c r="V27" s="122">
        <f>N27-M28</f>
        <v>13549440.000000032</v>
      </c>
      <c r="W27" s="868">
        <f>U27-T28</f>
        <v>5234880.0000000568</v>
      </c>
      <c r="X27" s="870">
        <f>ROUND(IF(W27&lt;0.00001,"0",COS(ATAN(W27/V27))),2)</f>
        <v>0.93</v>
      </c>
      <c r="Y27" s="871">
        <f t="shared" si="14"/>
        <v>0</v>
      </c>
      <c r="Z27" s="889">
        <f>Y27*V27</f>
        <v>0</v>
      </c>
      <c r="AA27" s="121">
        <f t="shared" si="6"/>
        <v>0</v>
      </c>
      <c r="AB27" s="890"/>
      <c r="AC27" s="2295"/>
      <c r="AD27" s="828"/>
      <c r="AE27" s="837"/>
      <c r="AF27" s="2401" t="s">
        <v>625</v>
      </c>
      <c r="AG27" s="892">
        <f>X27</f>
        <v>0.93</v>
      </c>
      <c r="AH27" s="891">
        <f>Y27</f>
        <v>0</v>
      </c>
      <c r="AI27" s="874" t="e">
        <f>#REF!</f>
        <v>#REF!</v>
      </c>
      <c r="AJ27" s="874"/>
      <c r="AK27" s="892">
        <v>0.92609235976967386</v>
      </c>
      <c r="AL27" s="891"/>
      <c r="AM27" s="976"/>
      <c r="AN27" s="889"/>
      <c r="AO27" s="889"/>
      <c r="AP27" s="874"/>
      <c r="AQ27" s="898"/>
      <c r="AR27" s="898"/>
      <c r="AS27" s="897" t="e">
        <f>COS(ATAN(#REF!/#REF!))</f>
        <v>#REF!</v>
      </c>
      <c r="AT27" s="898"/>
      <c r="AU27" s="898"/>
      <c r="AV27" s="899"/>
      <c r="AW27" s="898">
        <v>304546.23</v>
      </c>
      <c r="AX27" s="899">
        <f>AA27-AW27</f>
        <v>-304546.23</v>
      </c>
      <c r="AY27" s="897"/>
      <c r="AZ27" s="900" t="s">
        <v>623</v>
      </c>
      <c r="BA27" s="901" t="s">
        <v>627</v>
      </c>
      <c r="BB27" s="902" t="s">
        <v>626</v>
      </c>
      <c r="BC27" s="902">
        <f>V47</f>
        <v>0</v>
      </c>
      <c r="BD27" s="902">
        <f>W47</f>
        <v>0</v>
      </c>
      <c r="BE27" s="919">
        <f>X47</f>
        <v>0</v>
      </c>
      <c r="BF27" s="920">
        <f>Y47</f>
        <v>0</v>
      </c>
      <c r="BG27" s="921">
        <f>BH27/5.878</f>
        <v>0</v>
      </c>
      <c r="BH27" s="922">
        <f>AA47</f>
        <v>0</v>
      </c>
      <c r="BI27" s="906"/>
      <c r="BJ27" s="897"/>
      <c r="BK27" s="823">
        <f t="shared" si="15"/>
        <v>0.9</v>
      </c>
      <c r="BL27" s="839">
        <f t="shared" si="0"/>
        <v>0.9</v>
      </c>
      <c r="BM27" s="860">
        <f t="shared" si="10"/>
        <v>0</v>
      </c>
      <c r="BN27" s="860">
        <f t="shared" si="10"/>
        <v>13549440.000000032</v>
      </c>
      <c r="BO27" s="861"/>
      <c r="BP27" s="861">
        <v>349440</v>
      </c>
      <c r="BQ27" s="851">
        <f t="shared" si="7"/>
        <v>0</v>
      </c>
      <c r="BR27" s="890">
        <f t="shared" si="7"/>
        <v>13200000.000000032</v>
      </c>
      <c r="BS27" s="828"/>
      <c r="BT27" s="828"/>
      <c r="BU27" s="828"/>
      <c r="BV27" s="828"/>
      <c r="BW27" s="828"/>
      <c r="BX27" s="828"/>
      <c r="BY27" s="828"/>
      <c r="BZ27" s="828"/>
      <c r="CA27" s="828"/>
      <c r="CB27" s="828"/>
      <c r="CC27" s="828"/>
      <c r="CD27" s="2311">
        <v>8</v>
      </c>
      <c r="CE27" s="2344" t="s">
        <v>625</v>
      </c>
      <c r="CF27" s="2356" t="s">
        <v>624</v>
      </c>
      <c r="CG27" s="861">
        <v>132</v>
      </c>
      <c r="CH27" s="855" t="s">
        <v>326</v>
      </c>
      <c r="CI27" s="2356">
        <v>8993518</v>
      </c>
      <c r="CJ27" s="2358" t="s">
        <v>560</v>
      </c>
      <c r="CK27" s="2397" t="s">
        <v>324</v>
      </c>
      <c r="CL27" s="855">
        <v>960000</v>
      </c>
      <c r="CM27" s="867">
        <f t="shared" ref="CM27:CN30" si="21">J27</f>
        <v>987.52</v>
      </c>
      <c r="CN27" s="867">
        <f t="shared" si="21"/>
        <v>1001.634</v>
      </c>
      <c r="CO27" s="861">
        <f>CN27-CM27</f>
        <v>14.114000000000033</v>
      </c>
      <c r="CP27" s="861"/>
      <c r="CQ27" s="861">
        <f>CO27*CL27</f>
        <v>13549440.000000032</v>
      </c>
      <c r="CR27" s="867">
        <v>634.44600000000003</v>
      </c>
      <c r="CS27" s="867">
        <v>634.49</v>
      </c>
      <c r="CT27" s="861">
        <f>CS27-CR27</f>
        <v>4.399999999998272E-2</v>
      </c>
      <c r="CU27" s="861"/>
      <c r="CV27" s="846">
        <f>CT27*CL27</f>
        <v>42239.999999983411</v>
      </c>
      <c r="CW27" s="878">
        <f>IF(CT27&lt;0.00001,"0",COS(ATAN(CT27/CO27)))</f>
        <v>0.99999514071954132</v>
      </c>
      <c r="CX27" s="879"/>
    </row>
    <row r="28" spans="1:102" ht="14" x14ac:dyDescent="0.25">
      <c r="A28" s="2295"/>
      <c r="B28" s="2343"/>
      <c r="C28" s="2359"/>
      <c r="D28" s="861">
        <v>132</v>
      </c>
      <c r="E28" s="855" t="s">
        <v>339</v>
      </c>
      <c r="F28" s="2359"/>
      <c r="G28" s="2359" t="s">
        <v>560</v>
      </c>
      <c r="H28" s="2400"/>
      <c r="I28" s="855">
        <v>960000</v>
      </c>
      <c r="J28" s="933">
        <v>69.989000000000004</v>
      </c>
      <c r="K28" s="933">
        <v>69.989000000000004</v>
      </c>
      <c r="L28" s="861">
        <f>K28-J28</f>
        <v>0</v>
      </c>
      <c r="M28" s="861">
        <f>L28*I28</f>
        <v>0</v>
      </c>
      <c r="N28" s="868"/>
      <c r="O28" s="869"/>
      <c r="P28" s="861"/>
      <c r="Q28" s="933">
        <v>141.13800000000001</v>
      </c>
      <c r="R28" s="933">
        <v>141.13999999999999</v>
      </c>
      <c r="S28" s="861">
        <f>R28-Q28</f>
        <v>1.999999999981128E-3</v>
      </c>
      <c r="T28" s="861">
        <f>S28*I28</f>
        <v>1919.9999999818829</v>
      </c>
      <c r="U28" s="861"/>
      <c r="V28" s="122"/>
      <c r="W28" s="868"/>
      <c r="X28" s="870"/>
      <c r="Y28" s="870"/>
      <c r="Z28" s="889">
        <f t="shared" si="5"/>
        <v>0</v>
      </c>
      <c r="AA28" s="121">
        <f t="shared" si="6"/>
        <v>0</v>
      </c>
      <c r="AB28" s="890"/>
      <c r="AC28" s="2295"/>
      <c r="AD28" s="828"/>
      <c r="AE28" s="837"/>
      <c r="AF28" s="2402"/>
      <c r="AG28" s="892"/>
      <c r="AH28" s="891"/>
      <c r="AI28" s="874"/>
      <c r="AJ28" s="874"/>
      <c r="AK28" s="871"/>
      <c r="AL28" s="879"/>
      <c r="AM28" s="977"/>
      <c r="AN28" s="889"/>
      <c r="AO28" s="889"/>
      <c r="AP28" s="889"/>
      <c r="AQ28" s="898"/>
      <c r="AR28" s="898"/>
      <c r="AS28" s="897"/>
      <c r="AT28" s="898"/>
      <c r="AU28" s="898"/>
      <c r="AV28" s="899"/>
      <c r="AW28" s="897"/>
      <c r="AX28" s="899"/>
      <c r="AY28" s="897"/>
      <c r="AZ28" s="900" t="s">
        <v>623</v>
      </c>
      <c r="BA28" s="901" t="s">
        <v>622</v>
      </c>
      <c r="BB28" s="902" t="s">
        <v>621</v>
      </c>
      <c r="BC28" s="822">
        <f>V49</f>
        <v>26490240.000000268</v>
      </c>
      <c r="BD28" s="902">
        <f>W49</f>
        <v>10225439.999999834</v>
      </c>
      <c r="BE28" s="919">
        <f>X49</f>
        <v>0.93</v>
      </c>
      <c r="BF28" s="920">
        <f>Y49</f>
        <v>0</v>
      </c>
      <c r="BG28" s="921" t="e">
        <f>#REF!</f>
        <v>#REF!</v>
      </c>
      <c r="BH28" s="922">
        <f>AA49</f>
        <v>0</v>
      </c>
      <c r="BI28" s="906"/>
      <c r="BJ28" s="897"/>
      <c r="BK28" s="823">
        <f t="shared" si="15"/>
        <v>0.9</v>
      </c>
      <c r="BL28" s="839">
        <f t="shared" si="0"/>
        <v>0.9</v>
      </c>
      <c r="BM28" s="860">
        <f t="shared" si="10"/>
        <v>0</v>
      </c>
      <c r="BN28" s="860">
        <f t="shared" si="10"/>
        <v>0</v>
      </c>
      <c r="BO28" s="861"/>
      <c r="BP28" s="861"/>
      <c r="BQ28" s="851">
        <f t="shared" si="7"/>
        <v>0</v>
      </c>
      <c r="BR28" s="890">
        <f t="shared" si="7"/>
        <v>0</v>
      </c>
      <c r="BS28" s="828"/>
      <c r="BT28" s="828"/>
      <c r="BU28" s="828"/>
      <c r="BV28" s="828"/>
      <c r="BW28" s="828"/>
      <c r="BX28" s="828"/>
      <c r="BY28" s="828"/>
      <c r="BZ28" s="828"/>
      <c r="CA28" s="828"/>
      <c r="CB28" s="828"/>
      <c r="CC28" s="828"/>
      <c r="CD28" s="2312"/>
      <c r="CE28" s="2345"/>
      <c r="CF28" s="2358"/>
      <c r="CG28" s="861">
        <v>132</v>
      </c>
      <c r="CH28" s="855" t="s">
        <v>339</v>
      </c>
      <c r="CI28" s="2357"/>
      <c r="CJ28" s="2357" t="s">
        <v>560</v>
      </c>
      <c r="CK28" s="2398"/>
      <c r="CL28" s="855">
        <v>960000</v>
      </c>
      <c r="CM28" s="867">
        <f t="shared" si="21"/>
        <v>69.989000000000004</v>
      </c>
      <c r="CN28" s="867">
        <f t="shared" si="21"/>
        <v>69.989000000000004</v>
      </c>
      <c r="CO28" s="861">
        <f>CN28-CM28</f>
        <v>0</v>
      </c>
      <c r="CP28" s="861">
        <f>CO28*CL28</f>
        <v>0</v>
      </c>
      <c r="CQ28" s="861"/>
      <c r="CR28" s="867">
        <v>132.04</v>
      </c>
      <c r="CS28" s="867">
        <v>132.04</v>
      </c>
      <c r="CT28" s="861">
        <f>CS28-CR28</f>
        <v>0</v>
      </c>
      <c r="CU28" s="861">
        <f>CT28*CL28</f>
        <v>0</v>
      </c>
      <c r="CV28" s="846"/>
      <c r="CW28" s="878" t="str">
        <f>IF(CT28&lt;0.00001,"0",COS(ATAN(CT28/CO28)))</f>
        <v>0</v>
      </c>
      <c r="CX28" s="879"/>
    </row>
    <row r="29" spans="1:102" ht="14.15" customHeight="1" x14ac:dyDescent="0.25">
      <c r="A29" s="2295">
        <v>9</v>
      </c>
      <c r="B29" s="2343" t="s">
        <v>618</v>
      </c>
      <c r="C29" s="2359"/>
      <c r="D29" s="861">
        <v>132</v>
      </c>
      <c r="E29" s="855" t="s">
        <v>326</v>
      </c>
      <c r="F29" s="2359">
        <v>5014660</v>
      </c>
      <c r="G29" s="2359" t="s">
        <v>560</v>
      </c>
      <c r="H29" s="2400" t="s">
        <v>324</v>
      </c>
      <c r="I29" s="855">
        <v>960000</v>
      </c>
      <c r="J29" s="933">
        <v>163.471</v>
      </c>
      <c r="K29" s="933">
        <v>176.77600000000001</v>
      </c>
      <c r="L29" s="861">
        <f>K29-J29</f>
        <v>13.305000000000007</v>
      </c>
      <c r="M29" s="861"/>
      <c r="N29" s="868">
        <f>L29*I29</f>
        <v>12772800.000000007</v>
      </c>
      <c r="O29" s="869"/>
      <c r="P29" s="861"/>
      <c r="Q29" s="933">
        <v>64.858000000000004</v>
      </c>
      <c r="R29" s="933">
        <v>70.084999999999994</v>
      </c>
      <c r="S29" s="861">
        <f>R29-Q29</f>
        <v>5.2269999999999897</v>
      </c>
      <c r="T29" s="861"/>
      <c r="U29" s="861">
        <f>S29*I29</f>
        <v>5017919.9999999898</v>
      </c>
      <c r="V29" s="122">
        <f>N29-M30</f>
        <v>12772800.000000007</v>
      </c>
      <c r="W29" s="868">
        <f>U29-T30</f>
        <v>5016959.9999999888</v>
      </c>
      <c r="X29" s="870">
        <f>ROUND(IF(W29&lt;0.00001,"0",COS(ATAN(W29/V29))),2)</f>
        <v>0.93</v>
      </c>
      <c r="Y29" s="871">
        <f t="shared" si="14"/>
        <v>0</v>
      </c>
      <c r="Z29" s="957">
        <f t="shared" si="5"/>
        <v>0</v>
      </c>
      <c r="AA29" s="121">
        <f t="shared" si="6"/>
        <v>0</v>
      </c>
      <c r="AB29" s="890"/>
      <c r="AC29" s="2295"/>
      <c r="AD29" s="828"/>
      <c r="AE29" s="837"/>
      <c r="AF29" s="2401" t="s">
        <v>618</v>
      </c>
      <c r="AG29" s="892">
        <f>X29</f>
        <v>0.93</v>
      </c>
      <c r="AH29" s="891">
        <f>Y29</f>
        <v>0</v>
      </c>
      <c r="AI29" s="874" t="e">
        <f>#REF!</f>
        <v>#REF!</v>
      </c>
      <c r="AJ29" s="874">
        <f>AH29*5.878</f>
        <v>0</v>
      </c>
      <c r="AK29" s="892">
        <v>0.93379472148517317</v>
      </c>
      <c r="AL29" s="891"/>
      <c r="AM29" s="976"/>
      <c r="AN29" s="889"/>
      <c r="AO29" s="889"/>
      <c r="AP29" s="874"/>
      <c r="AQ29" s="898"/>
      <c r="AR29" s="898"/>
      <c r="AS29" s="897" t="e">
        <f>COS(ATAN(#REF!/#REF!))</f>
        <v>#REF!</v>
      </c>
      <c r="AT29" s="898"/>
      <c r="AU29" s="898"/>
      <c r="AV29" s="899"/>
      <c r="AW29" s="897"/>
      <c r="AX29" s="899"/>
      <c r="AY29" s="897"/>
      <c r="AZ29" s="900" t="s">
        <v>617</v>
      </c>
      <c r="BA29" s="902" t="s">
        <v>620</v>
      </c>
      <c r="BB29" s="902" t="s">
        <v>619</v>
      </c>
      <c r="BC29" s="902">
        <f t="shared" ref="BC29:BF30" si="22">V36</f>
        <v>14306400.00000014</v>
      </c>
      <c r="BD29" s="902">
        <f t="shared" si="22"/>
        <v>7617600.0000003837</v>
      </c>
      <c r="BE29" s="919">
        <f t="shared" si="22"/>
        <v>0.88</v>
      </c>
      <c r="BF29" s="920">
        <f t="shared" si="22"/>
        <v>0.01</v>
      </c>
      <c r="BG29" s="921" t="e">
        <f>#REF!</f>
        <v>#REF!</v>
      </c>
      <c r="BH29" s="922">
        <f>AA36</f>
        <v>913921.44480000902</v>
      </c>
      <c r="BI29" s="878"/>
      <c r="BJ29" s="897"/>
      <c r="BK29" s="823">
        <f t="shared" si="15"/>
        <v>0.9</v>
      </c>
      <c r="BL29" s="839">
        <f t="shared" si="0"/>
        <v>0.9</v>
      </c>
      <c r="BM29" s="860">
        <f t="shared" si="10"/>
        <v>0</v>
      </c>
      <c r="BN29" s="860">
        <f t="shared" si="10"/>
        <v>12772800.000000007</v>
      </c>
      <c r="BO29" s="861"/>
      <c r="BP29" s="861">
        <v>352320</v>
      </c>
      <c r="BQ29" s="851">
        <f t="shared" si="7"/>
        <v>0</v>
      </c>
      <c r="BR29" s="890">
        <f t="shared" si="7"/>
        <v>12420480.000000007</v>
      </c>
      <c r="BS29" s="828"/>
      <c r="BT29" s="828"/>
      <c r="BU29" s="828"/>
      <c r="BV29" s="828"/>
      <c r="BW29" s="828"/>
      <c r="BX29" s="828"/>
      <c r="BY29" s="828"/>
      <c r="BZ29" s="828"/>
      <c r="CA29" s="828"/>
      <c r="CB29" s="828"/>
      <c r="CC29" s="828"/>
      <c r="CD29" s="2311">
        <v>9</v>
      </c>
      <c r="CE29" s="2344" t="s">
        <v>618</v>
      </c>
      <c r="CF29" s="2358"/>
      <c r="CG29" s="861">
        <v>132</v>
      </c>
      <c r="CH29" s="855" t="s">
        <v>326</v>
      </c>
      <c r="CI29" s="2356">
        <v>5014660</v>
      </c>
      <c r="CJ29" s="2358" t="s">
        <v>560</v>
      </c>
      <c r="CK29" s="2397" t="s">
        <v>324</v>
      </c>
      <c r="CL29" s="855">
        <v>960000</v>
      </c>
      <c r="CM29" s="867">
        <f t="shared" si="21"/>
        <v>163.471</v>
      </c>
      <c r="CN29" s="867">
        <f t="shared" si="21"/>
        <v>176.77600000000001</v>
      </c>
      <c r="CO29" s="861">
        <f>CN29-CM29</f>
        <v>13.305000000000007</v>
      </c>
      <c r="CP29" s="861"/>
      <c r="CQ29" s="861">
        <f>CO29*CL29</f>
        <v>12772800.000000007</v>
      </c>
      <c r="CR29" s="867">
        <v>6.0019999999999998</v>
      </c>
      <c r="CS29" s="867">
        <v>6.0430000000000001</v>
      </c>
      <c r="CT29" s="861">
        <f>CS29-CR29</f>
        <v>4.1000000000000369E-2</v>
      </c>
      <c r="CU29" s="861"/>
      <c r="CV29" s="846">
        <f>CT29*CL29</f>
        <v>39360.000000000357</v>
      </c>
      <c r="CW29" s="878">
        <f>IF(CT29&lt;0.00001,"0",COS(ATAN(CT29/CO29)))</f>
        <v>0.9999952520638824</v>
      </c>
      <c r="CX29" s="879"/>
    </row>
    <row r="30" spans="1:102" ht="14" x14ac:dyDescent="0.25">
      <c r="A30" s="2295"/>
      <c r="B30" s="2343"/>
      <c r="C30" s="2359"/>
      <c r="D30" s="861">
        <v>132</v>
      </c>
      <c r="E30" s="855" t="s">
        <v>339</v>
      </c>
      <c r="F30" s="2359"/>
      <c r="G30" s="2359" t="s">
        <v>560</v>
      </c>
      <c r="H30" s="2400"/>
      <c r="I30" s="855">
        <v>960000</v>
      </c>
      <c r="J30" s="953">
        <v>4.2919999999999998</v>
      </c>
      <c r="K30" s="953">
        <v>4.2919999999999998</v>
      </c>
      <c r="L30" s="861">
        <f>K30-J30</f>
        <v>0</v>
      </c>
      <c r="M30" s="861">
        <f>L30*I30</f>
        <v>0</v>
      </c>
      <c r="N30" s="868"/>
      <c r="O30" s="869"/>
      <c r="P30" s="861"/>
      <c r="Q30" s="933">
        <v>30.462</v>
      </c>
      <c r="R30" s="933">
        <v>30.463000000000001</v>
      </c>
      <c r="S30" s="861">
        <f>R30-Q30</f>
        <v>1.0000000000012221E-3</v>
      </c>
      <c r="T30" s="861">
        <f>S30*I30</f>
        <v>960.00000000117325</v>
      </c>
      <c r="U30" s="861"/>
      <c r="V30" s="122"/>
      <c r="W30" s="868"/>
      <c r="X30" s="870"/>
      <c r="Y30" s="870"/>
      <c r="Z30" s="889">
        <f t="shared" si="5"/>
        <v>0</v>
      </c>
      <c r="AA30" s="121">
        <f t="shared" si="6"/>
        <v>0</v>
      </c>
      <c r="AB30" s="890"/>
      <c r="AC30" s="2295"/>
      <c r="AD30" s="828"/>
      <c r="AE30" s="837"/>
      <c r="AF30" s="2402"/>
      <c r="AG30" s="892"/>
      <c r="AH30" s="891"/>
      <c r="AI30" s="874"/>
      <c r="AJ30" s="874"/>
      <c r="AK30" s="892"/>
      <c r="AL30" s="874"/>
      <c r="AM30" s="894"/>
      <c r="AN30" s="889"/>
      <c r="AO30" s="889"/>
      <c r="AP30" s="874"/>
      <c r="AQ30" s="898"/>
      <c r="AR30" s="898"/>
      <c r="AS30" s="897"/>
      <c r="AT30" s="898"/>
      <c r="AU30" s="898"/>
      <c r="AV30" s="899"/>
      <c r="AW30" s="897"/>
      <c r="AX30" s="899"/>
      <c r="AY30" s="897"/>
      <c r="AZ30" s="900" t="s">
        <v>617</v>
      </c>
      <c r="BA30" s="902" t="s">
        <v>616</v>
      </c>
      <c r="BB30" s="902" t="s">
        <v>615</v>
      </c>
      <c r="BC30" s="902">
        <f t="shared" si="22"/>
        <v>14387039.99999998</v>
      </c>
      <c r="BD30" s="902">
        <f t="shared" si="22"/>
        <v>7660800.0000000177</v>
      </c>
      <c r="BE30" s="919">
        <f t="shared" si="22"/>
        <v>0.88</v>
      </c>
      <c r="BF30" s="920">
        <f t="shared" si="22"/>
        <v>0.01</v>
      </c>
      <c r="BG30" s="921" t="e">
        <f>#REF!</f>
        <v>#REF!</v>
      </c>
      <c r="BH30" s="922">
        <f>AA37</f>
        <v>919072.88927999872</v>
      </c>
      <c r="BI30" s="878"/>
      <c r="BJ30" s="897"/>
      <c r="BK30" s="823">
        <f t="shared" si="15"/>
        <v>0.9</v>
      </c>
      <c r="BL30" s="839">
        <f t="shared" si="0"/>
        <v>0.9</v>
      </c>
      <c r="BM30" s="860">
        <f t="shared" si="10"/>
        <v>0</v>
      </c>
      <c r="BN30" s="860">
        <f t="shared" si="10"/>
        <v>0</v>
      </c>
      <c r="BO30" s="861"/>
      <c r="BP30" s="861"/>
      <c r="BQ30" s="851">
        <f t="shared" si="7"/>
        <v>0</v>
      </c>
      <c r="BR30" s="890">
        <f t="shared" si="7"/>
        <v>0</v>
      </c>
      <c r="BS30" s="828"/>
      <c r="BT30" s="828"/>
      <c r="BU30" s="828"/>
      <c r="BV30" s="828"/>
      <c r="BW30" s="828"/>
      <c r="BX30" s="828"/>
      <c r="BY30" s="828"/>
      <c r="BZ30" s="828"/>
      <c r="CA30" s="828"/>
      <c r="CB30" s="828"/>
      <c r="CC30" s="828"/>
      <c r="CD30" s="2312"/>
      <c r="CE30" s="2345"/>
      <c r="CF30" s="2357"/>
      <c r="CG30" s="861">
        <v>132</v>
      </c>
      <c r="CH30" s="855" t="s">
        <v>339</v>
      </c>
      <c r="CI30" s="2357"/>
      <c r="CJ30" s="2357" t="s">
        <v>560</v>
      </c>
      <c r="CK30" s="2398"/>
      <c r="CL30" s="855">
        <v>960000</v>
      </c>
      <c r="CM30" s="867">
        <f t="shared" si="21"/>
        <v>4.2919999999999998</v>
      </c>
      <c r="CN30" s="867">
        <f t="shared" si="21"/>
        <v>4.2919999999999998</v>
      </c>
      <c r="CO30" s="861">
        <f>CN30-CM30</f>
        <v>0</v>
      </c>
      <c r="CP30" s="861">
        <f>CO30*CL30</f>
        <v>0</v>
      </c>
      <c r="CQ30" s="861"/>
      <c r="CR30" s="867">
        <v>2.4220000000000002</v>
      </c>
      <c r="CS30" s="867">
        <v>2.4249999999999998</v>
      </c>
      <c r="CT30" s="861">
        <f>CS30-CR30</f>
        <v>2.9999999999996696E-3</v>
      </c>
      <c r="CU30" s="861">
        <f>CT30*CL30</f>
        <v>2879.9999999996826</v>
      </c>
      <c r="CV30" s="846"/>
      <c r="CW30" s="878"/>
      <c r="CX30" s="879"/>
    </row>
    <row r="31" spans="1:102" ht="30" customHeight="1" x14ac:dyDescent="0.3">
      <c r="A31" s="2390" t="s">
        <v>614</v>
      </c>
      <c r="B31" s="2390"/>
      <c r="C31" s="2390"/>
      <c r="D31" s="2390"/>
      <c r="E31" s="2390"/>
      <c r="F31" s="2390"/>
      <c r="G31" s="2390"/>
      <c r="H31" s="2390"/>
      <c r="I31" s="2390"/>
      <c r="J31" s="953" t="s">
        <v>237</v>
      </c>
      <c r="K31" s="953" t="s">
        <v>237</v>
      </c>
      <c r="L31" s="843" t="s">
        <v>323</v>
      </c>
      <c r="M31" s="843">
        <f>M28+M30</f>
        <v>0</v>
      </c>
      <c r="N31" s="856">
        <f>N27+N29</f>
        <v>26322240.000000037</v>
      </c>
      <c r="O31" s="954">
        <f>N31-M31</f>
        <v>26322240.000000037</v>
      </c>
      <c r="P31" s="955" t="s">
        <v>323</v>
      </c>
      <c r="Q31" s="953"/>
      <c r="R31" s="953"/>
      <c r="S31" s="861">
        <v>0</v>
      </c>
      <c r="T31" s="843">
        <f>SUM(T27:T30)</f>
        <v>2879.9999999830561</v>
      </c>
      <c r="U31" s="843">
        <f>SUM(U27:U30)</f>
        <v>10254720.00000003</v>
      </c>
      <c r="V31" s="124"/>
      <c r="W31" s="954">
        <f>U31-T31</f>
        <v>10251840.000000047</v>
      </c>
      <c r="X31" s="870"/>
      <c r="Y31" s="870"/>
      <c r="Z31" s="889">
        <f>Y31*W31</f>
        <v>0</v>
      </c>
      <c r="AA31" s="121">
        <f t="shared" si="6"/>
        <v>0</v>
      </c>
      <c r="AB31" s="890"/>
      <c r="AC31" s="879"/>
      <c r="AE31" s="837"/>
      <c r="AF31" s="975"/>
      <c r="AG31" s="892"/>
      <c r="AH31" s="936"/>
      <c r="AI31" s="937"/>
      <c r="AJ31" s="937"/>
      <c r="AK31" s="935"/>
      <c r="AL31" s="937"/>
      <c r="AM31" s="943"/>
      <c r="AN31" s="889"/>
      <c r="AO31" s="889"/>
      <c r="AP31" s="937"/>
      <c r="AQ31" s="941"/>
      <c r="AR31" s="941"/>
      <c r="AS31" s="897"/>
      <c r="AT31" s="941"/>
      <c r="AU31" s="941"/>
      <c r="AV31" s="899"/>
      <c r="AW31" s="978">
        <f>Z27+Z29</f>
        <v>0</v>
      </c>
      <c r="AX31" s="899"/>
      <c r="AY31" s="897"/>
      <c r="BB31" s="979" t="s">
        <v>581</v>
      </c>
      <c r="BC31" s="897"/>
      <c r="BD31" s="897"/>
      <c r="BE31" s="897"/>
      <c r="BF31" s="897"/>
      <c r="BG31" s="980" t="e">
        <f>SUM(BG8:BG30)</f>
        <v>#REF!</v>
      </c>
      <c r="BH31" s="981">
        <f>SUM(BH7:BH30)</f>
        <v>1832994.3340800079</v>
      </c>
      <c r="BJ31" s="982"/>
      <c r="BK31" s="823">
        <f t="shared" si="15"/>
        <v>0.9</v>
      </c>
      <c r="BL31" s="839">
        <f t="shared" si="0"/>
        <v>0.9</v>
      </c>
      <c r="BM31" s="860">
        <f t="shared" si="10"/>
        <v>0</v>
      </c>
      <c r="BN31" s="860">
        <f t="shared" si="10"/>
        <v>26322240.000000037</v>
      </c>
      <c r="BO31" s="861"/>
      <c r="BP31" s="861">
        <f>SUM(BP27:BP30)</f>
        <v>701760</v>
      </c>
      <c r="BQ31" s="851">
        <f t="shared" si="7"/>
        <v>0</v>
      </c>
      <c r="BR31" s="890">
        <f t="shared" si="7"/>
        <v>25620480.000000037</v>
      </c>
      <c r="BS31" s="828"/>
      <c r="BT31" s="828"/>
      <c r="BU31" s="828"/>
      <c r="BV31" s="828"/>
      <c r="BW31" s="828"/>
      <c r="BX31" s="828"/>
      <c r="BY31" s="828"/>
      <c r="BZ31" s="828"/>
      <c r="CA31" s="828"/>
      <c r="CB31" s="828"/>
      <c r="CC31" s="828"/>
      <c r="CD31" s="2278"/>
      <c r="CE31" s="2279"/>
      <c r="CF31" s="2279"/>
      <c r="CG31" s="2279"/>
      <c r="CH31" s="2279"/>
      <c r="CI31" s="2279"/>
      <c r="CJ31" s="2279"/>
      <c r="CK31" s="2279"/>
      <c r="CL31" s="2280"/>
      <c r="CM31" s="867"/>
      <c r="CN31" s="867"/>
      <c r="CO31" s="843" t="s">
        <v>323</v>
      </c>
      <c r="CP31" s="843">
        <f>CP28+CP30</f>
        <v>0</v>
      </c>
      <c r="CQ31" s="843">
        <f>CQ27+CQ29</f>
        <v>26322240.000000037</v>
      </c>
      <c r="CR31" s="867"/>
      <c r="CS31" s="867"/>
      <c r="CT31" s="861">
        <v>0</v>
      </c>
      <c r="CU31" s="843">
        <f>SUM(CU27:CU30)</f>
        <v>2879.9999999996826</v>
      </c>
      <c r="CV31" s="849">
        <f>SUM(CV27:CV30)</f>
        <v>81599.99999998376</v>
      </c>
      <c r="CW31" s="968"/>
      <c r="CX31" s="879"/>
    </row>
    <row r="32" spans="1:102" ht="14.25" hidden="1" customHeight="1" x14ac:dyDescent="0.25">
      <c r="A32" s="2283" t="s">
        <v>486</v>
      </c>
      <c r="B32" s="2283" t="s">
        <v>613</v>
      </c>
      <c r="C32" s="843"/>
      <c r="D32" s="861">
        <v>132</v>
      </c>
      <c r="E32" s="855" t="s">
        <v>326</v>
      </c>
      <c r="F32" s="2411">
        <v>16529653</v>
      </c>
      <c r="G32" s="984"/>
      <c r="H32" s="985"/>
      <c r="I32" s="861">
        <v>144000</v>
      </c>
      <c r="J32" s="953">
        <v>4239.3024750000004</v>
      </c>
      <c r="K32" s="953">
        <v>4239.3024750000004</v>
      </c>
      <c r="L32" s="986">
        <f>K32-J32</f>
        <v>0</v>
      </c>
      <c r="M32" s="987"/>
      <c r="N32" s="856"/>
      <c r="O32" s="988">
        <f>L32*I32</f>
        <v>0</v>
      </c>
      <c r="P32" s="955"/>
      <c r="Q32" s="953"/>
      <c r="R32" s="953"/>
      <c r="S32" s="861"/>
      <c r="T32" s="861"/>
      <c r="U32" s="861"/>
      <c r="V32" s="122"/>
      <c r="W32" s="868"/>
      <c r="X32" s="870"/>
      <c r="Y32" s="870"/>
      <c r="Z32" s="889">
        <f t="shared" si="5"/>
        <v>0</v>
      </c>
      <c r="AA32" s="121">
        <f t="shared" si="6"/>
        <v>0</v>
      </c>
      <c r="AB32" s="890"/>
      <c r="AC32" s="879"/>
      <c r="AE32" s="837"/>
      <c r="AF32" s="2412" t="s">
        <v>613</v>
      </c>
      <c r="AG32" s="892"/>
      <c r="AH32" s="936"/>
      <c r="AI32" s="937"/>
      <c r="AJ32" s="937"/>
      <c r="AK32" s="935"/>
      <c r="AL32" s="937"/>
      <c r="AM32" s="943"/>
      <c r="AN32" s="889"/>
      <c r="AO32" s="889"/>
      <c r="AP32" s="937"/>
      <c r="AQ32" s="941"/>
      <c r="AR32" s="941"/>
      <c r="AS32" s="897"/>
      <c r="AT32" s="941"/>
      <c r="AU32" s="941"/>
      <c r="AV32" s="899"/>
      <c r="AW32" s="982"/>
      <c r="AX32" s="899"/>
      <c r="AY32" s="897"/>
      <c r="BI32" s="982"/>
      <c r="BJ32" s="982"/>
      <c r="BK32" s="823">
        <f t="shared" si="15"/>
        <v>0.9</v>
      </c>
      <c r="BL32" s="839">
        <f t="shared" si="0"/>
        <v>0.9</v>
      </c>
      <c r="BM32" s="860">
        <f t="shared" si="10"/>
        <v>0</v>
      </c>
      <c r="BN32" s="860">
        <f t="shared" si="10"/>
        <v>0</v>
      </c>
      <c r="BO32" s="861"/>
      <c r="BP32" s="861"/>
      <c r="BQ32" s="851">
        <f t="shared" si="7"/>
        <v>0</v>
      </c>
      <c r="BR32" s="890">
        <f t="shared" si="7"/>
        <v>0</v>
      </c>
      <c r="BS32" s="828"/>
      <c r="BT32" s="828"/>
      <c r="BU32" s="828"/>
      <c r="BV32" s="828"/>
      <c r="BW32" s="828"/>
      <c r="BX32" s="828"/>
      <c r="BY32" s="828"/>
      <c r="BZ32" s="828"/>
      <c r="CA32" s="828"/>
      <c r="CB32" s="828"/>
      <c r="CC32" s="828"/>
      <c r="CD32" s="2311" t="s">
        <v>486</v>
      </c>
      <c r="CE32" s="2311" t="s">
        <v>613</v>
      </c>
      <c r="CF32" s="910"/>
      <c r="CG32" s="861">
        <v>132</v>
      </c>
      <c r="CH32" s="855" t="s">
        <v>326</v>
      </c>
      <c r="CI32" s="2356">
        <v>16529653</v>
      </c>
      <c r="CJ32" s="984"/>
      <c r="CK32" s="985"/>
      <c r="CL32" s="855">
        <v>144000</v>
      </c>
      <c r="CM32" s="867">
        <f>J32</f>
        <v>4239.3024750000004</v>
      </c>
      <c r="CN32" s="867">
        <f>K32</f>
        <v>4239.3024750000004</v>
      </c>
      <c r="CO32" s="851">
        <f>CN32-CM32</f>
        <v>0</v>
      </c>
      <c r="CP32" s="879"/>
      <c r="CQ32" s="843"/>
      <c r="CR32" s="867"/>
      <c r="CS32" s="867"/>
      <c r="CT32" s="861"/>
      <c r="CU32" s="861"/>
      <c r="CV32" s="846"/>
      <c r="CW32" s="968"/>
      <c r="CX32" s="879"/>
    </row>
    <row r="33" spans="1:102" ht="14.25" hidden="1" customHeight="1" x14ac:dyDescent="0.3">
      <c r="A33" s="2283"/>
      <c r="B33" s="2283"/>
      <c r="C33" s="843"/>
      <c r="D33" s="861">
        <v>132</v>
      </c>
      <c r="E33" s="855" t="s">
        <v>339</v>
      </c>
      <c r="F33" s="2411"/>
      <c r="G33" s="984"/>
      <c r="H33" s="985"/>
      <c r="I33" s="861">
        <v>144000</v>
      </c>
      <c r="J33" s="953">
        <v>5.0208000000000004</v>
      </c>
      <c r="K33" s="953">
        <v>5.0208000000000004</v>
      </c>
      <c r="L33" s="986">
        <f>K33-J33</f>
        <v>0</v>
      </c>
      <c r="M33" s="953"/>
      <c r="N33" s="856"/>
      <c r="O33" s="988">
        <f>L33*I33</f>
        <v>0</v>
      </c>
      <c r="P33" s="955"/>
      <c r="Q33" s="953"/>
      <c r="R33" s="953"/>
      <c r="S33" s="861"/>
      <c r="T33" s="861" t="s">
        <v>237</v>
      </c>
      <c r="U33" s="861"/>
      <c r="V33" s="122"/>
      <c r="W33" s="868"/>
      <c r="X33" s="870"/>
      <c r="Y33" s="870"/>
      <c r="Z33" s="889">
        <f t="shared" si="5"/>
        <v>0</v>
      </c>
      <c r="AA33" s="121">
        <f t="shared" si="6"/>
        <v>0</v>
      </c>
      <c r="AB33" s="890"/>
      <c r="AC33" s="879"/>
      <c r="AE33" s="837"/>
      <c r="AF33" s="2413"/>
      <c r="AG33" s="892"/>
      <c r="AH33" s="936"/>
      <c r="AI33" s="937"/>
      <c r="AJ33" s="937"/>
      <c r="AK33" s="935"/>
      <c r="AL33" s="937"/>
      <c r="AM33" s="943"/>
      <c r="AN33" s="889"/>
      <c r="AO33" s="889"/>
      <c r="AP33" s="937"/>
      <c r="AQ33" s="941"/>
      <c r="AR33" s="941"/>
      <c r="AS33" s="897"/>
      <c r="AT33" s="941"/>
      <c r="AU33" s="941"/>
      <c r="AV33" s="899"/>
      <c r="AW33" s="982"/>
      <c r="AX33" s="899"/>
      <c r="AY33" s="982"/>
      <c r="BB33" s="902" t="s">
        <v>577</v>
      </c>
      <c r="BC33" s="902"/>
      <c r="BD33" s="902"/>
      <c r="BE33" s="902"/>
      <c r="BF33" s="902"/>
      <c r="BG33" s="989">
        <f>BH33/5.878</f>
        <v>12015662.397073833</v>
      </c>
      <c r="BH33" s="990">
        <v>70628063.569999993</v>
      </c>
      <c r="BI33" s="922"/>
      <c r="BJ33" s="982"/>
      <c r="BK33" s="823">
        <f t="shared" si="15"/>
        <v>0.9</v>
      </c>
      <c r="BL33" s="839">
        <f t="shared" si="0"/>
        <v>0.9</v>
      </c>
      <c r="BM33" s="860">
        <f t="shared" si="10"/>
        <v>0</v>
      </c>
      <c r="BN33" s="860">
        <f t="shared" si="10"/>
        <v>0</v>
      </c>
      <c r="BO33" s="861"/>
      <c r="BP33" s="861"/>
      <c r="BQ33" s="851">
        <f t="shared" si="7"/>
        <v>0</v>
      </c>
      <c r="BR33" s="890">
        <f t="shared" si="7"/>
        <v>0</v>
      </c>
      <c r="BS33" s="828"/>
      <c r="BT33" s="828"/>
      <c r="BU33" s="828"/>
      <c r="BV33" s="828"/>
      <c r="BW33" s="828"/>
      <c r="BX33" s="828"/>
      <c r="BY33" s="828"/>
      <c r="BZ33" s="828"/>
      <c r="CA33" s="828"/>
      <c r="CB33" s="828"/>
      <c r="CC33" s="828"/>
      <c r="CD33" s="2312"/>
      <c r="CE33" s="2312"/>
      <c r="CF33" s="910"/>
      <c r="CG33" s="861">
        <v>132</v>
      </c>
      <c r="CH33" s="855" t="s">
        <v>339</v>
      </c>
      <c r="CI33" s="2357"/>
      <c r="CJ33" s="984"/>
      <c r="CK33" s="985"/>
      <c r="CL33" s="855">
        <v>144000</v>
      </c>
      <c r="CM33" s="867">
        <f>J33</f>
        <v>5.0208000000000004</v>
      </c>
      <c r="CN33" s="867">
        <f>K33</f>
        <v>5.0208000000000004</v>
      </c>
      <c r="CO33" s="851">
        <f>CN33-CM33</f>
        <v>0</v>
      </c>
      <c r="CP33" s="879"/>
      <c r="CQ33" s="843"/>
      <c r="CR33" s="867"/>
      <c r="CS33" s="867"/>
      <c r="CT33" s="861"/>
      <c r="CU33" s="861"/>
      <c r="CV33" s="846"/>
      <c r="CW33" s="968"/>
      <c r="CX33" s="879"/>
    </row>
    <row r="34" spans="1:102" s="992" customFormat="1" ht="14.15" hidden="1" customHeight="1" x14ac:dyDescent="0.3">
      <c r="A34" s="843"/>
      <c r="B34" s="843"/>
      <c r="C34" s="843"/>
      <c r="D34" s="2283" t="s">
        <v>469</v>
      </c>
      <c r="E34" s="2283"/>
      <c r="F34" s="2283"/>
      <c r="G34" s="2283"/>
      <c r="H34" s="2283"/>
      <c r="I34" s="2283"/>
      <c r="J34" s="953"/>
      <c r="K34" s="953"/>
      <c r="L34" s="842"/>
      <c r="M34" s="842"/>
      <c r="N34" s="856"/>
      <c r="O34" s="988">
        <f>O32-O33</f>
        <v>0</v>
      </c>
      <c r="P34" s="955"/>
      <c r="Q34" s="953"/>
      <c r="R34" s="953"/>
      <c r="S34" s="843"/>
      <c r="T34" s="843"/>
      <c r="U34" s="843"/>
      <c r="V34" s="116"/>
      <c r="W34" s="856"/>
      <c r="X34" s="870"/>
      <c r="Y34" s="870"/>
      <c r="Z34" s="889">
        <f t="shared" si="5"/>
        <v>0</v>
      </c>
      <c r="AA34" s="121">
        <f t="shared" si="6"/>
        <v>0</v>
      </c>
      <c r="AB34" s="991"/>
      <c r="AC34" s="842"/>
      <c r="AE34" s="837"/>
      <c r="AF34" s="857"/>
      <c r="AG34" s="961"/>
      <c r="AH34" s="993"/>
      <c r="AI34" s="994"/>
      <c r="AJ34" s="994"/>
      <c r="AK34" s="995"/>
      <c r="AL34" s="994"/>
      <c r="AM34" s="996"/>
      <c r="AN34" s="997"/>
      <c r="AO34" s="997"/>
      <c r="AP34" s="994"/>
      <c r="AQ34" s="978"/>
      <c r="AR34" s="978"/>
      <c r="AS34" s="998"/>
      <c r="AT34" s="978"/>
      <c r="AU34" s="978"/>
      <c r="AV34" s="999"/>
      <c r="AW34" s="1000"/>
      <c r="AX34" s="999"/>
      <c r="AY34" s="1000"/>
      <c r="AZ34" s="1001"/>
      <c r="BA34" s="1001"/>
      <c r="BB34" s="1002" t="s">
        <v>576</v>
      </c>
      <c r="BC34" s="1002"/>
      <c r="BD34" s="1002"/>
      <c r="BE34" s="1002"/>
      <c r="BF34" s="1002"/>
      <c r="BG34" s="989" t="e">
        <f>BG33-BG31</f>
        <v>#REF!</v>
      </c>
      <c r="BH34" s="989">
        <f>BH33-BH31</f>
        <v>68795069.235919982</v>
      </c>
      <c r="BI34" s="1003"/>
      <c r="BJ34" s="1000"/>
      <c r="BK34" s="1004">
        <f t="shared" si="15"/>
        <v>0.9</v>
      </c>
      <c r="BL34" s="839">
        <f t="shared" si="0"/>
        <v>0.9</v>
      </c>
      <c r="BM34" s="1005">
        <f t="shared" si="10"/>
        <v>0</v>
      </c>
      <c r="BN34" s="1005">
        <f t="shared" si="10"/>
        <v>0</v>
      </c>
      <c r="BO34" s="843"/>
      <c r="BP34" s="843"/>
      <c r="BQ34" s="851">
        <f t="shared" si="7"/>
        <v>0</v>
      </c>
      <c r="BR34" s="991">
        <f t="shared" si="7"/>
        <v>0</v>
      </c>
      <c r="BS34" s="837"/>
      <c r="BT34" s="837"/>
      <c r="BU34" s="837"/>
      <c r="BV34" s="837"/>
      <c r="BW34" s="837"/>
      <c r="BX34" s="837"/>
      <c r="BY34" s="837"/>
      <c r="BZ34" s="837"/>
      <c r="CA34" s="837"/>
      <c r="CB34" s="837"/>
      <c r="CC34" s="837"/>
      <c r="CD34" s="843"/>
      <c r="CE34" s="843"/>
      <c r="CF34" s="910"/>
      <c r="CG34" s="2278"/>
      <c r="CH34" s="2279"/>
      <c r="CI34" s="2279"/>
      <c r="CJ34" s="2279"/>
      <c r="CK34" s="2279"/>
      <c r="CL34" s="2279"/>
      <c r="CM34" s="862"/>
      <c r="CN34" s="862"/>
      <c r="CP34" s="842"/>
      <c r="CQ34" s="843"/>
      <c r="CR34" s="862"/>
      <c r="CS34" s="862"/>
      <c r="CT34" s="843"/>
      <c r="CU34" s="843"/>
      <c r="CV34" s="849"/>
      <c r="CW34" s="968"/>
      <c r="CX34" s="842"/>
    </row>
    <row r="35" spans="1:102" ht="14.15" customHeight="1" x14ac:dyDescent="0.25">
      <c r="A35" s="861">
        <v>10</v>
      </c>
      <c r="B35" s="1006" t="s">
        <v>612</v>
      </c>
      <c r="C35" s="2359" t="s">
        <v>611</v>
      </c>
      <c r="D35" s="861">
        <v>132</v>
      </c>
      <c r="E35" s="855" t="s">
        <v>326</v>
      </c>
      <c r="F35" s="855">
        <v>50501730</v>
      </c>
      <c r="G35" s="855"/>
      <c r="H35" s="2400" t="s">
        <v>324</v>
      </c>
      <c r="I35" s="855">
        <v>480000</v>
      </c>
      <c r="J35" s="933">
        <v>2521.37</v>
      </c>
      <c r="K35" s="933">
        <v>2553.0709999999999</v>
      </c>
      <c r="L35" s="878">
        <f t="shared" ref="L35:L40" si="23">K35-J35</f>
        <v>31.701000000000022</v>
      </c>
      <c r="M35" s="879"/>
      <c r="N35" s="868">
        <f>L35*I35</f>
        <v>15216480.000000011</v>
      </c>
      <c r="O35" s="988"/>
      <c r="P35" s="955"/>
      <c r="Q35" s="933">
        <v>1044.7829999999999</v>
      </c>
      <c r="R35" s="933">
        <v>1055.7860000000001</v>
      </c>
      <c r="S35" s="861">
        <f t="shared" ref="S35:S40" si="24">R35-Q35</f>
        <v>11.003000000000156</v>
      </c>
      <c r="T35" s="861"/>
      <c r="U35" s="861">
        <f>S35*I35</f>
        <v>5281440.0000000754</v>
      </c>
      <c r="V35" s="122">
        <f>N35</f>
        <v>15216480.000000011</v>
      </c>
      <c r="W35" s="868">
        <f>U35</f>
        <v>5281440.0000000754</v>
      </c>
      <c r="X35" s="870">
        <f>ROUND(IF(W35&lt;0.00001,"0",COS(ATAN(W35/V35))),2)</f>
        <v>0.94</v>
      </c>
      <c r="Y35" s="871">
        <f t="shared" si="14"/>
        <v>0</v>
      </c>
      <c r="Z35" s="889">
        <f t="shared" si="5"/>
        <v>0</v>
      </c>
      <c r="AA35" s="121">
        <f t="shared" si="6"/>
        <v>0</v>
      </c>
      <c r="AB35" s="890"/>
      <c r="AC35" s="879"/>
      <c r="AE35" s="837"/>
      <c r="AF35" s="1007" t="s">
        <v>612</v>
      </c>
      <c r="AG35" s="892">
        <f t="shared" ref="AG35:AH38" si="25">X35</f>
        <v>0.94</v>
      </c>
      <c r="AH35" s="936">
        <f t="shared" si="25"/>
        <v>0</v>
      </c>
      <c r="AI35" s="937" t="e">
        <f>#REF!</f>
        <v>#REF!</v>
      </c>
      <c r="AJ35" s="937"/>
      <c r="AK35" s="935">
        <v>0.91796872126778917</v>
      </c>
      <c r="AL35" s="937"/>
      <c r="AM35" s="943"/>
      <c r="AN35" s="889"/>
      <c r="AO35" s="889"/>
      <c r="AP35" s="937"/>
      <c r="AQ35" s="941"/>
      <c r="AR35" s="941"/>
      <c r="AS35" s="897" t="e">
        <f>COS(ATAN(#REF!/#REF!))</f>
        <v>#REF!</v>
      </c>
      <c r="AT35" s="941"/>
      <c r="AU35" s="941"/>
      <c r="AV35" s="899"/>
      <c r="AW35" s="982"/>
      <c r="AX35" s="899"/>
      <c r="AY35" s="982"/>
      <c r="BJ35" s="982"/>
      <c r="BL35" s="839"/>
      <c r="BM35" s="860"/>
      <c r="BN35" s="860"/>
      <c r="BO35" s="861"/>
      <c r="BP35" s="861"/>
      <c r="BQ35" s="851"/>
      <c r="BR35" s="890"/>
      <c r="BS35" s="828"/>
      <c r="BT35" s="828"/>
      <c r="BU35" s="828"/>
      <c r="BV35" s="828"/>
      <c r="BW35" s="828"/>
      <c r="BX35" s="828"/>
      <c r="BY35" s="828"/>
      <c r="BZ35" s="828"/>
      <c r="CA35" s="828"/>
      <c r="CB35" s="828"/>
      <c r="CC35" s="828"/>
      <c r="CD35" s="843">
        <v>10</v>
      </c>
      <c r="CE35" s="1006" t="s">
        <v>612</v>
      </c>
      <c r="CF35" s="2356" t="s">
        <v>611</v>
      </c>
      <c r="CG35" s="861">
        <v>132</v>
      </c>
      <c r="CH35" s="855" t="s">
        <v>326</v>
      </c>
      <c r="CI35" s="855">
        <v>50501730</v>
      </c>
      <c r="CJ35" s="908"/>
      <c r="CK35" s="2397" t="s">
        <v>324</v>
      </c>
      <c r="CL35" s="855">
        <v>480000</v>
      </c>
      <c r="CM35" s="867">
        <f t="shared" ref="CM35:CN38" si="26">J35</f>
        <v>2521.37</v>
      </c>
      <c r="CN35" s="867">
        <f t="shared" si="26"/>
        <v>2553.0709999999999</v>
      </c>
      <c r="CO35" s="878">
        <f>CN35-CM35</f>
        <v>31.701000000000022</v>
      </c>
      <c r="CP35" s="879"/>
      <c r="CQ35" s="861">
        <f>CO35*CL35</f>
        <v>15216480.000000011</v>
      </c>
      <c r="CR35" s="867">
        <v>155.96700000000001</v>
      </c>
      <c r="CS35" s="867">
        <v>169.11099999999999</v>
      </c>
      <c r="CT35" s="861">
        <f>CS35-CR35</f>
        <v>13.143999999999977</v>
      </c>
      <c r="CU35" s="861"/>
      <c r="CV35" s="846">
        <f>CT35*CL35</f>
        <v>6309119.9999999888</v>
      </c>
      <c r="CW35" s="878">
        <f>IF(CT35&lt;0.00001,"0",COS(ATAN(CT35/CO35)))</f>
        <v>0.92374538246607052</v>
      </c>
      <c r="CX35" s="879"/>
    </row>
    <row r="36" spans="1:102" ht="14" x14ac:dyDescent="0.25">
      <c r="A36" s="861">
        <v>11</v>
      </c>
      <c r="B36" s="1006" t="s">
        <v>609</v>
      </c>
      <c r="C36" s="2359"/>
      <c r="D36" s="861">
        <v>132</v>
      </c>
      <c r="E36" s="855" t="s">
        <v>326</v>
      </c>
      <c r="F36" s="855">
        <v>80505634</v>
      </c>
      <c r="G36" s="855" t="s">
        <v>560</v>
      </c>
      <c r="H36" s="2400"/>
      <c r="I36" s="855">
        <v>480000</v>
      </c>
      <c r="J36" s="933">
        <v>8138.759</v>
      </c>
      <c r="K36" s="933">
        <v>8168.5640000000003</v>
      </c>
      <c r="L36" s="878">
        <f t="shared" si="23"/>
        <v>29.805000000000291</v>
      </c>
      <c r="M36" s="861"/>
      <c r="N36" s="868">
        <f>L36*I36</f>
        <v>14306400.00000014</v>
      </c>
      <c r="O36" s="1008"/>
      <c r="P36" s="861"/>
      <c r="Q36" s="933">
        <v>4797.1809999999996</v>
      </c>
      <c r="R36" s="933">
        <v>4813.0510000000004</v>
      </c>
      <c r="S36" s="861">
        <f t="shared" si="24"/>
        <v>15.8700000000008</v>
      </c>
      <c r="T36" s="861"/>
      <c r="U36" s="861">
        <f>S36*I36</f>
        <v>7617600.0000003837</v>
      </c>
      <c r="V36" s="122">
        <f>N36</f>
        <v>14306400.00000014</v>
      </c>
      <c r="W36" s="868">
        <f>U36</f>
        <v>7617600.0000003837</v>
      </c>
      <c r="X36" s="870">
        <f>ROUND(IF(W36&lt;0.00001,"0",COS(ATAN(W36/V36))),2)</f>
        <v>0.88</v>
      </c>
      <c r="Y36" s="871">
        <f t="shared" si="14"/>
        <v>0.01</v>
      </c>
      <c r="Z36" s="889">
        <f t="shared" si="5"/>
        <v>143064.0000000014</v>
      </c>
      <c r="AA36" s="121">
        <f t="shared" si="6"/>
        <v>913921.44480000902</v>
      </c>
      <c r="AB36" s="890"/>
      <c r="AC36" s="1009"/>
      <c r="AE36" s="837"/>
      <c r="AF36" s="1007" t="s">
        <v>609</v>
      </c>
      <c r="AG36" s="935">
        <f t="shared" si="25"/>
        <v>0.88</v>
      </c>
      <c r="AH36" s="936">
        <f t="shared" si="25"/>
        <v>0.01</v>
      </c>
      <c r="AI36" s="937" t="e">
        <f>#REF!</f>
        <v>#REF!</v>
      </c>
      <c r="AJ36" s="937">
        <f>AA36</f>
        <v>913921.44480000902</v>
      </c>
      <c r="AK36" s="935">
        <v>0.8507503959367424</v>
      </c>
      <c r="AL36" s="1010">
        <v>0.04</v>
      </c>
      <c r="AM36" s="943">
        <v>550541</v>
      </c>
      <c r="AN36" s="889">
        <f>AM36*5.878</f>
        <v>3236079.9980000001</v>
      </c>
      <c r="AO36" s="889" t="e">
        <f>AM36-AI36</f>
        <v>#REF!</v>
      </c>
      <c r="AP36" s="937">
        <f>AN36-AJ36</f>
        <v>2322158.5531999911</v>
      </c>
      <c r="AQ36" s="941"/>
      <c r="AR36" s="941"/>
      <c r="AS36" s="897" t="e">
        <f>COS(ATAN(#REF!/#REF!))</f>
        <v>#REF!</v>
      </c>
      <c r="AT36" s="941"/>
      <c r="AU36" s="941"/>
      <c r="AV36" s="899"/>
      <c r="AW36" s="941">
        <v>4415892.17</v>
      </c>
      <c r="AX36" s="899">
        <f>AA36-AW36</f>
        <v>-3501970.7251999909</v>
      </c>
      <c r="AY36" s="982"/>
      <c r="AZ36" s="1011" t="s">
        <v>610</v>
      </c>
      <c r="BA36" s="1011"/>
      <c r="BI36" s="982"/>
      <c r="BJ36" s="982"/>
      <c r="BK36" s="823">
        <f>BK34</f>
        <v>0.9</v>
      </c>
      <c r="BL36" s="839">
        <f>BL34</f>
        <v>0.9</v>
      </c>
      <c r="BM36" s="860">
        <f t="shared" ref="BM36:BN42" si="27">M36</f>
        <v>0</v>
      </c>
      <c r="BN36" s="860">
        <f t="shared" si="27"/>
        <v>14306400.00000014</v>
      </c>
      <c r="BO36" s="861"/>
      <c r="BP36" s="861">
        <v>18315840</v>
      </c>
      <c r="BQ36" s="851">
        <f t="shared" si="7"/>
        <v>0</v>
      </c>
      <c r="BR36" s="890">
        <f t="shared" si="7"/>
        <v>-4009439.9999998603</v>
      </c>
      <c r="BS36" s="828"/>
      <c r="BT36" s="828"/>
      <c r="BU36" s="828"/>
      <c r="BV36" s="828"/>
      <c r="BW36" s="828"/>
      <c r="BX36" s="828"/>
      <c r="BY36" s="828"/>
      <c r="BZ36" s="828"/>
      <c r="CA36" s="828"/>
      <c r="CB36" s="828"/>
      <c r="CC36" s="828"/>
      <c r="CD36" s="843">
        <v>11</v>
      </c>
      <c r="CE36" s="1006" t="s">
        <v>609</v>
      </c>
      <c r="CF36" s="2358"/>
      <c r="CG36" s="861">
        <v>132</v>
      </c>
      <c r="CH36" s="855" t="s">
        <v>326</v>
      </c>
      <c r="CI36" s="855">
        <v>80505634</v>
      </c>
      <c r="CJ36" s="908" t="s">
        <v>560</v>
      </c>
      <c r="CK36" s="2408"/>
      <c r="CL36" s="855">
        <v>480000</v>
      </c>
      <c r="CM36" s="867">
        <f t="shared" si="26"/>
        <v>8138.759</v>
      </c>
      <c r="CN36" s="867" t="e">
        <f>#REF!</f>
        <v>#REF!</v>
      </c>
      <c r="CO36" s="878" t="e">
        <f>CN36-CM36</f>
        <v>#REF!</v>
      </c>
      <c r="CP36" s="861"/>
      <c r="CQ36" s="861" t="e">
        <f>CO36*CL36</f>
        <v>#REF!</v>
      </c>
      <c r="CR36" s="867">
        <v>3659.4290000000001</v>
      </c>
      <c r="CS36" s="867">
        <v>3677.143</v>
      </c>
      <c r="CT36" s="861">
        <f>CS36-CR36</f>
        <v>17.713999999999942</v>
      </c>
      <c r="CU36" s="861"/>
      <c r="CV36" s="846">
        <f>CT36*CL36</f>
        <v>8502719.9999999721</v>
      </c>
      <c r="CW36" s="878" t="e">
        <f>IF(CT36&lt;0.00001,"0",COS(ATAN(CT36/CO36)))</f>
        <v>#REF!</v>
      </c>
      <c r="CX36" s="879"/>
    </row>
    <row r="37" spans="1:102" ht="14" x14ac:dyDescent="0.25">
      <c r="A37" s="861">
        <v>12</v>
      </c>
      <c r="B37" s="1006" t="s">
        <v>600</v>
      </c>
      <c r="C37" s="2359"/>
      <c r="D37" s="861">
        <v>132</v>
      </c>
      <c r="E37" s="855" t="s">
        <v>326</v>
      </c>
      <c r="F37" s="855">
        <v>80505637</v>
      </c>
      <c r="G37" s="855" t="s">
        <v>560</v>
      </c>
      <c r="H37" s="2400"/>
      <c r="I37" s="855">
        <v>480000</v>
      </c>
      <c r="J37" s="933">
        <v>8089.3069999999998</v>
      </c>
      <c r="K37" s="933">
        <v>8119.28</v>
      </c>
      <c r="L37" s="878">
        <f t="shared" si="23"/>
        <v>29.972999999999956</v>
      </c>
      <c r="M37" s="861"/>
      <c r="N37" s="868">
        <f>L37*I37</f>
        <v>14387039.99999998</v>
      </c>
      <c r="O37" s="1008"/>
      <c r="P37" s="861"/>
      <c r="Q37" s="933">
        <v>4755.8419999999996</v>
      </c>
      <c r="R37" s="933">
        <v>4771.8019999999997</v>
      </c>
      <c r="S37" s="861">
        <f t="shared" si="24"/>
        <v>15.960000000000036</v>
      </c>
      <c r="T37" s="861"/>
      <c r="U37" s="861">
        <f>S37*I37</f>
        <v>7660800.0000000177</v>
      </c>
      <c r="V37" s="122">
        <f>N37</f>
        <v>14387039.99999998</v>
      </c>
      <c r="W37" s="868">
        <f>U37</f>
        <v>7660800.0000000177</v>
      </c>
      <c r="X37" s="870">
        <f>ROUND(IF(W37&lt;0.00001,"0",COS(ATAN(W37/V37))),2)</f>
        <v>0.88</v>
      </c>
      <c r="Y37" s="871">
        <f t="shared" si="14"/>
        <v>0.01</v>
      </c>
      <c r="Z37" s="889">
        <f t="shared" si="5"/>
        <v>143870.39999999979</v>
      </c>
      <c r="AA37" s="121">
        <f t="shared" si="6"/>
        <v>919072.88927999872</v>
      </c>
      <c r="AB37" s="890"/>
      <c r="AC37" s="942"/>
      <c r="AE37" s="837"/>
      <c r="AF37" s="1007" t="s">
        <v>600</v>
      </c>
      <c r="AG37" s="892">
        <f t="shared" si="25"/>
        <v>0.88</v>
      </c>
      <c r="AH37" s="936">
        <f t="shared" si="25"/>
        <v>0.01</v>
      </c>
      <c r="AI37" s="937" t="e">
        <f>#REF!</f>
        <v>#REF!</v>
      </c>
      <c r="AJ37" s="937">
        <f>AA37</f>
        <v>919072.88927999872</v>
      </c>
      <c r="AK37" s="935">
        <v>0.8547458956742211</v>
      </c>
      <c r="AL37" s="1010">
        <v>0.04</v>
      </c>
      <c r="AM37" s="943">
        <v>562291</v>
      </c>
      <c r="AN37" s="889">
        <f>AM37*5.878</f>
        <v>3305146.4980000001</v>
      </c>
      <c r="AO37" s="889" t="e">
        <f>AM37-AI37</f>
        <v>#REF!</v>
      </c>
      <c r="AP37" s="937">
        <f>AN37-AJ37</f>
        <v>2386073.6087200013</v>
      </c>
      <c r="AQ37" s="941"/>
      <c r="AR37" s="941"/>
      <c r="AS37" s="897" t="e">
        <f>COS(ATAN(#REF!/#REF!))</f>
        <v>#REF!</v>
      </c>
      <c r="AT37" s="941"/>
      <c r="AU37" s="941"/>
      <c r="AV37" s="899"/>
      <c r="AW37" s="941">
        <v>4436657.97</v>
      </c>
      <c r="AX37" s="899">
        <f>AA37-AW37</f>
        <v>-3517585.0807200009</v>
      </c>
      <c r="AY37" s="982"/>
      <c r="AZ37" s="1012" t="s">
        <v>608</v>
      </c>
      <c r="BA37" s="1012" t="s">
        <v>607</v>
      </c>
      <c r="BB37" s="902" t="s">
        <v>606</v>
      </c>
      <c r="BC37" s="875" t="s">
        <v>605</v>
      </c>
      <c r="BD37" s="875" t="s">
        <v>604</v>
      </c>
      <c r="BE37" s="875" t="s">
        <v>519</v>
      </c>
      <c r="BF37" s="875" t="s">
        <v>603</v>
      </c>
      <c r="BG37" s="875" t="s">
        <v>602</v>
      </c>
      <c r="BH37" s="875" t="s">
        <v>601</v>
      </c>
      <c r="BI37" s="861" t="s">
        <v>393</v>
      </c>
      <c r="BJ37" s="982"/>
      <c r="BK37" s="823">
        <f>BK36</f>
        <v>0.9</v>
      </c>
      <c r="BL37" s="839">
        <f>BL36</f>
        <v>0.9</v>
      </c>
      <c r="BM37" s="860">
        <f t="shared" si="27"/>
        <v>0</v>
      </c>
      <c r="BN37" s="860">
        <f t="shared" si="27"/>
        <v>14387039.99999998</v>
      </c>
      <c r="BO37" s="861"/>
      <c r="BP37" s="861">
        <v>18543840</v>
      </c>
      <c r="BQ37" s="851">
        <f t="shared" si="7"/>
        <v>0</v>
      </c>
      <c r="BR37" s="890">
        <f t="shared" si="7"/>
        <v>-4156800.0000000205</v>
      </c>
      <c r="BS37" s="828"/>
      <c r="BT37" s="828"/>
      <c r="BU37" s="828"/>
      <c r="BV37" s="828"/>
      <c r="BW37" s="828"/>
      <c r="BX37" s="828"/>
      <c r="BY37" s="828"/>
      <c r="BZ37" s="828"/>
      <c r="CA37" s="828"/>
      <c r="CB37" s="828"/>
      <c r="CC37" s="828"/>
      <c r="CD37" s="843">
        <v>12</v>
      </c>
      <c r="CE37" s="1006" t="s">
        <v>600</v>
      </c>
      <c r="CF37" s="2358"/>
      <c r="CG37" s="861">
        <v>132</v>
      </c>
      <c r="CH37" s="855" t="s">
        <v>326</v>
      </c>
      <c r="CI37" s="855">
        <v>80505637</v>
      </c>
      <c r="CJ37" s="909" t="s">
        <v>560</v>
      </c>
      <c r="CK37" s="2398"/>
      <c r="CL37" s="855">
        <v>480000</v>
      </c>
      <c r="CM37" s="867">
        <f t="shared" si="26"/>
        <v>8089.3069999999998</v>
      </c>
      <c r="CN37" s="867">
        <f t="shared" si="26"/>
        <v>8119.28</v>
      </c>
      <c r="CO37" s="878">
        <f>CN37-CM37</f>
        <v>29.972999999999956</v>
      </c>
      <c r="CP37" s="861"/>
      <c r="CQ37" s="861">
        <f>CO37*CL37</f>
        <v>14387039.99999998</v>
      </c>
      <c r="CR37" s="867">
        <v>3613.9879999999998</v>
      </c>
      <c r="CS37" s="867">
        <v>3631.7719999999999</v>
      </c>
      <c r="CT37" s="861">
        <f>CS37-CR37</f>
        <v>17.784000000000106</v>
      </c>
      <c r="CU37" s="861"/>
      <c r="CV37" s="846">
        <f>CT37*CL37</f>
        <v>8536320.0000000503</v>
      </c>
      <c r="CW37" s="878">
        <f>IF(CT37&lt;0.00001,"0",COS(ATAN(CT37/CO37)))</f>
        <v>0.86001175784107842</v>
      </c>
      <c r="CX37" s="879"/>
    </row>
    <row r="38" spans="1:102" ht="14.25" customHeight="1" x14ac:dyDescent="0.25">
      <c r="A38" s="861">
        <v>13</v>
      </c>
      <c r="B38" s="972" t="s">
        <v>595</v>
      </c>
      <c r="C38" s="2359"/>
      <c r="D38" s="885"/>
      <c r="E38" s="882"/>
      <c r="F38" s="882"/>
      <c r="G38" s="882"/>
      <c r="H38" s="883"/>
      <c r="I38" s="1013">
        <v>480000</v>
      </c>
      <c r="J38" s="884">
        <v>1459.7619999999999</v>
      </c>
      <c r="K38" s="884">
        <v>1459.7619999999999</v>
      </c>
      <c r="L38" s="884">
        <f t="shared" si="23"/>
        <v>0</v>
      </c>
      <c r="M38" s="884"/>
      <c r="N38" s="1014">
        <f>I39*L39+L40*I40</f>
        <v>10969920</v>
      </c>
      <c r="O38" s="971"/>
      <c r="P38" s="884"/>
      <c r="Q38" s="884">
        <v>280.214</v>
      </c>
      <c r="R38" s="884">
        <v>280.214</v>
      </c>
      <c r="S38" s="972">
        <f t="shared" si="24"/>
        <v>0</v>
      </c>
      <c r="T38" s="861"/>
      <c r="U38" s="862">
        <f>S40*I40</f>
        <v>2095679.9999999998</v>
      </c>
      <c r="V38" s="122">
        <f>N38</f>
        <v>10969920</v>
      </c>
      <c r="W38" s="868">
        <f>U38</f>
        <v>2095679.9999999998</v>
      </c>
      <c r="X38" s="870">
        <f>IF(W38&lt;0.00001,"0",COS(ATAN(W38/V38)))</f>
        <v>0.98223685260622773</v>
      </c>
      <c r="Y38" s="871">
        <f t="shared" si="14"/>
        <v>0</v>
      </c>
      <c r="Z38" s="889">
        <f t="shared" si="5"/>
        <v>0</v>
      </c>
      <c r="AA38" s="121">
        <f t="shared" si="6"/>
        <v>0</v>
      </c>
      <c r="AB38" s="2409" t="s">
        <v>599</v>
      </c>
      <c r="AC38" s="2410"/>
      <c r="AE38" s="837"/>
      <c r="AF38" s="1016" t="s">
        <v>595</v>
      </c>
      <c r="AG38" s="935">
        <f t="shared" si="25"/>
        <v>0.98223685260622773</v>
      </c>
      <c r="AH38" s="936">
        <f t="shared" si="25"/>
        <v>0</v>
      </c>
      <c r="AI38" s="937" t="e">
        <f>#REF!</f>
        <v>#REF!</v>
      </c>
      <c r="AJ38" s="937"/>
      <c r="AK38" s="935">
        <v>0.97855908321931595</v>
      </c>
      <c r="AL38" s="937"/>
      <c r="AM38" s="943"/>
      <c r="AN38" s="889"/>
      <c r="AO38" s="889"/>
      <c r="AP38" s="937"/>
      <c r="AQ38" s="941"/>
      <c r="AR38" s="941"/>
      <c r="AS38" s="897" t="e">
        <f>COS(ATAN(#REF!/#REF!))</f>
        <v>#REF!</v>
      </c>
      <c r="AT38" s="941"/>
      <c r="AU38" s="941"/>
      <c r="AV38" s="899"/>
      <c r="AW38" s="982"/>
      <c r="AX38" s="899"/>
      <c r="AY38" s="982"/>
      <c r="AZ38" s="902"/>
      <c r="BA38" s="902"/>
      <c r="BB38" s="902"/>
      <c r="BC38" s="902"/>
      <c r="BD38" s="902"/>
      <c r="BE38" s="902"/>
      <c r="BF38" s="902"/>
      <c r="BG38" s="902"/>
      <c r="BH38" s="902"/>
      <c r="BI38" s="871"/>
      <c r="BJ38" s="982"/>
      <c r="BK38" s="823">
        <f>BK37</f>
        <v>0.9</v>
      </c>
      <c r="BL38" s="839">
        <f t="shared" si="0"/>
        <v>0.9</v>
      </c>
      <c r="BM38" s="860">
        <f t="shared" si="27"/>
        <v>0</v>
      </c>
      <c r="BN38" s="860">
        <f t="shared" si="27"/>
        <v>10969920</v>
      </c>
      <c r="BO38" s="861"/>
      <c r="BP38" s="861">
        <v>6388800</v>
      </c>
      <c r="BQ38" s="851">
        <f t="shared" si="7"/>
        <v>0</v>
      </c>
      <c r="BR38" s="890">
        <f t="shared" si="7"/>
        <v>4581120</v>
      </c>
      <c r="BS38" s="828"/>
      <c r="BT38" s="828"/>
      <c r="BU38" s="828"/>
      <c r="BV38" s="828"/>
      <c r="BW38" s="828"/>
      <c r="BX38" s="828"/>
      <c r="BY38" s="828"/>
      <c r="BZ38" s="828"/>
      <c r="CA38" s="828"/>
      <c r="CB38" s="828"/>
      <c r="CC38" s="828"/>
      <c r="CD38" s="843">
        <v>13</v>
      </c>
      <c r="CE38" s="1017" t="s">
        <v>595</v>
      </c>
      <c r="CF38" s="2357"/>
      <c r="CG38" s="1018">
        <v>132</v>
      </c>
      <c r="CH38" s="855" t="s">
        <v>326</v>
      </c>
      <c r="CI38" s="908">
        <v>8993599</v>
      </c>
      <c r="CJ38" s="911"/>
      <c r="CK38" s="912"/>
      <c r="CL38" s="908">
        <v>480000</v>
      </c>
      <c r="CM38" s="867">
        <f t="shared" si="26"/>
        <v>1459.7619999999999</v>
      </c>
      <c r="CN38" s="867">
        <f t="shared" si="26"/>
        <v>1459.7619999999999</v>
      </c>
      <c r="CO38" s="878">
        <f>CN38-CM38</f>
        <v>0</v>
      </c>
      <c r="CP38" s="861"/>
      <c r="CQ38" s="861">
        <f>CO38*CL38</f>
        <v>0</v>
      </c>
      <c r="CR38" s="867">
        <v>86.18</v>
      </c>
      <c r="CS38" s="867">
        <v>90.41</v>
      </c>
      <c r="CT38" s="861">
        <f>CS38-CR38</f>
        <v>4.2299999999999898</v>
      </c>
      <c r="CU38" s="861"/>
      <c r="CV38" s="846">
        <f>CT38*CL38</f>
        <v>2030399.9999999951</v>
      </c>
      <c r="CW38" s="878" t="e">
        <f>IF(CT38&lt;0.00001,"0",COS(ATAN(CT38/CO38)))</f>
        <v>#DIV/0!</v>
      </c>
      <c r="CX38" s="879"/>
    </row>
    <row r="39" spans="1:102" s="992" customFormat="1" ht="15.75" customHeight="1" x14ac:dyDescent="0.3">
      <c r="A39" s="843"/>
      <c r="B39" s="972" t="s">
        <v>595</v>
      </c>
      <c r="C39" s="842"/>
      <c r="D39" s="881">
        <v>132</v>
      </c>
      <c r="E39" s="1013" t="s">
        <v>326</v>
      </c>
      <c r="F39" s="1013">
        <v>16402670</v>
      </c>
      <c r="G39" s="1019" t="s">
        <v>598</v>
      </c>
      <c r="H39" s="1019"/>
      <c r="I39" s="1013">
        <v>480000</v>
      </c>
      <c r="J39" s="884">
        <v>1525.2750000000001</v>
      </c>
      <c r="K39" s="884">
        <v>1525.2750000000001</v>
      </c>
      <c r="L39" s="884">
        <f t="shared" si="23"/>
        <v>0</v>
      </c>
      <c r="M39" s="884"/>
      <c r="N39" s="970"/>
      <c r="O39" s="971"/>
      <c r="P39" s="884" t="s">
        <v>323</v>
      </c>
      <c r="Q39" s="884">
        <v>280.214</v>
      </c>
      <c r="R39" s="884">
        <v>280.214</v>
      </c>
      <c r="S39" s="972">
        <f t="shared" si="24"/>
        <v>0</v>
      </c>
      <c r="T39" s="862"/>
      <c r="U39" s="843"/>
      <c r="V39" s="842"/>
      <c r="W39" s="856"/>
      <c r="X39" s="1020"/>
      <c r="Y39" s="1020"/>
      <c r="Z39" s="997">
        <f>Y39*W39</f>
        <v>0</v>
      </c>
      <c r="AA39" s="121">
        <f t="shared" si="6"/>
        <v>0</v>
      </c>
      <c r="AB39" s="991"/>
      <c r="AC39" s="842"/>
      <c r="AE39" s="837"/>
      <c r="AF39" s="857"/>
      <c r="AG39" s="994"/>
      <c r="AH39" s="993"/>
      <c r="AI39" s="994"/>
      <c r="AJ39" s="994"/>
      <c r="AK39" s="995"/>
      <c r="AL39" s="994"/>
      <c r="AM39" s="996"/>
      <c r="AN39" s="997"/>
      <c r="AO39" s="997"/>
      <c r="AP39" s="994"/>
      <c r="AQ39" s="978"/>
      <c r="AR39" s="978"/>
      <c r="AS39" s="998"/>
      <c r="AT39" s="978"/>
      <c r="AU39" s="978"/>
      <c r="AV39" s="999"/>
      <c r="AW39" s="978">
        <f>Z36+Z37</f>
        <v>286934.40000000119</v>
      </c>
      <c r="AX39" s="999"/>
      <c r="AY39" s="1000"/>
      <c r="AZ39" s="1021" t="s">
        <v>597</v>
      </c>
      <c r="BA39" s="1021" t="str">
        <f>F116</f>
        <v>8993861E</v>
      </c>
      <c r="BB39" s="1002" t="s">
        <v>596</v>
      </c>
      <c r="BC39" s="1002">
        <f>V116</f>
        <v>0</v>
      </c>
      <c r="BD39" s="1002">
        <f>W116</f>
        <v>0</v>
      </c>
      <c r="BE39" s="1022" t="str">
        <f>X116</f>
        <v>0</v>
      </c>
      <c r="BF39" s="1023">
        <f>Y116</f>
        <v>0</v>
      </c>
      <c r="BG39" s="990" t="e">
        <f>#REF!</f>
        <v>#REF!</v>
      </c>
      <c r="BH39" s="990">
        <f>AA116</f>
        <v>0</v>
      </c>
      <c r="BI39" s="1003"/>
      <c r="BJ39" s="1000"/>
      <c r="BK39" s="1004">
        <f>BK38</f>
        <v>0.9</v>
      </c>
      <c r="BL39" s="839">
        <f t="shared" si="0"/>
        <v>0.9</v>
      </c>
      <c r="BM39" s="1005">
        <f>K36</f>
        <v>8168.5640000000003</v>
      </c>
      <c r="BN39" s="1005">
        <f t="shared" si="27"/>
        <v>0</v>
      </c>
      <c r="BO39" s="843"/>
      <c r="BP39" s="843">
        <f>SUM(BP36:BP38)</f>
        <v>43248480</v>
      </c>
      <c r="BQ39" s="851">
        <f t="shared" si="7"/>
        <v>8168.5640000000003</v>
      </c>
      <c r="BR39" s="991">
        <f t="shared" si="7"/>
        <v>-43248480</v>
      </c>
      <c r="BS39" s="837"/>
      <c r="BT39" s="837"/>
      <c r="BU39" s="837"/>
      <c r="BV39" s="837"/>
      <c r="BW39" s="837"/>
      <c r="BX39" s="837"/>
      <c r="BY39" s="837"/>
      <c r="BZ39" s="837"/>
      <c r="CA39" s="837"/>
      <c r="CB39" s="837"/>
      <c r="CC39" s="837"/>
      <c r="CD39" s="843"/>
      <c r="CE39" s="852"/>
      <c r="CF39" s="842"/>
      <c r="CG39" s="955"/>
      <c r="CH39" s="955"/>
      <c r="CI39" s="955"/>
      <c r="CJ39" s="955"/>
      <c r="CK39" s="955"/>
      <c r="CL39" s="955"/>
      <c r="CM39" s="862"/>
      <c r="CN39" s="862"/>
      <c r="CO39" s="842"/>
      <c r="CP39" s="842"/>
      <c r="CQ39" s="843" t="e">
        <f>SUM(CQ35:CQ38)</f>
        <v>#REF!</v>
      </c>
      <c r="CR39" s="862"/>
      <c r="CS39" s="862"/>
      <c r="CT39" s="955"/>
      <c r="CU39" s="955"/>
      <c r="CV39" s="849">
        <f>SUM(CV35:CV38)</f>
        <v>25378560.000000007</v>
      </c>
      <c r="CW39" s="968"/>
      <c r="CX39" s="842"/>
    </row>
    <row r="40" spans="1:102" s="992" customFormat="1" ht="21" customHeight="1" x14ac:dyDescent="0.3">
      <c r="A40" s="843"/>
      <c r="B40" s="1024" t="s">
        <v>595</v>
      </c>
      <c r="C40" s="842"/>
      <c r="D40" s="843">
        <v>132</v>
      </c>
      <c r="E40" s="853" t="s">
        <v>326</v>
      </c>
      <c r="F40" s="843" t="s">
        <v>594</v>
      </c>
      <c r="G40" s="955"/>
      <c r="H40" s="955"/>
      <c r="I40" s="853">
        <v>480000</v>
      </c>
      <c r="J40" s="862">
        <v>99.251999999999995</v>
      </c>
      <c r="K40" s="862">
        <v>122.10599999999999</v>
      </c>
      <c r="L40" s="986">
        <f t="shared" si="23"/>
        <v>22.853999999999999</v>
      </c>
      <c r="M40" s="842"/>
      <c r="N40" s="856"/>
      <c r="O40" s="988"/>
      <c r="P40" s="955"/>
      <c r="Q40" s="862">
        <v>21.085000000000001</v>
      </c>
      <c r="R40" s="862">
        <v>25.451000000000001</v>
      </c>
      <c r="S40" s="862">
        <f t="shared" si="24"/>
        <v>4.3659999999999997</v>
      </c>
      <c r="T40" s="862"/>
      <c r="U40" s="862"/>
      <c r="V40" s="122">
        <f>N40</f>
        <v>0</v>
      </c>
      <c r="W40" s="868">
        <f>U40</f>
        <v>0</v>
      </c>
      <c r="X40" s="870" t="str">
        <f>IF(W40&lt;0.00001,"0",COS(ATAN(W40/V40)))</f>
        <v>0</v>
      </c>
      <c r="Y40" s="871">
        <f t="shared" si="14"/>
        <v>0</v>
      </c>
      <c r="Z40" s="997"/>
      <c r="AA40" s="121"/>
      <c r="AB40" s="991"/>
      <c r="AC40" s="842"/>
      <c r="AE40" s="837"/>
      <c r="AF40" s="857"/>
      <c r="AG40" s="994"/>
      <c r="AH40" s="993"/>
      <c r="AI40" s="994"/>
      <c r="AJ40" s="994"/>
      <c r="AK40" s="995"/>
      <c r="AL40" s="994"/>
      <c r="AM40" s="996"/>
      <c r="AN40" s="997"/>
      <c r="AO40" s="997"/>
      <c r="AP40" s="994"/>
      <c r="AQ40" s="978"/>
      <c r="AR40" s="978"/>
      <c r="AS40" s="998"/>
      <c r="AT40" s="978"/>
      <c r="AU40" s="978"/>
      <c r="AV40" s="999"/>
      <c r="AW40" s="978"/>
      <c r="AX40" s="999"/>
      <c r="AY40" s="1000"/>
      <c r="AZ40" s="1021"/>
      <c r="BA40" s="1021"/>
      <c r="BB40" s="1002"/>
      <c r="BC40" s="1002"/>
      <c r="BD40" s="1002"/>
      <c r="BE40" s="1022"/>
      <c r="BF40" s="1023"/>
      <c r="BG40" s="990"/>
      <c r="BH40" s="990"/>
      <c r="BI40" s="1003"/>
      <c r="BJ40" s="1000"/>
      <c r="BK40" s="1004"/>
      <c r="BL40" s="839"/>
      <c r="BM40" s="1005"/>
      <c r="BN40" s="1005"/>
      <c r="BO40" s="843"/>
      <c r="BP40" s="843"/>
      <c r="BQ40" s="851"/>
      <c r="BR40" s="991"/>
      <c r="BS40" s="837"/>
      <c r="BT40" s="837"/>
      <c r="BU40" s="837"/>
      <c r="BV40" s="837"/>
      <c r="BW40" s="837"/>
      <c r="BX40" s="837"/>
      <c r="BY40" s="837"/>
      <c r="BZ40" s="837"/>
      <c r="CA40" s="837"/>
      <c r="CB40" s="837"/>
      <c r="CC40" s="837"/>
      <c r="CD40" s="849"/>
      <c r="CE40" s="1025"/>
      <c r="CF40" s="847"/>
      <c r="CG40" s="1026"/>
      <c r="CH40" s="1026"/>
      <c r="CI40" s="1026"/>
      <c r="CJ40" s="1026"/>
      <c r="CK40" s="1026"/>
      <c r="CL40" s="1026"/>
      <c r="CM40" s="862"/>
      <c r="CN40" s="862"/>
      <c r="CO40" s="842"/>
      <c r="CQ40" s="843"/>
      <c r="CR40" s="862"/>
      <c r="CS40" s="862"/>
      <c r="CT40" s="955"/>
      <c r="CU40" s="955"/>
      <c r="CV40" s="849"/>
      <c r="CW40" s="968"/>
      <c r="CX40" s="842"/>
    </row>
    <row r="41" spans="1:102" ht="14.15" customHeight="1" x14ac:dyDescent="0.25">
      <c r="A41" s="2404" t="s">
        <v>593</v>
      </c>
      <c r="B41" s="2404"/>
      <c r="C41" s="2404"/>
      <c r="D41" s="2404"/>
      <c r="E41" s="2404"/>
      <c r="F41" s="2404"/>
      <c r="G41" s="955"/>
      <c r="H41" s="955"/>
      <c r="I41" s="2283" t="s">
        <v>592</v>
      </c>
      <c r="J41" s="2283"/>
      <c r="K41" s="2283"/>
      <c r="L41" s="2283"/>
      <c r="M41" s="842"/>
      <c r="N41" s="856">
        <f>SUM(N35:N38)</f>
        <v>54879840.000000127</v>
      </c>
      <c r="O41" s="1027">
        <f>IF(N41&gt;O34,N41-O34,0)</f>
        <v>54879840.000000127</v>
      </c>
      <c r="P41" s="1028"/>
      <c r="Q41" s="953"/>
      <c r="R41" s="953"/>
      <c r="S41" s="866"/>
      <c r="T41" s="862"/>
      <c r="U41" s="842">
        <f>SUM(U35:U38)</f>
        <v>22655520.000000477</v>
      </c>
      <c r="V41" s="154"/>
      <c r="W41" s="1027">
        <f>SUM(W35:W40)</f>
        <v>22655520.000000477</v>
      </c>
      <c r="X41" s="957"/>
      <c r="Y41" s="957"/>
      <c r="Z41" s="889">
        <f t="shared" si="5"/>
        <v>0</v>
      </c>
      <c r="AA41" s="121">
        <f t="shared" si="6"/>
        <v>0</v>
      </c>
      <c r="AB41" s="890"/>
      <c r="AC41" s="879"/>
      <c r="AE41" s="837"/>
      <c r="AF41" s="975"/>
      <c r="AG41" s="937"/>
      <c r="AH41" s="936"/>
      <c r="AI41" s="937"/>
      <c r="AJ41" s="937"/>
      <c r="AK41" s="935"/>
      <c r="AL41" s="937"/>
      <c r="AM41" s="943"/>
      <c r="AN41" s="889"/>
      <c r="AO41" s="889"/>
      <c r="AP41" s="937"/>
      <c r="AQ41" s="941"/>
      <c r="AR41" s="941"/>
      <c r="AS41" s="897"/>
      <c r="AT41" s="941"/>
      <c r="AU41" s="941"/>
      <c r="AV41" s="899"/>
      <c r="AW41" s="982"/>
      <c r="AX41" s="899"/>
      <c r="AY41" s="982"/>
      <c r="AZ41" s="866"/>
      <c r="BA41" s="866" t="str">
        <f>F115</f>
        <v>8993640E</v>
      </c>
      <c r="BB41" s="902" t="s">
        <v>591</v>
      </c>
      <c r="BC41" s="902">
        <f>V115</f>
        <v>0</v>
      </c>
      <c r="BD41" s="902">
        <f>W115</f>
        <v>0</v>
      </c>
      <c r="BE41" s="919" t="str">
        <f>X115</f>
        <v>0</v>
      </c>
      <c r="BF41" s="1029">
        <f>Y115</f>
        <v>0</v>
      </c>
      <c r="BG41" s="922" t="e">
        <f>#REF!</f>
        <v>#REF!</v>
      </c>
      <c r="BH41" s="922">
        <f>AA115</f>
        <v>0</v>
      </c>
      <c r="BI41" s="871"/>
      <c r="BJ41" s="982"/>
      <c r="BK41" s="823">
        <f>BK39</f>
        <v>0.9</v>
      </c>
      <c r="BL41" s="839">
        <f>BL39</f>
        <v>0.9</v>
      </c>
      <c r="BM41" s="860">
        <f t="shared" si="27"/>
        <v>0</v>
      </c>
      <c r="BN41" s="860">
        <f t="shared" si="27"/>
        <v>54879840.000000127</v>
      </c>
      <c r="BO41" s="861"/>
      <c r="BP41" s="861"/>
      <c r="BQ41" s="851">
        <f t="shared" si="7"/>
        <v>0</v>
      </c>
      <c r="BR41" s="890">
        <f t="shared" si="7"/>
        <v>54879840.000000127</v>
      </c>
      <c r="BS41" s="828"/>
      <c r="BT41" s="828"/>
      <c r="BU41" s="828"/>
      <c r="BV41" s="828"/>
      <c r="BW41" s="828"/>
      <c r="BX41" s="828"/>
      <c r="BY41" s="828"/>
      <c r="BZ41" s="828"/>
      <c r="CA41" s="828"/>
      <c r="CB41" s="828"/>
      <c r="CC41" s="828"/>
      <c r="CD41" s="2405"/>
      <c r="CE41" s="2406"/>
      <c r="CF41" s="2406"/>
      <c r="CG41" s="2406"/>
      <c r="CH41" s="2279"/>
      <c r="CI41" s="2279"/>
      <c r="CJ41" s="2279"/>
      <c r="CK41" s="2279"/>
      <c r="CL41" s="2279"/>
      <c r="CM41" s="867"/>
      <c r="CN41" s="867"/>
      <c r="CO41" s="955"/>
      <c r="CQ41" s="861"/>
      <c r="CR41" s="867"/>
      <c r="CS41" s="867"/>
      <c r="CT41" s="866"/>
      <c r="CU41" s="866"/>
      <c r="CV41" s="864"/>
      <c r="CW41" s="871"/>
      <c r="CX41" s="879"/>
    </row>
    <row r="42" spans="1:102" ht="15.65" customHeight="1" x14ac:dyDescent="0.25">
      <c r="A42" s="861">
        <v>14</v>
      </c>
      <c r="B42" s="931" t="s">
        <v>588</v>
      </c>
      <c r="C42" s="2295" t="s">
        <v>587</v>
      </c>
      <c r="D42" s="861">
        <v>132</v>
      </c>
      <c r="E42" s="855" t="s">
        <v>326</v>
      </c>
      <c r="F42" s="855">
        <v>8993683</v>
      </c>
      <c r="G42" s="855" t="s">
        <v>560</v>
      </c>
      <c r="H42" s="932" t="s">
        <v>324</v>
      </c>
      <c r="I42" s="855">
        <v>960000</v>
      </c>
      <c r="J42" s="933">
        <v>8081.1220000000003</v>
      </c>
      <c r="K42" s="933">
        <v>8107.4840000000004</v>
      </c>
      <c r="L42" s="861">
        <f>K42-J42</f>
        <v>26.36200000000008</v>
      </c>
      <c r="M42" s="861"/>
      <c r="N42" s="868">
        <f>L42*I42</f>
        <v>25307520.000000078</v>
      </c>
      <c r="O42" s="868"/>
      <c r="P42" s="955"/>
      <c r="Q42" s="1030">
        <v>4532.826</v>
      </c>
      <c r="R42" s="1030">
        <v>4544.7550000000001</v>
      </c>
      <c r="S42" s="861">
        <f t="shared" ref="S42:S50" si="28">R42-Q42</f>
        <v>11.929000000000087</v>
      </c>
      <c r="T42" s="861"/>
      <c r="U42" s="861">
        <f>S42*I42</f>
        <v>11451840.000000084</v>
      </c>
      <c r="V42" s="122">
        <f>N42</f>
        <v>25307520.000000078</v>
      </c>
      <c r="W42" s="868">
        <f>U42</f>
        <v>11451840.000000084</v>
      </c>
      <c r="X42" s="870">
        <f>ROUND(IF(W42&lt;0.00001,"0",COS(ATAN(W42/V42))),2)</f>
        <v>0.91</v>
      </c>
      <c r="Y42" s="871">
        <f t="shared" si="14"/>
        <v>0</v>
      </c>
      <c r="Z42" s="889">
        <f t="shared" si="5"/>
        <v>0</v>
      </c>
      <c r="AA42" s="121">
        <f t="shared" si="6"/>
        <v>0</v>
      </c>
      <c r="AB42" s="890"/>
      <c r="AC42" s="2403"/>
      <c r="AE42" s="837"/>
      <c r="AF42" s="872" t="s">
        <v>588</v>
      </c>
      <c r="AG42" s="935">
        <f>X42</f>
        <v>0.91</v>
      </c>
      <c r="AH42" s="936">
        <f>Y42</f>
        <v>0</v>
      </c>
      <c r="AI42" s="937" t="e">
        <f>#REF!</f>
        <v>#REF!</v>
      </c>
      <c r="AJ42" s="937">
        <f>AA42</f>
        <v>0</v>
      </c>
      <c r="AK42" s="935">
        <v>0.8820730683025062</v>
      </c>
      <c r="AL42" s="938">
        <v>0.01</v>
      </c>
      <c r="AM42" s="969">
        <v>257688</v>
      </c>
      <c r="AN42" s="889">
        <f>AM42*5.878</f>
        <v>1514690.064</v>
      </c>
      <c r="AO42" s="889" t="e">
        <f>AM42-AI42</f>
        <v>#REF!</v>
      </c>
      <c r="AP42" s="937">
        <f>AN42-AJ42</f>
        <v>1514690.064</v>
      </c>
      <c r="AQ42" s="941"/>
      <c r="AR42" s="941"/>
      <c r="AS42" s="897" t="e">
        <f>COS(ATAN(#REF!/#REF!))</f>
        <v>#REF!</v>
      </c>
      <c r="AT42" s="941"/>
      <c r="AU42" s="941"/>
      <c r="AV42" s="899"/>
      <c r="AW42" s="941">
        <v>2442859.1800000002</v>
      </c>
      <c r="AX42" s="899">
        <f>AA42-AW42</f>
        <v>-2442859.1800000002</v>
      </c>
      <c r="AY42" s="982"/>
      <c r="AZ42" s="875" t="s">
        <v>590</v>
      </c>
      <c r="BA42" s="866" t="str">
        <f>F147</f>
        <v>8993836E</v>
      </c>
      <c r="BB42" s="902" t="s">
        <v>589</v>
      </c>
      <c r="BC42" s="902">
        <f>V147</f>
        <v>0</v>
      </c>
      <c r="BD42" s="902">
        <f>W147</f>
        <v>0</v>
      </c>
      <c r="BE42" s="919" t="str">
        <f>X147</f>
        <v>0</v>
      </c>
      <c r="BF42" s="1029">
        <f>Y147</f>
        <v>0</v>
      </c>
      <c r="BG42" s="922" t="e">
        <f>#REF!</f>
        <v>#REF!</v>
      </c>
      <c r="BH42" s="922">
        <f>AA147</f>
        <v>0</v>
      </c>
      <c r="BI42" s="871"/>
      <c r="BJ42" s="982"/>
      <c r="BK42" s="823">
        <f>BK41</f>
        <v>0.9</v>
      </c>
      <c r="BL42" s="839">
        <f t="shared" si="0"/>
        <v>0.9</v>
      </c>
      <c r="BM42" s="860">
        <f t="shared" si="27"/>
        <v>0</v>
      </c>
      <c r="BN42" s="860">
        <f t="shared" si="27"/>
        <v>25307520.000000078</v>
      </c>
      <c r="BO42" s="861"/>
      <c r="BP42" s="861">
        <v>25236000</v>
      </c>
      <c r="BQ42" s="851">
        <f t="shared" si="7"/>
        <v>0</v>
      </c>
      <c r="BR42" s="890">
        <f t="shared" si="7"/>
        <v>71520.000000078231</v>
      </c>
      <c r="BS42" s="828"/>
      <c r="BT42" s="828"/>
      <c r="BU42" s="828"/>
      <c r="BV42" s="828"/>
      <c r="BW42" s="828"/>
      <c r="BX42" s="828"/>
      <c r="BY42" s="828"/>
      <c r="BZ42" s="828"/>
      <c r="CA42" s="828"/>
      <c r="CB42" s="828"/>
      <c r="CC42" s="828"/>
      <c r="CD42" s="843">
        <v>14</v>
      </c>
      <c r="CE42" s="931" t="s">
        <v>588</v>
      </c>
      <c r="CF42" s="2299" t="s">
        <v>587</v>
      </c>
      <c r="CG42" s="861">
        <v>132</v>
      </c>
      <c r="CH42" s="855" t="s">
        <v>326</v>
      </c>
      <c r="CI42" s="855">
        <v>8993683</v>
      </c>
      <c r="CJ42" s="855" t="s">
        <v>560</v>
      </c>
      <c r="CK42" s="932" t="s">
        <v>324</v>
      </c>
      <c r="CL42" s="855">
        <v>480000</v>
      </c>
      <c r="CM42" s="867">
        <f>J42</f>
        <v>8081.1220000000003</v>
      </c>
      <c r="CN42" s="867">
        <f>K42</f>
        <v>8107.4840000000004</v>
      </c>
      <c r="CO42" s="861">
        <f t="shared" ref="CO42:CO50" si="29">CN42-CM42</f>
        <v>26.36200000000008</v>
      </c>
      <c r="CP42" s="861"/>
      <c r="CQ42" s="861">
        <f>CO42*CL42</f>
        <v>12653760.000000039</v>
      </c>
      <c r="CR42" s="867">
        <v>3455.2829999999999</v>
      </c>
      <c r="CS42" s="867">
        <v>3483.9560000000001</v>
      </c>
      <c r="CT42" s="861">
        <f t="shared" ref="CT42:CT48" si="30">CS42-CR42</f>
        <v>28.673000000000229</v>
      </c>
      <c r="CU42" s="861"/>
      <c r="CV42" s="846">
        <f>CT42*CL42</f>
        <v>13763040.00000011</v>
      </c>
      <c r="CW42" s="878">
        <f>IF(CT42&lt;0.00001,"0",COS(ATAN(CT42/CO42)))</f>
        <v>0.67681788725385927</v>
      </c>
      <c r="CX42" s="879"/>
    </row>
    <row r="43" spans="1:102" ht="14" x14ac:dyDescent="0.25">
      <c r="A43" s="861"/>
      <c r="B43" s="931"/>
      <c r="C43" s="2295"/>
      <c r="D43" s="861"/>
      <c r="E43" s="855"/>
      <c r="F43" s="855"/>
      <c r="G43" s="855"/>
      <c r="H43" s="932"/>
      <c r="I43" s="855"/>
      <c r="J43" s="953"/>
      <c r="K43" s="953"/>
      <c r="L43" s="855"/>
      <c r="M43" s="855"/>
      <c r="N43" s="868"/>
      <c r="O43" s="868"/>
      <c r="P43" s="953"/>
      <c r="Q43" s="933"/>
      <c r="R43" s="933"/>
      <c r="S43" s="861">
        <f t="shared" si="28"/>
        <v>0</v>
      </c>
      <c r="T43" s="861"/>
      <c r="U43" s="861"/>
      <c r="V43" s="122"/>
      <c r="W43" s="868"/>
      <c r="X43" s="870"/>
      <c r="Y43" s="870"/>
      <c r="Z43" s="889">
        <f t="shared" si="5"/>
        <v>0</v>
      </c>
      <c r="AA43" s="121">
        <f t="shared" si="6"/>
        <v>0</v>
      </c>
      <c r="AB43" s="890"/>
      <c r="AC43" s="2403"/>
      <c r="AE43" s="837"/>
      <c r="AF43" s="872"/>
      <c r="AG43" s="935"/>
      <c r="AH43" s="936"/>
      <c r="AI43" s="937"/>
      <c r="AJ43" s="937"/>
      <c r="AK43" s="935"/>
      <c r="AL43" s="938"/>
      <c r="AM43" s="969"/>
      <c r="AN43" s="889"/>
      <c r="AO43" s="889"/>
      <c r="AP43" s="937"/>
      <c r="AQ43" s="941"/>
      <c r="AR43" s="941"/>
      <c r="AS43" s="897"/>
      <c r="AT43" s="941"/>
      <c r="AU43" s="941"/>
      <c r="AV43" s="899"/>
      <c r="AW43" s="982"/>
      <c r="AX43" s="899">
        <f>AA43-AW43</f>
        <v>0</v>
      </c>
      <c r="AY43" s="982"/>
      <c r="AZ43" s="875"/>
      <c r="BA43" s="866">
        <f>F140</f>
        <v>8993833</v>
      </c>
      <c r="BB43" s="902" t="s">
        <v>586</v>
      </c>
      <c r="BC43" s="902">
        <f>V140</f>
        <v>0</v>
      </c>
      <c r="BD43" s="902">
        <f>U140</f>
        <v>0</v>
      </c>
      <c r="BE43" s="919" t="str">
        <f>X140</f>
        <v>0</v>
      </c>
      <c r="BF43" s="1029">
        <f>Y140</f>
        <v>0</v>
      </c>
      <c r="BG43" s="922" t="e">
        <f>#REF!</f>
        <v>#REF!</v>
      </c>
      <c r="BH43" s="922">
        <f>AA140</f>
        <v>0</v>
      </c>
      <c r="BI43" s="871"/>
      <c r="BJ43" s="982"/>
      <c r="BL43" s="839"/>
      <c r="BM43" s="860"/>
      <c r="BN43" s="860"/>
      <c r="BO43" s="861"/>
      <c r="BP43" s="861"/>
      <c r="BQ43" s="851"/>
      <c r="BR43" s="890"/>
      <c r="BS43" s="828"/>
      <c r="BT43" s="828"/>
      <c r="BU43" s="828"/>
      <c r="BV43" s="828"/>
      <c r="BW43" s="828"/>
      <c r="BX43" s="828"/>
      <c r="BY43" s="828"/>
      <c r="BZ43" s="828"/>
      <c r="CA43" s="828"/>
      <c r="CB43" s="828"/>
      <c r="CC43" s="828"/>
      <c r="CD43" s="843"/>
      <c r="CE43" s="931"/>
      <c r="CF43" s="2300"/>
      <c r="CG43" s="861"/>
      <c r="CH43" s="855"/>
      <c r="CI43" s="855"/>
      <c r="CJ43" s="855"/>
      <c r="CK43" s="932"/>
      <c r="CL43" s="855"/>
      <c r="CM43" s="867"/>
      <c r="CN43" s="867"/>
      <c r="CO43" s="861"/>
      <c r="CP43" s="861"/>
      <c r="CQ43" s="861"/>
      <c r="CR43" s="867"/>
      <c r="CS43" s="867"/>
      <c r="CT43" s="861"/>
      <c r="CU43" s="861"/>
      <c r="CV43" s="846"/>
      <c r="CW43" s="878"/>
      <c r="CX43" s="879"/>
    </row>
    <row r="44" spans="1:102" ht="16" x14ac:dyDescent="0.25">
      <c r="A44" s="861">
        <v>15</v>
      </c>
      <c r="B44" s="931" t="s">
        <v>583</v>
      </c>
      <c r="C44" s="2295"/>
      <c r="D44" s="861">
        <v>132</v>
      </c>
      <c r="E44" s="855" t="s">
        <v>326</v>
      </c>
      <c r="F44" s="855">
        <v>8993682</v>
      </c>
      <c r="G44" s="855" t="s">
        <v>560</v>
      </c>
      <c r="H44" s="932" t="s">
        <v>324</v>
      </c>
      <c r="I44" s="855">
        <v>960000</v>
      </c>
      <c r="J44" s="933">
        <v>8074.3289999999997</v>
      </c>
      <c r="K44" s="933">
        <v>8100.4880000000003</v>
      </c>
      <c r="L44" s="861">
        <f t="shared" ref="L44:L50" si="31">K44-J44</f>
        <v>26.15900000000056</v>
      </c>
      <c r="M44" s="861"/>
      <c r="N44" s="868">
        <f>L44*I44</f>
        <v>25112640.000000536</v>
      </c>
      <c r="O44" s="1008"/>
      <c r="P44" s="953"/>
      <c r="Q44" s="1030">
        <v>4528.098</v>
      </c>
      <c r="R44" s="1030">
        <v>4539.9870000000001</v>
      </c>
      <c r="S44" s="861">
        <f t="shared" si="28"/>
        <v>11.889000000000124</v>
      </c>
      <c r="T44" s="861"/>
      <c r="U44" s="861">
        <f>S44*I44</f>
        <v>11413440.000000119</v>
      </c>
      <c r="V44" s="122">
        <f>N44</f>
        <v>25112640.000000536</v>
      </c>
      <c r="W44" s="868">
        <f>U44</f>
        <v>11413440.000000119</v>
      </c>
      <c r="X44" s="870">
        <f>ROUND(IF(W44&lt;0.00001,"0",COS(ATAN(W44/V44))),2)</f>
        <v>0.91</v>
      </c>
      <c r="Y44" s="871">
        <f t="shared" si="14"/>
        <v>0</v>
      </c>
      <c r="Z44" s="889">
        <f t="shared" si="5"/>
        <v>0</v>
      </c>
      <c r="AA44" s="121">
        <f t="shared" si="6"/>
        <v>0</v>
      </c>
      <c r="AB44" s="890"/>
      <c r="AC44" s="2403"/>
      <c r="AE44" s="837"/>
      <c r="AF44" s="872" t="s">
        <v>583</v>
      </c>
      <c r="AG44" s="935">
        <f>X44</f>
        <v>0.91</v>
      </c>
      <c r="AH44" s="936">
        <f>Y44</f>
        <v>0</v>
      </c>
      <c r="AI44" s="937" t="e">
        <f>#REF!</f>
        <v>#REF!</v>
      </c>
      <c r="AJ44" s="937">
        <f>AA44</f>
        <v>0</v>
      </c>
      <c r="AK44" s="935">
        <v>0.88143551944978038</v>
      </c>
      <c r="AL44" s="938">
        <v>0.01</v>
      </c>
      <c r="AM44" s="969">
        <v>261797</v>
      </c>
      <c r="AN44" s="889">
        <f>AM44*5.878</f>
        <v>1538842.7660000001</v>
      </c>
      <c r="AO44" s="889" t="e">
        <f>AM44-AI44</f>
        <v>#REF!</v>
      </c>
      <c r="AP44" s="937">
        <f>AN44-AJ44</f>
        <v>1538842.7660000001</v>
      </c>
      <c r="AQ44" s="941"/>
      <c r="AR44" s="941"/>
      <c r="AS44" s="897" t="e">
        <f>COS(ATAN(#REF!/#REF!))</f>
        <v>#REF!</v>
      </c>
      <c r="AT44" s="941"/>
      <c r="AU44" s="941"/>
      <c r="AV44" s="899"/>
      <c r="AW44" s="982"/>
      <c r="AX44" s="899"/>
      <c r="AY44" s="982"/>
      <c r="AZ44" s="875" t="s">
        <v>585</v>
      </c>
      <c r="BA44" s="866" t="str">
        <f>F150</f>
        <v>50148569E</v>
      </c>
      <c r="BB44" s="902" t="s">
        <v>584</v>
      </c>
      <c r="BC44" s="902">
        <f>N150</f>
        <v>18458249.999999907</v>
      </c>
      <c r="BD44" s="902">
        <f>W150</f>
        <v>9752999.9999999292</v>
      </c>
      <c r="BE44" s="919">
        <f>X150</f>
        <v>0.8841642659443717</v>
      </c>
      <c r="BF44" s="1029">
        <f>Y150</f>
        <v>0.01</v>
      </c>
      <c r="BG44" s="922" t="e">
        <f>#REF!</f>
        <v>#REF!</v>
      </c>
      <c r="BH44" s="904">
        <f>AA150</f>
        <v>1191129.3307499939</v>
      </c>
      <c r="BI44" s="871"/>
      <c r="BJ44" s="982"/>
      <c r="BK44" s="823">
        <f>BK42</f>
        <v>0.9</v>
      </c>
      <c r="BL44" s="839">
        <f>BL42</f>
        <v>0.9</v>
      </c>
      <c r="BM44" s="860">
        <f t="shared" ref="BM44:BN48" si="32">M44</f>
        <v>0</v>
      </c>
      <c r="BN44" s="860">
        <f t="shared" si="32"/>
        <v>25112640.000000536</v>
      </c>
      <c r="BO44" s="861"/>
      <c r="BP44" s="861">
        <v>25056000</v>
      </c>
      <c r="BQ44" s="851">
        <f t="shared" si="7"/>
        <v>0</v>
      </c>
      <c r="BR44" s="890">
        <f t="shared" si="7"/>
        <v>56640.000000536442</v>
      </c>
      <c r="BS44" s="828"/>
      <c r="BT44" s="828"/>
      <c r="BU44" s="828"/>
      <c r="BV44" s="828"/>
      <c r="BW44" s="828"/>
      <c r="BX44" s="828"/>
      <c r="BY44" s="828"/>
      <c r="BZ44" s="828"/>
      <c r="CA44" s="828"/>
      <c r="CB44" s="828"/>
      <c r="CC44" s="828"/>
      <c r="CD44" s="843">
        <v>15</v>
      </c>
      <c r="CE44" s="931" t="s">
        <v>583</v>
      </c>
      <c r="CF44" s="2300"/>
      <c r="CG44" s="861">
        <v>132</v>
      </c>
      <c r="CH44" s="855" t="s">
        <v>326</v>
      </c>
      <c r="CI44" s="855">
        <v>8993682</v>
      </c>
      <c r="CJ44" s="855" t="s">
        <v>560</v>
      </c>
      <c r="CK44" s="932" t="s">
        <v>324</v>
      </c>
      <c r="CL44" s="855">
        <v>480000</v>
      </c>
      <c r="CM44" s="867">
        <f t="shared" ref="CM44:CN50" si="33">J44</f>
        <v>8074.3289999999997</v>
      </c>
      <c r="CN44" s="867">
        <f t="shared" si="33"/>
        <v>8100.4880000000003</v>
      </c>
      <c r="CO44" s="861">
        <f t="shared" si="29"/>
        <v>26.15900000000056</v>
      </c>
      <c r="CP44" s="861"/>
      <c r="CQ44" s="861">
        <f>CO44*CL44</f>
        <v>12556320.000000268</v>
      </c>
      <c r="CR44" s="867">
        <v>3443.8939999999998</v>
      </c>
      <c r="CS44" s="867">
        <v>3473.1190000000001</v>
      </c>
      <c r="CT44" s="861">
        <f t="shared" si="30"/>
        <v>29.225000000000364</v>
      </c>
      <c r="CU44" s="861"/>
      <c r="CV44" s="846">
        <f>CT44*CL44</f>
        <v>14028000.000000175</v>
      </c>
      <c r="CW44" s="878">
        <f>IF(CT44&lt;0.00001,"0",COS(ATAN(CT44/CO44)))</f>
        <v>0.66694091716966653</v>
      </c>
      <c r="CX44" s="879"/>
    </row>
    <row r="45" spans="1:102" ht="14.15" customHeight="1" x14ac:dyDescent="0.25">
      <c r="A45" s="2295">
        <v>16</v>
      </c>
      <c r="B45" s="2343" t="s">
        <v>271</v>
      </c>
      <c r="C45" s="2295"/>
      <c r="D45" s="861">
        <v>132</v>
      </c>
      <c r="E45" s="855" t="s">
        <v>326</v>
      </c>
      <c r="F45" s="2359">
        <v>8993681</v>
      </c>
      <c r="G45" s="855" t="s">
        <v>560</v>
      </c>
      <c r="H45" s="2400" t="s">
        <v>324</v>
      </c>
      <c r="I45" s="855">
        <v>1440000</v>
      </c>
      <c r="J45" s="933">
        <v>2506.0210000000002</v>
      </c>
      <c r="K45" s="933">
        <v>2515.3890000000001</v>
      </c>
      <c r="L45" s="861">
        <f t="shared" si="31"/>
        <v>9.3679999999999382</v>
      </c>
      <c r="M45" s="861"/>
      <c r="N45" s="868">
        <f>L45*I45</f>
        <v>13489919.999999911</v>
      </c>
      <c r="O45" s="2399"/>
      <c r="P45" s="953"/>
      <c r="Q45" s="1030">
        <v>1350.3150000000001</v>
      </c>
      <c r="R45" s="1030">
        <v>1352.2080000000001</v>
      </c>
      <c r="S45" s="861">
        <f t="shared" si="28"/>
        <v>1.8930000000000291</v>
      </c>
      <c r="T45" s="861"/>
      <c r="U45" s="861">
        <f>S45*I45</f>
        <v>2725920.0000000419</v>
      </c>
      <c r="V45" s="122">
        <f>N45-M46</f>
        <v>13489919.999999911</v>
      </c>
      <c r="W45" s="868">
        <f>U45-T46</f>
        <v>2725920.0000000419</v>
      </c>
      <c r="X45" s="870">
        <f>ROUND(IF(W45&lt;0.00001,"0",COS(ATAN(W45/V45))),2)</f>
        <v>0.98</v>
      </c>
      <c r="Y45" s="871">
        <f t="shared" si="14"/>
        <v>0</v>
      </c>
      <c r="Z45" s="889">
        <f t="shared" si="5"/>
        <v>0</v>
      </c>
      <c r="AA45" s="121">
        <f t="shared" si="6"/>
        <v>0</v>
      </c>
      <c r="AB45" s="890"/>
      <c r="AC45" s="2403"/>
      <c r="AE45" s="837"/>
      <c r="AF45" s="2401" t="s">
        <v>271</v>
      </c>
      <c r="AG45" s="892">
        <f>X45</f>
        <v>0.98</v>
      </c>
      <c r="AH45" s="936">
        <f>Y45</f>
        <v>0</v>
      </c>
      <c r="AI45" s="937" t="e">
        <f>#REF!</f>
        <v>#REF!</v>
      </c>
      <c r="AJ45" s="937"/>
      <c r="AK45" s="1031">
        <v>0</v>
      </c>
      <c r="AL45" s="875"/>
      <c r="AM45" s="876"/>
      <c r="AN45" s="889"/>
      <c r="AO45" s="889"/>
      <c r="AP45" s="1032"/>
      <c r="AQ45" s="941"/>
      <c r="AR45" s="941"/>
      <c r="AS45" s="897" t="e">
        <f>COS(ATAN(#REF!/#REF!))</f>
        <v>#REF!</v>
      </c>
      <c r="AT45" s="941"/>
      <c r="AU45" s="941"/>
      <c r="AV45" s="899"/>
      <c r="AW45" s="941">
        <v>1720626.97</v>
      </c>
      <c r="AX45" s="899">
        <f>AA45-AW45</f>
        <v>-1720626.97</v>
      </c>
      <c r="AY45" s="982"/>
      <c r="AZ45" s="875"/>
      <c r="BA45" s="866" t="str">
        <f>F149</f>
        <v>50147586E</v>
      </c>
      <c r="BB45" s="902" t="s">
        <v>582</v>
      </c>
      <c r="BC45" s="902">
        <f>V149</f>
        <v>18552750.00000006</v>
      </c>
      <c r="BD45" s="902">
        <f>W149</f>
        <v>9770250.0000000335</v>
      </c>
      <c r="BE45" s="919">
        <f>X149</f>
        <v>0.88480724485860496</v>
      </c>
      <c r="BF45" s="1029">
        <f>Y149</f>
        <v>0.01</v>
      </c>
      <c r="BG45" s="922" t="e">
        <f>#REF!</f>
        <v>#REF!</v>
      </c>
      <c r="BH45" s="919">
        <f>AA149</f>
        <v>1197227.510250004</v>
      </c>
      <c r="BI45" s="871"/>
      <c r="BJ45" s="982"/>
      <c r="BK45" s="823">
        <f>BK44</f>
        <v>0.9</v>
      </c>
      <c r="BL45" s="839">
        <f t="shared" si="0"/>
        <v>0.9</v>
      </c>
      <c r="BM45" s="860">
        <f t="shared" si="32"/>
        <v>0</v>
      </c>
      <c r="BN45" s="860">
        <f t="shared" si="32"/>
        <v>13489919.999999911</v>
      </c>
      <c r="BO45" s="861"/>
      <c r="BP45" s="861">
        <v>19805760</v>
      </c>
      <c r="BQ45" s="851">
        <f t="shared" si="7"/>
        <v>0</v>
      </c>
      <c r="BR45" s="890">
        <f t="shared" si="7"/>
        <v>-6315840.0000000894</v>
      </c>
      <c r="BS45" s="828"/>
      <c r="BT45" s="828"/>
      <c r="BU45" s="828"/>
      <c r="BV45" s="828"/>
      <c r="BW45" s="828"/>
      <c r="BX45" s="828"/>
      <c r="BY45" s="828"/>
      <c r="BZ45" s="828"/>
      <c r="CA45" s="828"/>
      <c r="CB45" s="828"/>
      <c r="CC45" s="828"/>
      <c r="CD45" s="2311">
        <v>16</v>
      </c>
      <c r="CE45" s="2344" t="s">
        <v>271</v>
      </c>
      <c r="CF45" s="2300"/>
      <c r="CG45" s="861">
        <v>132</v>
      </c>
      <c r="CH45" s="855" t="s">
        <v>326</v>
      </c>
      <c r="CI45" s="2356">
        <v>8993681</v>
      </c>
      <c r="CJ45" s="908" t="s">
        <v>560</v>
      </c>
      <c r="CK45" s="2397" t="s">
        <v>324</v>
      </c>
      <c r="CL45" s="855">
        <v>1440000</v>
      </c>
      <c r="CM45" s="867">
        <f t="shared" si="33"/>
        <v>2506.0210000000002</v>
      </c>
      <c r="CN45" s="867">
        <f t="shared" si="33"/>
        <v>2515.3890000000001</v>
      </c>
      <c r="CO45" s="861">
        <f t="shared" si="29"/>
        <v>9.3679999999999382</v>
      </c>
      <c r="CP45" s="861"/>
      <c r="CQ45" s="861">
        <f>CO45*CL45</f>
        <v>13489919.999999911</v>
      </c>
      <c r="CR45" s="867">
        <v>1028.421</v>
      </c>
      <c r="CS45" s="867">
        <v>1028.8910000000001</v>
      </c>
      <c r="CT45" s="861">
        <f t="shared" si="30"/>
        <v>0.47000000000002728</v>
      </c>
      <c r="CU45" s="861"/>
      <c r="CV45" s="846">
        <f>CT45*CL45</f>
        <v>676800.00000003935</v>
      </c>
      <c r="CW45" s="878"/>
      <c r="CX45" s="879"/>
    </row>
    <row r="46" spans="1:102" ht="14" x14ac:dyDescent="0.3">
      <c r="A46" s="2295"/>
      <c r="B46" s="2343"/>
      <c r="C46" s="2295"/>
      <c r="D46" s="861">
        <v>132</v>
      </c>
      <c r="E46" s="855" t="s">
        <v>339</v>
      </c>
      <c r="F46" s="2359"/>
      <c r="G46" s="855" t="s">
        <v>560</v>
      </c>
      <c r="H46" s="2400"/>
      <c r="I46" s="855">
        <v>1440000</v>
      </c>
      <c r="J46" s="953">
        <v>9.1839999999999993</v>
      </c>
      <c r="K46" s="953">
        <v>9.1839999999999993</v>
      </c>
      <c r="L46" s="878">
        <f t="shared" si="31"/>
        <v>0</v>
      </c>
      <c r="M46" s="861">
        <f>L46*I46</f>
        <v>0</v>
      </c>
      <c r="N46" s="868"/>
      <c r="O46" s="2399"/>
      <c r="P46" s="953"/>
      <c r="Q46" s="933">
        <v>19.004999999999999</v>
      </c>
      <c r="R46" s="933">
        <v>19.004999999999999</v>
      </c>
      <c r="S46" s="861">
        <f t="shared" si="28"/>
        <v>0</v>
      </c>
      <c r="T46" s="861">
        <f>S46*I46</f>
        <v>0</v>
      </c>
      <c r="U46" s="861"/>
      <c r="V46" s="122"/>
      <c r="W46" s="868"/>
      <c r="X46" s="870"/>
      <c r="Y46" s="870"/>
      <c r="Z46" s="889">
        <f t="shared" si="5"/>
        <v>0</v>
      </c>
      <c r="AA46" s="121">
        <f t="shared" si="6"/>
        <v>0</v>
      </c>
      <c r="AB46" s="890"/>
      <c r="AC46" s="2403"/>
      <c r="AE46" s="837"/>
      <c r="AF46" s="2402"/>
      <c r="AG46" s="892"/>
      <c r="AH46" s="936"/>
      <c r="AI46" s="937"/>
      <c r="AJ46" s="937"/>
      <c r="AK46" s="935"/>
      <c r="AL46" s="937"/>
      <c r="AM46" s="943"/>
      <c r="AN46" s="889"/>
      <c r="AO46" s="889"/>
      <c r="AP46" s="937"/>
      <c r="AQ46" s="941"/>
      <c r="AR46" s="941"/>
      <c r="AS46" s="897"/>
      <c r="AT46" s="941"/>
      <c r="AU46" s="941"/>
      <c r="AV46" s="899"/>
      <c r="AW46" s="982"/>
      <c r="AX46" s="899"/>
      <c r="AY46" s="982"/>
      <c r="BB46" s="979" t="s">
        <v>581</v>
      </c>
      <c r="BG46" s="980" t="e">
        <f>SUM(BG39:BG45)</f>
        <v>#REF!</v>
      </c>
      <c r="BH46" s="980">
        <f>SUM(BH39:BH45)</f>
        <v>2388356.8409999982</v>
      </c>
      <c r="BJ46" s="982"/>
      <c r="BK46" s="823">
        <f>BK45</f>
        <v>0.9</v>
      </c>
      <c r="BL46" s="839">
        <f t="shared" si="0"/>
        <v>0.9</v>
      </c>
      <c r="BM46" s="860">
        <f t="shared" si="32"/>
        <v>0</v>
      </c>
      <c r="BN46" s="860">
        <f t="shared" si="32"/>
        <v>0</v>
      </c>
      <c r="BO46" s="1033"/>
      <c r="BP46" s="861"/>
      <c r="BQ46" s="851">
        <f t="shared" si="7"/>
        <v>0</v>
      </c>
      <c r="BR46" s="890">
        <f t="shared" si="7"/>
        <v>0</v>
      </c>
      <c r="BS46" s="828"/>
      <c r="BT46" s="828"/>
      <c r="BU46" s="828"/>
      <c r="BV46" s="828"/>
      <c r="BW46" s="828"/>
      <c r="BX46" s="828"/>
      <c r="BY46" s="828"/>
      <c r="BZ46" s="828"/>
      <c r="CA46" s="828"/>
      <c r="CB46" s="828"/>
      <c r="CC46" s="828"/>
      <c r="CD46" s="2312"/>
      <c r="CE46" s="2345"/>
      <c r="CF46" s="2300"/>
      <c r="CG46" s="861">
        <v>132</v>
      </c>
      <c r="CH46" s="855" t="s">
        <v>339</v>
      </c>
      <c r="CI46" s="2357"/>
      <c r="CJ46" s="909" t="s">
        <v>560</v>
      </c>
      <c r="CK46" s="2398"/>
      <c r="CL46" s="855">
        <v>1440000</v>
      </c>
      <c r="CM46" s="867">
        <f t="shared" si="33"/>
        <v>9.1839999999999993</v>
      </c>
      <c r="CN46" s="867">
        <f t="shared" si="33"/>
        <v>9.1839999999999993</v>
      </c>
      <c r="CO46" s="861">
        <f t="shared" si="29"/>
        <v>0</v>
      </c>
      <c r="CP46" s="861">
        <f>CO46*CL46</f>
        <v>0</v>
      </c>
      <c r="CQ46" s="861"/>
      <c r="CR46" s="867">
        <v>17.382999999999999</v>
      </c>
      <c r="CS46" s="867">
        <v>17.382999999999999</v>
      </c>
      <c r="CT46" s="861">
        <f t="shared" si="30"/>
        <v>0</v>
      </c>
      <c r="CU46" s="861">
        <f>CT46*CL46</f>
        <v>0</v>
      </c>
      <c r="CV46" s="846"/>
      <c r="CW46" s="878" t="str">
        <f>IF(CT46&lt;0.00001,"0",COS(ATAN(CT46/CO46)))</f>
        <v>0</v>
      </c>
      <c r="CX46" s="879"/>
    </row>
    <row r="47" spans="1:102" ht="14.15" customHeight="1" x14ac:dyDescent="0.25">
      <c r="A47" s="2295">
        <v>17</v>
      </c>
      <c r="B47" s="2343" t="s">
        <v>272</v>
      </c>
      <c r="C47" s="2295"/>
      <c r="D47" s="861">
        <v>132</v>
      </c>
      <c r="E47" s="855" t="s">
        <v>326</v>
      </c>
      <c r="F47" s="2359">
        <v>8993680</v>
      </c>
      <c r="G47" s="855" t="s">
        <v>560</v>
      </c>
      <c r="H47" s="2400" t="s">
        <v>324</v>
      </c>
      <c r="I47" s="855">
        <v>1440000</v>
      </c>
      <c r="J47" s="953">
        <v>1373.548</v>
      </c>
      <c r="K47" s="953">
        <v>1373.548</v>
      </c>
      <c r="L47" s="878">
        <f t="shared" si="31"/>
        <v>0</v>
      </c>
      <c r="M47" s="861"/>
      <c r="N47" s="868">
        <f>L47*I47</f>
        <v>0</v>
      </c>
      <c r="O47" s="2407" t="s">
        <v>580</v>
      </c>
      <c r="P47" s="953"/>
      <c r="Q47" s="933">
        <v>1173.9059999999999</v>
      </c>
      <c r="R47" s="933">
        <v>1173.9059999999999</v>
      </c>
      <c r="S47" s="861">
        <f t="shared" si="28"/>
        <v>0</v>
      </c>
      <c r="T47" s="861"/>
      <c r="U47" s="861">
        <f>S47*I47</f>
        <v>0</v>
      </c>
      <c r="V47" s="122">
        <f>N47-M48</f>
        <v>0</v>
      </c>
      <c r="W47" s="868">
        <f>U47-T48</f>
        <v>0</v>
      </c>
      <c r="X47" s="870">
        <f>ROUND(IF(W47&lt;0.00001,"0",COS(ATAN(W47/V47))),2)</f>
        <v>0</v>
      </c>
      <c r="Y47" s="871">
        <f t="shared" si="14"/>
        <v>0</v>
      </c>
      <c r="Z47" s="889">
        <f t="shared" si="5"/>
        <v>0</v>
      </c>
      <c r="AA47" s="121">
        <f t="shared" si="6"/>
        <v>0</v>
      </c>
      <c r="AB47" s="890"/>
      <c r="AC47" s="2403"/>
      <c r="AE47" s="837"/>
      <c r="AF47" s="2401" t="s">
        <v>579</v>
      </c>
      <c r="AG47" s="892">
        <f>X47</f>
        <v>0</v>
      </c>
      <c r="AH47" s="936">
        <f>Y47</f>
        <v>0</v>
      </c>
      <c r="AI47" s="937" t="e">
        <f>#REF!</f>
        <v>#REF!</v>
      </c>
      <c r="AJ47" s="937">
        <f>AH47*5.878</f>
        <v>0</v>
      </c>
      <c r="AK47" s="935">
        <v>0.54892891816572675</v>
      </c>
      <c r="AL47" s="935"/>
      <c r="AN47" s="889"/>
      <c r="AO47" s="889"/>
      <c r="AP47" s="937" t="s">
        <v>578</v>
      </c>
      <c r="AQ47" s="941"/>
      <c r="AR47" s="941"/>
      <c r="AS47" s="897" t="e">
        <f>COS(ATAN(#REF!/#REF!))</f>
        <v>#REF!</v>
      </c>
      <c r="AT47" s="941"/>
      <c r="AU47" s="941"/>
      <c r="AV47" s="899"/>
      <c r="AW47" s="941">
        <v>286432.59000000003</v>
      </c>
      <c r="AX47" s="899">
        <f>AA47-AW47</f>
        <v>-286432.59000000003</v>
      </c>
      <c r="AY47" s="982"/>
      <c r="BJ47" s="982"/>
      <c r="BK47" s="823">
        <f>BK46</f>
        <v>0.9</v>
      </c>
      <c r="BL47" s="839">
        <f t="shared" si="0"/>
        <v>0.9</v>
      </c>
      <c r="BM47" s="860">
        <f t="shared" si="32"/>
        <v>0</v>
      </c>
      <c r="BN47" s="860">
        <f t="shared" si="32"/>
        <v>0</v>
      </c>
      <c r="BO47" s="861"/>
      <c r="BP47" s="861"/>
      <c r="BQ47" s="851">
        <f t="shared" si="7"/>
        <v>0</v>
      </c>
      <c r="BR47" s="890">
        <f t="shared" si="7"/>
        <v>0</v>
      </c>
      <c r="BS47" s="828"/>
      <c r="BT47" s="828"/>
      <c r="BU47" s="828"/>
      <c r="BV47" s="828"/>
      <c r="BW47" s="828"/>
      <c r="BX47" s="828"/>
      <c r="BY47" s="828"/>
      <c r="BZ47" s="828"/>
      <c r="CA47" s="828"/>
      <c r="CB47" s="828"/>
      <c r="CC47" s="828"/>
      <c r="CD47" s="2311">
        <v>17</v>
      </c>
      <c r="CE47" s="2344" t="s">
        <v>579</v>
      </c>
      <c r="CF47" s="2300"/>
      <c r="CG47" s="861">
        <v>132</v>
      </c>
      <c r="CH47" s="855" t="s">
        <v>326</v>
      </c>
      <c r="CI47" s="2356">
        <v>8993680</v>
      </c>
      <c r="CJ47" s="908" t="s">
        <v>560</v>
      </c>
      <c r="CK47" s="2397" t="s">
        <v>324</v>
      </c>
      <c r="CL47" s="855">
        <v>1440000</v>
      </c>
      <c r="CM47" s="867">
        <f t="shared" si="33"/>
        <v>1373.548</v>
      </c>
      <c r="CN47" s="867">
        <f t="shared" si="33"/>
        <v>1373.548</v>
      </c>
      <c r="CO47" s="861">
        <f t="shared" si="29"/>
        <v>0</v>
      </c>
      <c r="CP47" s="861"/>
      <c r="CQ47" s="843">
        <f>CO47*CL47</f>
        <v>0</v>
      </c>
      <c r="CR47" s="867">
        <v>1172.921</v>
      </c>
      <c r="CS47" s="867">
        <v>1173.1220000000001</v>
      </c>
      <c r="CT47" s="861">
        <f t="shared" si="30"/>
        <v>0.20100000000002183</v>
      </c>
      <c r="CU47" s="861"/>
      <c r="CV47" s="846">
        <f>CT47*CL47</f>
        <v>289440.00000003143</v>
      </c>
      <c r="CW47" s="878" t="e">
        <f>IF(CT47&lt;0.00001,"0",COS(ATAN(CT47/CO47)))</f>
        <v>#DIV/0!</v>
      </c>
      <c r="CX47" s="879"/>
    </row>
    <row r="48" spans="1:102" ht="14" x14ac:dyDescent="0.3">
      <c r="A48" s="2295"/>
      <c r="B48" s="2343"/>
      <c r="C48" s="2295"/>
      <c r="D48" s="861">
        <v>132</v>
      </c>
      <c r="E48" s="855" t="s">
        <v>339</v>
      </c>
      <c r="F48" s="2359"/>
      <c r="G48" s="855" t="s">
        <v>560</v>
      </c>
      <c r="H48" s="2400"/>
      <c r="I48" s="855">
        <v>1440000</v>
      </c>
      <c r="J48" s="953">
        <v>22.279</v>
      </c>
      <c r="K48" s="953">
        <v>22.279</v>
      </c>
      <c r="L48" s="878">
        <f t="shared" si="31"/>
        <v>0</v>
      </c>
      <c r="M48" s="861">
        <f>L48*I48</f>
        <v>0</v>
      </c>
      <c r="N48" s="856"/>
      <c r="O48" s="2407"/>
      <c r="P48" s="953"/>
      <c r="Q48" s="933">
        <v>21.331</v>
      </c>
      <c r="R48" s="933">
        <v>21.331</v>
      </c>
      <c r="S48" s="861">
        <f t="shared" si="28"/>
        <v>0</v>
      </c>
      <c r="T48" s="861">
        <f>S48*I48</f>
        <v>0</v>
      </c>
      <c r="U48" s="861"/>
      <c r="V48" s="122"/>
      <c r="W48" s="868"/>
      <c r="X48" s="870"/>
      <c r="Y48" s="870"/>
      <c r="Z48" s="889">
        <f t="shared" si="5"/>
        <v>0</v>
      </c>
      <c r="AA48" s="121">
        <f t="shared" si="6"/>
        <v>0</v>
      </c>
      <c r="AB48" s="890"/>
      <c r="AC48" s="2403"/>
      <c r="AE48" s="837"/>
      <c r="AF48" s="2402"/>
      <c r="AG48" s="892">
        <f>X48</f>
        <v>0</v>
      </c>
      <c r="AH48" s="936"/>
      <c r="AI48" s="937"/>
      <c r="AJ48" s="937"/>
      <c r="AK48" s="935">
        <v>0.80443026947291052</v>
      </c>
      <c r="AL48" s="937"/>
      <c r="AM48" s="943"/>
      <c r="AN48" s="889"/>
      <c r="AO48" s="889"/>
      <c r="AP48" s="937" t="s">
        <v>578</v>
      </c>
      <c r="AQ48" s="941"/>
      <c r="AR48" s="941"/>
      <c r="AS48" s="897"/>
      <c r="AT48" s="941"/>
      <c r="AU48" s="941"/>
      <c r="AV48" s="899"/>
      <c r="AW48" s="982"/>
      <c r="AX48" s="899">
        <f>AA48-AW48</f>
        <v>0</v>
      </c>
      <c r="AY48" s="982"/>
      <c r="BB48" s="902" t="s">
        <v>577</v>
      </c>
      <c r="BC48" s="902"/>
      <c r="BD48" s="902"/>
      <c r="BE48" s="902"/>
      <c r="BF48" s="902"/>
      <c r="BG48" s="990">
        <f>BH48/5.928</f>
        <v>966275.48920377868</v>
      </c>
      <c r="BH48" s="990">
        <v>5728081.0999999996</v>
      </c>
      <c r="BI48" s="871"/>
      <c r="BJ48" s="982"/>
      <c r="BK48" s="823">
        <f>BK47</f>
        <v>0.9</v>
      </c>
      <c r="BL48" s="839">
        <f>BL47</f>
        <v>0.9</v>
      </c>
      <c r="BM48" s="860">
        <f t="shared" si="32"/>
        <v>0</v>
      </c>
      <c r="BN48" s="860">
        <f t="shared" si="32"/>
        <v>0</v>
      </c>
      <c r="BO48" s="861"/>
      <c r="BP48" s="861"/>
      <c r="BQ48" s="851">
        <f t="shared" si="7"/>
        <v>0</v>
      </c>
      <c r="BR48" s="890">
        <f t="shared" si="7"/>
        <v>0</v>
      </c>
      <c r="BS48" s="828"/>
      <c r="BT48" s="828"/>
      <c r="BU48" s="828"/>
      <c r="BV48" s="828"/>
      <c r="BW48" s="828"/>
      <c r="BX48" s="828"/>
      <c r="BY48" s="828"/>
      <c r="BZ48" s="828"/>
      <c r="CA48" s="828"/>
      <c r="CB48" s="828"/>
      <c r="CC48" s="828"/>
      <c r="CD48" s="2312"/>
      <c r="CE48" s="2345"/>
      <c r="CF48" s="2300"/>
      <c r="CG48" s="861">
        <v>132</v>
      </c>
      <c r="CH48" s="855" t="s">
        <v>339</v>
      </c>
      <c r="CI48" s="2357"/>
      <c r="CJ48" s="909" t="s">
        <v>560</v>
      </c>
      <c r="CK48" s="2398"/>
      <c r="CL48" s="855">
        <v>1440000</v>
      </c>
      <c r="CM48" s="867">
        <f t="shared" si="33"/>
        <v>22.279</v>
      </c>
      <c r="CN48" s="867">
        <f t="shared" si="33"/>
        <v>22.279</v>
      </c>
      <c r="CO48" s="861">
        <f t="shared" si="29"/>
        <v>0</v>
      </c>
      <c r="CP48" s="861">
        <f>CO48*CL48</f>
        <v>0</v>
      </c>
      <c r="CQ48" s="843"/>
      <c r="CR48" s="867">
        <v>7.625</v>
      </c>
      <c r="CS48" s="867">
        <v>10.539</v>
      </c>
      <c r="CT48" s="861">
        <f t="shared" si="30"/>
        <v>2.9139999999999997</v>
      </c>
      <c r="CU48" s="861">
        <f>CT48*CL48</f>
        <v>4196160</v>
      </c>
      <c r="CV48" s="846"/>
      <c r="CW48" s="878" t="e">
        <f>IF(CT48&lt;0.00001,"0",COS(ATAN(CT48/CO48)))</f>
        <v>#DIV/0!</v>
      </c>
      <c r="CX48" s="879"/>
    </row>
    <row r="49" spans="1:102" ht="14" x14ac:dyDescent="0.3">
      <c r="A49" s="2295">
        <v>18</v>
      </c>
      <c r="B49" s="2343" t="s">
        <v>116</v>
      </c>
      <c r="C49" s="2295"/>
      <c r="D49" s="861">
        <v>132</v>
      </c>
      <c r="E49" s="855" t="s">
        <v>326</v>
      </c>
      <c r="F49" s="2359">
        <v>8993555</v>
      </c>
      <c r="G49" s="855"/>
      <c r="H49" s="932"/>
      <c r="I49" s="855">
        <v>1440000</v>
      </c>
      <c r="J49" s="933">
        <v>2586.7979999999998</v>
      </c>
      <c r="K49" s="933">
        <v>2605.194</v>
      </c>
      <c r="L49" s="878">
        <f t="shared" si="31"/>
        <v>18.396000000000186</v>
      </c>
      <c r="M49" s="861"/>
      <c r="N49" s="868">
        <f>L49*I49</f>
        <v>26490240.000000268</v>
      </c>
      <c r="O49" s="1034"/>
      <c r="P49" s="953"/>
      <c r="Q49" s="1030">
        <v>1214.3920000000001</v>
      </c>
      <c r="R49" s="1030">
        <v>1221.4929999999999</v>
      </c>
      <c r="S49" s="861">
        <f t="shared" si="28"/>
        <v>7.1009999999998854</v>
      </c>
      <c r="T49" s="861"/>
      <c r="U49" s="861">
        <f>S49*I49</f>
        <v>10225439.999999834</v>
      </c>
      <c r="V49" s="122">
        <f>N49-M50</f>
        <v>26490240.000000268</v>
      </c>
      <c r="W49" s="868">
        <f>U49-T50</f>
        <v>10225439.999999834</v>
      </c>
      <c r="X49" s="870">
        <f>ROUND(IF(W49&lt;0.00001,"0",COS(ATAN(W49/V49))),2)</f>
        <v>0.93</v>
      </c>
      <c r="Y49" s="871">
        <f t="shared" si="14"/>
        <v>0</v>
      </c>
      <c r="Z49" s="889">
        <f t="shared" si="5"/>
        <v>0</v>
      </c>
      <c r="AA49" s="121">
        <f t="shared" si="6"/>
        <v>0</v>
      </c>
      <c r="AB49" s="890"/>
      <c r="AC49" s="879"/>
      <c r="AE49" s="837"/>
      <c r="AF49" s="914"/>
      <c r="AG49" s="892"/>
      <c r="AH49" s="936"/>
      <c r="AI49" s="937"/>
      <c r="AJ49" s="937"/>
      <c r="AK49" s="935"/>
      <c r="AL49" s="937"/>
      <c r="AM49" s="943"/>
      <c r="AN49" s="889"/>
      <c r="AO49" s="889"/>
      <c r="AP49" s="937"/>
      <c r="AQ49" s="941"/>
      <c r="AR49" s="941"/>
      <c r="AS49" s="897"/>
      <c r="AT49" s="941"/>
      <c r="AU49" s="941"/>
      <c r="AV49" s="899"/>
      <c r="AW49" s="941">
        <v>9263097.8800000008</v>
      </c>
      <c r="AX49" s="899">
        <f>AA49-AW49</f>
        <v>-9263097.8800000008</v>
      </c>
      <c r="AY49" s="982"/>
      <c r="BB49" s="902" t="s">
        <v>576</v>
      </c>
      <c r="BC49" s="902"/>
      <c r="BD49" s="902"/>
      <c r="BE49" s="902"/>
      <c r="BF49" s="902"/>
      <c r="BG49" s="990" t="e">
        <f>BG48-BG46</f>
        <v>#REF!</v>
      </c>
      <c r="BH49" s="990">
        <f>BH48-BH46</f>
        <v>3339724.2590000015</v>
      </c>
      <c r="BI49" s="871"/>
      <c r="BJ49" s="982"/>
      <c r="BL49" s="839"/>
      <c r="BM49" s="860"/>
      <c r="BN49" s="860"/>
      <c r="BO49" s="861"/>
      <c r="BP49" s="861"/>
      <c r="BQ49" s="851"/>
      <c r="BR49" s="890"/>
      <c r="BS49" s="828"/>
      <c r="BT49" s="828"/>
      <c r="BU49" s="828"/>
      <c r="BV49" s="828"/>
      <c r="BW49" s="828"/>
      <c r="BX49" s="828"/>
      <c r="BY49" s="828"/>
      <c r="BZ49" s="828"/>
      <c r="CA49" s="828"/>
      <c r="CB49" s="828"/>
      <c r="CC49" s="828"/>
      <c r="CD49" s="923"/>
      <c r="CE49" s="1035"/>
      <c r="CF49" s="828"/>
      <c r="CG49" s="951"/>
      <c r="CH49" s="1036"/>
      <c r="CI49" s="1037"/>
      <c r="CJ49" s="909"/>
      <c r="CK49" s="925"/>
      <c r="CL49" s="855"/>
      <c r="CM49" s="867">
        <f t="shared" si="33"/>
        <v>2586.7979999999998</v>
      </c>
      <c r="CN49" s="867">
        <f t="shared" si="33"/>
        <v>2605.194</v>
      </c>
      <c r="CO49" s="861">
        <f t="shared" si="29"/>
        <v>18.396000000000186</v>
      </c>
      <c r="CP49" s="861"/>
      <c r="CQ49" s="843"/>
      <c r="CR49" s="867"/>
      <c r="CS49" s="867"/>
      <c r="CT49" s="861"/>
      <c r="CU49" s="861"/>
      <c r="CV49" s="846"/>
      <c r="CW49" s="878"/>
      <c r="CX49" s="879"/>
    </row>
    <row r="50" spans="1:102" ht="14" x14ac:dyDescent="0.25">
      <c r="A50" s="2295"/>
      <c r="B50" s="2343"/>
      <c r="C50" s="2295"/>
      <c r="D50" s="861">
        <v>132</v>
      </c>
      <c r="E50" s="855" t="s">
        <v>339</v>
      </c>
      <c r="F50" s="2359"/>
      <c r="G50" s="855"/>
      <c r="H50" s="932"/>
      <c r="I50" s="855">
        <v>1440000</v>
      </c>
      <c r="J50" s="953">
        <v>771.69899999999996</v>
      </c>
      <c r="K50" s="953">
        <v>771.69899999999996</v>
      </c>
      <c r="L50" s="878">
        <f t="shared" si="31"/>
        <v>0</v>
      </c>
      <c r="M50" s="861">
        <f>L50*I50</f>
        <v>0</v>
      </c>
      <c r="N50" s="1038"/>
      <c r="O50" s="1034"/>
      <c r="P50" s="955"/>
      <c r="Q50" s="933">
        <v>568.90599999999995</v>
      </c>
      <c r="R50" s="933">
        <v>568.90599999999995</v>
      </c>
      <c r="S50" s="861">
        <f t="shared" si="28"/>
        <v>0</v>
      </c>
      <c r="T50" s="861">
        <f>S50*I50</f>
        <v>0</v>
      </c>
      <c r="U50" s="861"/>
      <c r="V50" s="122"/>
      <c r="W50" s="868"/>
      <c r="X50" s="870"/>
      <c r="Y50" s="870"/>
      <c r="Z50" s="889">
        <f t="shared" si="5"/>
        <v>0</v>
      </c>
      <c r="AA50" s="121">
        <f t="shared" si="6"/>
        <v>0</v>
      </c>
      <c r="AB50" s="890"/>
      <c r="AC50" s="879"/>
      <c r="AE50" s="837"/>
      <c r="AF50" s="914"/>
      <c r="AG50" s="892"/>
      <c r="AH50" s="936"/>
      <c r="AI50" s="937"/>
      <c r="AJ50" s="937"/>
      <c r="AK50" s="935"/>
      <c r="AL50" s="937"/>
      <c r="AM50" s="943"/>
      <c r="AN50" s="889"/>
      <c r="AO50" s="889"/>
      <c r="AP50" s="937"/>
      <c r="AQ50" s="941"/>
      <c r="AR50" s="941"/>
      <c r="AS50" s="897"/>
      <c r="AT50" s="941"/>
      <c r="AU50" s="941"/>
      <c r="AV50" s="899"/>
      <c r="AW50" s="982"/>
      <c r="AX50" s="899"/>
      <c r="AY50" s="982"/>
      <c r="BI50" s="982"/>
      <c r="BJ50" s="982"/>
      <c r="BL50" s="839"/>
      <c r="BM50" s="860"/>
      <c r="BN50" s="860"/>
      <c r="BO50" s="861"/>
      <c r="BP50" s="861"/>
      <c r="BQ50" s="851"/>
      <c r="BR50" s="890"/>
      <c r="BS50" s="828"/>
      <c r="BT50" s="828"/>
      <c r="BU50" s="828"/>
      <c r="BV50" s="828"/>
      <c r="BW50" s="828"/>
      <c r="BX50" s="828"/>
      <c r="BY50" s="828"/>
      <c r="BZ50" s="828"/>
      <c r="CA50" s="828"/>
      <c r="CB50" s="828"/>
      <c r="CC50" s="828"/>
      <c r="CD50" s="923"/>
      <c r="CE50" s="1035"/>
      <c r="CF50" s="828"/>
      <c r="CG50" s="951"/>
      <c r="CH50" s="1036"/>
      <c r="CI50" s="1037"/>
      <c r="CJ50" s="909"/>
      <c r="CK50" s="925"/>
      <c r="CL50" s="855"/>
      <c r="CM50" s="867">
        <f t="shared" si="33"/>
        <v>771.69899999999996</v>
      </c>
      <c r="CN50" s="867">
        <f t="shared" si="33"/>
        <v>771.69899999999996</v>
      </c>
      <c r="CO50" s="861">
        <f t="shared" si="29"/>
        <v>0</v>
      </c>
      <c r="CP50" s="861"/>
      <c r="CQ50" s="843"/>
      <c r="CR50" s="867"/>
      <c r="CS50" s="867"/>
      <c r="CT50" s="861"/>
      <c r="CU50" s="861"/>
      <c r="CV50" s="846"/>
      <c r="CW50" s="878"/>
      <c r="CX50" s="879"/>
    </row>
    <row r="51" spans="1:102" ht="14.9" customHeight="1" x14ac:dyDescent="0.25">
      <c r="A51" s="2396" t="s">
        <v>575</v>
      </c>
      <c r="B51" s="2396"/>
      <c r="C51" s="2396"/>
      <c r="D51" s="2396"/>
      <c r="E51" s="2396"/>
      <c r="F51" s="2396"/>
      <c r="G51" s="2396"/>
      <c r="H51" s="2396"/>
      <c r="I51" s="2396"/>
      <c r="J51" s="2396"/>
      <c r="K51" s="2396"/>
      <c r="L51" s="843" t="s">
        <v>323</v>
      </c>
      <c r="M51" s="843">
        <f>SUM(M42:M50)</f>
        <v>0</v>
      </c>
      <c r="N51" s="856">
        <f>SUM(N42:N50)</f>
        <v>90400320.00000079</v>
      </c>
      <c r="O51" s="954">
        <f>N51-M51</f>
        <v>90400320.00000079</v>
      </c>
      <c r="P51" s="955" t="s">
        <v>323</v>
      </c>
      <c r="Q51" s="953"/>
      <c r="R51" s="953"/>
      <c r="S51" s="955"/>
      <c r="T51" s="843">
        <f>SUM(T42:T48)</f>
        <v>0</v>
      </c>
      <c r="U51" s="843">
        <f>SUM(U42:U50)</f>
        <v>35816640.000000075</v>
      </c>
      <c r="V51" s="116"/>
      <c r="W51" s="954">
        <f>U51-T51</f>
        <v>35816640.000000075</v>
      </c>
      <c r="X51" s="1020"/>
      <c r="Y51" s="1020"/>
      <c r="Z51" s="889">
        <f t="shared" si="5"/>
        <v>0</v>
      </c>
      <c r="AA51" s="121">
        <f t="shared" si="6"/>
        <v>0</v>
      </c>
      <c r="AB51" s="890"/>
      <c r="AC51" s="879"/>
      <c r="AE51" s="837"/>
      <c r="AF51" s="975"/>
      <c r="AG51" s="892"/>
      <c r="AH51" s="936"/>
      <c r="AI51" s="937"/>
      <c r="AJ51" s="937"/>
      <c r="AK51" s="935"/>
      <c r="AL51" s="937"/>
      <c r="AM51" s="943"/>
      <c r="AN51" s="889"/>
      <c r="AO51" s="889"/>
      <c r="AP51" s="937"/>
      <c r="AQ51" s="941"/>
      <c r="AR51" s="941"/>
      <c r="AS51" s="897"/>
      <c r="AT51" s="941"/>
      <c r="AU51" s="941"/>
      <c r="AV51" s="899"/>
      <c r="AW51" s="978">
        <f>Z42+Z44+Z49</f>
        <v>0</v>
      </c>
      <c r="AX51" s="899"/>
      <c r="AY51" s="982"/>
      <c r="BB51" s="1039" t="s">
        <v>574</v>
      </c>
      <c r="BC51" s="1040"/>
      <c r="BD51" s="1040"/>
      <c r="BE51" s="1040"/>
      <c r="BF51" s="901"/>
      <c r="BG51" s="922" t="e">
        <f>BG46+BG31</f>
        <v>#REF!</v>
      </c>
      <c r="BH51" s="919">
        <f>BH46+BH31</f>
        <v>4221351.175080006</v>
      </c>
      <c r="BI51" s="902"/>
      <c r="BJ51" s="982"/>
      <c r="BK51" s="823">
        <f>BK48</f>
        <v>0.9</v>
      </c>
      <c r="BL51" s="839">
        <f>BL48</f>
        <v>0.9</v>
      </c>
      <c r="BM51" s="860">
        <f t="shared" ref="BM51:BN71" si="34">M51</f>
        <v>0</v>
      </c>
      <c r="BN51" s="860">
        <f t="shared" si="34"/>
        <v>90400320.00000079</v>
      </c>
      <c r="BO51" s="861"/>
      <c r="BP51" s="861">
        <f>SUM(BP42:BP48)</f>
        <v>70097760</v>
      </c>
      <c r="BQ51" s="851">
        <f t="shared" si="7"/>
        <v>0</v>
      </c>
      <c r="BR51" s="890">
        <f t="shared" si="7"/>
        <v>20302560.00000079</v>
      </c>
      <c r="BS51" s="828"/>
      <c r="BT51" s="828"/>
      <c r="BU51" s="828"/>
      <c r="BV51" s="828"/>
      <c r="BW51" s="828"/>
      <c r="BX51" s="828"/>
      <c r="BY51" s="828"/>
      <c r="BZ51" s="828"/>
      <c r="CA51" s="828"/>
      <c r="CB51" s="828"/>
      <c r="CC51" s="828"/>
      <c r="CD51" s="2353"/>
      <c r="CE51" s="2354"/>
      <c r="CF51" s="2354"/>
      <c r="CG51" s="2354"/>
      <c r="CH51" s="2354"/>
      <c r="CI51" s="2355"/>
      <c r="CJ51" s="855"/>
      <c r="CK51" s="932"/>
      <c r="CL51" s="855"/>
      <c r="CM51" s="867"/>
      <c r="CN51" s="867"/>
      <c r="CO51" s="843" t="s">
        <v>323</v>
      </c>
      <c r="CP51" s="843">
        <f>SUM(CP42:CP48)</f>
        <v>0</v>
      </c>
      <c r="CQ51" s="843">
        <f>SUM(CQ42:CQ48)</f>
        <v>38700000.000000216</v>
      </c>
      <c r="CR51" s="867"/>
      <c r="CS51" s="867"/>
      <c r="CT51" s="955"/>
      <c r="CU51" s="843">
        <f>SUM(CU42:CU48)</f>
        <v>4196160</v>
      </c>
      <c r="CV51" s="849">
        <f>SUM(CV42:CV48)</f>
        <v>28757280.000000354</v>
      </c>
      <c r="CW51" s="968"/>
      <c r="CX51" s="879"/>
    </row>
    <row r="52" spans="1:102" ht="14.15" customHeight="1" x14ac:dyDescent="0.25">
      <c r="A52" s="2295">
        <v>19</v>
      </c>
      <c r="B52" s="2343" t="s">
        <v>573</v>
      </c>
      <c r="C52" s="2299" t="s">
        <v>572</v>
      </c>
      <c r="D52" s="2295">
        <v>132</v>
      </c>
      <c r="E52" s="855" t="s">
        <v>326</v>
      </c>
      <c r="F52" s="2359">
        <v>8993631</v>
      </c>
      <c r="G52" s="855" t="s">
        <v>560</v>
      </c>
      <c r="H52" s="2400" t="s">
        <v>324</v>
      </c>
      <c r="I52" s="855">
        <v>960000</v>
      </c>
      <c r="J52" s="933">
        <v>5527.5439999999999</v>
      </c>
      <c r="K52" s="933">
        <v>5553.8010000000004</v>
      </c>
      <c r="L52" s="878">
        <f t="shared" ref="L52:L66" si="35">K52-J52</f>
        <v>26.257000000000517</v>
      </c>
      <c r="M52" s="861"/>
      <c r="N52" s="868">
        <f>L52*I52</f>
        <v>25206720.000000495</v>
      </c>
      <c r="O52" s="869"/>
      <c r="P52" s="861"/>
      <c r="Q52" s="933">
        <v>2834.9810000000002</v>
      </c>
      <c r="R52" s="933">
        <v>2846.9949999999999</v>
      </c>
      <c r="S52" s="861">
        <f t="shared" ref="S52:S66" si="36">R52-Q52</f>
        <v>12.013999999999669</v>
      </c>
      <c r="T52" s="861"/>
      <c r="U52" s="861">
        <f>S52*I52</f>
        <v>11533439.999999681</v>
      </c>
      <c r="V52" s="122">
        <f>N52-M53</f>
        <v>25206720.000000495</v>
      </c>
      <c r="W52" s="868">
        <f>U52-T53</f>
        <v>11533439.999999681</v>
      </c>
      <c r="X52" s="870">
        <f>ROUND(IF(W52&lt;0.00001,"0",COS(ATAN(W52/V52))),2)</f>
        <v>0.91</v>
      </c>
      <c r="Y52" s="871">
        <f t="shared" si="14"/>
        <v>0</v>
      </c>
      <c r="Z52" s="889">
        <f t="shared" si="5"/>
        <v>0</v>
      </c>
      <c r="AA52" s="121">
        <f t="shared" si="6"/>
        <v>0</v>
      </c>
      <c r="AB52" s="890"/>
      <c r="AC52" s="879"/>
      <c r="AE52" s="837"/>
      <c r="AF52" s="2401" t="s">
        <v>573</v>
      </c>
      <c r="AG52" s="935">
        <f>X52</f>
        <v>0.91</v>
      </c>
      <c r="AH52" s="936">
        <f>Y52</f>
        <v>0</v>
      </c>
      <c r="AI52" s="937" t="e">
        <f>#REF!</f>
        <v>#REF!</v>
      </c>
      <c r="AJ52" s="937">
        <f>AA52</f>
        <v>0</v>
      </c>
      <c r="AK52" s="1031">
        <v>0.87223187754074949</v>
      </c>
      <c r="AL52" s="1041">
        <v>0.02</v>
      </c>
      <c r="AM52" s="876">
        <v>449203</v>
      </c>
      <c r="AN52" s="889">
        <f>AM52*5.878</f>
        <v>2640415.2340000002</v>
      </c>
      <c r="AO52" s="889" t="e">
        <f>AM52-AI52</f>
        <v>#REF!</v>
      </c>
      <c r="AP52" s="1032">
        <f>AN52-AJ52</f>
        <v>2640415.2340000002</v>
      </c>
      <c r="AQ52" s="941"/>
      <c r="AR52" s="941"/>
      <c r="AS52" s="897" t="e">
        <f>COS(ATAN(#REF!/#REF!))</f>
        <v>#REF!</v>
      </c>
      <c r="AT52" s="941"/>
      <c r="AU52" s="941"/>
      <c r="AV52" s="899"/>
      <c r="AW52" s="898">
        <v>4005767.65</v>
      </c>
      <c r="AX52" s="899">
        <f>AA52-AW52</f>
        <v>-4005767.65</v>
      </c>
      <c r="AY52" s="982"/>
      <c r="BJ52" s="982"/>
      <c r="BK52" s="823">
        <f t="shared" ref="BK52:BK60" si="37">BK51</f>
        <v>0.9</v>
      </c>
      <c r="BL52" s="839">
        <f t="shared" si="0"/>
        <v>0.9</v>
      </c>
      <c r="BM52" s="860">
        <f t="shared" si="34"/>
        <v>0</v>
      </c>
      <c r="BN52" s="860">
        <f t="shared" si="34"/>
        <v>25206720.000000495</v>
      </c>
      <c r="BO52" s="861"/>
      <c r="BP52" s="861">
        <v>28729920</v>
      </c>
      <c r="BQ52" s="851">
        <f t="shared" si="7"/>
        <v>0</v>
      </c>
      <c r="BR52" s="890">
        <f t="shared" si="7"/>
        <v>-3523199.9999995045</v>
      </c>
      <c r="BS52" s="828"/>
      <c r="BT52" s="828"/>
      <c r="BU52" s="828"/>
      <c r="BV52" s="828"/>
      <c r="BW52" s="828"/>
      <c r="BX52" s="828"/>
      <c r="BY52" s="828"/>
      <c r="BZ52" s="828"/>
      <c r="CA52" s="828"/>
      <c r="CB52" s="828"/>
      <c r="CC52" s="828"/>
      <c r="CD52" s="2283">
        <v>18</v>
      </c>
      <c r="CE52" s="2344" t="s">
        <v>573</v>
      </c>
      <c r="CF52" s="2295" t="s">
        <v>572</v>
      </c>
      <c r="CG52" s="2295">
        <v>132</v>
      </c>
      <c r="CH52" s="855" t="s">
        <v>326</v>
      </c>
      <c r="CI52" s="2356">
        <v>8993631</v>
      </c>
      <c r="CJ52" s="908" t="s">
        <v>560</v>
      </c>
      <c r="CK52" s="2397" t="s">
        <v>324</v>
      </c>
      <c r="CL52" s="855">
        <v>960000</v>
      </c>
      <c r="CM52" s="867">
        <f t="shared" ref="CM52:CN66" si="38">J52</f>
        <v>5527.5439999999999</v>
      </c>
      <c r="CN52" s="867">
        <f t="shared" si="38"/>
        <v>5553.8010000000004</v>
      </c>
      <c r="CO52" s="861">
        <f>CN52-CM52</f>
        <v>26.257000000000517</v>
      </c>
      <c r="CP52" s="861"/>
      <c r="CQ52" s="861">
        <f>CO52*CL52</f>
        <v>25206720.000000495</v>
      </c>
      <c r="CR52" s="867">
        <v>1862.4870000000001</v>
      </c>
      <c r="CS52" s="867">
        <v>1875.606</v>
      </c>
      <c r="CT52" s="861">
        <f t="shared" ref="CT52:CT62" si="39">CS52-CR52</f>
        <v>13.118999999999915</v>
      </c>
      <c r="CU52" s="861"/>
      <c r="CV52" s="846">
        <f>CT52*CL52</f>
        <v>12594239.999999918</v>
      </c>
      <c r="CW52" s="878">
        <f t="shared" ref="CW52:CW62" si="40">IF(CT52&lt;0.00001,"0",COS(ATAN(CT52/CO52)))</f>
        <v>0.89455661671804687</v>
      </c>
      <c r="CX52" s="879"/>
    </row>
    <row r="53" spans="1:102" ht="14" x14ac:dyDescent="0.25">
      <c r="A53" s="2295"/>
      <c r="B53" s="2343"/>
      <c r="C53" s="2300"/>
      <c r="D53" s="2295"/>
      <c r="E53" s="855" t="s">
        <v>568</v>
      </c>
      <c r="F53" s="2359"/>
      <c r="G53" s="855" t="s">
        <v>560</v>
      </c>
      <c r="H53" s="2400"/>
      <c r="I53" s="855">
        <v>960000</v>
      </c>
      <c r="J53" s="953">
        <v>0</v>
      </c>
      <c r="K53" s="953">
        <v>0</v>
      </c>
      <c r="L53" s="878">
        <f t="shared" si="35"/>
        <v>0</v>
      </c>
      <c r="M53" s="861">
        <f>L53*I53</f>
        <v>0</v>
      </c>
      <c r="N53" s="868"/>
      <c r="O53" s="869"/>
      <c r="P53" s="861"/>
      <c r="Q53" s="933">
        <v>0.154</v>
      </c>
      <c r="R53" s="933">
        <v>0.154</v>
      </c>
      <c r="S53" s="861">
        <f t="shared" si="36"/>
        <v>0</v>
      </c>
      <c r="T53" s="861">
        <f>S53*I53</f>
        <v>0</v>
      </c>
      <c r="U53" s="861"/>
      <c r="V53" s="122"/>
      <c r="W53" s="868"/>
      <c r="X53" s="870"/>
      <c r="Y53" s="870"/>
      <c r="Z53" s="889">
        <f t="shared" si="5"/>
        <v>0</v>
      </c>
      <c r="AA53" s="121">
        <f t="shared" si="6"/>
        <v>0</v>
      </c>
      <c r="AB53" s="890"/>
      <c r="AC53" s="879"/>
      <c r="AE53" s="837"/>
      <c r="AF53" s="2402"/>
      <c r="AG53" s="892"/>
      <c r="AH53" s="936"/>
      <c r="AI53" s="937"/>
      <c r="AJ53" s="937"/>
      <c r="AK53" s="871"/>
      <c r="AL53" s="879"/>
      <c r="AM53" s="977"/>
      <c r="AN53" s="889"/>
      <c r="AO53" s="889"/>
      <c r="AP53" s="889"/>
      <c r="AQ53" s="941"/>
      <c r="AR53" s="941"/>
      <c r="AS53" s="897"/>
      <c r="AT53" s="941"/>
      <c r="AU53" s="941"/>
      <c r="AV53" s="899"/>
      <c r="AW53" s="982"/>
      <c r="AX53" s="899"/>
      <c r="AY53" s="982"/>
      <c r="BJ53" s="982"/>
      <c r="BK53" s="823">
        <f t="shared" si="37"/>
        <v>0.9</v>
      </c>
      <c r="BL53" s="839">
        <f t="shared" si="0"/>
        <v>0.9</v>
      </c>
      <c r="BM53" s="860">
        <f t="shared" si="34"/>
        <v>0</v>
      </c>
      <c r="BN53" s="860">
        <f t="shared" si="34"/>
        <v>0</v>
      </c>
      <c r="BO53" s="861"/>
      <c r="BP53" s="861"/>
      <c r="BQ53" s="851">
        <f t="shared" si="7"/>
        <v>0</v>
      </c>
      <c r="BR53" s="890">
        <f t="shared" si="7"/>
        <v>0</v>
      </c>
      <c r="BS53" s="828"/>
      <c r="BT53" s="828"/>
      <c r="BU53" s="828"/>
      <c r="BV53" s="828"/>
      <c r="BW53" s="828"/>
      <c r="BX53" s="828"/>
      <c r="BY53" s="828"/>
      <c r="BZ53" s="828"/>
      <c r="CA53" s="828"/>
      <c r="CB53" s="828"/>
      <c r="CC53" s="828"/>
      <c r="CD53" s="2283"/>
      <c r="CE53" s="2345"/>
      <c r="CF53" s="2295"/>
      <c r="CG53" s="2295"/>
      <c r="CH53" s="855" t="s">
        <v>568</v>
      </c>
      <c r="CI53" s="2357"/>
      <c r="CJ53" s="909" t="s">
        <v>560</v>
      </c>
      <c r="CK53" s="2398"/>
      <c r="CL53" s="855">
        <v>960000</v>
      </c>
      <c r="CM53" s="867">
        <f t="shared" si="38"/>
        <v>0</v>
      </c>
      <c r="CN53" s="867">
        <f t="shared" si="38"/>
        <v>0</v>
      </c>
      <c r="CO53" s="861">
        <f>CN53-CM53</f>
        <v>0</v>
      </c>
      <c r="CP53" s="861">
        <f>CO53*CL53</f>
        <v>0</v>
      </c>
      <c r="CQ53" s="861"/>
      <c r="CR53" s="867">
        <v>0.154</v>
      </c>
      <c r="CS53" s="867">
        <v>0.154</v>
      </c>
      <c r="CT53" s="861">
        <f t="shared" si="39"/>
        <v>0</v>
      </c>
      <c r="CU53" s="861">
        <f>CT53*CL53</f>
        <v>0</v>
      </c>
      <c r="CV53" s="846"/>
      <c r="CW53" s="878" t="str">
        <f t="shared" si="40"/>
        <v>0</v>
      </c>
      <c r="CX53" s="879"/>
    </row>
    <row r="54" spans="1:102" ht="14.15" customHeight="1" x14ac:dyDescent="0.25">
      <c r="A54" s="2295">
        <v>20</v>
      </c>
      <c r="B54" s="2343" t="s">
        <v>571</v>
      </c>
      <c r="C54" s="2300"/>
      <c r="D54" s="2295">
        <v>132</v>
      </c>
      <c r="E54" s="855" t="s">
        <v>326</v>
      </c>
      <c r="F54" s="2359">
        <v>8993659</v>
      </c>
      <c r="G54" s="855" t="s">
        <v>560</v>
      </c>
      <c r="H54" s="2400" t="s">
        <v>324</v>
      </c>
      <c r="I54" s="855">
        <v>960000</v>
      </c>
      <c r="J54" s="933">
        <v>4739.5889999999999</v>
      </c>
      <c r="K54" s="933">
        <v>4759.6000000000004</v>
      </c>
      <c r="L54" s="878">
        <f t="shared" si="35"/>
        <v>20.011000000000422</v>
      </c>
      <c r="M54" s="861"/>
      <c r="N54" s="868">
        <f>L54*I54</f>
        <v>19210560.000000406</v>
      </c>
      <c r="O54" s="868"/>
      <c r="P54" s="861"/>
      <c r="Q54" s="933">
        <v>2420.0520000000001</v>
      </c>
      <c r="R54" s="933">
        <v>2429.1120000000001</v>
      </c>
      <c r="S54" s="861">
        <f t="shared" si="36"/>
        <v>9.0599999999999454</v>
      </c>
      <c r="T54" s="861"/>
      <c r="U54" s="861">
        <f>S54*I54</f>
        <v>8697599.9999999478</v>
      </c>
      <c r="V54" s="122">
        <f>N54-M55</f>
        <v>19210560.000000406</v>
      </c>
      <c r="W54" s="868">
        <f>U54-T55</f>
        <v>8697599.9999999478</v>
      </c>
      <c r="X54" s="870">
        <f>ROUND(IF(W54&lt;0.00001,"0",COS(ATAN(W54/V54))),2)</f>
        <v>0.91</v>
      </c>
      <c r="Y54" s="871">
        <f t="shared" si="14"/>
        <v>0</v>
      </c>
      <c r="Z54" s="889">
        <f t="shared" si="5"/>
        <v>0</v>
      </c>
      <c r="AA54" s="121">
        <f t="shared" si="6"/>
        <v>0</v>
      </c>
      <c r="AB54" s="890"/>
      <c r="AC54" s="879"/>
      <c r="AE54" s="837"/>
      <c r="AF54" s="2381" t="s">
        <v>571</v>
      </c>
      <c r="AG54" s="935">
        <f>X54</f>
        <v>0.91</v>
      </c>
      <c r="AH54" s="936">
        <f>Y54</f>
        <v>0</v>
      </c>
      <c r="AI54" s="937" t="e">
        <f>#REF!</f>
        <v>#REF!</v>
      </c>
      <c r="AJ54" s="937">
        <f>AA54</f>
        <v>0</v>
      </c>
      <c r="AK54" s="935">
        <v>0.85961891443051774</v>
      </c>
      <c r="AL54" s="938">
        <v>0.04</v>
      </c>
      <c r="AM54" s="969">
        <v>712666</v>
      </c>
      <c r="AN54" s="889">
        <f>AM54*5.878</f>
        <v>4189050.7480000001</v>
      </c>
      <c r="AO54" s="889" t="e">
        <f>AM54-AI54</f>
        <v>#REF!</v>
      </c>
      <c r="AP54" s="937">
        <f>AN54-AJ54</f>
        <v>4189050.7480000001</v>
      </c>
      <c r="AQ54" s="941"/>
      <c r="AR54" s="941"/>
      <c r="AS54" s="897" t="e">
        <f>COS(ATAN(#REF!/#REF!))</f>
        <v>#REF!</v>
      </c>
      <c r="AT54" s="941"/>
      <c r="AU54" s="941"/>
      <c r="AV54" s="899"/>
      <c r="AW54" s="898">
        <v>1576789.96</v>
      </c>
      <c r="AX54" s="899">
        <f>AA54-AW54</f>
        <v>-1576789.96</v>
      </c>
      <c r="AY54" s="982"/>
      <c r="BI54" s="982"/>
      <c r="BJ54" s="982"/>
      <c r="BK54" s="823">
        <f t="shared" si="37"/>
        <v>0.9</v>
      </c>
      <c r="BL54" s="839">
        <f t="shared" si="0"/>
        <v>0.9</v>
      </c>
      <c r="BM54" s="860">
        <f t="shared" si="34"/>
        <v>0</v>
      </c>
      <c r="BN54" s="860">
        <f t="shared" si="34"/>
        <v>19210560.000000406</v>
      </c>
      <c r="BO54" s="879"/>
      <c r="BP54" s="879">
        <v>22309440</v>
      </c>
      <c r="BQ54" s="851">
        <f t="shared" si="7"/>
        <v>0</v>
      </c>
      <c r="BR54" s="890">
        <f t="shared" si="7"/>
        <v>-3098879.9999995939</v>
      </c>
      <c r="BW54" s="828"/>
      <c r="BX54" s="828"/>
      <c r="BY54" s="828"/>
      <c r="BZ54" s="828"/>
      <c r="CA54" s="828"/>
      <c r="CB54" s="828"/>
      <c r="CC54" s="828"/>
      <c r="CD54" s="2283">
        <v>19</v>
      </c>
      <c r="CE54" s="2343" t="s">
        <v>571</v>
      </c>
      <c r="CF54" s="2295"/>
      <c r="CG54" s="2295">
        <v>132</v>
      </c>
      <c r="CH54" s="855" t="s">
        <v>326</v>
      </c>
      <c r="CI54" s="2356">
        <v>8993659</v>
      </c>
      <c r="CJ54" s="908" t="s">
        <v>560</v>
      </c>
      <c r="CK54" s="2397" t="s">
        <v>324</v>
      </c>
      <c r="CL54" s="855">
        <v>960000</v>
      </c>
      <c r="CM54" s="867">
        <f t="shared" si="38"/>
        <v>4739.5889999999999</v>
      </c>
      <c r="CN54" s="867">
        <f t="shared" si="38"/>
        <v>4759.6000000000004</v>
      </c>
      <c r="CO54" s="861">
        <f>CN54-CM54</f>
        <v>20.011000000000422</v>
      </c>
      <c r="CP54" s="861"/>
      <c r="CQ54" s="861">
        <f>CO54*CL54</f>
        <v>19210560.000000406</v>
      </c>
      <c r="CR54" s="867">
        <v>1668.059</v>
      </c>
      <c r="CS54" s="867">
        <v>1679.09</v>
      </c>
      <c r="CT54" s="861">
        <f t="shared" si="39"/>
        <v>11.030999999999949</v>
      </c>
      <c r="CU54" s="861"/>
      <c r="CV54" s="846">
        <f>CT54*CL54</f>
        <v>10589759.999999952</v>
      </c>
      <c r="CW54" s="878">
        <f t="shared" si="40"/>
        <v>0.8757544353203186</v>
      </c>
      <c r="CX54" s="879"/>
    </row>
    <row r="55" spans="1:102" ht="14" x14ac:dyDescent="0.25">
      <c r="A55" s="2295"/>
      <c r="B55" s="2343"/>
      <c r="C55" s="2300"/>
      <c r="D55" s="2295"/>
      <c r="E55" s="855" t="s">
        <v>568</v>
      </c>
      <c r="F55" s="2359"/>
      <c r="G55" s="855" t="s">
        <v>560</v>
      </c>
      <c r="H55" s="2400"/>
      <c r="I55" s="855">
        <v>960000</v>
      </c>
      <c r="J55" s="953">
        <v>8.4000000000000005E-2</v>
      </c>
      <c r="K55" s="953">
        <v>8.4000000000000005E-2</v>
      </c>
      <c r="L55" s="878">
        <f t="shared" si="35"/>
        <v>0</v>
      </c>
      <c r="M55" s="861">
        <f>L55*I55</f>
        <v>0</v>
      </c>
      <c r="N55" s="868"/>
      <c r="O55" s="868"/>
      <c r="P55" s="861"/>
      <c r="Q55" s="933">
        <v>0.17</v>
      </c>
      <c r="R55" s="933">
        <v>0.17</v>
      </c>
      <c r="S55" s="861">
        <f t="shared" si="36"/>
        <v>0</v>
      </c>
      <c r="T55" s="861">
        <f>S55*I55</f>
        <v>0</v>
      </c>
      <c r="U55" s="861"/>
      <c r="V55" s="122"/>
      <c r="W55" s="868"/>
      <c r="X55" s="870"/>
      <c r="Y55" s="870"/>
      <c r="Z55" s="889">
        <f t="shared" si="5"/>
        <v>0</v>
      </c>
      <c r="AA55" s="121">
        <f t="shared" si="6"/>
        <v>0</v>
      </c>
      <c r="AB55" s="890"/>
      <c r="AC55" s="879"/>
      <c r="AE55" s="837"/>
      <c r="AF55" s="2381"/>
      <c r="AG55" s="892"/>
      <c r="AH55" s="936"/>
      <c r="AI55" s="937"/>
      <c r="AJ55" s="937"/>
      <c r="AK55" s="935"/>
      <c r="AL55" s="937"/>
      <c r="AM55" s="943"/>
      <c r="AN55" s="889"/>
      <c r="AO55" s="889"/>
      <c r="AP55" s="937"/>
      <c r="AQ55" s="941"/>
      <c r="AR55" s="941"/>
      <c r="AS55" s="897"/>
      <c r="AT55" s="941"/>
      <c r="AU55" s="941"/>
      <c r="AV55" s="899"/>
      <c r="AW55" s="982"/>
      <c r="AX55" s="899"/>
      <c r="AY55" s="982"/>
      <c r="BI55" s="982"/>
      <c r="BJ55" s="982"/>
      <c r="BK55" s="823">
        <f t="shared" si="37"/>
        <v>0.9</v>
      </c>
      <c r="BL55" s="839">
        <f t="shared" si="0"/>
        <v>0.9</v>
      </c>
      <c r="BM55" s="860">
        <f t="shared" si="34"/>
        <v>0</v>
      </c>
      <c r="BN55" s="860">
        <f t="shared" si="34"/>
        <v>0</v>
      </c>
      <c r="BO55" s="861"/>
      <c r="BP55" s="861"/>
      <c r="BQ55" s="851">
        <f t="shared" si="7"/>
        <v>0</v>
      </c>
      <c r="BR55" s="890">
        <f t="shared" si="7"/>
        <v>0</v>
      </c>
      <c r="BS55" s="828"/>
      <c r="BT55" s="828"/>
      <c r="BU55" s="828"/>
      <c r="BV55" s="828"/>
      <c r="BW55" s="828"/>
      <c r="BX55" s="828"/>
      <c r="BY55" s="828"/>
      <c r="BZ55" s="828"/>
      <c r="CA55" s="828"/>
      <c r="CB55" s="828"/>
      <c r="CC55" s="828"/>
      <c r="CD55" s="2283"/>
      <c r="CE55" s="2343"/>
      <c r="CF55" s="2295"/>
      <c r="CG55" s="2295"/>
      <c r="CH55" s="855" t="s">
        <v>568</v>
      </c>
      <c r="CI55" s="2357"/>
      <c r="CJ55" s="909" t="s">
        <v>560</v>
      </c>
      <c r="CK55" s="2398"/>
      <c r="CL55" s="855">
        <v>960000</v>
      </c>
      <c r="CM55" s="867">
        <f t="shared" si="38"/>
        <v>8.4000000000000005E-2</v>
      </c>
      <c r="CN55" s="867">
        <f t="shared" si="38"/>
        <v>8.4000000000000005E-2</v>
      </c>
      <c r="CO55" s="861">
        <f>CN55-CM55</f>
        <v>0</v>
      </c>
      <c r="CP55" s="861">
        <f>CO55*CL55</f>
        <v>0</v>
      </c>
      <c r="CQ55" s="861"/>
      <c r="CR55" s="867">
        <v>0.17</v>
      </c>
      <c r="CS55" s="867">
        <v>0.17</v>
      </c>
      <c r="CT55" s="861">
        <f t="shared" si="39"/>
        <v>0</v>
      </c>
      <c r="CU55" s="861">
        <f>CT55*CL55</f>
        <v>0</v>
      </c>
      <c r="CV55" s="846"/>
      <c r="CW55" s="878" t="str">
        <f t="shared" si="40"/>
        <v>0</v>
      </c>
      <c r="CX55" s="879"/>
    </row>
    <row r="56" spans="1:102" ht="14.15" customHeight="1" x14ac:dyDescent="0.25">
      <c r="A56" s="2295">
        <v>21</v>
      </c>
      <c r="B56" s="2343" t="s">
        <v>570</v>
      </c>
      <c r="C56" s="2300"/>
      <c r="D56" s="2295">
        <v>132</v>
      </c>
      <c r="E56" s="855" t="s">
        <v>326</v>
      </c>
      <c r="F56" s="2359">
        <v>8993659</v>
      </c>
      <c r="G56" s="855" t="s">
        <v>560</v>
      </c>
      <c r="H56" s="2400" t="s">
        <v>324</v>
      </c>
      <c r="I56" s="855">
        <v>960000</v>
      </c>
      <c r="J56" s="933">
        <v>4284.9189999999999</v>
      </c>
      <c r="K56" s="933">
        <v>4303.6090000000004</v>
      </c>
      <c r="L56" s="878">
        <f t="shared" si="35"/>
        <v>18.690000000000509</v>
      </c>
      <c r="M56" s="861"/>
      <c r="N56" s="868">
        <f>L56*I56</f>
        <v>17942400.000000488</v>
      </c>
      <c r="O56" s="1856">
        <f>N56+N58+N45+N22</f>
        <v>59923200.000000291</v>
      </c>
      <c r="P56" s="861"/>
      <c r="Q56" s="933">
        <v>1753.077</v>
      </c>
      <c r="R56" s="933">
        <v>1757.201</v>
      </c>
      <c r="S56" s="861">
        <f t="shared" si="36"/>
        <v>4.1240000000000236</v>
      </c>
      <c r="T56" s="861"/>
      <c r="U56" s="861">
        <f>S56*I56</f>
        <v>3959040.0000000228</v>
      </c>
      <c r="V56" s="122">
        <f>N56-M57</f>
        <v>17942400.000000488</v>
      </c>
      <c r="W56" s="868">
        <f>U56-T57</f>
        <v>3959040.0000000228</v>
      </c>
      <c r="X56" s="870">
        <f>ROUND(IF(W56&lt;0.00001,"0",COS(ATAN(W56/V56))),2)</f>
        <v>0.98</v>
      </c>
      <c r="Y56" s="871">
        <f t="shared" si="14"/>
        <v>0</v>
      </c>
      <c r="Z56" s="889">
        <f t="shared" si="5"/>
        <v>0</v>
      </c>
      <c r="AA56" s="121">
        <f t="shared" si="6"/>
        <v>0</v>
      </c>
      <c r="AB56" s="890"/>
      <c r="AC56" s="879"/>
      <c r="AE56" s="837"/>
      <c r="AF56" s="2381" t="s">
        <v>570</v>
      </c>
      <c r="AG56" s="892">
        <f>X56</f>
        <v>0.98</v>
      </c>
      <c r="AH56" s="936">
        <f>Y56</f>
        <v>0</v>
      </c>
      <c r="AI56" s="937"/>
      <c r="AJ56" s="937"/>
      <c r="AK56" s="935">
        <v>0.92127342432359949</v>
      </c>
      <c r="AL56" s="937"/>
      <c r="AM56" s="943"/>
      <c r="AN56" s="889"/>
      <c r="AO56" s="889"/>
      <c r="AP56" s="937"/>
      <c r="AQ56" s="941"/>
      <c r="AR56" s="941"/>
      <c r="AS56" s="897" t="e">
        <f>COS(ATAN(#REF!/#REF!))</f>
        <v>#REF!</v>
      </c>
      <c r="AT56" s="941"/>
      <c r="AU56" s="941"/>
      <c r="AV56" s="899"/>
      <c r="AW56" s="978">
        <f>Z68+Z69</f>
        <v>0</v>
      </c>
      <c r="AX56" s="899"/>
      <c r="AY56" s="982"/>
      <c r="BI56" s="982"/>
      <c r="BJ56" s="982"/>
      <c r="BK56" s="823">
        <f t="shared" si="37"/>
        <v>0.9</v>
      </c>
      <c r="BL56" s="839">
        <f t="shared" si="0"/>
        <v>0.9</v>
      </c>
      <c r="BM56" s="860">
        <f t="shared" si="34"/>
        <v>0</v>
      </c>
      <c r="BN56" s="860">
        <f t="shared" si="34"/>
        <v>17942400.000000488</v>
      </c>
      <c r="BO56" s="861"/>
      <c r="BP56" s="861">
        <v>20752320</v>
      </c>
      <c r="BQ56" s="851">
        <f t="shared" si="7"/>
        <v>0</v>
      </c>
      <c r="BR56" s="890">
        <f t="shared" si="7"/>
        <v>-2809919.999999512</v>
      </c>
      <c r="BS56" s="828"/>
      <c r="BT56" s="828"/>
      <c r="BU56" s="828"/>
      <c r="BV56" s="828"/>
      <c r="BW56" s="828"/>
      <c r="BX56" s="828"/>
      <c r="BY56" s="828"/>
      <c r="BZ56" s="828"/>
      <c r="CA56" s="828"/>
      <c r="CB56" s="828"/>
      <c r="CC56" s="828"/>
      <c r="CD56" s="2283">
        <v>20</v>
      </c>
      <c r="CE56" s="2343" t="s">
        <v>570</v>
      </c>
      <c r="CF56" s="2295"/>
      <c r="CG56" s="2295">
        <v>132</v>
      </c>
      <c r="CH56" s="855" t="s">
        <v>326</v>
      </c>
      <c r="CI56" s="2356">
        <v>8993659</v>
      </c>
      <c r="CJ56" s="908" t="s">
        <v>560</v>
      </c>
      <c r="CK56" s="2397" t="s">
        <v>324</v>
      </c>
      <c r="CL56" s="855">
        <v>960000</v>
      </c>
      <c r="CM56" s="867">
        <f t="shared" si="38"/>
        <v>4284.9189999999999</v>
      </c>
      <c r="CN56" s="867">
        <f t="shared" si="38"/>
        <v>4303.6090000000004</v>
      </c>
      <c r="CO56" s="861">
        <f t="shared" ref="CO56:CO62" si="41">CN56-CM56</f>
        <v>18.690000000000509</v>
      </c>
      <c r="CP56" s="861"/>
      <c r="CQ56" s="861">
        <f>CO56*CL56+288</f>
        <v>17942688.000000488</v>
      </c>
      <c r="CR56" s="867">
        <v>1191.8209999999999</v>
      </c>
      <c r="CS56" s="867">
        <v>1208.951</v>
      </c>
      <c r="CT56" s="861">
        <f t="shared" si="39"/>
        <v>17.130000000000109</v>
      </c>
      <c r="CU56" s="861"/>
      <c r="CV56" s="846">
        <f>CT56*CL56</f>
        <v>16444800.000000104</v>
      </c>
      <c r="CW56" s="878">
        <f t="shared" si="40"/>
        <v>0.73720325685661581</v>
      </c>
      <c r="CX56" s="879"/>
    </row>
    <row r="57" spans="1:102" ht="14" x14ac:dyDescent="0.25">
      <c r="A57" s="2295"/>
      <c r="B57" s="2343"/>
      <c r="C57" s="2300"/>
      <c r="D57" s="2295"/>
      <c r="E57" s="855" t="s">
        <v>568</v>
      </c>
      <c r="F57" s="2359"/>
      <c r="G57" s="855" t="s">
        <v>560</v>
      </c>
      <c r="H57" s="2400"/>
      <c r="I57" s="855">
        <v>960000</v>
      </c>
      <c r="J57" s="953">
        <v>1.56</v>
      </c>
      <c r="K57" s="953">
        <v>1.56</v>
      </c>
      <c r="L57" s="878">
        <f t="shared" si="35"/>
        <v>0</v>
      </c>
      <c r="M57" s="861">
        <f>L57*I57</f>
        <v>0</v>
      </c>
      <c r="N57" s="868"/>
      <c r="O57" s="869"/>
      <c r="P57" s="861"/>
      <c r="Q57" s="933">
        <v>8.6359999999999992</v>
      </c>
      <c r="R57" s="933">
        <v>8.6359999999999992</v>
      </c>
      <c r="S57" s="861">
        <f t="shared" si="36"/>
        <v>0</v>
      </c>
      <c r="T57" s="861">
        <f>S57*I57</f>
        <v>0</v>
      </c>
      <c r="U57" s="861"/>
      <c r="V57" s="122"/>
      <c r="W57" s="868"/>
      <c r="X57" s="870"/>
      <c r="Y57" s="870"/>
      <c r="Z57" s="889">
        <f t="shared" si="5"/>
        <v>0</v>
      </c>
      <c r="AA57" s="121">
        <f t="shared" si="6"/>
        <v>0</v>
      </c>
      <c r="AB57" s="890"/>
      <c r="AC57" s="879"/>
      <c r="AE57" s="837"/>
      <c r="AF57" s="2381"/>
      <c r="AG57" s="892"/>
      <c r="AH57" s="936"/>
      <c r="AI57" s="937"/>
      <c r="AJ57" s="937"/>
      <c r="AK57" s="935"/>
      <c r="AL57" s="937"/>
      <c r="AM57" s="943"/>
      <c r="AN57" s="889"/>
      <c r="AO57" s="889"/>
      <c r="AP57" s="937"/>
      <c r="AQ57" s="941"/>
      <c r="AR57" s="941"/>
      <c r="AS57" s="897"/>
      <c r="AT57" s="941"/>
      <c r="AU57" s="941"/>
      <c r="AV57" s="899"/>
      <c r="AW57" s="982"/>
      <c r="AX57" s="899"/>
      <c r="AY57" s="982"/>
      <c r="BI57" s="982"/>
      <c r="BJ57" s="982"/>
      <c r="BK57" s="823">
        <f t="shared" si="37"/>
        <v>0.9</v>
      </c>
      <c r="BL57" s="839">
        <f t="shared" si="0"/>
        <v>0.9</v>
      </c>
      <c r="BM57" s="860">
        <f t="shared" si="34"/>
        <v>0</v>
      </c>
      <c r="BN57" s="860">
        <f t="shared" si="34"/>
        <v>0</v>
      </c>
      <c r="BO57" s="861"/>
      <c r="BP57" s="861"/>
      <c r="BQ57" s="851">
        <f t="shared" si="7"/>
        <v>0</v>
      </c>
      <c r="BR57" s="890">
        <f t="shared" si="7"/>
        <v>0</v>
      </c>
      <c r="BS57" s="828"/>
      <c r="BT57" s="828"/>
      <c r="BU57" s="828"/>
      <c r="BV57" s="828"/>
      <c r="BW57" s="828"/>
      <c r="BX57" s="828"/>
      <c r="BY57" s="828"/>
      <c r="BZ57" s="828"/>
      <c r="CA57" s="828"/>
      <c r="CB57" s="828"/>
      <c r="CC57" s="828"/>
      <c r="CD57" s="2283"/>
      <c r="CE57" s="2343"/>
      <c r="CF57" s="2295"/>
      <c r="CG57" s="2295"/>
      <c r="CH57" s="855" t="s">
        <v>568</v>
      </c>
      <c r="CI57" s="2357"/>
      <c r="CJ57" s="909" t="s">
        <v>560</v>
      </c>
      <c r="CK57" s="2398"/>
      <c r="CL57" s="855">
        <v>960000</v>
      </c>
      <c r="CM57" s="867">
        <f t="shared" si="38"/>
        <v>1.56</v>
      </c>
      <c r="CN57" s="867">
        <f t="shared" si="38"/>
        <v>1.56</v>
      </c>
      <c r="CO57" s="861">
        <f t="shared" si="41"/>
        <v>0</v>
      </c>
      <c r="CP57" s="861">
        <f>CO57*CL57</f>
        <v>0</v>
      </c>
      <c r="CQ57" s="861"/>
      <c r="CR57" s="867">
        <v>4.8710000000000004</v>
      </c>
      <c r="CS57" s="867">
        <v>4.8710000000000004</v>
      </c>
      <c r="CT57" s="861">
        <f t="shared" si="39"/>
        <v>0</v>
      </c>
      <c r="CU57" s="861">
        <f>CT57*CL57</f>
        <v>0</v>
      </c>
      <c r="CV57" s="846"/>
      <c r="CW57" s="878" t="str">
        <f t="shared" si="40"/>
        <v>0</v>
      </c>
      <c r="CX57" s="879"/>
    </row>
    <row r="58" spans="1:102" ht="14.15" customHeight="1" x14ac:dyDescent="0.25">
      <c r="A58" s="2295">
        <v>22</v>
      </c>
      <c r="B58" s="2343" t="s">
        <v>569</v>
      </c>
      <c r="C58" s="2300"/>
      <c r="D58" s="2295">
        <v>132</v>
      </c>
      <c r="E58" s="855" t="s">
        <v>326</v>
      </c>
      <c r="F58" s="2359">
        <v>8993660</v>
      </c>
      <c r="G58" s="855" t="s">
        <v>560</v>
      </c>
      <c r="H58" s="2400" t="s">
        <v>324</v>
      </c>
      <c r="I58" s="855">
        <v>960000</v>
      </c>
      <c r="J58" s="933">
        <v>3974.163</v>
      </c>
      <c r="K58" s="933">
        <v>3991.5340000000001</v>
      </c>
      <c r="L58" s="878">
        <f t="shared" si="35"/>
        <v>17.371000000000095</v>
      </c>
      <c r="M58" s="861"/>
      <c r="N58" s="868">
        <f>L58*I58</f>
        <v>16676160.000000091</v>
      </c>
      <c r="O58" s="869"/>
      <c r="P58" s="861"/>
      <c r="Q58" s="933">
        <v>1612.502</v>
      </c>
      <c r="R58" s="933">
        <v>1616.443</v>
      </c>
      <c r="S58" s="861">
        <f t="shared" si="36"/>
        <v>3.9410000000000309</v>
      </c>
      <c r="T58" s="861"/>
      <c r="U58" s="861">
        <f>S58*I58</f>
        <v>3783360.0000000298</v>
      </c>
      <c r="V58" s="122">
        <f>N58-M59</f>
        <v>16676160.000000091</v>
      </c>
      <c r="W58" s="868">
        <f>U58-T59</f>
        <v>3783360.0000000298</v>
      </c>
      <c r="X58" s="870">
        <f>ROUND(IF(W58&lt;0.00001,"0",COS(ATAN(W58/V58))),2)</f>
        <v>0.98</v>
      </c>
      <c r="Y58" s="871">
        <f t="shared" si="14"/>
        <v>0</v>
      </c>
      <c r="Z58" s="889">
        <f t="shared" si="5"/>
        <v>0</v>
      </c>
      <c r="AA58" s="121">
        <f t="shared" si="6"/>
        <v>0</v>
      </c>
      <c r="AB58" s="890"/>
      <c r="AC58" s="879"/>
      <c r="AE58" s="837"/>
      <c r="AF58" s="2381" t="s">
        <v>569</v>
      </c>
      <c r="AG58" s="892">
        <f>X58</f>
        <v>0.98</v>
      </c>
      <c r="AH58" s="936">
        <f>Y58</f>
        <v>0</v>
      </c>
      <c r="AI58" s="937"/>
      <c r="AJ58" s="937"/>
      <c r="AK58" s="935">
        <v>0.91439558632587969</v>
      </c>
      <c r="AL58" s="937"/>
      <c r="AM58" s="943"/>
      <c r="AN58" s="889"/>
      <c r="AO58" s="889"/>
      <c r="AP58" s="937"/>
      <c r="AQ58" s="941"/>
      <c r="AR58" s="941"/>
      <c r="AS58" s="897" t="e">
        <f>COS(ATAN(#REF!/#REF!))</f>
        <v>#REF!</v>
      </c>
      <c r="AT58" s="941"/>
      <c r="AU58" s="941"/>
      <c r="AV58" s="899"/>
      <c r="AW58" s="941">
        <v>1640187.72</v>
      </c>
      <c r="AX58" s="899">
        <f>AA58-AW58</f>
        <v>-1640187.72</v>
      </c>
      <c r="AY58" s="982"/>
      <c r="BI58" s="982"/>
      <c r="BJ58" s="982"/>
      <c r="BK58" s="823">
        <f t="shared" si="37"/>
        <v>0.9</v>
      </c>
      <c r="BL58" s="839">
        <f t="shared" si="0"/>
        <v>0.9</v>
      </c>
      <c r="BM58" s="860">
        <f t="shared" si="34"/>
        <v>0</v>
      </c>
      <c r="BN58" s="860">
        <f t="shared" si="34"/>
        <v>16676160.000000091</v>
      </c>
      <c r="BO58" s="861"/>
      <c r="BP58" s="861">
        <v>19657920</v>
      </c>
      <c r="BQ58" s="851">
        <f t="shared" si="7"/>
        <v>0</v>
      </c>
      <c r="BR58" s="890">
        <f t="shared" si="7"/>
        <v>-2981759.9999999087</v>
      </c>
      <c r="BS58" s="828"/>
      <c r="BT58" s="828"/>
      <c r="BU58" s="828"/>
      <c r="BV58" s="828"/>
      <c r="BW58" s="828"/>
      <c r="BX58" s="828"/>
      <c r="BY58" s="828"/>
      <c r="BZ58" s="828"/>
      <c r="CA58" s="828"/>
      <c r="CB58" s="828"/>
      <c r="CC58" s="828"/>
      <c r="CD58" s="2283">
        <v>21</v>
      </c>
      <c r="CE58" s="2343" t="s">
        <v>569</v>
      </c>
      <c r="CF58" s="2295"/>
      <c r="CG58" s="2295">
        <v>132</v>
      </c>
      <c r="CH58" s="855" t="s">
        <v>326</v>
      </c>
      <c r="CI58" s="2356">
        <v>8993660</v>
      </c>
      <c r="CJ58" s="908" t="s">
        <v>560</v>
      </c>
      <c r="CK58" s="2397" t="s">
        <v>324</v>
      </c>
      <c r="CL58" s="855">
        <v>960000</v>
      </c>
      <c r="CM58" s="867">
        <f t="shared" si="38"/>
        <v>3974.163</v>
      </c>
      <c r="CN58" s="867">
        <f t="shared" si="38"/>
        <v>3991.5340000000001</v>
      </c>
      <c r="CO58" s="861">
        <f t="shared" si="41"/>
        <v>17.371000000000095</v>
      </c>
      <c r="CP58" s="861"/>
      <c r="CQ58" s="861">
        <f>CO58*CL58</f>
        <v>16676160.000000091</v>
      </c>
      <c r="CR58" s="867">
        <v>1094.655</v>
      </c>
      <c r="CS58" s="867">
        <v>1111.663</v>
      </c>
      <c r="CT58" s="861">
        <f t="shared" si="39"/>
        <v>17.008000000000038</v>
      </c>
      <c r="CU58" s="861"/>
      <c r="CV58" s="846">
        <f>CT58*CL58</f>
        <v>16327680.000000037</v>
      </c>
      <c r="CW58" s="878">
        <f t="shared" si="40"/>
        <v>0.71453313030367616</v>
      </c>
      <c r="CX58" s="879"/>
    </row>
    <row r="59" spans="1:102" ht="14" x14ac:dyDescent="0.25">
      <c r="A59" s="2295"/>
      <c r="B59" s="2343"/>
      <c r="C59" s="2300"/>
      <c r="D59" s="2295"/>
      <c r="E59" s="855" t="s">
        <v>568</v>
      </c>
      <c r="F59" s="2359"/>
      <c r="G59" s="855" t="s">
        <v>560</v>
      </c>
      <c r="H59" s="2400"/>
      <c r="I59" s="855">
        <v>960000</v>
      </c>
      <c r="J59" s="953">
        <v>1.329</v>
      </c>
      <c r="K59" s="953">
        <v>1.329</v>
      </c>
      <c r="L59" s="878">
        <f t="shared" si="35"/>
        <v>0</v>
      </c>
      <c r="M59" s="861">
        <f>L59*I59</f>
        <v>0</v>
      </c>
      <c r="N59" s="868"/>
      <c r="O59" s="869"/>
      <c r="P59" s="861"/>
      <c r="Q59" s="933">
        <v>5.2690000000000001</v>
      </c>
      <c r="R59" s="933">
        <v>5.2690000000000001</v>
      </c>
      <c r="S59" s="861">
        <f t="shared" si="36"/>
        <v>0</v>
      </c>
      <c r="T59" s="861">
        <f>S59*I59</f>
        <v>0</v>
      </c>
      <c r="U59" s="861"/>
      <c r="V59" s="122"/>
      <c r="W59" s="868"/>
      <c r="X59" s="870"/>
      <c r="Y59" s="870"/>
      <c r="Z59" s="889">
        <f t="shared" si="5"/>
        <v>0</v>
      </c>
      <c r="AA59" s="121">
        <f t="shared" si="6"/>
        <v>0</v>
      </c>
      <c r="AB59" s="890"/>
      <c r="AC59" s="879"/>
      <c r="AE59" s="837"/>
      <c r="AF59" s="2381"/>
      <c r="AG59" s="892"/>
      <c r="AH59" s="936"/>
      <c r="AI59" s="937"/>
      <c r="AJ59" s="937"/>
      <c r="AK59" s="935"/>
      <c r="AL59" s="937"/>
      <c r="AM59" s="943"/>
      <c r="AN59" s="889"/>
      <c r="AO59" s="889"/>
      <c r="AP59" s="937"/>
      <c r="AQ59" s="941"/>
      <c r="AR59" s="941"/>
      <c r="AS59" s="897"/>
      <c r="AT59" s="941"/>
      <c r="AU59" s="941"/>
      <c r="AV59" s="899"/>
      <c r="AW59" s="982"/>
      <c r="AX59" s="899"/>
      <c r="AY59" s="982"/>
      <c r="BI59" s="982"/>
      <c r="BJ59" s="982"/>
      <c r="BK59" s="823">
        <f t="shared" si="37"/>
        <v>0.9</v>
      </c>
      <c r="BL59" s="839">
        <f t="shared" si="0"/>
        <v>0.9</v>
      </c>
      <c r="BM59" s="860">
        <f t="shared" si="34"/>
        <v>0</v>
      </c>
      <c r="BN59" s="860">
        <f t="shared" si="34"/>
        <v>0</v>
      </c>
      <c r="BO59" s="861">
        <v>1920</v>
      </c>
      <c r="BP59" s="861"/>
      <c r="BQ59" s="851">
        <f t="shared" si="7"/>
        <v>-1920</v>
      </c>
      <c r="BR59" s="890">
        <f t="shared" si="7"/>
        <v>0</v>
      </c>
      <c r="BS59" s="828"/>
      <c r="BT59" s="828"/>
      <c r="BU59" s="828"/>
      <c r="BV59" s="828"/>
      <c r="BW59" s="828"/>
      <c r="BX59" s="828"/>
      <c r="BY59" s="828"/>
      <c r="BZ59" s="828"/>
      <c r="CA59" s="828"/>
      <c r="CB59" s="828"/>
      <c r="CC59" s="828"/>
      <c r="CD59" s="2283"/>
      <c r="CE59" s="2343"/>
      <c r="CF59" s="2295"/>
      <c r="CG59" s="2295"/>
      <c r="CH59" s="855" t="s">
        <v>568</v>
      </c>
      <c r="CI59" s="2357"/>
      <c r="CJ59" s="909" t="s">
        <v>560</v>
      </c>
      <c r="CK59" s="2398"/>
      <c r="CL59" s="855">
        <v>960000</v>
      </c>
      <c r="CM59" s="867">
        <f t="shared" si="38"/>
        <v>1.329</v>
      </c>
      <c r="CN59" s="867">
        <f t="shared" si="38"/>
        <v>1.329</v>
      </c>
      <c r="CO59" s="861">
        <f t="shared" si="41"/>
        <v>0</v>
      </c>
      <c r="CP59" s="861">
        <f>CO59*CL59</f>
        <v>0</v>
      </c>
      <c r="CQ59" s="861"/>
      <c r="CR59" s="867">
        <v>3.4209999999999998</v>
      </c>
      <c r="CS59" s="867">
        <v>3.4209999999999998</v>
      </c>
      <c r="CT59" s="861">
        <f t="shared" si="39"/>
        <v>0</v>
      </c>
      <c r="CU59" s="861">
        <f>CT59*CL59</f>
        <v>0</v>
      </c>
      <c r="CV59" s="846"/>
      <c r="CW59" s="878" t="str">
        <f t="shared" si="40"/>
        <v>0</v>
      </c>
      <c r="CX59" s="879"/>
    </row>
    <row r="60" spans="1:102" ht="16" x14ac:dyDescent="0.25">
      <c r="A60" s="2295">
        <v>23</v>
      </c>
      <c r="B60" s="931" t="s">
        <v>567</v>
      </c>
      <c r="C60" s="2300"/>
      <c r="D60" s="861">
        <v>132</v>
      </c>
      <c r="E60" s="855" t="s">
        <v>326</v>
      </c>
      <c r="F60" s="855">
        <v>50146667</v>
      </c>
      <c r="G60" s="855" t="s">
        <v>560</v>
      </c>
      <c r="H60" s="932" t="s">
        <v>324</v>
      </c>
      <c r="I60" s="855">
        <v>960000</v>
      </c>
      <c r="J60" s="933">
        <v>1612.2550000000001</v>
      </c>
      <c r="K60" s="933">
        <v>1628.13</v>
      </c>
      <c r="L60" s="878">
        <f t="shared" si="35"/>
        <v>15.875</v>
      </c>
      <c r="M60" s="861"/>
      <c r="N60" s="868">
        <f>L60*I60</f>
        <v>15240000</v>
      </c>
      <c r="O60" s="2399">
        <f>N62+N60</f>
        <v>30380159.999999959</v>
      </c>
      <c r="P60" s="955"/>
      <c r="Q60" s="933">
        <v>588.94100000000003</v>
      </c>
      <c r="R60" s="933">
        <v>594.55499999999995</v>
      </c>
      <c r="S60" s="861">
        <f t="shared" si="36"/>
        <v>5.6139999999999191</v>
      </c>
      <c r="T60" s="861"/>
      <c r="U60" s="861">
        <f>S60*I60</f>
        <v>5389439.9999999227</v>
      </c>
      <c r="V60" s="122">
        <f>N60</f>
        <v>15240000</v>
      </c>
      <c r="W60" s="868">
        <f>U60</f>
        <v>5389439.9999999227</v>
      </c>
      <c r="X60" s="870">
        <f>ROUND(IF(W60&lt;0.00001,"0",COS(ATAN(W60/V60))),2)</f>
        <v>0.94</v>
      </c>
      <c r="Y60" s="871">
        <f t="shared" si="14"/>
        <v>0</v>
      </c>
      <c r="Z60" s="889">
        <f t="shared" si="5"/>
        <v>0</v>
      </c>
      <c r="AA60" s="121">
        <f t="shared" si="6"/>
        <v>0</v>
      </c>
      <c r="AB60" s="890"/>
      <c r="AC60" s="879"/>
      <c r="AE60" s="837"/>
      <c r="AF60" s="872" t="s">
        <v>567</v>
      </c>
      <c r="AG60" s="892">
        <f>X60</f>
        <v>0.94</v>
      </c>
      <c r="AH60" s="936">
        <f>Y60</f>
        <v>0</v>
      </c>
      <c r="AI60" s="937"/>
      <c r="AJ60" s="937"/>
      <c r="AK60" s="935">
        <v>0.93147945196633597</v>
      </c>
      <c r="AL60" s="937"/>
      <c r="AM60" s="943"/>
      <c r="AN60" s="889"/>
      <c r="AO60" s="889"/>
      <c r="AP60" s="937"/>
      <c r="AQ60" s="941"/>
      <c r="AR60" s="941"/>
      <c r="AS60" s="897" t="e">
        <f>COS(ATAN(#REF!/#REF!))</f>
        <v>#REF!</v>
      </c>
      <c r="AT60" s="941"/>
      <c r="AU60" s="941"/>
      <c r="AV60" s="899"/>
      <c r="AW60" s="898">
        <v>403606.99</v>
      </c>
      <c r="AX60" s="899">
        <f>AA60-AW60</f>
        <v>-403606.99</v>
      </c>
      <c r="AY60" s="982"/>
      <c r="BI60" s="982"/>
      <c r="BJ60" s="982"/>
      <c r="BK60" s="823">
        <f t="shared" si="37"/>
        <v>0.9</v>
      </c>
      <c r="BL60" s="839">
        <f t="shared" si="0"/>
        <v>0.9</v>
      </c>
      <c r="BM60" s="860">
        <f t="shared" si="34"/>
        <v>0</v>
      </c>
      <c r="BN60" s="860">
        <f t="shared" si="34"/>
        <v>15240000</v>
      </c>
      <c r="BO60" s="861"/>
      <c r="BP60" s="861">
        <v>6391680</v>
      </c>
      <c r="BQ60" s="851">
        <f t="shared" si="7"/>
        <v>0</v>
      </c>
      <c r="BR60" s="890">
        <f t="shared" si="7"/>
        <v>8848320</v>
      </c>
      <c r="BS60" s="828"/>
      <c r="BT60" s="828"/>
      <c r="BU60" s="828"/>
      <c r="BV60" s="828"/>
      <c r="BW60" s="828"/>
      <c r="BX60" s="828"/>
      <c r="BY60" s="828"/>
      <c r="BZ60" s="828"/>
      <c r="CA60" s="828"/>
      <c r="CB60" s="828"/>
      <c r="CC60" s="828"/>
      <c r="CD60" s="843">
        <v>22</v>
      </c>
      <c r="CE60" s="931" t="s">
        <v>567</v>
      </c>
      <c r="CF60" s="2295"/>
      <c r="CG60" s="861">
        <v>132</v>
      </c>
      <c r="CH60" s="855" t="s">
        <v>326</v>
      </c>
      <c r="CI60" s="855">
        <v>50146667</v>
      </c>
      <c r="CJ60" s="855" t="s">
        <v>560</v>
      </c>
      <c r="CK60" s="932" t="s">
        <v>324</v>
      </c>
      <c r="CL60" s="855">
        <v>960000</v>
      </c>
      <c r="CM60" s="867">
        <f t="shared" si="38"/>
        <v>1612.2550000000001</v>
      </c>
      <c r="CN60" s="867">
        <f t="shared" si="38"/>
        <v>1628.13</v>
      </c>
      <c r="CO60" s="861">
        <f t="shared" si="41"/>
        <v>15.875</v>
      </c>
      <c r="CP60" s="861"/>
      <c r="CQ60" s="861">
        <f>CO60*CL60</f>
        <v>15240000</v>
      </c>
      <c r="CR60" s="867">
        <v>182.547</v>
      </c>
      <c r="CS60" s="867">
        <v>185.946</v>
      </c>
      <c r="CT60" s="861">
        <f t="shared" si="39"/>
        <v>3.3990000000000009</v>
      </c>
      <c r="CU60" s="861"/>
      <c r="CV60" s="846">
        <f>CT60*CL60</f>
        <v>3263040.0000000009</v>
      </c>
      <c r="CW60" s="878">
        <f t="shared" si="40"/>
        <v>0.97783755514292614</v>
      </c>
      <c r="CX60" s="879"/>
    </row>
    <row r="61" spans="1:102" ht="16.5" customHeight="1" x14ac:dyDescent="0.25">
      <c r="A61" s="2295"/>
      <c r="B61" s="931" t="s">
        <v>566</v>
      </c>
      <c r="C61" s="2300"/>
      <c r="D61" s="861">
        <v>132</v>
      </c>
      <c r="E61" s="855" t="s">
        <v>339</v>
      </c>
      <c r="F61" s="855">
        <v>50146667</v>
      </c>
      <c r="G61" s="855" t="s">
        <v>560</v>
      </c>
      <c r="H61" s="932" t="s">
        <v>324</v>
      </c>
      <c r="I61" s="855"/>
      <c r="J61" s="953"/>
      <c r="K61" s="953"/>
      <c r="L61" s="878"/>
      <c r="M61" s="1042">
        <v>0</v>
      </c>
      <c r="N61" s="868"/>
      <c r="O61" s="2399"/>
      <c r="P61" s="955"/>
      <c r="Q61" s="933"/>
      <c r="R61" s="933"/>
      <c r="S61" s="861"/>
      <c r="T61" s="1042">
        <v>0</v>
      </c>
      <c r="U61" s="861"/>
      <c r="V61" s="122"/>
      <c r="W61" s="868"/>
      <c r="X61" s="870"/>
      <c r="Y61" s="871"/>
      <c r="Z61" s="889"/>
      <c r="AA61" s="121">
        <f>Z61*6.3882</f>
        <v>0</v>
      </c>
      <c r="AB61" s="2395" t="s">
        <v>565</v>
      </c>
      <c r="AC61" s="2395"/>
      <c r="AE61" s="837"/>
      <c r="AF61" s="872"/>
      <c r="AG61" s="892"/>
      <c r="AH61" s="936"/>
      <c r="AI61" s="937"/>
      <c r="AJ61" s="937"/>
      <c r="AK61" s="935"/>
      <c r="AL61" s="937"/>
      <c r="AM61" s="943"/>
      <c r="AN61" s="889"/>
      <c r="AO61" s="889"/>
      <c r="AP61" s="937"/>
      <c r="AQ61" s="941"/>
      <c r="AR61" s="941"/>
      <c r="AS61" s="897"/>
      <c r="AT61" s="941"/>
      <c r="AU61" s="941"/>
      <c r="AV61" s="899"/>
      <c r="AW61" s="898"/>
      <c r="AX61" s="899"/>
      <c r="AY61" s="982"/>
      <c r="BI61" s="982"/>
      <c r="BJ61" s="982"/>
      <c r="BL61" s="839"/>
      <c r="BM61" s="860"/>
      <c r="BN61" s="860"/>
      <c r="BO61" s="861"/>
      <c r="BP61" s="861"/>
      <c r="BQ61" s="851"/>
      <c r="BR61" s="890"/>
      <c r="BS61" s="828"/>
      <c r="BT61" s="828"/>
      <c r="BU61" s="828"/>
      <c r="BV61" s="828"/>
      <c r="BW61" s="828"/>
      <c r="BX61" s="828"/>
      <c r="BY61" s="828"/>
      <c r="BZ61" s="828"/>
      <c r="CA61" s="828"/>
      <c r="CB61" s="828"/>
      <c r="CC61" s="828"/>
      <c r="CD61" s="843"/>
      <c r="CE61" s="931"/>
      <c r="CF61" s="2295"/>
      <c r="CG61" s="861"/>
      <c r="CH61" s="855"/>
      <c r="CI61" s="855"/>
      <c r="CJ61" s="855"/>
      <c r="CK61" s="932"/>
      <c r="CL61" s="855"/>
      <c r="CM61" s="867"/>
      <c r="CN61" s="867"/>
      <c r="CO61" s="861"/>
      <c r="CP61" s="861"/>
      <c r="CQ61" s="861"/>
      <c r="CR61" s="867"/>
      <c r="CS61" s="867"/>
      <c r="CT61" s="861"/>
      <c r="CU61" s="861"/>
      <c r="CV61" s="846"/>
      <c r="CW61" s="878"/>
      <c r="CX61" s="879"/>
    </row>
    <row r="62" spans="1:102" ht="16" x14ac:dyDescent="0.25">
      <c r="A62" s="861">
        <v>24</v>
      </c>
      <c r="B62" s="931" t="s">
        <v>564</v>
      </c>
      <c r="C62" s="2300"/>
      <c r="D62" s="861">
        <v>132</v>
      </c>
      <c r="E62" s="855" t="s">
        <v>326</v>
      </c>
      <c r="F62" s="855">
        <v>50146668</v>
      </c>
      <c r="G62" s="855" t="s">
        <v>560</v>
      </c>
      <c r="H62" s="932" t="s">
        <v>324</v>
      </c>
      <c r="I62" s="855">
        <v>960000</v>
      </c>
      <c r="J62" s="933">
        <v>1407.4480000000001</v>
      </c>
      <c r="K62" s="933">
        <v>1423.2190000000001</v>
      </c>
      <c r="L62" s="878">
        <f t="shared" si="35"/>
        <v>15.770999999999958</v>
      </c>
      <c r="M62" s="861"/>
      <c r="N62" s="868">
        <f>L62*I62</f>
        <v>15140159.999999959</v>
      </c>
      <c r="O62" s="2399"/>
      <c r="P62" s="955"/>
      <c r="Q62" s="933">
        <v>614.11699999999996</v>
      </c>
      <c r="R62" s="933">
        <v>619.74199999999996</v>
      </c>
      <c r="S62" s="861">
        <f t="shared" si="36"/>
        <v>5.625</v>
      </c>
      <c r="T62" s="861"/>
      <c r="U62" s="861">
        <f>S62*I62</f>
        <v>5400000</v>
      </c>
      <c r="V62" s="122">
        <f>N62</f>
        <v>15140159.999999959</v>
      </c>
      <c r="W62" s="868">
        <f>U62</f>
        <v>5400000</v>
      </c>
      <c r="X62" s="870">
        <f>ROUND(IF(W62&lt;0.00001,"0",COS(ATAN(W62/V62))),2)</f>
        <v>0.94</v>
      </c>
      <c r="Y62" s="871">
        <f t="shared" si="14"/>
        <v>0</v>
      </c>
      <c r="Z62" s="889">
        <f t="shared" si="5"/>
        <v>0</v>
      </c>
      <c r="AA62" s="121">
        <f t="shared" si="6"/>
        <v>0</v>
      </c>
      <c r="AB62" s="890"/>
      <c r="AC62" s="879"/>
      <c r="AE62" s="837"/>
      <c r="AF62" s="872" t="s">
        <v>564</v>
      </c>
      <c r="AG62" s="892">
        <f>X62</f>
        <v>0.94</v>
      </c>
      <c r="AH62" s="936"/>
      <c r="AI62" s="937"/>
      <c r="AJ62" s="937"/>
      <c r="AK62" s="935">
        <v>0.92038760150639953</v>
      </c>
      <c r="AL62" s="937"/>
      <c r="AM62" s="943"/>
      <c r="AN62" s="889"/>
      <c r="AO62" s="889"/>
      <c r="AP62" s="937"/>
      <c r="AQ62" s="941"/>
      <c r="AR62" s="941"/>
      <c r="AS62" s="897" t="e">
        <f>COS(ATAN(#REF!/#REF!))</f>
        <v>#REF!</v>
      </c>
      <c r="AT62" s="941"/>
      <c r="AU62" s="941"/>
      <c r="AV62" s="899"/>
      <c r="AW62" s="982"/>
      <c r="AX62" s="899"/>
      <c r="AY62" s="982"/>
      <c r="BI62" s="982"/>
      <c r="BJ62" s="982"/>
      <c r="BK62" s="823">
        <f>BK60</f>
        <v>0.9</v>
      </c>
      <c r="BL62" s="839">
        <f>BL60</f>
        <v>0.9</v>
      </c>
      <c r="BM62" s="860">
        <f t="shared" si="34"/>
        <v>0</v>
      </c>
      <c r="BN62" s="860">
        <f t="shared" si="34"/>
        <v>15140159.999999959</v>
      </c>
      <c r="BO62" s="861"/>
      <c r="BP62" s="861">
        <v>6862080</v>
      </c>
      <c r="BQ62" s="851">
        <f t="shared" si="7"/>
        <v>0</v>
      </c>
      <c r="BR62" s="890">
        <f t="shared" si="7"/>
        <v>8278079.999999959</v>
      </c>
      <c r="BS62" s="828"/>
      <c r="BT62" s="828"/>
      <c r="BU62" s="828"/>
      <c r="BV62" s="828"/>
      <c r="BW62" s="828"/>
      <c r="BX62" s="828"/>
      <c r="BY62" s="828"/>
      <c r="BZ62" s="828"/>
      <c r="CA62" s="828"/>
      <c r="CB62" s="828"/>
      <c r="CC62" s="828"/>
      <c r="CD62" s="843">
        <v>23</v>
      </c>
      <c r="CE62" s="931" t="s">
        <v>564</v>
      </c>
      <c r="CF62" s="2295"/>
      <c r="CG62" s="861">
        <v>132</v>
      </c>
      <c r="CH62" s="855" t="s">
        <v>326</v>
      </c>
      <c r="CI62" s="855">
        <v>50146668</v>
      </c>
      <c r="CJ62" s="855" t="s">
        <v>560</v>
      </c>
      <c r="CK62" s="932" t="s">
        <v>324</v>
      </c>
      <c r="CL62" s="855">
        <v>960000</v>
      </c>
      <c r="CM62" s="867">
        <f t="shared" si="38"/>
        <v>1407.4480000000001</v>
      </c>
      <c r="CN62" s="867">
        <f t="shared" si="38"/>
        <v>1423.2190000000001</v>
      </c>
      <c r="CO62" s="861">
        <f t="shared" si="41"/>
        <v>15.770999999999958</v>
      </c>
      <c r="CP62" s="861"/>
      <c r="CQ62" s="861">
        <f>CO62*CL62</f>
        <v>15140159.999999959</v>
      </c>
      <c r="CR62" s="867">
        <v>152.673</v>
      </c>
      <c r="CS62" s="867">
        <v>156.273</v>
      </c>
      <c r="CT62" s="861">
        <f t="shared" si="39"/>
        <v>3.5999999999999943</v>
      </c>
      <c r="CU62" s="861"/>
      <c r="CV62" s="846">
        <f>CT62*CL62</f>
        <v>3455999.9999999944</v>
      </c>
      <c r="CW62" s="878">
        <f t="shared" si="40"/>
        <v>0.97492292090390276</v>
      </c>
      <c r="CX62" s="879"/>
    </row>
    <row r="63" spans="1:102" ht="16" x14ac:dyDescent="0.25">
      <c r="A63" s="2299">
        <v>25</v>
      </c>
      <c r="B63" s="931" t="s">
        <v>563</v>
      </c>
      <c r="C63" s="2300"/>
      <c r="D63" s="861">
        <v>132</v>
      </c>
      <c r="E63" s="855" t="s">
        <v>326</v>
      </c>
      <c r="F63" s="2356">
        <v>42627810</v>
      </c>
      <c r="G63" s="855" t="s">
        <v>560</v>
      </c>
      <c r="H63" s="932" t="s">
        <v>324</v>
      </c>
      <c r="I63" s="855">
        <v>960000</v>
      </c>
      <c r="J63" s="953">
        <v>60.322000000000003</v>
      </c>
      <c r="K63" s="953">
        <v>67.08</v>
      </c>
      <c r="L63" s="878">
        <f t="shared" si="35"/>
        <v>6.7579999999999956</v>
      </c>
      <c r="M63" s="861"/>
      <c r="N63" s="868">
        <f>L63*I63</f>
        <v>6487679.9999999953</v>
      </c>
      <c r="O63" s="869"/>
      <c r="P63" s="955"/>
      <c r="Q63" s="953">
        <v>0.19600000000000001</v>
      </c>
      <c r="R63" s="953">
        <v>0.19600000000000001</v>
      </c>
      <c r="S63" s="861">
        <f t="shared" si="36"/>
        <v>0</v>
      </c>
      <c r="T63" s="861"/>
      <c r="U63" s="861">
        <f>S63*I63</f>
        <v>0</v>
      </c>
      <c r="V63" s="122">
        <f>N63</f>
        <v>6487679.9999999953</v>
      </c>
      <c r="W63" s="868">
        <f>U63</f>
        <v>0</v>
      </c>
      <c r="X63" s="870">
        <f>ROUND(IF(W63&lt;0.00001,"0",COS(ATAN(W63/V63))),2)</f>
        <v>0</v>
      </c>
      <c r="Y63" s="871">
        <f t="shared" si="14"/>
        <v>0</v>
      </c>
      <c r="Z63" s="889">
        <f t="shared" si="5"/>
        <v>0</v>
      </c>
      <c r="AA63" s="121"/>
      <c r="AB63" s="890"/>
      <c r="AC63" s="879"/>
      <c r="AE63" s="837"/>
      <c r="AF63" s="872"/>
      <c r="AG63" s="892"/>
      <c r="AH63" s="936"/>
      <c r="AI63" s="937"/>
      <c r="AJ63" s="937"/>
      <c r="AK63" s="935"/>
      <c r="AL63" s="937"/>
      <c r="AM63" s="943"/>
      <c r="AN63" s="889"/>
      <c r="AO63" s="889"/>
      <c r="AP63" s="937"/>
      <c r="AQ63" s="941"/>
      <c r="AR63" s="941"/>
      <c r="AS63" s="897"/>
      <c r="AT63" s="941"/>
      <c r="AU63" s="941"/>
      <c r="AV63" s="899"/>
      <c r="AW63" s="982"/>
      <c r="AX63" s="899"/>
      <c r="AY63" s="982"/>
      <c r="BI63" s="982"/>
      <c r="BJ63" s="982"/>
      <c r="BL63" s="839"/>
      <c r="BM63" s="860"/>
      <c r="BN63" s="860"/>
      <c r="BO63" s="861"/>
      <c r="BP63" s="861"/>
      <c r="BQ63" s="851"/>
      <c r="BR63" s="890"/>
      <c r="BS63" s="828"/>
      <c r="BT63" s="828"/>
      <c r="BU63" s="828"/>
      <c r="BV63" s="828"/>
      <c r="BW63" s="828"/>
      <c r="BX63" s="828"/>
      <c r="BY63" s="828"/>
      <c r="BZ63" s="828"/>
      <c r="CA63" s="828"/>
      <c r="CB63" s="828"/>
      <c r="CC63" s="828"/>
      <c r="CD63" s="849"/>
      <c r="CE63" s="1043"/>
      <c r="CF63" s="951"/>
      <c r="CG63" s="951"/>
      <c r="CH63" s="1036"/>
      <c r="CI63" s="1044"/>
      <c r="CJ63" s="855"/>
      <c r="CK63" s="932"/>
      <c r="CL63" s="830"/>
      <c r="CM63" s="867">
        <f t="shared" si="38"/>
        <v>60.322000000000003</v>
      </c>
      <c r="CN63" s="867"/>
      <c r="CO63" s="861"/>
      <c r="CP63" s="861"/>
      <c r="CQ63" s="861"/>
      <c r="CR63" s="867"/>
      <c r="CS63" s="867"/>
      <c r="CT63" s="951"/>
      <c r="CU63" s="861"/>
      <c r="CV63" s="846"/>
      <c r="CW63" s="878"/>
      <c r="CX63" s="879"/>
    </row>
    <row r="64" spans="1:102" ht="14" x14ac:dyDescent="0.25">
      <c r="A64" s="2301"/>
      <c r="B64" s="931" t="s">
        <v>562</v>
      </c>
      <c r="C64" s="2300"/>
      <c r="D64" s="861">
        <v>132</v>
      </c>
      <c r="E64" s="855" t="s">
        <v>339</v>
      </c>
      <c r="F64" s="2357"/>
      <c r="G64" s="855"/>
      <c r="H64" s="932"/>
      <c r="I64" s="855">
        <v>960000</v>
      </c>
      <c r="J64" s="953">
        <v>0</v>
      </c>
      <c r="K64" s="953">
        <v>0</v>
      </c>
      <c r="L64" s="878">
        <f t="shared" si="35"/>
        <v>0</v>
      </c>
      <c r="M64" s="861">
        <f>L64*I64</f>
        <v>0</v>
      </c>
      <c r="N64" s="868"/>
      <c r="O64" s="869"/>
      <c r="P64" s="955"/>
      <c r="Q64" s="953">
        <v>30.994</v>
      </c>
      <c r="R64" s="953">
        <v>36.171999999999997</v>
      </c>
      <c r="S64" s="861">
        <f t="shared" si="36"/>
        <v>5.1779999999999973</v>
      </c>
      <c r="T64" s="861">
        <f>S64*I64</f>
        <v>4970879.9999999972</v>
      </c>
      <c r="U64" s="861"/>
      <c r="V64" s="122"/>
      <c r="W64" s="868"/>
      <c r="X64" s="870"/>
      <c r="Y64" s="871"/>
      <c r="Z64" s="889"/>
      <c r="AA64" s="121"/>
      <c r="AB64" s="890"/>
      <c r="AC64" s="879"/>
      <c r="AE64" s="837"/>
      <c r="AF64" s="872"/>
      <c r="AG64" s="892"/>
      <c r="AH64" s="936"/>
      <c r="AI64" s="937"/>
      <c r="AJ64" s="937"/>
      <c r="AK64" s="935"/>
      <c r="AL64" s="937"/>
      <c r="AM64" s="943"/>
      <c r="AN64" s="889"/>
      <c r="AO64" s="889"/>
      <c r="AP64" s="937"/>
      <c r="AQ64" s="941"/>
      <c r="AR64" s="941"/>
      <c r="AS64" s="897"/>
      <c r="AT64" s="941"/>
      <c r="AU64" s="941"/>
      <c r="AV64" s="899"/>
      <c r="AW64" s="982"/>
      <c r="AX64" s="899"/>
      <c r="AY64" s="982"/>
      <c r="BI64" s="982"/>
      <c r="BJ64" s="982"/>
      <c r="BL64" s="839"/>
      <c r="BM64" s="860"/>
      <c r="BN64" s="860"/>
      <c r="BO64" s="861"/>
      <c r="BP64" s="861"/>
      <c r="BQ64" s="851"/>
      <c r="BR64" s="890"/>
      <c r="BS64" s="828"/>
      <c r="BT64" s="828"/>
      <c r="BU64" s="828"/>
      <c r="BV64" s="828"/>
      <c r="BW64" s="828"/>
      <c r="BX64" s="828"/>
      <c r="BY64" s="828"/>
      <c r="BZ64" s="828"/>
      <c r="CA64" s="828"/>
      <c r="CB64" s="828"/>
      <c r="CC64" s="828"/>
      <c r="CD64" s="849"/>
      <c r="CE64" s="1043"/>
      <c r="CF64" s="951"/>
      <c r="CG64" s="951"/>
      <c r="CH64" s="1036"/>
      <c r="CI64" s="1044"/>
      <c r="CJ64" s="855"/>
      <c r="CK64" s="932"/>
      <c r="CL64" s="830"/>
      <c r="CM64" s="867">
        <f t="shared" si="38"/>
        <v>0</v>
      </c>
      <c r="CN64" s="867"/>
      <c r="CO64" s="861"/>
      <c r="CP64" s="861"/>
      <c r="CQ64" s="861"/>
      <c r="CR64" s="867"/>
      <c r="CS64" s="867"/>
      <c r="CT64" s="951"/>
      <c r="CU64" s="861"/>
      <c r="CV64" s="846"/>
      <c r="CW64" s="878"/>
      <c r="CX64" s="879"/>
    </row>
    <row r="65" spans="1:102" ht="16" x14ac:dyDescent="0.25">
      <c r="A65" s="2299">
        <v>26</v>
      </c>
      <c r="B65" s="931" t="s">
        <v>561</v>
      </c>
      <c r="C65" s="2301"/>
      <c r="D65" s="861">
        <v>132</v>
      </c>
      <c r="E65" s="855" t="s">
        <v>326</v>
      </c>
      <c r="F65" s="2356">
        <v>42627812</v>
      </c>
      <c r="G65" s="855" t="s">
        <v>560</v>
      </c>
      <c r="H65" s="932" t="s">
        <v>324</v>
      </c>
      <c r="I65" s="855">
        <v>960000</v>
      </c>
      <c r="J65" s="953">
        <v>60.79</v>
      </c>
      <c r="K65" s="953">
        <v>67.581000000000003</v>
      </c>
      <c r="L65" s="878">
        <f t="shared" si="35"/>
        <v>6.7910000000000039</v>
      </c>
      <c r="M65" s="861"/>
      <c r="N65" s="868">
        <f>L65*I65</f>
        <v>6519360.0000000037</v>
      </c>
      <c r="O65" s="869"/>
      <c r="P65" s="955"/>
      <c r="Q65" s="953">
        <v>0.14599999999999999</v>
      </c>
      <c r="R65" s="953">
        <v>0.14599999999999999</v>
      </c>
      <c r="S65" s="861">
        <f t="shared" si="36"/>
        <v>0</v>
      </c>
      <c r="T65" s="861"/>
      <c r="U65" s="861">
        <f>S65*I65</f>
        <v>0</v>
      </c>
      <c r="V65" s="122">
        <f>N65</f>
        <v>6519360.0000000037</v>
      </c>
      <c r="W65" s="868">
        <f>U65</f>
        <v>0</v>
      </c>
      <c r="X65" s="870">
        <f>ROUND(IF(W65&lt;0.00001,"0",COS(ATAN(W65/V65))),2)</f>
        <v>0</v>
      </c>
      <c r="Y65" s="871">
        <f t="shared" si="14"/>
        <v>0</v>
      </c>
      <c r="Z65" s="889">
        <f t="shared" si="5"/>
        <v>0</v>
      </c>
      <c r="AA65" s="121"/>
      <c r="AB65" s="890"/>
      <c r="AC65" s="879"/>
      <c r="AE65" s="837"/>
      <c r="AF65" s="872"/>
      <c r="AG65" s="892"/>
      <c r="AH65" s="936"/>
      <c r="AI65" s="937"/>
      <c r="AJ65" s="937"/>
      <c r="AK65" s="935"/>
      <c r="AL65" s="937"/>
      <c r="AM65" s="943"/>
      <c r="AN65" s="889"/>
      <c r="AO65" s="889"/>
      <c r="AP65" s="937"/>
      <c r="AQ65" s="941"/>
      <c r="AR65" s="941"/>
      <c r="AS65" s="897"/>
      <c r="AT65" s="941"/>
      <c r="AU65" s="941"/>
      <c r="AV65" s="899"/>
      <c r="AW65" s="982"/>
      <c r="AX65" s="899"/>
      <c r="AY65" s="982"/>
      <c r="BI65" s="982"/>
      <c r="BJ65" s="982"/>
      <c r="BL65" s="839"/>
      <c r="BM65" s="860"/>
      <c r="BN65" s="860"/>
      <c r="BO65" s="861"/>
      <c r="BP65" s="861"/>
      <c r="BQ65" s="851"/>
      <c r="BR65" s="890"/>
      <c r="BS65" s="828"/>
      <c r="BT65" s="828"/>
      <c r="BU65" s="828"/>
      <c r="BV65" s="828"/>
      <c r="BW65" s="828"/>
      <c r="BX65" s="828"/>
      <c r="BY65" s="828"/>
      <c r="BZ65" s="828"/>
      <c r="CA65" s="828"/>
      <c r="CB65" s="828"/>
      <c r="CC65" s="828"/>
      <c r="CD65" s="849"/>
      <c r="CE65" s="1043"/>
      <c r="CF65" s="951"/>
      <c r="CG65" s="951"/>
      <c r="CH65" s="1036"/>
      <c r="CI65" s="1044"/>
      <c r="CJ65" s="855"/>
      <c r="CK65" s="932"/>
      <c r="CL65" s="830"/>
      <c r="CM65" s="867">
        <f t="shared" si="38"/>
        <v>60.79</v>
      </c>
      <c r="CN65" s="867"/>
      <c r="CO65" s="861"/>
      <c r="CP65" s="861"/>
      <c r="CQ65" s="861"/>
      <c r="CR65" s="867"/>
      <c r="CS65" s="867"/>
      <c r="CT65" s="951"/>
      <c r="CU65" s="861"/>
      <c r="CV65" s="846"/>
      <c r="CW65" s="878"/>
      <c r="CX65" s="879"/>
    </row>
    <row r="66" spans="1:102" ht="14" x14ac:dyDescent="0.25">
      <c r="A66" s="2301"/>
      <c r="B66" s="931" t="s">
        <v>559</v>
      </c>
      <c r="C66" s="913"/>
      <c r="D66" s="861">
        <v>132</v>
      </c>
      <c r="E66" s="855" t="s">
        <v>339</v>
      </c>
      <c r="F66" s="2357"/>
      <c r="G66" s="855"/>
      <c r="H66" s="932"/>
      <c r="I66" s="855">
        <v>960000</v>
      </c>
      <c r="J66" s="953">
        <v>0</v>
      </c>
      <c r="K66" s="953">
        <v>0</v>
      </c>
      <c r="L66" s="878">
        <f t="shared" si="35"/>
        <v>0</v>
      </c>
      <c r="M66" s="861">
        <f>L66*I66</f>
        <v>0</v>
      </c>
      <c r="N66" s="868"/>
      <c r="O66" s="869"/>
      <c r="P66" s="955"/>
      <c r="Q66" s="953">
        <v>32.515000000000001</v>
      </c>
      <c r="R66" s="953">
        <v>37.875</v>
      </c>
      <c r="S66" s="861">
        <f t="shared" si="36"/>
        <v>5.3599999999999994</v>
      </c>
      <c r="T66" s="861">
        <f>S66*I66</f>
        <v>5145599.9999999991</v>
      </c>
      <c r="U66" s="861"/>
      <c r="V66" s="122"/>
      <c r="W66" s="868"/>
      <c r="X66" s="870"/>
      <c r="Y66" s="871"/>
      <c r="Z66" s="889"/>
      <c r="AA66" s="121"/>
      <c r="AB66" s="890"/>
      <c r="AC66" s="879"/>
      <c r="AE66" s="837"/>
      <c r="AF66" s="872"/>
      <c r="AG66" s="892"/>
      <c r="AH66" s="936"/>
      <c r="AI66" s="937"/>
      <c r="AJ66" s="937"/>
      <c r="AK66" s="935"/>
      <c r="AL66" s="937"/>
      <c r="AM66" s="943"/>
      <c r="AN66" s="889"/>
      <c r="AO66" s="889"/>
      <c r="AP66" s="937"/>
      <c r="AQ66" s="941"/>
      <c r="AR66" s="941"/>
      <c r="AS66" s="897"/>
      <c r="AT66" s="941"/>
      <c r="AU66" s="941"/>
      <c r="AV66" s="899"/>
      <c r="AW66" s="982"/>
      <c r="AX66" s="899"/>
      <c r="AY66" s="982"/>
      <c r="BI66" s="982"/>
      <c r="BJ66" s="982"/>
      <c r="BL66" s="839"/>
      <c r="BM66" s="860"/>
      <c r="BN66" s="860"/>
      <c r="BO66" s="861"/>
      <c r="BP66" s="861"/>
      <c r="BQ66" s="851"/>
      <c r="BR66" s="890"/>
      <c r="BS66" s="828"/>
      <c r="BT66" s="828"/>
      <c r="BU66" s="828"/>
      <c r="BV66" s="828"/>
      <c r="BW66" s="828"/>
      <c r="BX66" s="828"/>
      <c r="BY66" s="828"/>
      <c r="BZ66" s="828"/>
      <c r="CA66" s="828"/>
      <c r="CB66" s="828"/>
      <c r="CC66" s="828"/>
      <c r="CD66" s="849"/>
      <c r="CE66" s="1043"/>
      <c r="CF66" s="951"/>
      <c r="CG66" s="951"/>
      <c r="CH66" s="1036"/>
      <c r="CI66" s="1044"/>
      <c r="CJ66" s="855"/>
      <c r="CK66" s="932"/>
      <c r="CL66" s="830"/>
      <c r="CM66" s="867">
        <f t="shared" si="38"/>
        <v>0</v>
      </c>
      <c r="CN66" s="867"/>
      <c r="CO66" s="861"/>
      <c r="CP66" s="861"/>
      <c r="CQ66" s="861"/>
      <c r="CR66" s="867"/>
      <c r="CS66" s="867"/>
      <c r="CT66" s="951"/>
      <c r="CU66" s="861"/>
      <c r="CV66" s="846"/>
      <c r="CW66" s="878"/>
      <c r="CX66" s="879"/>
    </row>
    <row r="67" spans="1:102" ht="14" x14ac:dyDescent="0.25">
      <c r="A67" s="2396"/>
      <c r="B67" s="2396"/>
      <c r="C67" s="2396"/>
      <c r="D67" s="2396"/>
      <c r="E67" s="2396"/>
      <c r="F67" s="2396"/>
      <c r="G67" s="855"/>
      <c r="H67" s="932"/>
      <c r="I67" s="984"/>
      <c r="J67" s="953"/>
      <c r="K67" s="953"/>
      <c r="L67" s="843" t="s">
        <v>323</v>
      </c>
      <c r="M67" s="843">
        <f>SUM(M52:M62)</f>
        <v>0</v>
      </c>
      <c r="N67" s="856">
        <f>SUM(N52:N65)</f>
        <v>122423040.00000143</v>
      </c>
      <c r="O67" s="954">
        <f>N67-M67</f>
        <v>122423040.00000143</v>
      </c>
      <c r="P67" s="955" t="s">
        <v>323</v>
      </c>
      <c r="Q67" s="933"/>
      <c r="R67" s="933"/>
      <c r="S67" s="955"/>
      <c r="T67" s="1045">
        <f>T53+T55+T57+T59+T61+T64+T66</f>
        <v>10116479.999999996</v>
      </c>
      <c r="U67" s="991">
        <f>SUM(U52:U66)</f>
        <v>38762879.999999598</v>
      </c>
      <c r="V67" s="116"/>
      <c r="W67" s="954">
        <f>U67-T67</f>
        <v>28646399.999999601</v>
      </c>
      <c r="X67" s="1020"/>
      <c r="Y67" s="871"/>
      <c r="Z67" s="889">
        <f t="shared" si="5"/>
        <v>0</v>
      </c>
      <c r="AA67" s="121">
        <f t="shared" si="6"/>
        <v>0</v>
      </c>
      <c r="AB67" s="890"/>
      <c r="AC67" s="879"/>
      <c r="AE67" s="837"/>
      <c r="AF67" s="975"/>
      <c r="AG67" s="892"/>
      <c r="AH67" s="936"/>
      <c r="AI67" s="937"/>
      <c r="AJ67" s="937"/>
      <c r="AK67" s="935"/>
      <c r="AL67" s="937"/>
      <c r="AM67" s="943"/>
      <c r="AN67" s="889"/>
      <c r="AO67" s="889"/>
      <c r="AP67" s="937"/>
      <c r="AQ67" s="941"/>
      <c r="AR67" s="941"/>
      <c r="AS67" s="897"/>
      <c r="AT67" s="941"/>
      <c r="AU67" s="941"/>
      <c r="AV67" s="899"/>
      <c r="AW67" s="978">
        <f>Z62+Z54+Z52</f>
        <v>0</v>
      </c>
      <c r="AX67" s="899"/>
      <c r="AY67" s="982"/>
      <c r="BI67" s="982"/>
      <c r="BJ67" s="982"/>
      <c r="BK67" s="823">
        <f>BK62</f>
        <v>0.9</v>
      </c>
      <c r="BL67" s="839">
        <f>BL62</f>
        <v>0.9</v>
      </c>
      <c r="BM67" s="860">
        <f t="shared" si="34"/>
        <v>0</v>
      </c>
      <c r="BN67" s="860">
        <f t="shared" si="34"/>
        <v>122423040.00000143</v>
      </c>
      <c r="BO67" s="861">
        <f>SUM(BO52:BO62)</f>
        <v>1920</v>
      </c>
      <c r="BP67" s="861">
        <f>SUM(BP52:BP62)</f>
        <v>104703360</v>
      </c>
      <c r="BQ67" s="851">
        <f t="shared" si="7"/>
        <v>-1920</v>
      </c>
      <c r="BR67" s="890">
        <f t="shared" si="7"/>
        <v>17719680.000001431</v>
      </c>
      <c r="BS67" s="828"/>
      <c r="BT67" s="828"/>
      <c r="BU67" s="828"/>
      <c r="BV67" s="828"/>
      <c r="BW67" s="828"/>
      <c r="BX67" s="828"/>
      <c r="BY67" s="828"/>
      <c r="BZ67" s="828"/>
      <c r="CA67" s="828"/>
      <c r="CB67" s="828"/>
      <c r="CC67" s="828"/>
      <c r="CD67" s="2353"/>
      <c r="CE67" s="2354"/>
      <c r="CF67" s="2354"/>
      <c r="CG67" s="2354"/>
      <c r="CH67" s="2354"/>
      <c r="CI67" s="2355"/>
      <c r="CJ67" s="855"/>
      <c r="CK67" s="932"/>
      <c r="CM67" s="867"/>
      <c r="CN67" s="867"/>
      <c r="CO67" s="843" t="s">
        <v>323</v>
      </c>
      <c r="CP67" s="843">
        <f>SUM(CP52:CP59)</f>
        <v>0</v>
      </c>
      <c r="CQ67" s="843">
        <f>SUM(CQ52:CQ62)</f>
        <v>109416288.00000143</v>
      </c>
      <c r="CR67" s="867"/>
      <c r="CS67" s="867"/>
      <c r="CT67" s="1026"/>
      <c r="CU67" s="843">
        <f>CU53+CU55+CU57+CU59</f>
        <v>0</v>
      </c>
      <c r="CV67" s="1046">
        <f>SUM(CV52:CV62)</f>
        <v>62675520</v>
      </c>
      <c r="CW67" s="968"/>
      <c r="CX67" s="879"/>
    </row>
    <row r="68" spans="1:102" ht="14.15" customHeight="1" x14ac:dyDescent="0.25">
      <c r="A68" s="1009">
        <v>27</v>
      </c>
      <c r="B68" s="1047" t="s">
        <v>557</v>
      </c>
      <c r="C68" s="2343" t="s">
        <v>98</v>
      </c>
      <c r="D68" s="861">
        <v>132</v>
      </c>
      <c r="E68" s="855" t="s">
        <v>326</v>
      </c>
      <c r="F68" s="855">
        <v>50147584</v>
      </c>
      <c r="G68" s="855"/>
      <c r="H68" s="932"/>
      <c r="I68" s="1048">
        <f>1600*(132000/110)</f>
        <v>1920000</v>
      </c>
      <c r="J68" s="933">
        <v>2874.3389999999999</v>
      </c>
      <c r="K68" s="933">
        <v>2908.752</v>
      </c>
      <c r="L68" s="878">
        <f>K68-J68</f>
        <v>34.413000000000011</v>
      </c>
      <c r="M68" s="1049"/>
      <c r="N68" s="868">
        <f>L68*I68</f>
        <v>66072960.000000022</v>
      </c>
      <c r="O68" s="1008"/>
      <c r="P68" s="955" t="s">
        <v>558</v>
      </c>
      <c r="Q68" s="1030">
        <v>1493.8620000000001</v>
      </c>
      <c r="R68" s="1030">
        <v>1506.05</v>
      </c>
      <c r="S68" s="861">
        <f>R68-Q68</f>
        <v>12.187999999999874</v>
      </c>
      <c r="T68" s="861"/>
      <c r="U68" s="861">
        <f>S68*I68</f>
        <v>23400959.999999758</v>
      </c>
      <c r="V68" s="122">
        <f>N68</f>
        <v>66072960.000000022</v>
      </c>
      <c r="W68" s="868">
        <f>U68</f>
        <v>23400959.999999758</v>
      </c>
      <c r="X68" s="870">
        <f>ROUND(IF(W68&lt;0.00001,"0",COS(ATAN(W68/V68))),2)</f>
        <v>0.94</v>
      </c>
      <c r="Y68" s="871">
        <f t="shared" si="14"/>
        <v>0</v>
      </c>
      <c r="Z68" s="889">
        <f t="shared" si="5"/>
        <v>0</v>
      </c>
      <c r="AA68" s="121">
        <f t="shared" si="6"/>
        <v>0</v>
      </c>
      <c r="AB68" s="890"/>
      <c r="AC68" s="879"/>
      <c r="AE68" s="837"/>
      <c r="AF68" s="1050" t="s">
        <v>557</v>
      </c>
      <c r="AG68" s="935">
        <f>X68</f>
        <v>0.94</v>
      </c>
      <c r="AH68" s="935">
        <f>Y68</f>
        <v>0</v>
      </c>
      <c r="AI68" s="937" t="e">
        <f>#REF!</f>
        <v>#REF!</v>
      </c>
      <c r="AJ68" s="937">
        <f>AA68</f>
        <v>0</v>
      </c>
      <c r="AK68" s="1031">
        <v>0.88854305394838629</v>
      </c>
      <c r="AL68" s="1041">
        <v>0.01</v>
      </c>
      <c r="AM68" s="876">
        <v>586810</v>
      </c>
      <c r="AN68" s="889">
        <f>AM68*5.878</f>
        <v>3449269.18</v>
      </c>
      <c r="AO68" s="889" t="e">
        <f>AM68-AI68</f>
        <v>#REF!</v>
      </c>
      <c r="AP68" s="1032">
        <f>AN68-AJ68</f>
        <v>3449269.18</v>
      </c>
      <c r="AQ68" s="941">
        <v>3</v>
      </c>
      <c r="AR68" s="941"/>
      <c r="AS68" s="897" t="e">
        <f>COS(ATAN(#REF!/#REF!))</f>
        <v>#REF!</v>
      </c>
      <c r="AT68" s="941"/>
      <c r="AU68" s="941"/>
      <c r="AV68" s="899"/>
      <c r="AW68" s="898">
        <v>3285623.31</v>
      </c>
      <c r="AX68" s="899">
        <f>AA68-AW68</f>
        <v>-3285623.31</v>
      </c>
      <c r="AY68" s="982"/>
      <c r="AZ68" s="982"/>
      <c r="BI68" s="982"/>
      <c r="BJ68" s="982"/>
      <c r="BK68" s="823">
        <f>BK67</f>
        <v>0.9</v>
      </c>
      <c r="BL68" s="839">
        <f>BL67</f>
        <v>0.9</v>
      </c>
      <c r="BM68" s="860">
        <f t="shared" si="34"/>
        <v>0</v>
      </c>
      <c r="BN68" s="860">
        <f t="shared" si="34"/>
        <v>66072960.000000022</v>
      </c>
      <c r="BO68" s="861"/>
      <c r="BP68" s="861">
        <v>37914240</v>
      </c>
      <c r="BQ68" s="851">
        <f t="shared" si="7"/>
        <v>0</v>
      </c>
      <c r="BR68" s="890">
        <f t="shared" si="7"/>
        <v>28158720.000000022</v>
      </c>
      <c r="BS68" s="828"/>
      <c r="BT68" s="828"/>
      <c r="BU68" s="828"/>
      <c r="BV68" s="828"/>
      <c r="BW68" s="828"/>
      <c r="BX68" s="828"/>
      <c r="BY68" s="828"/>
      <c r="BZ68" s="828"/>
      <c r="CA68" s="828"/>
      <c r="CB68" s="828"/>
      <c r="CC68" s="828"/>
      <c r="CD68" s="910">
        <v>24</v>
      </c>
      <c r="CE68" s="1051" t="s">
        <v>557</v>
      </c>
      <c r="CF68" s="2344" t="s">
        <v>98</v>
      </c>
      <c r="CG68" s="1018">
        <v>132</v>
      </c>
      <c r="CH68" s="855" t="s">
        <v>326</v>
      </c>
      <c r="CI68" s="855">
        <v>50147584</v>
      </c>
      <c r="CJ68" s="855"/>
      <c r="CK68" s="932"/>
      <c r="CL68" s="1048">
        <f>1600*(132000/110)</f>
        <v>1920000</v>
      </c>
      <c r="CM68" s="867">
        <f>J68</f>
        <v>2874.3389999999999</v>
      </c>
      <c r="CN68" s="867">
        <f>K68</f>
        <v>2908.752</v>
      </c>
      <c r="CO68" s="878">
        <f>CN68-CM68</f>
        <v>34.413000000000011</v>
      </c>
      <c r="CP68" s="1049"/>
      <c r="CQ68" s="861">
        <f>CO68*CL68</f>
        <v>66072960.000000022</v>
      </c>
      <c r="CR68" s="867">
        <v>645.02200000000005</v>
      </c>
      <c r="CS68" s="867">
        <v>660.803</v>
      </c>
      <c r="CT68" s="861">
        <f>CS68-CR68</f>
        <v>15.780999999999949</v>
      </c>
      <c r="CU68" s="861"/>
      <c r="CV68" s="846">
        <f>CT68*CL68</f>
        <v>30299519.999999903</v>
      </c>
      <c r="CW68" s="878">
        <f>IF(CT68&lt;0.00001,"0",COS(ATAN(CT68/CO68)))</f>
        <v>0.90898101527408715</v>
      </c>
      <c r="CX68" s="879"/>
    </row>
    <row r="69" spans="1:102" ht="14" x14ac:dyDescent="0.25">
      <c r="A69" s="1009">
        <v>28</v>
      </c>
      <c r="B69" s="1047" t="s">
        <v>556</v>
      </c>
      <c r="C69" s="2343"/>
      <c r="D69" s="861">
        <v>132</v>
      </c>
      <c r="E69" s="855" t="s">
        <v>326</v>
      </c>
      <c r="F69" s="855">
        <v>50147585</v>
      </c>
      <c r="G69" s="855"/>
      <c r="H69" s="932"/>
      <c r="I69" s="1048">
        <f>1600*(132000/110)</f>
        <v>1920000</v>
      </c>
      <c r="J69" s="933">
        <v>2877.6889999999999</v>
      </c>
      <c r="K69" s="933">
        <v>2903.6669999999999</v>
      </c>
      <c r="L69" s="878">
        <f>K69-J69</f>
        <v>25.978000000000065</v>
      </c>
      <c r="M69" s="1052"/>
      <c r="N69" s="868">
        <f>L69*I69</f>
        <v>49877760.000000127</v>
      </c>
      <c r="O69" s="1008"/>
      <c r="P69" s="861"/>
      <c r="Q69" s="1030">
        <v>1494.595</v>
      </c>
      <c r="R69" s="1030">
        <v>1503.8969999999999</v>
      </c>
      <c r="S69" s="861">
        <f>R69-Q69</f>
        <v>9.3019999999999072</v>
      </c>
      <c r="T69" s="861"/>
      <c r="U69" s="861">
        <f>S69*I69</f>
        <v>17859839.999999821</v>
      </c>
      <c r="V69" s="122">
        <f>N69</f>
        <v>49877760.000000127</v>
      </c>
      <c r="W69" s="868">
        <f>U69</f>
        <v>17859839.999999821</v>
      </c>
      <c r="X69" s="870">
        <f>ROUND(IF(W69&lt;0.00001,"0",COS(ATAN(W69/V69))),2)</f>
        <v>0.94</v>
      </c>
      <c r="Y69" s="871">
        <f t="shared" si="14"/>
        <v>0</v>
      </c>
      <c r="Z69" s="889">
        <f t="shared" si="5"/>
        <v>0</v>
      </c>
      <c r="AA69" s="121">
        <f t="shared" si="6"/>
        <v>0</v>
      </c>
      <c r="AB69" s="890"/>
      <c r="AC69" s="879"/>
      <c r="AE69" s="837"/>
      <c r="AF69" s="1050" t="s">
        <v>556</v>
      </c>
      <c r="AG69" s="935">
        <f>X69</f>
        <v>0.94</v>
      </c>
      <c r="AH69" s="935">
        <f>Y69</f>
        <v>0</v>
      </c>
      <c r="AI69" s="937" t="e">
        <f>#REF!</f>
        <v>#REF!</v>
      </c>
      <c r="AJ69" s="937">
        <f>AA69</f>
        <v>0</v>
      </c>
      <c r="AK69" s="1031">
        <v>0.88875450482778262</v>
      </c>
      <c r="AL69" s="1041">
        <v>0.01</v>
      </c>
      <c r="AM69" s="876">
        <v>578093</v>
      </c>
      <c r="AN69" s="889">
        <f>AM69*5.878</f>
        <v>3398030.6540000001</v>
      </c>
      <c r="AO69" s="889" t="e">
        <f>AM69-AI69</f>
        <v>#REF!</v>
      </c>
      <c r="AP69" s="1032">
        <f>AN69-AJ69</f>
        <v>3398030.6540000001</v>
      </c>
      <c r="AQ69" s="941">
        <v>2</v>
      </c>
      <c r="AR69" s="941"/>
      <c r="AS69" s="897" t="e">
        <f>COS(ATAN(#REF!/#REF!))</f>
        <v>#REF!</v>
      </c>
      <c r="AT69" s="941"/>
      <c r="AU69" s="941"/>
      <c r="AV69" s="899"/>
      <c r="AW69" s="898">
        <v>3282801.87</v>
      </c>
      <c r="AX69" s="899">
        <f>AA69-AW69</f>
        <v>-3282801.87</v>
      </c>
      <c r="AY69" s="982"/>
      <c r="AZ69" s="982"/>
      <c r="BI69" s="982"/>
      <c r="BJ69" s="982"/>
      <c r="BK69" s="823">
        <f>BK68</f>
        <v>0.9</v>
      </c>
      <c r="BL69" s="839">
        <f t="shared" si="0"/>
        <v>0.9</v>
      </c>
      <c r="BM69" s="860">
        <f t="shared" si="34"/>
        <v>0</v>
      </c>
      <c r="BN69" s="860">
        <f t="shared" si="34"/>
        <v>49877760.000000127</v>
      </c>
      <c r="BO69" s="861"/>
      <c r="BP69" s="861">
        <v>38054400</v>
      </c>
      <c r="BQ69" s="851">
        <f t="shared" si="7"/>
        <v>0</v>
      </c>
      <c r="BR69" s="890">
        <f t="shared" si="7"/>
        <v>11823360.000000127</v>
      </c>
      <c r="BS69" s="828"/>
      <c r="BT69" s="828"/>
      <c r="BU69" s="828"/>
      <c r="BV69" s="828"/>
      <c r="BW69" s="828"/>
      <c r="BX69" s="828"/>
      <c r="BY69" s="828"/>
      <c r="BZ69" s="828"/>
      <c r="CA69" s="828"/>
      <c r="CB69" s="828"/>
      <c r="CC69" s="828"/>
      <c r="CD69" s="843">
        <v>25</v>
      </c>
      <c r="CE69" s="1051" t="s">
        <v>556</v>
      </c>
      <c r="CF69" s="2345"/>
      <c r="CG69" s="1018">
        <v>132</v>
      </c>
      <c r="CH69" s="855" t="s">
        <v>326</v>
      </c>
      <c r="CI69" s="855">
        <v>50147585</v>
      </c>
      <c r="CJ69" s="855"/>
      <c r="CK69" s="932"/>
      <c r="CL69" s="1048">
        <f>1600*(132000/110)</f>
        <v>1920000</v>
      </c>
      <c r="CM69" s="867">
        <f>J69</f>
        <v>2877.6889999999999</v>
      </c>
      <c r="CN69" s="867">
        <f>K69</f>
        <v>2903.6669999999999</v>
      </c>
      <c r="CO69" s="861">
        <f>CN69-CM69</f>
        <v>25.978000000000065</v>
      </c>
      <c r="CP69" s="1053"/>
      <c r="CQ69" s="861">
        <f>CO69*CL69</f>
        <v>49877760.000000127</v>
      </c>
      <c r="CR69" s="867">
        <v>646.84500000000003</v>
      </c>
      <c r="CS69" s="867">
        <v>662.37400000000002</v>
      </c>
      <c r="CT69" s="861">
        <f>CS69-CR69</f>
        <v>15.528999999999996</v>
      </c>
      <c r="CU69" s="861"/>
      <c r="CV69" s="846">
        <f>CT69*CL69</f>
        <v>29815679.999999993</v>
      </c>
      <c r="CW69" s="878">
        <f>IF(CT69&lt;0.00001,"0",COS(ATAN(CT69/CO69)))</f>
        <v>0.85833431672763338</v>
      </c>
      <c r="CX69" s="879"/>
    </row>
    <row r="70" spans="1:102" s="992" customFormat="1" ht="22.5" customHeight="1" x14ac:dyDescent="0.3">
      <c r="A70" s="955"/>
      <c r="B70" s="1054"/>
      <c r="C70" s="852"/>
      <c r="D70" s="843"/>
      <c r="E70" s="853"/>
      <c r="F70" s="853"/>
      <c r="G70" s="853"/>
      <c r="H70" s="854"/>
      <c r="I70" s="1055"/>
      <c r="J70" s="953"/>
      <c r="K70" s="953"/>
      <c r="L70" s="843" t="s">
        <v>323</v>
      </c>
      <c r="M70" s="843"/>
      <c r="N70" s="856">
        <f>N68+N69</f>
        <v>115950720.00000015</v>
      </c>
      <c r="O70" s="954">
        <f>N70</f>
        <v>115950720.00000015</v>
      </c>
      <c r="P70" s="1056" t="s">
        <v>555</v>
      </c>
      <c r="Q70" s="933"/>
      <c r="R70" s="933"/>
      <c r="S70" s="843"/>
      <c r="T70" s="843"/>
      <c r="U70" s="843">
        <f>U68+U69</f>
        <v>41260799.999999583</v>
      </c>
      <c r="V70" s="116"/>
      <c r="W70" s="954">
        <f>U70</f>
        <v>41260799.999999583</v>
      </c>
      <c r="X70" s="851"/>
      <c r="Y70" s="1003"/>
      <c r="Z70" s="997"/>
      <c r="AA70" s="121">
        <f t="shared" si="6"/>
        <v>0</v>
      </c>
      <c r="AB70" s="991"/>
      <c r="AC70" s="842"/>
      <c r="AE70" s="837"/>
      <c r="AF70" s="857"/>
      <c r="AG70" s="961"/>
      <c r="AH70" s="994"/>
      <c r="AI70" s="994"/>
      <c r="AJ70" s="994"/>
      <c r="AK70" s="995"/>
      <c r="AL70" s="994"/>
      <c r="AM70" s="996"/>
      <c r="AN70" s="997"/>
      <c r="AO70" s="997"/>
      <c r="AP70" s="994"/>
      <c r="AQ70" s="978"/>
      <c r="AR70" s="978"/>
      <c r="AS70" s="998" t="e">
        <f>COS(ATAN(#REF!/#REF!))</f>
        <v>#REF!</v>
      </c>
      <c r="AT70" s="978"/>
      <c r="AU70" s="978"/>
      <c r="AV70" s="999"/>
      <c r="AW70" s="978">
        <f>SUM(AW7:AW69)</f>
        <v>64731981.520000003</v>
      </c>
      <c r="AY70" s="1000">
        <v>67003528.909999996</v>
      </c>
      <c r="AZ70" s="991">
        <f>AY70/5.878</f>
        <v>11399035.200748553</v>
      </c>
      <c r="BA70" s="1001"/>
      <c r="BB70" s="1001"/>
      <c r="BC70" s="1001"/>
      <c r="BD70" s="1001"/>
      <c r="BE70" s="1001"/>
      <c r="BF70" s="1001"/>
      <c r="BG70" s="1001"/>
      <c r="BH70" s="1001"/>
      <c r="BK70" s="1004">
        <f>BK69</f>
        <v>0.9</v>
      </c>
      <c r="BL70" s="839">
        <f>BL69</f>
        <v>0.9</v>
      </c>
      <c r="BM70" s="1005">
        <f t="shared" si="34"/>
        <v>0</v>
      </c>
      <c r="BN70" s="1005">
        <f t="shared" si="34"/>
        <v>115950720.00000015</v>
      </c>
      <c r="BO70" s="843"/>
      <c r="BP70" s="843">
        <f>SUM(BP68:BP69)</f>
        <v>75968640</v>
      </c>
      <c r="BQ70" s="851">
        <f t="shared" si="7"/>
        <v>0</v>
      </c>
      <c r="BR70" s="991">
        <f t="shared" si="7"/>
        <v>39982080.000000149</v>
      </c>
      <c r="BS70" s="837"/>
      <c r="BT70" s="837"/>
      <c r="BU70" s="837"/>
      <c r="BV70" s="837"/>
      <c r="BW70" s="837"/>
      <c r="BX70" s="837"/>
      <c r="BY70" s="837"/>
      <c r="BZ70" s="837"/>
      <c r="CA70" s="837"/>
      <c r="CB70" s="837"/>
      <c r="CC70" s="837"/>
      <c r="CD70" s="1057"/>
      <c r="CE70" s="1058"/>
      <c r="CF70" s="1059"/>
      <c r="CG70" s="910"/>
      <c r="CH70" s="1060"/>
      <c r="CI70" s="1060"/>
      <c r="CJ70" s="1060"/>
      <c r="CK70" s="1061" t="s">
        <v>516</v>
      </c>
      <c r="CL70" s="1060">
        <v>81086400</v>
      </c>
      <c r="CM70" s="862" t="s">
        <v>388</v>
      </c>
      <c r="CN70" s="862" t="s">
        <v>388</v>
      </c>
      <c r="CO70" s="843" t="s">
        <v>323</v>
      </c>
      <c r="CP70" s="843"/>
      <c r="CQ70" s="843">
        <f>SUM(CQ68:CQ69)</f>
        <v>115950720.00000015</v>
      </c>
      <c r="CR70" s="862"/>
      <c r="CS70" s="862"/>
      <c r="CT70" s="955"/>
      <c r="CU70" s="843">
        <f>CU69+CU68</f>
        <v>0</v>
      </c>
      <c r="CV70" s="1046">
        <f>CV69+CV68</f>
        <v>60115199.999999896</v>
      </c>
      <c r="CW70" s="955"/>
      <c r="CX70" s="842"/>
    </row>
    <row r="71" spans="1:102" s="1083" customFormat="1" ht="15.65" customHeight="1" x14ac:dyDescent="0.3">
      <c r="A71" s="2295">
        <v>29</v>
      </c>
      <c r="B71" s="2343" t="s">
        <v>554</v>
      </c>
      <c r="C71" s="2343" t="s">
        <v>553</v>
      </c>
      <c r="D71" s="861">
        <v>132</v>
      </c>
      <c r="E71" s="855" t="s">
        <v>326</v>
      </c>
      <c r="F71" s="855">
        <v>38992560</v>
      </c>
      <c r="G71" s="855"/>
      <c r="H71" s="932"/>
      <c r="I71" s="1048">
        <f>1600*(132000/110)</f>
        <v>1920000</v>
      </c>
      <c r="J71" s="933">
        <v>1203.001</v>
      </c>
      <c r="K71" s="933">
        <v>1224.346</v>
      </c>
      <c r="L71" s="878">
        <f>K71-J71</f>
        <v>21.345000000000027</v>
      </c>
      <c r="M71" s="1052"/>
      <c r="N71" s="868">
        <f>L71*I71+P71</f>
        <v>40982400.000000052</v>
      </c>
      <c r="O71" s="1008"/>
      <c r="P71" s="1056">
        <v>0</v>
      </c>
      <c r="Q71" s="933">
        <v>630.94600000000003</v>
      </c>
      <c r="R71" s="933">
        <v>637.51900000000001</v>
      </c>
      <c r="S71" s="878">
        <f>R71-Q71</f>
        <v>6.5729999999999791</v>
      </c>
      <c r="T71" s="861"/>
      <c r="U71" s="861">
        <f>S71*I71+AB72</f>
        <v>12620159.999999959</v>
      </c>
      <c r="V71" s="122">
        <f>N71-M72</f>
        <v>40982400.000000052</v>
      </c>
      <c r="W71" s="868">
        <f>U71</f>
        <v>12620159.999999959</v>
      </c>
      <c r="X71" s="870">
        <v>0.94</v>
      </c>
      <c r="Y71" s="871">
        <f t="shared" si="14"/>
        <v>0</v>
      </c>
      <c r="Z71" s="889">
        <f t="shared" si="5"/>
        <v>0</v>
      </c>
      <c r="AA71" s="121">
        <f t="shared" si="6"/>
        <v>0</v>
      </c>
      <c r="AB71" s="2395" t="s">
        <v>550</v>
      </c>
      <c r="AC71" s="2395"/>
      <c r="AD71" s="1062"/>
      <c r="AE71" s="1063"/>
      <c r="AF71" s="1064"/>
      <c r="AG71" s="1065"/>
      <c r="AH71" s="1066"/>
      <c r="AI71" s="1066"/>
      <c r="AJ71" s="1066"/>
      <c r="AK71" s="1065"/>
      <c r="AL71" s="1066"/>
      <c r="AM71" s="1067"/>
      <c r="AN71" s="1068"/>
      <c r="AO71" s="1068"/>
      <c r="AP71" s="1066"/>
      <c r="AQ71" s="1069"/>
      <c r="AR71" s="1069"/>
      <c r="AS71" s="1069"/>
      <c r="AT71" s="1069"/>
      <c r="AU71" s="1069"/>
      <c r="AV71" s="1070"/>
      <c r="AW71" s="1071"/>
      <c r="AX71" s="1071"/>
      <c r="AY71" s="1072">
        <f>AY70-AA70</f>
        <v>67003528.909999996</v>
      </c>
      <c r="AZ71" s="1072" t="e">
        <f>#REF!-AZ70</f>
        <v>#REF!</v>
      </c>
      <c r="BA71" s="1073"/>
      <c r="BB71" s="1073"/>
      <c r="BC71" s="1073"/>
      <c r="BD71" s="1073"/>
      <c r="BE71" s="1073"/>
      <c r="BF71" s="1073"/>
      <c r="BG71" s="1073"/>
      <c r="BH71" s="1073"/>
      <c r="BI71" s="1071"/>
      <c r="BJ71" s="1071"/>
      <c r="BK71" s="1074">
        <f>BK70</f>
        <v>0.9</v>
      </c>
      <c r="BL71" s="1071">
        <f>BL70</f>
        <v>0.9</v>
      </c>
      <c r="BM71" s="1075">
        <f t="shared" si="34"/>
        <v>0</v>
      </c>
      <c r="BN71" s="1075">
        <f t="shared" si="34"/>
        <v>40982400.000000052</v>
      </c>
      <c r="BO71" s="1076">
        <f>BO67+BO51+BO39+BO31+BO26+BO19</f>
        <v>1598400</v>
      </c>
      <c r="BP71" s="1076">
        <f>BP70+BP67+BP51+BP39+BP31+BP26+BP19</f>
        <v>472432320</v>
      </c>
      <c r="BQ71" s="1077">
        <f t="shared" si="7"/>
        <v>-1598400</v>
      </c>
      <c r="BR71" s="1078">
        <f t="shared" si="7"/>
        <v>-431449919.99999994</v>
      </c>
      <c r="BS71" s="1063"/>
      <c r="BT71" s="1063"/>
      <c r="BU71" s="1063"/>
      <c r="BV71" s="1063"/>
      <c r="BW71" s="1063"/>
      <c r="BX71" s="1063"/>
      <c r="BY71" s="1063"/>
      <c r="BZ71" s="1063"/>
      <c r="CA71" s="1063"/>
      <c r="CB71" s="1063"/>
      <c r="CC71" s="1063"/>
      <c r="CD71" s="1063"/>
      <c r="CE71" s="1079"/>
      <c r="CF71" s="2393" t="s">
        <v>546</v>
      </c>
      <c r="CG71" s="2394"/>
      <c r="CH71" s="2394"/>
      <c r="CI71" s="2394"/>
      <c r="CJ71" s="2394"/>
      <c r="CK71" s="2394"/>
      <c r="CL71" s="2394"/>
      <c r="CM71" s="2368" t="s">
        <v>543</v>
      </c>
      <c r="CN71" s="2368"/>
      <c r="CO71" s="2369"/>
      <c r="CP71" s="1076">
        <f>CP67+CP51+CP41+CP31+CP26+CP19</f>
        <v>199679.99999998484</v>
      </c>
      <c r="CQ71" s="1078" t="e">
        <f>SUM(CQ67,CQ51,CQ39,CQ31,CQ26,CQ19,CQ70)</f>
        <v>#REF!</v>
      </c>
      <c r="CR71" s="2367" t="s">
        <v>542</v>
      </c>
      <c r="CS71" s="2368"/>
      <c r="CT71" s="2369"/>
      <c r="CU71" s="1076">
        <f>SUM(CU70,CU67,CU51,CU39,CU31,CU26,CU19)</f>
        <v>5129280</v>
      </c>
      <c r="CV71" s="1080">
        <f>SUM(CV70,CV67,CV51,CV39,CV31,CV26,CV19)</f>
        <v>266822880.00000045</v>
      </c>
      <c r="CW71" s="1081"/>
      <c r="CX71" s="1082"/>
    </row>
    <row r="72" spans="1:102" ht="14.15" customHeight="1" x14ac:dyDescent="0.25">
      <c r="A72" s="2295"/>
      <c r="B72" s="2343"/>
      <c r="C72" s="2343"/>
      <c r="D72" s="861">
        <v>132</v>
      </c>
      <c r="E72" s="855" t="s">
        <v>326</v>
      </c>
      <c r="F72" s="855" t="s">
        <v>552</v>
      </c>
      <c r="G72" s="855"/>
      <c r="H72" s="932"/>
      <c r="I72" s="1048">
        <f>1600*(132000/110)</f>
        <v>1920000</v>
      </c>
      <c r="J72" s="953">
        <v>0.245</v>
      </c>
      <c r="K72" s="953">
        <v>0.245</v>
      </c>
      <c r="L72" s="878">
        <f>K72-J72</f>
        <v>0</v>
      </c>
      <c r="M72" s="889">
        <f>L72*I72</f>
        <v>0</v>
      </c>
      <c r="N72" s="856"/>
      <c r="O72" s="1084"/>
      <c r="P72" s="861"/>
      <c r="Q72" s="933">
        <v>9.3780000000000001</v>
      </c>
      <c r="R72" s="933">
        <v>9.3879999999999999</v>
      </c>
      <c r="S72" s="878">
        <f>R72-Q72</f>
        <v>9.9999999999997868E-3</v>
      </c>
      <c r="T72" s="861">
        <f>S72*I72</f>
        <v>19199.999999999593</v>
      </c>
      <c r="U72" s="861"/>
      <c r="V72" s="152">
        <f>N72-M73</f>
        <v>0</v>
      </c>
      <c r="W72" s="1085">
        <f>U72-T73</f>
        <v>-15360.000000001719</v>
      </c>
      <c r="X72" s="870"/>
      <c r="Y72" s="871">
        <f t="shared" si="14"/>
        <v>0</v>
      </c>
      <c r="Z72" s="889">
        <f t="shared" si="5"/>
        <v>0</v>
      </c>
      <c r="AA72" s="121">
        <f t="shared" si="6"/>
        <v>0</v>
      </c>
      <c r="AB72" s="1083"/>
      <c r="AC72" s="1086"/>
      <c r="AD72" s="899"/>
      <c r="AE72" s="837"/>
      <c r="AF72" s="1087"/>
      <c r="AG72" s="892" t="s">
        <v>545</v>
      </c>
      <c r="AH72" s="874" t="e">
        <f>#REF!</f>
        <v>#REF!</v>
      </c>
      <c r="AI72" s="874" t="e">
        <f>SUM(AI7:AI71)</f>
        <v>#REF!</v>
      </c>
      <c r="AJ72" s="874">
        <f>SUM(AJ7:AJ71)</f>
        <v>1832994.3340800079</v>
      </c>
      <c r="AK72" s="874"/>
      <c r="AL72" s="874"/>
      <c r="AM72" s="894">
        <f>SUM(AM7:AM71)</f>
        <v>9054499</v>
      </c>
      <c r="AN72" s="889">
        <f>SUM(AN7:AN71)</f>
        <v>53222345.122000009</v>
      </c>
      <c r="AO72" s="889" t="e">
        <f>AM72-AI72</f>
        <v>#REF!</v>
      </c>
      <c r="AP72" s="874">
        <f>SUM(AP7:AP71)</f>
        <v>51389350.787919998</v>
      </c>
      <c r="AQ72" s="898">
        <f>AN72-AJ72-AP72</f>
        <v>0</v>
      </c>
      <c r="AR72" s="898"/>
      <c r="AS72" s="898"/>
      <c r="AT72" s="898"/>
      <c r="AU72" s="898"/>
      <c r="AV72" s="898"/>
      <c r="AW72" s="966">
        <f>AW19+AW26+AW31+AW39+AW51+AW56+AW67</f>
        <v>286934.40000000119</v>
      </c>
      <c r="AY72" s="982"/>
      <c r="AZ72" s="982"/>
      <c r="BI72" s="877"/>
      <c r="BJ72" s="877"/>
      <c r="BK72" s="823">
        <f>BK71</f>
        <v>0.9</v>
      </c>
      <c r="BL72" s="839">
        <f>BL71</f>
        <v>0.9</v>
      </c>
      <c r="BM72" s="860"/>
      <c r="BN72" s="860">
        <f>N72</f>
        <v>0</v>
      </c>
      <c r="BO72" s="861"/>
      <c r="BP72" s="861">
        <f>BP71-BO71</f>
        <v>470833920</v>
      </c>
      <c r="BQ72" s="843">
        <f t="shared" si="7"/>
        <v>0</v>
      </c>
      <c r="BR72" s="890">
        <f t="shared" si="7"/>
        <v>-470833920</v>
      </c>
      <c r="BS72" s="828"/>
      <c r="BT72" s="828"/>
      <c r="BU72" s="828"/>
      <c r="BV72" s="828"/>
      <c r="BW72" s="828"/>
      <c r="BX72" s="828"/>
      <c r="BY72" s="828"/>
      <c r="BZ72" s="828"/>
      <c r="CA72" s="828"/>
      <c r="CB72" s="828"/>
      <c r="CC72" s="828"/>
      <c r="CD72" s="828"/>
      <c r="CE72" s="1088"/>
      <c r="CF72" s="2280" t="s">
        <v>544</v>
      </c>
      <c r="CG72" s="2283"/>
      <c r="CH72" s="2283"/>
      <c r="CI72" s="2283"/>
      <c r="CJ72" s="2283"/>
      <c r="CK72" s="2283"/>
      <c r="CL72" s="2283"/>
      <c r="CM72" s="2311" t="s">
        <v>543</v>
      </c>
      <c r="CN72" s="2311"/>
      <c r="CO72" s="2311"/>
      <c r="CP72" s="1089"/>
      <c r="CQ72" s="1090" t="e">
        <f>CQ71-CP71</f>
        <v>#REF!</v>
      </c>
      <c r="CR72" s="2311" t="s">
        <v>542</v>
      </c>
      <c r="CS72" s="2311"/>
      <c r="CT72" s="2311"/>
      <c r="CU72" s="1091"/>
      <c r="CV72" s="1092">
        <f>(CV71-CU71)</f>
        <v>261693600.00000045</v>
      </c>
      <c r="CW72" s="1093" t="e">
        <f>COS(ATAN(CV72/CQ72))</f>
        <v>#REF!</v>
      </c>
      <c r="CX72" s="879"/>
    </row>
    <row r="73" spans="1:102" ht="22.5" customHeight="1" x14ac:dyDescent="0.25">
      <c r="A73" s="2295">
        <v>30</v>
      </c>
      <c r="B73" s="2343" t="s">
        <v>551</v>
      </c>
      <c r="C73" s="2343"/>
      <c r="D73" s="861">
        <v>132</v>
      </c>
      <c r="E73" s="855" t="s">
        <v>339</v>
      </c>
      <c r="F73" s="855">
        <v>38992559</v>
      </c>
      <c r="G73" s="855"/>
      <c r="H73" s="932"/>
      <c r="I73" s="1048">
        <v>1920000</v>
      </c>
      <c r="J73" s="953">
        <v>0.216</v>
      </c>
      <c r="K73" s="953">
        <v>0.216</v>
      </c>
      <c r="L73" s="878">
        <f>K73-J73</f>
        <v>0</v>
      </c>
      <c r="M73" s="861">
        <f>L73*I73</f>
        <v>0</v>
      </c>
      <c r="N73" s="868"/>
      <c r="O73" s="1008"/>
      <c r="P73" s="861"/>
      <c r="Q73" s="933">
        <v>9.6449999999999996</v>
      </c>
      <c r="R73" s="933">
        <v>9.6530000000000005</v>
      </c>
      <c r="S73" s="878">
        <f>R73-Q73</f>
        <v>8.0000000000008953E-3</v>
      </c>
      <c r="T73" s="861">
        <f>S73*I73</f>
        <v>15360.000000001719</v>
      </c>
      <c r="U73" s="861"/>
      <c r="V73" s="152"/>
      <c r="W73" s="1085"/>
      <c r="X73" s="870"/>
      <c r="Y73" s="870"/>
      <c r="Z73" s="1086"/>
      <c r="AA73" s="121">
        <f t="shared" si="6"/>
        <v>0</v>
      </c>
      <c r="AB73" s="1086"/>
      <c r="AC73" s="1086"/>
      <c r="AD73" s="828"/>
      <c r="AE73" s="828"/>
      <c r="AG73" s="1094"/>
      <c r="AH73" s="1095"/>
      <c r="AI73" s="1095"/>
      <c r="AJ73" s="1095"/>
      <c r="AK73" s="1096"/>
      <c r="AL73" s="1096"/>
      <c r="AM73" s="1096"/>
      <c r="AN73" s="1096"/>
      <c r="AO73" s="1096"/>
      <c r="AP73" s="1096"/>
      <c r="AQ73" s="898"/>
      <c r="AR73" s="898"/>
      <c r="AS73" s="898"/>
      <c r="AT73" s="898"/>
      <c r="AU73" s="898"/>
      <c r="AV73" s="899"/>
      <c r="AY73" s="982"/>
      <c r="AZ73" s="982"/>
      <c r="BI73" s="877"/>
      <c r="BJ73" s="877"/>
      <c r="BK73" s="877"/>
      <c r="BL73" s="877"/>
      <c r="BM73" s="1097"/>
      <c r="BN73" s="1097"/>
      <c r="BO73" s="828"/>
      <c r="BP73" s="828"/>
      <c r="BQ73" s="828"/>
      <c r="BR73" s="828"/>
      <c r="BS73" s="828"/>
      <c r="BT73" s="828"/>
      <c r="BU73" s="828"/>
      <c r="BV73" s="828"/>
      <c r="BW73" s="828"/>
      <c r="BX73" s="828"/>
      <c r="BY73" s="828"/>
      <c r="BZ73" s="828"/>
      <c r="CA73" s="828"/>
      <c r="CB73" s="828"/>
      <c r="CC73" s="828"/>
      <c r="CD73" s="828"/>
      <c r="CE73" s="1088"/>
      <c r="CF73" s="2392" t="s">
        <v>540</v>
      </c>
      <c r="CG73" s="2392"/>
      <c r="CH73" s="2392"/>
      <c r="CI73" s="2392"/>
      <c r="CJ73" s="2392"/>
      <c r="CK73" s="2392"/>
      <c r="CL73" s="2392"/>
      <c r="CM73" s="2278"/>
      <c r="CN73" s="2279"/>
      <c r="CO73" s="2279"/>
      <c r="CP73" s="2279"/>
      <c r="CQ73" s="2279"/>
      <c r="CR73" s="2279"/>
      <c r="CS73" s="2279"/>
      <c r="CT73" s="2279"/>
      <c r="CU73" s="2279"/>
      <c r="CV73" s="2279"/>
      <c r="CW73" s="1098" t="e">
        <f>CW72</f>
        <v>#REF!</v>
      </c>
      <c r="CX73" s="879"/>
    </row>
    <row r="74" spans="1:102" ht="15" customHeight="1" x14ac:dyDescent="0.25">
      <c r="A74" s="2295"/>
      <c r="B74" s="2343"/>
      <c r="C74" s="2343"/>
      <c r="D74" s="861">
        <v>132</v>
      </c>
      <c r="E74" s="855" t="s">
        <v>326</v>
      </c>
      <c r="F74" s="855">
        <v>38992559</v>
      </c>
      <c r="G74" s="855"/>
      <c r="H74" s="932"/>
      <c r="I74" s="1048">
        <f>1600*(132000/110)</f>
        <v>1920000</v>
      </c>
      <c r="J74" s="933">
        <v>1294.9079999999999</v>
      </c>
      <c r="K74" s="933">
        <v>1316.1410000000001</v>
      </c>
      <c r="L74" s="878">
        <f>K74-J74</f>
        <v>21.233000000000175</v>
      </c>
      <c r="M74" s="1052"/>
      <c r="N74" s="868">
        <f>L74*I74</f>
        <v>40767360.000000335</v>
      </c>
      <c r="O74" s="1008"/>
      <c r="P74" s="861"/>
      <c r="Q74" s="933">
        <v>670.49599999999998</v>
      </c>
      <c r="R74" s="933">
        <v>677.09799999999996</v>
      </c>
      <c r="S74" s="878">
        <f>R74-Q74</f>
        <v>6.6019999999999754</v>
      </c>
      <c r="T74" s="861"/>
      <c r="U74" s="861">
        <f>S74*I74</f>
        <v>12675839.999999953</v>
      </c>
      <c r="V74" s="122">
        <f>N74-M73</f>
        <v>40767360.000000335</v>
      </c>
      <c r="W74" s="868">
        <f>U74</f>
        <v>12675839.999999953</v>
      </c>
      <c r="X74" s="870">
        <v>0.94</v>
      </c>
      <c r="Y74" s="871">
        <f t="shared" si="14"/>
        <v>0</v>
      </c>
      <c r="Z74" s="889">
        <f t="shared" si="5"/>
        <v>0</v>
      </c>
      <c r="AA74" s="121">
        <f t="shared" si="6"/>
        <v>0</v>
      </c>
      <c r="AB74" s="2395" t="s">
        <v>550</v>
      </c>
      <c r="AC74" s="2395"/>
      <c r="AD74" s="1062"/>
      <c r="AE74" s="828"/>
      <c r="AF74" s="1094"/>
      <c r="AG74" s="1094"/>
      <c r="AH74" s="1094"/>
      <c r="AI74" s="1094"/>
      <c r="AJ74" s="1094"/>
      <c r="AK74" s="1096"/>
      <c r="AL74" s="1096"/>
      <c r="AM74" s="1096"/>
      <c r="AN74" s="1096"/>
      <c r="AO74" s="1096"/>
      <c r="AP74" s="1096"/>
      <c r="AQ74" s="898"/>
      <c r="AR74" s="898"/>
      <c r="AS74" s="898"/>
      <c r="AT74" s="898"/>
      <c r="AU74" s="898"/>
      <c r="AV74" s="899"/>
      <c r="AW74" s="828"/>
      <c r="AX74" s="828"/>
      <c r="AY74" s="982"/>
      <c r="AZ74" s="982"/>
      <c r="BI74" s="877"/>
      <c r="BJ74" s="877"/>
      <c r="BK74" s="877"/>
      <c r="BL74" s="877"/>
      <c r="BM74" s="1097"/>
      <c r="BN74" s="1097"/>
      <c r="BO74" s="828"/>
      <c r="BP74" s="828"/>
      <c r="BQ74" s="828"/>
      <c r="BR74" s="828"/>
      <c r="BS74" s="828"/>
      <c r="BT74" s="828"/>
      <c r="BU74" s="828"/>
      <c r="BV74" s="828"/>
      <c r="BW74" s="828"/>
      <c r="BX74" s="828"/>
      <c r="BY74" s="828"/>
      <c r="BZ74" s="828"/>
      <c r="CA74" s="828"/>
      <c r="CB74" s="828"/>
      <c r="CC74" s="828"/>
      <c r="CD74" s="828"/>
      <c r="CE74" s="829"/>
      <c r="CF74" s="828"/>
      <c r="CG74" s="828"/>
      <c r="CH74" s="830"/>
      <c r="CI74" s="830"/>
      <c r="CJ74" s="830"/>
      <c r="CK74" s="830"/>
      <c r="CL74" s="830"/>
      <c r="CM74" s="830"/>
      <c r="CN74" s="1099"/>
      <c r="CO74" s="1100"/>
      <c r="CP74" s="1101"/>
      <c r="CQ74" s="1102"/>
      <c r="CU74" s="966"/>
      <c r="CV74" s="828"/>
      <c r="CW74" s="877"/>
    </row>
    <row r="75" spans="1:102" s="992" customFormat="1" ht="14" x14ac:dyDescent="0.3">
      <c r="A75" s="843"/>
      <c r="B75" s="852"/>
      <c r="C75" s="843"/>
      <c r="D75" s="843"/>
      <c r="E75" s="853"/>
      <c r="F75" s="853"/>
      <c r="G75" s="853"/>
      <c r="H75" s="854" t="s">
        <v>516</v>
      </c>
      <c r="I75" s="853">
        <v>81086400</v>
      </c>
      <c r="J75" s="862" t="s">
        <v>388</v>
      </c>
      <c r="K75" s="862" t="s">
        <v>388</v>
      </c>
      <c r="L75" s="843" t="s">
        <v>323</v>
      </c>
      <c r="M75" s="991">
        <f>SUM(M71:M74)</f>
        <v>0</v>
      </c>
      <c r="N75" s="856">
        <f>SUM(N71:N74)</f>
        <v>81749760.000000387</v>
      </c>
      <c r="O75" s="954">
        <f>N75-M75</f>
        <v>81749760.000000387</v>
      </c>
      <c r="P75" s="861"/>
      <c r="Q75" s="933"/>
      <c r="R75" s="933" t="s">
        <v>237</v>
      </c>
      <c r="S75" s="1103">
        <f>U75-T75</f>
        <v>25261439.999999911</v>
      </c>
      <c r="T75" s="843">
        <f>T71+T72+T73+T74</f>
        <v>34560.00000000131</v>
      </c>
      <c r="U75" s="991">
        <f>SUM(U71:U74)</f>
        <v>25295999.999999911</v>
      </c>
      <c r="V75" s="116"/>
      <c r="W75" s="954">
        <f>S75</f>
        <v>25261439.999999911</v>
      </c>
      <c r="X75" s="1020"/>
      <c r="Y75" s="1020"/>
      <c r="Z75" s="1103"/>
      <c r="AA75" s="113">
        <f>AA69+AA68+AA62+AA60+AA54+AA52+AA49+AA44+AA42+AA37+AA36+AA29+AA27+AA20+AA15+AA11+AA7+AA71+AA72+AA74</f>
        <v>1832994.3340800079</v>
      </c>
      <c r="AB75" s="991"/>
      <c r="AC75" s="997"/>
      <c r="AD75" s="837"/>
      <c r="AE75" s="837"/>
      <c r="AF75" s="1102"/>
      <c r="AG75" s="1104" t="s">
        <v>549</v>
      </c>
      <c r="AH75" s="1102"/>
      <c r="AI75" s="1102"/>
      <c r="AJ75" s="1105">
        <v>70628063.569999993</v>
      </c>
      <c r="AK75" s="1106"/>
      <c r="AL75" s="1106"/>
      <c r="AM75" s="1106"/>
      <c r="AN75" s="1106"/>
      <c r="AO75" s="1106"/>
      <c r="AP75" s="1106"/>
      <c r="AQ75" s="966"/>
      <c r="AR75" s="966"/>
      <c r="AS75" s="966"/>
      <c r="AT75" s="966"/>
      <c r="AU75" s="966"/>
      <c r="AV75" s="999"/>
      <c r="AW75" s="837"/>
      <c r="AX75" s="837">
        <v>2019622.175999999</v>
      </c>
      <c r="AY75" s="1000">
        <f>+AA70+AX75</f>
        <v>2019622.175999999</v>
      </c>
      <c r="AZ75" s="1000"/>
      <c r="BA75" s="1001"/>
      <c r="BB75" s="1001"/>
      <c r="BC75" s="1001"/>
      <c r="BD75" s="1001"/>
      <c r="BE75" s="1001"/>
      <c r="BF75" s="1001"/>
      <c r="BG75" s="1001"/>
      <c r="BH75" s="1001"/>
      <c r="BI75" s="837"/>
      <c r="BJ75" s="837"/>
      <c r="BK75" s="839"/>
      <c r="BL75" s="839"/>
      <c r="BM75" s="840"/>
      <c r="BN75" s="840"/>
      <c r="BO75" s="837"/>
      <c r="BP75" s="837"/>
      <c r="BQ75" s="837"/>
      <c r="BR75" s="837"/>
      <c r="BS75" s="837"/>
      <c r="BT75" s="837"/>
      <c r="BU75" s="837"/>
      <c r="BV75" s="837"/>
      <c r="BW75" s="837"/>
      <c r="BX75" s="837"/>
      <c r="BY75" s="837"/>
      <c r="BZ75" s="837"/>
      <c r="CA75" s="837"/>
      <c r="CB75" s="837"/>
      <c r="CC75" s="837"/>
      <c r="CD75" s="837"/>
      <c r="CE75" s="1107"/>
      <c r="CF75" s="837"/>
      <c r="CG75" s="837"/>
      <c r="CH75" s="1108"/>
      <c r="CI75" s="1108"/>
      <c r="CJ75" s="1108"/>
      <c r="CK75" s="1108"/>
      <c r="CL75" s="1108"/>
      <c r="CM75" s="1108"/>
      <c r="CN75" s="836"/>
      <c r="CO75" s="1102"/>
      <c r="CP75" s="1102"/>
      <c r="CQ75" s="1102"/>
      <c r="CR75" s="1102"/>
      <c r="CS75" s="1102"/>
      <c r="CT75" s="1102"/>
      <c r="CU75" s="1102"/>
      <c r="CV75" s="1102"/>
      <c r="CW75" s="839"/>
    </row>
    <row r="76" spans="1:102" s="1083" customFormat="1" ht="15.65" customHeight="1" x14ac:dyDescent="0.3">
      <c r="A76" s="2295">
        <v>31</v>
      </c>
      <c r="B76" s="2343" t="s">
        <v>548</v>
      </c>
      <c r="C76" s="2343" t="s">
        <v>547</v>
      </c>
      <c r="D76" s="861">
        <v>132</v>
      </c>
      <c r="E76" s="855" t="s">
        <v>326</v>
      </c>
      <c r="F76" s="2359">
        <v>38992596</v>
      </c>
      <c r="G76" s="855"/>
      <c r="H76" s="932"/>
      <c r="I76" s="1048">
        <v>1440000</v>
      </c>
      <c r="J76" s="933">
        <v>617.57600000000002</v>
      </c>
      <c r="K76" s="933">
        <v>647.86099999999999</v>
      </c>
      <c r="L76" s="878">
        <f>K76-J76</f>
        <v>30.284999999999968</v>
      </c>
      <c r="M76" s="1052"/>
      <c r="N76" s="868">
        <f>L76*I76</f>
        <v>43610399.999999955</v>
      </c>
      <c r="O76" s="1109"/>
      <c r="P76" s="861"/>
      <c r="Q76" s="933">
        <v>142.505</v>
      </c>
      <c r="R76" s="933">
        <v>148.86099999999999</v>
      </c>
      <c r="S76" s="878">
        <f>R76-Q76</f>
        <v>6.3559999999999945</v>
      </c>
      <c r="T76" s="861"/>
      <c r="U76" s="861">
        <f>S76*I76</f>
        <v>9152639.9999999925</v>
      </c>
      <c r="V76" s="122">
        <f>N76-M77</f>
        <v>43610399.999999955</v>
      </c>
      <c r="W76" s="868">
        <f>U76-T77</f>
        <v>9152639.9999999925</v>
      </c>
      <c r="X76" s="870">
        <f>ROUND(IF(W76&lt;0.00001,"0",COS(ATAN(W76/V76))),2)</f>
        <v>0.98</v>
      </c>
      <c r="Y76" s="871">
        <f>IF(AND(X76&gt;=0.885,X76&lt;0.9),1*0.005,IF(AND(X76&gt;=0.875,X76&lt;0.89),1*0.01,IF(AND(X76&gt;=0.865,X76&lt;0.88),1*0.02,IF(AND(X76&gt;=0.855,X76&lt;0.87),1*0.03,IF(AND(X76&gt;=0.845,X76&lt;0.86),1*0.04,IF(AND(X76&gt;=0.835,X76&lt;0.85),1*0.05,IF(AND(X76&gt;=0.825,X76&lt;0.84),1*0.06,IF(AND(X76&gt;=0.815,X76&lt;0.83),1*0.07,IF(AND(X76&gt;=0.805,X76&lt;0.82),1*0.08,IF(AND(X76&gt;=0.795,X76&lt;0.81),1*0.09,IF(AND(X76&gt;=0.785,X76&lt;0.8),1*0.105,IF(AND(X76&gt;=0.775,X76&lt;0.79),1*0.12,IF(AND(X76&gt;=0.765,X76&lt;0.78),1*0.135,IF(AND(X76&gt;=0.755,X76&lt;0.77),1*0.15,IF(AND(X76&gt;=0.3,X76&lt;0.76),1*0.165,0)))))))))))))))</f>
        <v>0</v>
      </c>
      <c r="Z76" s="889">
        <f>Y76*V76</f>
        <v>0</v>
      </c>
      <c r="AA76" s="121">
        <f>Z76*6.3882</f>
        <v>0</v>
      </c>
      <c r="AB76" s="890"/>
      <c r="AC76" s="879"/>
      <c r="AD76" s="1071"/>
      <c r="AE76" s="1063"/>
      <c r="AF76" s="1064"/>
      <c r="AG76" s="1065"/>
      <c r="AH76" s="1066"/>
      <c r="AI76" s="1066"/>
      <c r="AJ76" s="1066"/>
      <c r="AK76" s="1065"/>
      <c r="AL76" s="1066"/>
      <c r="AM76" s="1067"/>
      <c r="AN76" s="1068"/>
      <c r="AO76" s="1068"/>
      <c r="AP76" s="1066"/>
      <c r="AQ76" s="1069"/>
      <c r="AR76" s="1069"/>
      <c r="AS76" s="1069"/>
      <c r="AT76" s="1069"/>
      <c r="AU76" s="1069"/>
      <c r="AV76" s="1070"/>
      <c r="AW76" s="1071"/>
      <c r="AX76" s="1071"/>
      <c r="AY76" s="1072">
        <f>AY75-AA75</f>
        <v>186627.84191999119</v>
      </c>
      <c r="AZ76" s="1072" t="e">
        <f>#REF!-AZ75</f>
        <v>#REF!</v>
      </c>
      <c r="BA76" s="1073"/>
      <c r="BB76" s="1073"/>
      <c r="BC76" s="1073"/>
      <c r="BD76" s="1073"/>
      <c r="BE76" s="1073"/>
      <c r="BF76" s="1073"/>
      <c r="BG76" s="1073"/>
      <c r="BH76" s="1073"/>
      <c r="BI76" s="1071"/>
      <c r="BJ76" s="1071"/>
      <c r="BK76" s="1074">
        <f>BK75</f>
        <v>0</v>
      </c>
      <c r="BL76" s="1071">
        <f>BL75</f>
        <v>0</v>
      </c>
      <c r="BM76" s="1075">
        <f>M76</f>
        <v>0</v>
      </c>
      <c r="BN76" s="1075">
        <f>N76</f>
        <v>43610399.999999955</v>
      </c>
      <c r="BO76" s="1076">
        <f>BO72+BO56+BO45+BO36+BO31+BO24</f>
        <v>0</v>
      </c>
      <c r="BP76" s="1076">
        <f>BP75+BP72+BP56+BP45+BP36+BP31+BP24</f>
        <v>560362560</v>
      </c>
      <c r="BQ76" s="1077">
        <f>BM76-BO76</f>
        <v>0</v>
      </c>
      <c r="BR76" s="1078">
        <f>BN76-BP76</f>
        <v>-516752160.00000006</v>
      </c>
      <c r="BS76" s="1063"/>
      <c r="BT76" s="1063"/>
      <c r="BU76" s="1063"/>
      <c r="BV76" s="1063"/>
      <c r="BW76" s="1063"/>
      <c r="BX76" s="1063"/>
      <c r="BY76" s="1063"/>
      <c r="BZ76" s="1063"/>
      <c r="CA76" s="1063"/>
      <c r="CB76" s="1063"/>
      <c r="CC76" s="1063"/>
      <c r="CD76" s="1063"/>
      <c r="CE76" s="1079"/>
      <c r="CF76" s="2393" t="s">
        <v>546</v>
      </c>
      <c r="CG76" s="2394"/>
      <c r="CH76" s="2394"/>
      <c r="CI76" s="2394"/>
      <c r="CJ76" s="2394"/>
      <c r="CK76" s="2394"/>
      <c r="CL76" s="2394"/>
      <c r="CM76" s="2368" t="s">
        <v>543</v>
      </c>
      <c r="CN76" s="2368"/>
      <c r="CO76" s="2369"/>
      <c r="CP76" s="1076" t="e">
        <f>CP72+CP56+CP46+CP36+CP31+CP24</f>
        <v>#VALUE!</v>
      </c>
      <c r="CQ76" s="1078" t="e">
        <f>SUM(CQ72,CQ56,CQ45,CQ36,CQ31,CQ24,CQ75)</f>
        <v>#REF!</v>
      </c>
      <c r="CR76" s="2367" t="s">
        <v>542</v>
      </c>
      <c r="CS76" s="2368"/>
      <c r="CT76" s="2369"/>
      <c r="CU76" s="1076">
        <f>SUM(CU75,CU72,CU56,CU45,CU36,CU31,CU24)</f>
        <v>2879.9999999996826</v>
      </c>
      <c r="CV76" s="1080">
        <f>SUM(CV75,CV72,CV56,CV45,CV36,CV31,CV24)</f>
        <v>287399520.0000006</v>
      </c>
      <c r="CW76" s="1081"/>
      <c r="CX76" s="1082"/>
    </row>
    <row r="77" spans="1:102" ht="14.15" customHeight="1" x14ac:dyDescent="0.25">
      <c r="A77" s="2295"/>
      <c r="B77" s="2343"/>
      <c r="C77" s="2343"/>
      <c r="D77" s="861">
        <v>132</v>
      </c>
      <c r="E77" s="855" t="s">
        <v>339</v>
      </c>
      <c r="F77" s="2359"/>
      <c r="G77" s="855"/>
      <c r="H77" s="932"/>
      <c r="I77" s="1048">
        <v>1440000</v>
      </c>
      <c r="J77" s="953">
        <v>2.1000000000000001E-2</v>
      </c>
      <c r="K77" s="953">
        <v>2.1000000000000001E-2</v>
      </c>
      <c r="L77" s="878">
        <f>K77-J77</f>
        <v>0</v>
      </c>
      <c r="M77" s="889">
        <f>L77*I77</f>
        <v>0</v>
      </c>
      <c r="N77" s="868"/>
      <c r="O77" s="1109"/>
      <c r="P77" s="861"/>
      <c r="Q77" s="933">
        <v>0.20499999999999999</v>
      </c>
      <c r="R77" s="933">
        <v>0.20499999999999999</v>
      </c>
      <c r="S77" s="878">
        <f t="shared" ref="S77:S82" si="42">R77-Q77</f>
        <v>0</v>
      </c>
      <c r="T77" s="861">
        <f>S77*I77</f>
        <v>0</v>
      </c>
      <c r="U77" s="861"/>
      <c r="V77" s="152"/>
      <c r="W77" s="1085"/>
      <c r="X77" s="870"/>
      <c r="Y77" s="871"/>
      <c r="Z77" s="889"/>
      <c r="AA77" s="121"/>
      <c r="AB77" s="1086"/>
      <c r="AC77" s="1086"/>
      <c r="AD77" s="899"/>
      <c r="AE77" s="837"/>
      <c r="AF77" s="1087"/>
      <c r="AG77" s="892" t="s">
        <v>545</v>
      </c>
      <c r="AH77" s="874" t="e">
        <f>#REF!</f>
        <v>#REF!</v>
      </c>
      <c r="AI77" s="874" t="e">
        <f>SUM(AI12:AI76)</f>
        <v>#REF!</v>
      </c>
      <c r="AJ77" s="874">
        <f>SUM(AJ12:AJ76)</f>
        <v>74294052.238160014</v>
      </c>
      <c r="AK77" s="874"/>
      <c r="AL77" s="874"/>
      <c r="AM77" s="894">
        <f>SUM(AM12:AM76)</f>
        <v>13457050</v>
      </c>
      <c r="AN77" s="889">
        <f>SUM(AN12:AN76)</f>
        <v>79100539.900000006</v>
      </c>
      <c r="AO77" s="889" t="e">
        <f>AM77-AI77</f>
        <v>#REF!</v>
      </c>
      <c r="AP77" s="874">
        <f>SUM(AP12:AP76)</f>
        <v>75434551.231839985</v>
      </c>
      <c r="AQ77" s="898">
        <f>AN77-AJ77-AP77</f>
        <v>-70628063.569999993</v>
      </c>
      <c r="AR77" s="898"/>
      <c r="AS77" s="898"/>
      <c r="AT77" s="898"/>
      <c r="AU77" s="898"/>
      <c r="AV77" s="898"/>
      <c r="AW77" s="966">
        <f>AW24+AW31+AW36+AW45+AW56+AW61+AW72</f>
        <v>6423453.540000001</v>
      </c>
      <c r="AY77" s="982"/>
      <c r="AZ77" s="982"/>
      <c r="BI77" s="877"/>
      <c r="BJ77" s="877"/>
      <c r="BK77" s="823">
        <f>BK76</f>
        <v>0</v>
      </c>
      <c r="BL77" s="839">
        <f>BL76</f>
        <v>0</v>
      </c>
      <c r="BM77" s="860"/>
      <c r="BN77" s="860">
        <f>N77</f>
        <v>0</v>
      </c>
      <c r="BO77" s="861"/>
      <c r="BP77" s="861">
        <f>BP76-BO76</f>
        <v>560362560</v>
      </c>
      <c r="BQ77" s="843">
        <f>BM77-BO77</f>
        <v>0</v>
      </c>
      <c r="BR77" s="890">
        <f>BN77-BP77</f>
        <v>-560362560</v>
      </c>
      <c r="BS77" s="828"/>
      <c r="BT77" s="828"/>
      <c r="BU77" s="828"/>
      <c r="BV77" s="828"/>
      <c r="BW77" s="828"/>
      <c r="BX77" s="828"/>
      <c r="BY77" s="828"/>
      <c r="BZ77" s="828"/>
      <c r="CA77" s="828"/>
      <c r="CB77" s="828"/>
      <c r="CC77" s="828"/>
      <c r="CD77" s="828"/>
      <c r="CE77" s="1088"/>
      <c r="CF77" s="2280" t="s">
        <v>544</v>
      </c>
      <c r="CG77" s="2283"/>
      <c r="CH77" s="2283"/>
      <c r="CI77" s="2283"/>
      <c r="CJ77" s="2283"/>
      <c r="CK77" s="2283"/>
      <c r="CL77" s="2283"/>
      <c r="CM77" s="2311" t="s">
        <v>543</v>
      </c>
      <c r="CN77" s="2311"/>
      <c r="CO77" s="2311"/>
      <c r="CP77" s="1089"/>
      <c r="CQ77" s="1090" t="e">
        <f>CQ76-CP76</f>
        <v>#REF!</v>
      </c>
      <c r="CR77" s="2311" t="s">
        <v>542</v>
      </c>
      <c r="CS77" s="2311"/>
      <c r="CT77" s="2311"/>
      <c r="CU77" s="1091"/>
      <c r="CV77" s="1092">
        <f>(CV76-CU76)</f>
        <v>287396640.0000006</v>
      </c>
      <c r="CW77" s="1093" t="e">
        <f>COS(ATAN(CV77/CQ77))</f>
        <v>#REF!</v>
      </c>
      <c r="CX77" s="879"/>
    </row>
    <row r="78" spans="1:102" ht="22.5" customHeight="1" x14ac:dyDescent="0.25">
      <c r="A78" s="2295">
        <v>32</v>
      </c>
      <c r="B78" s="2343" t="s">
        <v>541</v>
      </c>
      <c r="C78" s="2343"/>
      <c r="D78" s="861">
        <v>132</v>
      </c>
      <c r="E78" s="855" t="s">
        <v>326</v>
      </c>
      <c r="F78" s="2359">
        <v>38992597</v>
      </c>
      <c r="G78" s="855"/>
      <c r="H78" s="932"/>
      <c r="I78" s="1048">
        <v>1440000</v>
      </c>
      <c r="J78" s="933">
        <v>407.98099999999999</v>
      </c>
      <c r="K78" s="933">
        <v>425.79399999999998</v>
      </c>
      <c r="L78" s="878">
        <f>K78-J78</f>
        <v>17.812999999999988</v>
      </c>
      <c r="M78" s="861"/>
      <c r="N78" s="868">
        <f>L78*I78+P78</f>
        <v>25650719.999999981</v>
      </c>
      <c r="O78" s="1109"/>
      <c r="P78" s="861"/>
      <c r="Q78" s="933">
        <v>176.506</v>
      </c>
      <c r="R78" s="933">
        <v>180.67699999999999</v>
      </c>
      <c r="S78" s="878">
        <f t="shared" si="42"/>
        <v>4.1709999999999923</v>
      </c>
      <c r="T78" s="861"/>
      <c r="U78" s="861">
        <f>S78*I78+AB78</f>
        <v>6006239.9999999888</v>
      </c>
      <c r="V78" s="152">
        <f>N78-M79</f>
        <v>25650719.999999981</v>
      </c>
      <c r="W78" s="1085">
        <f>U78-T79</f>
        <v>6004799.9999999888</v>
      </c>
      <c r="X78" s="870">
        <f>ROUND(IF(W78&lt;0.00001,"0",COS(ATAN(W78/V78))),2)</f>
        <v>0.97</v>
      </c>
      <c r="Y78" s="871">
        <f>IF(AND(X78&gt;=0.885,X78&lt;0.9),1*0.005,IF(AND(X78&gt;=0.875,X78&lt;0.89),1*0.01,IF(AND(X78&gt;=0.865,X78&lt;0.88),1*0.02,IF(AND(X78&gt;=0.855,X78&lt;0.87),1*0.03,IF(AND(X78&gt;=0.845,X78&lt;0.86),1*0.04,IF(AND(X78&gt;=0.835,X78&lt;0.85),1*0.05,IF(AND(X78&gt;=0.825,X78&lt;0.84),1*0.06,IF(AND(X78&gt;=0.815,X78&lt;0.83),1*0.07,IF(AND(X78&gt;=0.805,X78&lt;0.82),1*0.08,IF(AND(X78&gt;=0.795,X78&lt;0.81),1*0.09,IF(AND(X78&gt;=0.785,X78&lt;0.8),1*0.105,IF(AND(X78&gt;=0.775,X78&lt;0.79),1*0.12,IF(AND(X78&gt;=0.765,X78&lt;0.78),1*0.135,IF(AND(X78&gt;=0.755,X78&lt;0.77),1*0.15,IF(AND(X78&gt;=0.3,X78&lt;0.76),1*0.165,0)))))))))))))))</f>
        <v>0</v>
      </c>
      <c r="Z78" s="889">
        <f>Y78*V78</f>
        <v>0</v>
      </c>
      <c r="AA78" s="121">
        <f>Z78*6.3882</f>
        <v>0</v>
      </c>
      <c r="AB78" s="1086"/>
      <c r="AC78" s="1086"/>
      <c r="AD78" s="828"/>
      <c r="AE78" s="828"/>
      <c r="AG78" s="1094"/>
      <c r="AH78" s="1095"/>
      <c r="AI78" s="1095"/>
      <c r="AJ78" s="1095"/>
      <c r="AK78" s="1096"/>
      <c r="AL78" s="1096"/>
      <c r="AM78" s="1096"/>
      <c r="AN78" s="1096"/>
      <c r="AO78" s="1096"/>
      <c r="AP78" s="1096"/>
      <c r="AQ78" s="898"/>
      <c r="AR78" s="898"/>
      <c r="AS78" s="898"/>
      <c r="AT78" s="898"/>
      <c r="AU78" s="898"/>
      <c r="AV78" s="899"/>
      <c r="AY78" s="982"/>
      <c r="AZ78" s="982"/>
      <c r="BI78" s="877"/>
      <c r="BJ78" s="877"/>
      <c r="BK78" s="877"/>
      <c r="BL78" s="877"/>
      <c r="BM78" s="1097"/>
      <c r="BN78" s="1097"/>
      <c r="BO78" s="828"/>
      <c r="BP78" s="828"/>
      <c r="BQ78" s="828"/>
      <c r="BR78" s="828"/>
      <c r="BS78" s="828"/>
      <c r="BT78" s="828"/>
      <c r="BU78" s="828"/>
      <c r="BV78" s="828"/>
      <c r="BW78" s="828"/>
      <c r="BX78" s="828"/>
      <c r="BY78" s="828"/>
      <c r="BZ78" s="828"/>
      <c r="CA78" s="828"/>
      <c r="CB78" s="828"/>
      <c r="CC78" s="828"/>
      <c r="CD78" s="828"/>
      <c r="CE78" s="1088"/>
      <c r="CF78" s="2392" t="s">
        <v>540</v>
      </c>
      <c r="CG78" s="2392"/>
      <c r="CH78" s="2392"/>
      <c r="CI78" s="2392"/>
      <c r="CJ78" s="2392"/>
      <c r="CK78" s="2392"/>
      <c r="CL78" s="2392"/>
      <c r="CM78" s="2278"/>
      <c r="CN78" s="2279"/>
      <c r="CO78" s="2279"/>
      <c r="CP78" s="2279"/>
      <c r="CQ78" s="2279"/>
      <c r="CR78" s="2279"/>
      <c r="CS78" s="2279"/>
      <c r="CT78" s="2279"/>
      <c r="CU78" s="2279"/>
      <c r="CV78" s="2279"/>
      <c r="CW78" s="1098" t="e">
        <f>CW77</f>
        <v>#REF!</v>
      </c>
      <c r="CX78" s="879"/>
    </row>
    <row r="79" spans="1:102" ht="15" customHeight="1" x14ac:dyDescent="0.25">
      <c r="A79" s="2295"/>
      <c r="B79" s="2343"/>
      <c r="C79" s="2343"/>
      <c r="D79" s="861">
        <v>132</v>
      </c>
      <c r="E79" s="855" t="s">
        <v>339</v>
      </c>
      <c r="F79" s="2359"/>
      <c r="G79" s="855"/>
      <c r="H79" s="932"/>
      <c r="I79" s="1048">
        <v>1440000</v>
      </c>
      <c r="J79" s="953">
        <v>0</v>
      </c>
      <c r="K79" s="953">
        <v>0</v>
      </c>
      <c r="L79" s="878">
        <f>K79-J79</f>
        <v>0</v>
      </c>
      <c r="M79" s="889">
        <f>L79*I79</f>
        <v>0</v>
      </c>
      <c r="N79" s="868"/>
      <c r="O79" s="1109"/>
      <c r="P79" s="861"/>
      <c r="Q79" s="933">
        <v>0.82699999999999996</v>
      </c>
      <c r="R79" s="933">
        <v>0.82799999999999996</v>
      </c>
      <c r="S79" s="878">
        <f t="shared" si="42"/>
        <v>1.0000000000000009E-3</v>
      </c>
      <c r="T79" s="861">
        <f>S79*I79</f>
        <v>1440.0000000000014</v>
      </c>
      <c r="U79" s="861"/>
      <c r="V79" s="122">
        <f>N79-M78</f>
        <v>0</v>
      </c>
      <c r="W79" s="868">
        <f>U79-T78</f>
        <v>0</v>
      </c>
      <c r="X79" s="870"/>
      <c r="Y79" s="871"/>
      <c r="Z79" s="889"/>
      <c r="AA79" s="121">
        <f>Z79*6.3882</f>
        <v>0</v>
      </c>
      <c r="AB79" s="890"/>
      <c r="AC79" s="879"/>
      <c r="AD79" s="898"/>
      <c r="AE79" s="828"/>
      <c r="AF79" s="1094"/>
      <c r="AG79" s="1094"/>
      <c r="AH79" s="1094"/>
      <c r="AI79" s="1094"/>
      <c r="AJ79" s="1094"/>
      <c r="AK79" s="1096"/>
      <c r="AL79" s="1096"/>
      <c r="AM79" s="1096"/>
      <c r="AN79" s="1096"/>
      <c r="AO79" s="1096"/>
      <c r="AP79" s="1096"/>
      <c r="AQ79" s="898"/>
      <c r="AR79" s="898"/>
      <c r="AS79" s="898"/>
      <c r="AT79" s="898"/>
      <c r="AU79" s="898"/>
      <c r="AV79" s="899"/>
      <c r="AW79" s="828"/>
      <c r="AX79" s="828"/>
      <c r="AY79" s="982"/>
      <c r="AZ79" s="982"/>
      <c r="BI79" s="877"/>
      <c r="BJ79" s="877"/>
      <c r="BK79" s="877"/>
      <c r="BL79" s="877"/>
      <c r="BM79" s="1097"/>
      <c r="BN79" s="1097"/>
      <c r="BO79" s="828"/>
      <c r="BP79" s="828"/>
      <c r="BQ79" s="828"/>
      <c r="BR79" s="828"/>
      <c r="BS79" s="828"/>
      <c r="BT79" s="828"/>
      <c r="BU79" s="828"/>
      <c r="BV79" s="828"/>
      <c r="BW79" s="828"/>
      <c r="BX79" s="828"/>
      <c r="BY79" s="828"/>
      <c r="BZ79" s="828"/>
      <c r="CA79" s="828"/>
      <c r="CB79" s="828"/>
      <c r="CC79" s="828"/>
      <c r="CD79" s="828"/>
      <c r="CE79" s="829"/>
      <c r="CF79" s="828"/>
      <c r="CG79" s="828"/>
      <c r="CH79" s="830"/>
      <c r="CI79" s="830"/>
      <c r="CJ79" s="830"/>
      <c r="CK79" s="830"/>
      <c r="CL79" s="830"/>
      <c r="CM79" s="830"/>
      <c r="CN79" s="1099"/>
      <c r="CO79" s="1100"/>
      <c r="CP79" s="1101"/>
      <c r="CQ79" s="1102"/>
      <c r="CU79" s="966"/>
      <c r="CV79" s="828"/>
      <c r="CW79" s="877"/>
    </row>
    <row r="80" spans="1:102" ht="21.75" customHeight="1" x14ac:dyDescent="0.25">
      <c r="A80" s="861"/>
      <c r="B80" s="931"/>
      <c r="C80" s="931"/>
      <c r="D80" s="861"/>
      <c r="E80" s="855"/>
      <c r="F80" s="855"/>
      <c r="G80" s="855"/>
      <c r="H80" s="932"/>
      <c r="I80" s="1048"/>
      <c r="J80" s="953"/>
      <c r="K80" s="953"/>
      <c r="L80" s="843" t="s">
        <v>323</v>
      </c>
      <c r="M80" s="997">
        <f>SUM(M76:M79)</f>
        <v>0</v>
      </c>
      <c r="N80" s="1110">
        <f>SUM(N76:N79)</f>
        <v>69261119.99999994</v>
      </c>
      <c r="O80" s="954">
        <f>N80</f>
        <v>69261119.99999994</v>
      </c>
      <c r="P80" s="1056" t="s">
        <v>539</v>
      </c>
      <c r="Q80" s="933"/>
      <c r="R80" s="933"/>
      <c r="S80" s="878"/>
      <c r="T80" s="843">
        <f>SUM(T76:T79)</f>
        <v>1440.0000000000014</v>
      </c>
      <c r="U80" s="843">
        <f>SUM(U76:U79)</f>
        <v>15158879.999999981</v>
      </c>
      <c r="V80" s="122"/>
      <c r="W80" s="954">
        <f>U80-T80</f>
        <v>15157439.999999981</v>
      </c>
      <c r="X80" s="870"/>
      <c r="Y80" s="871"/>
      <c r="Z80" s="889"/>
      <c r="AA80" s="121"/>
      <c r="AB80" s="1056" t="s">
        <v>539</v>
      </c>
      <c r="AC80" s="879"/>
      <c r="AD80" s="898"/>
      <c r="AE80" s="828"/>
      <c r="AF80" s="1094"/>
      <c r="AG80" s="1094"/>
      <c r="AH80" s="1094"/>
      <c r="AI80" s="1094"/>
      <c r="AJ80" s="1094"/>
      <c r="AK80" s="1096"/>
      <c r="AL80" s="1096"/>
      <c r="AM80" s="1096"/>
      <c r="AN80" s="1096"/>
      <c r="AO80" s="1096"/>
      <c r="AP80" s="1096"/>
      <c r="AQ80" s="898"/>
      <c r="AR80" s="898"/>
      <c r="AS80" s="898"/>
      <c r="AT80" s="898"/>
      <c r="AU80" s="898"/>
      <c r="AV80" s="899"/>
      <c r="AW80" s="828"/>
      <c r="AX80" s="828"/>
      <c r="AY80" s="982"/>
      <c r="AZ80" s="982"/>
      <c r="BI80" s="877"/>
      <c r="BJ80" s="877"/>
      <c r="BK80" s="877"/>
      <c r="BL80" s="877"/>
      <c r="BM80" s="1097"/>
      <c r="BN80" s="1097"/>
      <c r="BO80" s="828"/>
      <c r="BP80" s="828"/>
      <c r="BQ80" s="828"/>
      <c r="BR80" s="828"/>
      <c r="BS80" s="828"/>
      <c r="BT80" s="828"/>
      <c r="BU80" s="828"/>
      <c r="BV80" s="828"/>
      <c r="BW80" s="828"/>
      <c r="BX80" s="828"/>
      <c r="BY80" s="828"/>
      <c r="BZ80" s="828"/>
      <c r="CA80" s="828"/>
      <c r="CB80" s="828"/>
      <c r="CC80" s="828"/>
      <c r="CD80" s="828"/>
      <c r="CE80" s="829"/>
      <c r="CF80" s="828"/>
      <c r="CG80" s="828"/>
      <c r="CH80" s="830"/>
      <c r="CI80" s="830"/>
      <c r="CJ80" s="830"/>
      <c r="CK80" s="830"/>
      <c r="CL80" s="830"/>
      <c r="CM80" s="830"/>
      <c r="CN80" s="1099"/>
      <c r="CO80" s="1100"/>
      <c r="CP80" s="1101"/>
      <c r="CQ80" s="1102"/>
      <c r="CU80" s="966"/>
      <c r="CV80" s="828"/>
      <c r="CW80" s="877"/>
    </row>
    <row r="81" spans="1:101" ht="15" customHeight="1" x14ac:dyDescent="0.25">
      <c r="A81" s="861">
        <v>33</v>
      </c>
      <c r="B81" s="931" t="s">
        <v>538</v>
      </c>
      <c r="C81" s="2343" t="s">
        <v>537</v>
      </c>
      <c r="D81" s="861">
        <v>132</v>
      </c>
      <c r="E81" s="855" t="s">
        <v>326</v>
      </c>
      <c r="F81" s="855">
        <v>42627811</v>
      </c>
      <c r="G81" s="855"/>
      <c r="H81" s="932"/>
      <c r="I81" s="1048">
        <v>960000</v>
      </c>
      <c r="J81" s="953">
        <v>152.98400000000001</v>
      </c>
      <c r="K81" s="953">
        <v>173.255</v>
      </c>
      <c r="L81" s="878">
        <f>K81-J81</f>
        <v>20.270999999999987</v>
      </c>
      <c r="M81" s="997"/>
      <c r="N81" s="1038">
        <f>L81*I81+P81</f>
        <v>19460159.999999989</v>
      </c>
      <c r="O81" s="1109"/>
      <c r="P81" s="1056">
        <v>0</v>
      </c>
      <c r="Q81" s="933">
        <v>39.555</v>
      </c>
      <c r="R81" s="933">
        <v>46.186999999999998</v>
      </c>
      <c r="S81" s="878">
        <f t="shared" si="42"/>
        <v>6.6319999999999979</v>
      </c>
      <c r="T81" s="843"/>
      <c r="U81" s="861">
        <f>S81*I81+AB81</f>
        <v>6366719.9999999981</v>
      </c>
      <c r="V81" s="122">
        <f>N81</f>
        <v>19460159.999999989</v>
      </c>
      <c r="W81" s="868">
        <f>U81</f>
        <v>6366719.9999999981</v>
      </c>
      <c r="X81" s="870">
        <f>ROUND(IF(W81&lt;0.00001,"0",COS(ATAN(W81/V81))),2)</f>
        <v>0.95</v>
      </c>
      <c r="Y81" s="871">
        <f>IF(AND(X81&gt;=0.885,X81&lt;0.9),1*0.005,IF(AND(X81&gt;=0.875,X81&lt;0.89),1*0.01,IF(AND(X81&gt;=0.865,X81&lt;0.88),1*0.02,IF(AND(X81&gt;=0.855,X81&lt;0.87),1*0.03,IF(AND(X81&gt;=0.845,X81&lt;0.86),1*0.04,IF(AND(X81&gt;=0.835,X81&lt;0.85),1*0.05,IF(AND(X81&gt;=0.825,X81&lt;0.84),1*0.06,IF(AND(X81&gt;=0.815,X81&lt;0.83),1*0.07,IF(AND(X81&gt;=0.805,X81&lt;0.82),1*0.08,IF(AND(X81&gt;=0.795,X81&lt;0.81),1*0.09,IF(AND(X81&gt;=0.785,X81&lt;0.8),1*0.105,IF(AND(X81&gt;=0.775,X81&lt;0.79),1*0.12,IF(AND(X81&gt;=0.765,X81&lt;0.78),1*0.135,IF(AND(X81&gt;=0.755,X81&lt;0.77),1*0.15,IF(AND(X81&gt;=0.3,X81&lt;0.76),1*0.165,0)))))))))))))))</f>
        <v>0</v>
      </c>
      <c r="Z81" s="889">
        <f>Y81*V81</f>
        <v>0</v>
      </c>
      <c r="AA81" s="121"/>
      <c r="AB81" s="1056">
        <v>0</v>
      </c>
      <c r="AC81" s="879"/>
      <c r="AD81" s="898"/>
      <c r="AE81" s="828"/>
      <c r="AF81" s="1094"/>
      <c r="AG81" s="1094"/>
      <c r="AH81" s="1094"/>
      <c r="AI81" s="1094"/>
      <c r="AJ81" s="1094"/>
      <c r="AK81" s="1096"/>
      <c r="AL81" s="1096"/>
      <c r="AM81" s="1096"/>
      <c r="AN81" s="1096"/>
      <c r="AO81" s="1096"/>
      <c r="AP81" s="1096"/>
      <c r="AQ81" s="898"/>
      <c r="AR81" s="898"/>
      <c r="AS81" s="898"/>
      <c r="AT81" s="898"/>
      <c r="AU81" s="898"/>
      <c r="AV81" s="899"/>
      <c r="AW81" s="828"/>
      <c r="AX81" s="828"/>
      <c r="AY81" s="982"/>
      <c r="AZ81" s="982"/>
      <c r="BI81" s="877"/>
      <c r="BJ81" s="877"/>
      <c r="BK81" s="877"/>
      <c r="BL81" s="877"/>
      <c r="BM81" s="1097"/>
      <c r="BN81" s="1097"/>
      <c r="BO81" s="828"/>
      <c r="BP81" s="828"/>
      <c r="BQ81" s="828"/>
      <c r="BR81" s="828"/>
      <c r="BS81" s="828"/>
      <c r="BT81" s="828"/>
      <c r="BU81" s="828"/>
      <c r="BV81" s="828"/>
      <c r="BW81" s="828"/>
      <c r="BX81" s="828"/>
      <c r="BY81" s="828"/>
      <c r="BZ81" s="828"/>
      <c r="CA81" s="828"/>
      <c r="CB81" s="828"/>
      <c r="CC81" s="828"/>
      <c r="CD81" s="828"/>
      <c r="CE81" s="829"/>
      <c r="CF81" s="828"/>
      <c r="CG81" s="828"/>
      <c r="CH81" s="830"/>
      <c r="CI81" s="830"/>
      <c r="CJ81" s="830"/>
      <c r="CK81" s="830"/>
      <c r="CL81" s="830"/>
      <c r="CM81" s="830"/>
      <c r="CN81" s="1099"/>
      <c r="CO81" s="1100"/>
      <c r="CP81" s="1101"/>
      <c r="CQ81" s="1102"/>
      <c r="CU81" s="966"/>
      <c r="CV81" s="828"/>
      <c r="CW81" s="877"/>
    </row>
    <row r="82" spans="1:101" ht="15" customHeight="1" x14ac:dyDescent="0.25">
      <c r="A82" s="861">
        <v>34</v>
      </c>
      <c r="B82" s="931" t="s">
        <v>536</v>
      </c>
      <c r="C82" s="2343"/>
      <c r="D82" s="861">
        <v>132</v>
      </c>
      <c r="E82" s="855" t="s">
        <v>326</v>
      </c>
      <c r="F82" s="855">
        <v>42627824</v>
      </c>
      <c r="G82" s="855"/>
      <c r="H82" s="932"/>
      <c r="I82" s="1048">
        <v>960000</v>
      </c>
      <c r="J82" s="953">
        <v>79.5</v>
      </c>
      <c r="K82" s="953">
        <v>79.5</v>
      </c>
      <c r="L82" s="878">
        <f>K82-J82</f>
        <v>0</v>
      </c>
      <c r="M82" s="997"/>
      <c r="N82" s="1038">
        <f>L82*I82</f>
        <v>0</v>
      </c>
      <c r="O82" s="1109"/>
      <c r="P82" s="890"/>
      <c r="Q82" s="933">
        <v>16.356999999999999</v>
      </c>
      <c r="R82" s="933">
        <v>16.356999999999999</v>
      </c>
      <c r="S82" s="878">
        <f t="shared" si="42"/>
        <v>0</v>
      </c>
      <c r="T82" s="843"/>
      <c r="U82" s="861">
        <f>S82*I82</f>
        <v>0</v>
      </c>
      <c r="V82" s="122">
        <f>N82</f>
        <v>0</v>
      </c>
      <c r="W82" s="868">
        <f>U82</f>
        <v>0</v>
      </c>
      <c r="X82" s="870">
        <f>ROUND(IF(W82&lt;0.00001,"0",COS(ATAN(W82/V82))),2)</f>
        <v>0</v>
      </c>
      <c r="Y82" s="871">
        <f>IF(AND(X82&gt;=0.885,X82&lt;0.9),1*0.005,IF(AND(X82&gt;=0.875,X82&lt;0.89),1*0.01,IF(AND(X82&gt;=0.865,X82&lt;0.88),1*0.02,IF(AND(X82&gt;=0.855,X82&lt;0.87),1*0.03,IF(AND(X82&gt;=0.845,X82&lt;0.86),1*0.04,IF(AND(X82&gt;=0.835,X82&lt;0.85),1*0.05,IF(AND(X82&gt;=0.825,X82&lt;0.84),1*0.06,IF(AND(X82&gt;=0.815,X82&lt;0.83),1*0.07,IF(AND(X82&gt;=0.805,X82&lt;0.82),1*0.08,IF(AND(X82&gt;=0.795,X82&lt;0.81),1*0.09,IF(AND(X82&gt;=0.785,X82&lt;0.8),1*0.105,IF(AND(X82&gt;=0.775,X82&lt;0.79),1*0.12,IF(AND(X82&gt;=0.765,X82&lt;0.78),1*0.135,IF(AND(X82&gt;=0.755,X82&lt;0.77),1*0.15,IF(AND(X82&gt;=0.3,X82&lt;0.76),1*0.165,0)))))))))))))))</f>
        <v>0</v>
      </c>
      <c r="Z82" s="889">
        <f>Y82*V82</f>
        <v>0</v>
      </c>
      <c r="AA82" s="121"/>
      <c r="AB82" s="890"/>
      <c r="AC82" s="879"/>
      <c r="AD82" s="898"/>
      <c r="AE82" s="828"/>
      <c r="AF82" s="1094"/>
      <c r="AG82" s="1094"/>
      <c r="AH82" s="1094"/>
      <c r="AI82" s="1094"/>
      <c r="AJ82" s="1094"/>
      <c r="AK82" s="1096"/>
      <c r="AL82" s="1096"/>
      <c r="AM82" s="1096"/>
      <c r="AN82" s="1096"/>
      <c r="AO82" s="1096"/>
      <c r="AP82" s="1096"/>
      <c r="AQ82" s="898"/>
      <c r="AR82" s="898"/>
      <c r="AS82" s="898"/>
      <c r="AT82" s="898"/>
      <c r="AU82" s="898"/>
      <c r="AV82" s="899"/>
      <c r="AW82" s="828"/>
      <c r="AX82" s="828"/>
      <c r="AY82" s="982"/>
      <c r="AZ82" s="982"/>
      <c r="BI82" s="877"/>
      <c r="BJ82" s="877"/>
      <c r="BK82" s="877"/>
      <c r="BL82" s="877"/>
      <c r="BM82" s="1097"/>
      <c r="BN82" s="1097"/>
      <c r="BO82" s="828"/>
      <c r="BP82" s="828"/>
      <c r="BQ82" s="828"/>
      <c r="BR82" s="828"/>
      <c r="BS82" s="828"/>
      <c r="BT82" s="828"/>
      <c r="BU82" s="828"/>
      <c r="BV82" s="828"/>
      <c r="BW82" s="828"/>
      <c r="BX82" s="828"/>
      <c r="BY82" s="828"/>
      <c r="BZ82" s="828"/>
      <c r="CA82" s="828"/>
      <c r="CB82" s="828"/>
      <c r="CC82" s="828"/>
      <c r="CD82" s="828"/>
      <c r="CE82" s="829"/>
      <c r="CF82" s="828"/>
      <c r="CG82" s="828"/>
      <c r="CH82" s="830"/>
      <c r="CI82" s="830"/>
      <c r="CJ82" s="830"/>
      <c r="CK82" s="830"/>
      <c r="CL82" s="830"/>
      <c r="CM82" s="830"/>
      <c r="CN82" s="1099"/>
      <c r="CO82" s="1100"/>
      <c r="CP82" s="1101"/>
      <c r="CQ82" s="1102"/>
      <c r="CU82" s="966"/>
      <c r="CV82" s="828"/>
      <c r="CW82" s="877"/>
    </row>
    <row r="83" spans="1:101" ht="15" customHeight="1" x14ac:dyDescent="0.25">
      <c r="A83" s="861"/>
      <c r="B83" s="931"/>
      <c r="C83" s="931"/>
      <c r="D83" s="861"/>
      <c r="E83" s="855"/>
      <c r="F83" s="855"/>
      <c r="G83" s="855"/>
      <c r="H83" s="932"/>
      <c r="I83" s="1048"/>
      <c r="J83" s="953"/>
      <c r="K83" s="953"/>
      <c r="L83" s="843" t="s">
        <v>323</v>
      </c>
      <c r="M83" s="997"/>
      <c r="N83" s="1110">
        <f>N81+N82</f>
        <v>19460159.999999989</v>
      </c>
      <c r="O83" s="954">
        <f>N83</f>
        <v>19460159.999999989</v>
      </c>
      <c r="P83" s="861"/>
      <c r="Q83" s="953"/>
      <c r="R83" s="953"/>
      <c r="S83" s="878"/>
      <c r="T83" s="843"/>
      <c r="U83" s="843">
        <f>U81+U82</f>
        <v>6366719.9999999981</v>
      </c>
      <c r="V83" s="122"/>
      <c r="W83" s="954">
        <f>U83</f>
        <v>6366719.9999999981</v>
      </c>
      <c r="X83" s="870"/>
      <c r="Y83" s="871"/>
      <c r="Z83" s="889"/>
      <c r="AA83" s="121"/>
      <c r="AB83" s="890"/>
      <c r="AC83" s="879"/>
      <c r="AD83" s="898"/>
      <c r="AE83" s="828"/>
      <c r="AF83" s="1094"/>
      <c r="AG83" s="1094"/>
      <c r="AH83" s="1094"/>
      <c r="AI83" s="1094"/>
      <c r="AJ83" s="1094"/>
      <c r="AK83" s="1096"/>
      <c r="AL83" s="1096"/>
      <c r="AM83" s="1096"/>
      <c r="AN83" s="1096"/>
      <c r="AO83" s="1096"/>
      <c r="AP83" s="1096"/>
      <c r="AQ83" s="898"/>
      <c r="AR83" s="898"/>
      <c r="AS83" s="898"/>
      <c r="AT83" s="898"/>
      <c r="AU83" s="898"/>
      <c r="AV83" s="899"/>
      <c r="AW83" s="828"/>
      <c r="AX83" s="828"/>
      <c r="AY83" s="982"/>
      <c r="AZ83" s="982"/>
      <c r="BI83" s="877"/>
      <c r="BJ83" s="877"/>
      <c r="BK83" s="877"/>
      <c r="BL83" s="877"/>
      <c r="BM83" s="1097"/>
      <c r="BN83" s="1097"/>
      <c r="BO83" s="828"/>
      <c r="BP83" s="828"/>
      <c r="BQ83" s="828"/>
      <c r="BR83" s="828"/>
      <c r="BS83" s="828"/>
      <c r="BT83" s="828"/>
      <c r="BU83" s="828"/>
      <c r="BV83" s="828"/>
      <c r="BW83" s="828"/>
      <c r="BX83" s="828"/>
      <c r="BY83" s="828"/>
      <c r="BZ83" s="828"/>
      <c r="CA83" s="828"/>
      <c r="CB83" s="828"/>
      <c r="CC83" s="828"/>
      <c r="CD83" s="828"/>
      <c r="CE83" s="829"/>
      <c r="CF83" s="828"/>
      <c r="CG83" s="828"/>
      <c r="CH83" s="830"/>
      <c r="CI83" s="830"/>
      <c r="CJ83" s="830"/>
      <c r="CK83" s="830"/>
      <c r="CL83" s="830"/>
      <c r="CM83" s="830"/>
      <c r="CN83" s="1099"/>
      <c r="CO83" s="1100"/>
      <c r="CP83" s="1101"/>
      <c r="CQ83" s="1102"/>
      <c r="CU83" s="966"/>
      <c r="CV83" s="828"/>
      <c r="CW83" s="877"/>
    </row>
    <row r="84" spans="1:101" ht="20.149999999999999" customHeight="1" x14ac:dyDescent="0.25">
      <c r="A84" s="2283" t="s">
        <v>535</v>
      </c>
      <c r="B84" s="2283"/>
      <c r="C84" s="2283"/>
      <c r="D84" s="2390" t="s">
        <v>534</v>
      </c>
      <c r="E84" s="2390"/>
      <c r="F84" s="2390"/>
      <c r="G84" s="2390"/>
      <c r="H84" s="2390"/>
      <c r="I84" s="2390"/>
      <c r="J84" s="1111"/>
      <c r="K84" s="1111"/>
      <c r="L84" s="955"/>
      <c r="M84" s="991">
        <f>M67+M51+M31+M26+M19+M73+M72+M80</f>
        <v>277439.99999998522</v>
      </c>
      <c r="N84" s="856">
        <f>SUM(N67,N51,N41,N31,N26,N19,N75,N70,N80,N83)</f>
        <v>650804640.0000031</v>
      </c>
      <c r="O84" s="1112"/>
      <c r="P84" s="843"/>
      <c r="Q84" s="1113"/>
      <c r="R84" s="1113"/>
      <c r="S84" s="1114"/>
      <c r="T84" s="1045">
        <f>SUM(T75,T67,T51,T39,T31,T26,T19,T80)</f>
        <v>10497119.999999974</v>
      </c>
      <c r="U84" s="991">
        <f>SUM(U75,U67,U51,U41,U31,U26,U19,U70,U80,U83)</f>
        <v>221700479.99999946</v>
      </c>
      <c r="V84" s="116"/>
      <c r="W84" s="856"/>
      <c r="X84" s="1115"/>
      <c r="Y84" s="1114"/>
      <c r="Z84" s="1114"/>
      <c r="AA84" s="113">
        <f>AA75+AA67+AA51+AA39+AA26+AA19+AA31</f>
        <v>1832994.3340800079</v>
      </c>
      <c r="AB84" s="991"/>
      <c r="AC84" s="851"/>
      <c r="AD84" s="828"/>
      <c r="AE84" s="828"/>
      <c r="AF84" s="1094"/>
      <c r="AG84" s="1094" t="s">
        <v>388</v>
      </c>
      <c r="AH84" s="1094"/>
      <c r="AI84" s="1094"/>
      <c r="AJ84" s="1116">
        <f>AJ75-AJ72</f>
        <v>68795069.235919982</v>
      </c>
      <c r="AK84" s="1096"/>
      <c r="AL84" s="1096"/>
      <c r="AM84" s="1096"/>
      <c r="AN84" s="1096"/>
      <c r="AO84" s="1096"/>
      <c r="AP84" s="1096"/>
      <c r="AQ84" s="898"/>
      <c r="AR84" s="898"/>
      <c r="AS84" s="898"/>
      <c r="AT84" s="898"/>
      <c r="AU84" s="898"/>
      <c r="AV84" s="899"/>
      <c r="AW84" s="828"/>
      <c r="AX84" s="828"/>
      <c r="AY84" s="982"/>
      <c r="AZ84" s="982"/>
      <c r="BI84" s="828"/>
      <c r="BJ84" s="828"/>
      <c r="BK84" s="877"/>
      <c r="BL84" s="877"/>
      <c r="BM84" s="1097"/>
      <c r="BN84" s="1097"/>
      <c r="BO84" s="828"/>
      <c r="BP84" s="828"/>
      <c r="BQ84" s="828"/>
      <c r="BR84" s="828"/>
      <c r="BS84" s="828"/>
      <c r="BT84" s="828"/>
      <c r="BU84" s="828"/>
      <c r="BV84" s="828"/>
      <c r="BW84" s="828"/>
      <c r="BX84" s="828"/>
      <c r="BY84" s="828"/>
      <c r="BZ84" s="828"/>
      <c r="CA84" s="828"/>
      <c r="CB84" s="828"/>
      <c r="CC84" s="828"/>
      <c r="CD84" s="828"/>
      <c r="CE84" s="829"/>
      <c r="CF84" s="828"/>
      <c r="CG84" s="828"/>
      <c r="CH84" s="830"/>
      <c r="CI84" s="830"/>
      <c r="CJ84" s="830"/>
      <c r="CK84" s="830"/>
      <c r="CL84" s="830"/>
      <c r="CM84" s="830"/>
      <c r="CN84" s="836"/>
      <c r="CO84" s="1102"/>
      <c r="CP84" s="1102"/>
      <c r="CQ84" s="1102"/>
      <c r="CR84" s="1102"/>
      <c r="CS84" s="1102"/>
      <c r="CT84" s="1102"/>
      <c r="CU84" s="1102"/>
      <c r="CV84" s="1102"/>
      <c r="CW84" s="1102"/>
    </row>
    <row r="85" spans="1:101" ht="21" customHeight="1" x14ac:dyDescent="0.25">
      <c r="A85" s="2283" t="s">
        <v>314</v>
      </c>
      <c r="B85" s="2283"/>
      <c r="C85" s="2283"/>
      <c r="D85" s="2283"/>
      <c r="E85" s="2283"/>
      <c r="F85" s="2283"/>
      <c r="G85" s="2283"/>
      <c r="H85" s="2283"/>
      <c r="I85" s="2283"/>
      <c r="J85" s="1111"/>
      <c r="K85" s="1111"/>
      <c r="L85" s="1117" t="s">
        <v>413</v>
      </c>
      <c r="M85" s="879"/>
      <c r="N85" s="1118">
        <f>N84-M84</f>
        <v>650527200.0000031</v>
      </c>
      <c r="O85" s="1008"/>
      <c r="P85" s="1119"/>
      <c r="Q85" s="1120"/>
      <c r="R85" s="1120"/>
      <c r="S85" s="1121"/>
      <c r="T85" s="1121"/>
      <c r="U85" s="1122">
        <f>(U84-T84)</f>
        <v>211203359.99999949</v>
      </c>
      <c r="V85" s="149"/>
      <c r="W85" s="988">
        <f>SUM(W83,W80,W75,W70,W67,W51,W41,W31,W26,W19)</f>
        <v>211203359.99999949</v>
      </c>
      <c r="X85" s="1123">
        <f>COS(ATAN(U85/N85))</f>
        <v>0.95112770906855215</v>
      </c>
      <c r="Y85" s="1091"/>
      <c r="Z85" s="1124">
        <f>SUM(Z7:Z84)-0.0002</f>
        <v>286934.39980000118</v>
      </c>
      <c r="AA85" s="121"/>
      <c r="AB85" s="991"/>
      <c r="AC85" s="870">
        <f>COS(ATAN(U85/N85))</f>
        <v>0.95112770906855215</v>
      </c>
      <c r="AD85" s="828"/>
      <c r="AE85" s="828"/>
      <c r="AF85" s="829"/>
      <c r="AG85" s="828"/>
      <c r="AK85" s="828"/>
      <c r="AL85" s="828"/>
      <c r="AM85" s="828"/>
      <c r="AN85" s="828"/>
      <c r="AO85" s="828"/>
      <c r="AP85" s="828"/>
      <c r="AQ85" s="828"/>
      <c r="AR85" s="828"/>
      <c r="AS85" s="828"/>
      <c r="AT85" s="828"/>
      <c r="AU85" s="828"/>
      <c r="AV85" s="899"/>
      <c r="AW85" s="828"/>
      <c r="AX85" s="828"/>
      <c r="AY85" s="828"/>
      <c r="BI85" s="828"/>
      <c r="BJ85" s="828"/>
      <c r="BK85" s="877"/>
      <c r="BL85" s="877"/>
      <c r="BM85" s="1097"/>
      <c r="BN85" s="1097"/>
      <c r="BO85" s="828"/>
      <c r="BP85" s="828"/>
      <c r="BQ85" s="828"/>
      <c r="BR85" s="828"/>
      <c r="BS85" s="828"/>
      <c r="BT85" s="828"/>
      <c r="BU85" s="828"/>
      <c r="BV85" s="828"/>
      <c r="BW85" s="828"/>
      <c r="BX85" s="828"/>
      <c r="BY85" s="828"/>
      <c r="BZ85" s="828"/>
      <c r="CA85" s="828"/>
      <c r="CB85" s="828"/>
      <c r="CC85" s="828"/>
      <c r="CD85" s="828"/>
      <c r="CE85" s="829"/>
      <c r="CF85" s="828"/>
      <c r="CG85" s="828"/>
      <c r="CH85" s="830"/>
      <c r="CI85" s="830"/>
      <c r="CJ85" s="830"/>
      <c r="CK85" s="830"/>
      <c r="CL85" s="830"/>
      <c r="CM85" s="830"/>
      <c r="CN85" s="1099"/>
      <c r="CO85" s="1125"/>
      <c r="CP85" s="1125"/>
      <c r="CQ85" s="1125"/>
      <c r="CR85" s="1125"/>
      <c r="CS85" s="1125"/>
      <c r="CT85" s="1125"/>
      <c r="CU85" s="1125"/>
      <c r="CV85" s="1125"/>
      <c r="CW85" s="877"/>
    </row>
    <row r="86" spans="1:101" ht="23.25" customHeight="1" thickBot="1" x14ac:dyDescent="0.3">
      <c r="B86" s="820"/>
      <c r="E86" s="820"/>
      <c r="F86" s="820"/>
      <c r="G86" s="820"/>
      <c r="H86" s="820"/>
      <c r="I86" s="820"/>
      <c r="J86" s="820"/>
      <c r="K86" s="820"/>
      <c r="M86" s="1126"/>
      <c r="N86" s="1127"/>
      <c r="O86" s="1128"/>
      <c r="P86" s="828"/>
      <c r="Q86" s="820"/>
      <c r="R86" s="820"/>
      <c r="V86" s="1129"/>
      <c r="W86" s="1127"/>
      <c r="X86" s="1130"/>
      <c r="Y86" s="1130"/>
      <c r="Z86" s="1131"/>
      <c r="AA86" s="146">
        <f>AA84</f>
        <v>1832994.3340800079</v>
      </c>
      <c r="AB86" s="828"/>
      <c r="AC86" s="828"/>
      <c r="AD86" s="828"/>
      <c r="AE86" s="828"/>
      <c r="AF86" s="829"/>
      <c r="AG86" s="828"/>
      <c r="AH86" s="828"/>
      <c r="AI86" s="828"/>
      <c r="AJ86" s="828"/>
      <c r="AK86" s="828"/>
      <c r="AL86" s="828"/>
      <c r="AM86" s="828"/>
      <c r="AN86" s="828"/>
      <c r="AO86" s="828"/>
      <c r="AP86" s="828"/>
      <c r="AQ86" s="828"/>
      <c r="AR86" s="828"/>
      <c r="AS86" s="828"/>
      <c r="AT86" s="828"/>
      <c r="AU86" s="828"/>
      <c r="AV86" s="899"/>
      <c r="AW86" s="828"/>
      <c r="AX86" s="828"/>
      <c r="AY86" s="828"/>
      <c r="BI86" s="828"/>
      <c r="BJ86" s="828"/>
      <c r="BK86" s="877"/>
      <c r="BL86" s="877"/>
      <c r="BM86" s="1097"/>
      <c r="BN86" s="1097"/>
      <c r="BO86" s="828"/>
      <c r="BP86" s="828"/>
      <c r="BQ86" s="828"/>
      <c r="BR86" s="828"/>
      <c r="BS86" s="828"/>
      <c r="BT86" s="828"/>
      <c r="BU86" s="828"/>
      <c r="BV86" s="828"/>
      <c r="BW86" s="828"/>
      <c r="BX86" s="828"/>
      <c r="BY86" s="828"/>
      <c r="BZ86" s="828"/>
      <c r="CA86" s="828"/>
      <c r="CB86" s="828"/>
      <c r="CC86" s="828"/>
      <c r="CD86" s="828"/>
      <c r="CE86" s="829"/>
      <c r="CF86" s="828"/>
      <c r="CG86" s="828"/>
      <c r="CH86" s="830"/>
      <c r="CI86" s="830"/>
      <c r="CJ86" s="830"/>
      <c r="CK86" s="830"/>
      <c r="CL86" s="830"/>
      <c r="CM86" s="830"/>
      <c r="CN86" s="1099"/>
      <c r="CO86" s="1125"/>
      <c r="CP86" s="1125"/>
      <c r="CQ86" s="1125"/>
      <c r="CR86" s="1125"/>
      <c r="CS86" s="1125"/>
      <c r="CT86" s="1125"/>
      <c r="CU86" s="1125"/>
      <c r="CV86" s="1125"/>
      <c r="CW86" s="898"/>
    </row>
    <row r="87" spans="1:101" ht="15" customHeight="1" x14ac:dyDescent="0.25">
      <c r="B87" s="820"/>
      <c r="E87" s="820"/>
      <c r="F87" s="820"/>
      <c r="G87" s="820"/>
      <c r="H87" s="820"/>
      <c r="I87" s="820"/>
      <c r="J87" s="820" t="s">
        <v>237</v>
      </c>
      <c r="K87" s="820" t="s">
        <v>237</v>
      </c>
      <c r="M87" s="2322" t="s">
        <v>533</v>
      </c>
      <c r="N87" s="1133" t="s">
        <v>14</v>
      </c>
      <c r="O87" s="2391" t="s">
        <v>409</v>
      </c>
      <c r="P87" s="2391"/>
      <c r="Q87" s="820"/>
      <c r="R87" s="820"/>
      <c r="T87" s="978"/>
      <c r="U87" s="941"/>
      <c r="V87" s="820"/>
      <c r="W87" s="1127"/>
      <c r="X87" s="877"/>
      <c r="Y87" s="828"/>
      <c r="Z87" s="828"/>
      <c r="AA87" s="107"/>
      <c r="AB87" s="828"/>
      <c r="AC87" s="898"/>
      <c r="AD87" s="828"/>
      <c r="AE87" s="828"/>
      <c r="AF87" s="1134" t="s">
        <v>532</v>
      </c>
      <c r="AG87" s="861"/>
      <c r="AH87" s="861"/>
      <c r="AI87" s="861"/>
      <c r="AJ87" s="861"/>
      <c r="AK87" s="828"/>
      <c r="AL87" s="828"/>
      <c r="AM87" s="828"/>
      <c r="AN87" s="828"/>
      <c r="AO87" s="828"/>
      <c r="AP87" s="828"/>
      <c r="AQ87" s="828"/>
      <c r="AR87" s="828"/>
      <c r="AS87" s="828"/>
      <c r="AT87" s="828"/>
      <c r="AU87" s="828"/>
      <c r="AV87" s="899"/>
      <c r="AW87" s="828"/>
      <c r="AX87" s="828"/>
      <c r="AY87" s="828"/>
      <c r="BI87" s="828"/>
      <c r="BJ87" s="828"/>
      <c r="BK87" s="877"/>
      <c r="BL87" s="877"/>
      <c r="BM87" s="1097"/>
      <c r="BN87" s="1097"/>
      <c r="BO87" s="828"/>
      <c r="BP87" s="828"/>
      <c r="BQ87" s="828"/>
      <c r="BR87" s="828"/>
      <c r="BS87" s="828"/>
      <c r="BT87" s="828"/>
      <c r="BU87" s="828"/>
      <c r="BV87" s="828"/>
      <c r="BW87" s="828"/>
      <c r="BX87" s="828"/>
      <c r="BY87" s="828"/>
      <c r="BZ87" s="828"/>
      <c r="CA87" s="828"/>
      <c r="CB87" s="828"/>
      <c r="CC87" s="828"/>
      <c r="CD87" s="828"/>
      <c r="CE87" s="829"/>
      <c r="CF87" s="828"/>
      <c r="CG87" s="828"/>
      <c r="CH87" s="830"/>
      <c r="CI87" s="830"/>
      <c r="CJ87" s="830"/>
      <c r="CK87" s="830"/>
      <c r="CL87" s="830"/>
      <c r="CM87" s="830"/>
      <c r="CN87" s="830"/>
      <c r="CO87" s="1125"/>
      <c r="CP87" s="1125"/>
      <c r="CQ87" s="1125"/>
      <c r="CR87" s="1125"/>
      <c r="CS87" s="1125"/>
      <c r="CT87" s="1125"/>
      <c r="CU87" s="1125"/>
      <c r="CV87" s="1125"/>
      <c r="CW87" s="898"/>
    </row>
    <row r="88" spans="1:101" ht="14.25" customHeight="1" x14ac:dyDescent="0.25">
      <c r="B88" s="820"/>
      <c r="E88" s="820"/>
      <c r="F88" s="820"/>
      <c r="G88" s="820"/>
      <c r="H88" s="820"/>
      <c r="I88" s="820"/>
      <c r="J88" s="820"/>
      <c r="K88" s="820"/>
      <c r="L88" s="1100"/>
      <c r="M88" s="2323"/>
      <c r="N88" s="1135">
        <f>N85</f>
        <v>650527200.0000031</v>
      </c>
      <c r="O88" s="2329">
        <f>U85</f>
        <v>211203359.99999949</v>
      </c>
      <c r="P88" s="2330"/>
      <c r="Q88" s="820"/>
      <c r="R88" s="820"/>
      <c r="V88" s="820"/>
      <c r="W88" s="1127"/>
      <c r="X88" s="877"/>
      <c r="Y88" s="828"/>
      <c r="Z88" s="877"/>
      <c r="AA88" s="107"/>
      <c r="AB88" s="828"/>
      <c r="AC88" s="828"/>
      <c r="AD88" s="828"/>
      <c r="AE88" s="828"/>
      <c r="AF88" s="829"/>
      <c r="AG88" s="828"/>
      <c r="AH88" s="828"/>
      <c r="AI88" s="828"/>
      <c r="AJ88" s="828"/>
      <c r="AK88" s="828"/>
      <c r="AL88" s="828"/>
      <c r="AM88" s="828"/>
      <c r="AN88" s="828"/>
      <c r="AO88" s="828"/>
      <c r="AP88" s="828"/>
      <c r="AQ88" s="828"/>
      <c r="AR88" s="828"/>
      <c r="AS88" s="828"/>
      <c r="AT88" s="828"/>
      <c r="AU88" s="828"/>
      <c r="AV88" s="899"/>
      <c r="AW88" s="828"/>
      <c r="AX88" s="828"/>
      <c r="AY88" s="828"/>
      <c r="BI88" s="828"/>
      <c r="BJ88" s="828"/>
      <c r="BK88" s="877"/>
      <c r="BL88" s="877"/>
      <c r="BM88" s="1097"/>
      <c r="BN88" s="1097"/>
      <c r="BO88" s="828"/>
      <c r="BP88" s="828"/>
      <c r="BQ88" s="828"/>
      <c r="BR88" s="828"/>
      <c r="BS88" s="828"/>
      <c r="BT88" s="828"/>
      <c r="BU88" s="828"/>
      <c r="BV88" s="828"/>
      <c r="BW88" s="828"/>
      <c r="BX88" s="828"/>
      <c r="BY88" s="828"/>
      <c r="BZ88" s="828"/>
      <c r="CA88" s="828"/>
      <c r="CB88" s="828"/>
      <c r="CC88" s="828"/>
      <c r="CD88" s="828"/>
      <c r="CE88" s="829"/>
      <c r="CF88" s="828"/>
      <c r="CG88" s="828"/>
      <c r="CH88" s="830"/>
      <c r="CI88" s="830"/>
      <c r="CJ88" s="830"/>
      <c r="CK88" s="1136"/>
      <c r="CL88" s="1136"/>
      <c r="CM88" s="1099"/>
      <c r="CN88" s="1099"/>
      <c r="CO88" s="1125"/>
      <c r="CP88" s="1137"/>
      <c r="CQ88" s="1069"/>
      <c r="CR88" s="832"/>
      <c r="CS88" s="832"/>
      <c r="CT88" s="1138"/>
      <c r="CU88" s="1138"/>
      <c r="CV88" s="898"/>
      <c r="CW88" s="898"/>
    </row>
    <row r="89" spans="1:101" ht="14" x14ac:dyDescent="0.25">
      <c r="B89" s="820"/>
      <c r="E89" s="820"/>
      <c r="F89" s="820"/>
      <c r="G89" s="820"/>
      <c r="H89" s="820"/>
      <c r="I89" s="820"/>
      <c r="J89" s="820"/>
      <c r="K89" s="820"/>
      <c r="L89" s="1100"/>
      <c r="M89" s="1125"/>
      <c r="N89" s="1139"/>
      <c r="O89" s="1140"/>
      <c r="P89" s="828"/>
      <c r="Q89" s="820"/>
      <c r="R89" s="820"/>
      <c r="S89" s="1141"/>
      <c r="T89" s="1141"/>
      <c r="U89" s="1141"/>
      <c r="V89" s="1141"/>
      <c r="W89" s="1142"/>
      <c r="X89" s="1141"/>
      <c r="Y89" s="828"/>
      <c r="Z89" s="828"/>
      <c r="AA89" s="107"/>
      <c r="AB89" s="828"/>
      <c r="AC89" s="828"/>
      <c r="AD89" s="828"/>
      <c r="AE89" s="828"/>
      <c r="AF89" s="829"/>
      <c r="AG89" s="828"/>
      <c r="AH89" s="828"/>
      <c r="AI89" s="828"/>
      <c r="AJ89" s="828"/>
      <c r="AK89" s="828"/>
      <c r="AL89" s="828"/>
      <c r="AM89" s="828"/>
      <c r="AN89" s="828"/>
      <c r="AO89" s="828"/>
      <c r="AP89" s="828"/>
      <c r="AQ89" s="828"/>
      <c r="AR89" s="828"/>
      <c r="AS89" s="828"/>
      <c r="AT89" s="828"/>
      <c r="AU89" s="828"/>
      <c r="AV89" s="899"/>
      <c r="AW89" s="828"/>
      <c r="AX89" s="828"/>
      <c r="AY89" s="828"/>
      <c r="BI89" s="828"/>
      <c r="BJ89" s="828"/>
      <c r="BK89" s="877"/>
      <c r="BL89" s="877"/>
      <c r="BM89" s="1097"/>
      <c r="BN89" s="1097"/>
      <c r="BO89" s="828"/>
      <c r="BP89" s="828"/>
      <c r="BQ89" s="828"/>
      <c r="BR89" s="828"/>
      <c r="BS89" s="828"/>
      <c r="BT89" s="828"/>
      <c r="BU89" s="828"/>
      <c r="BV89" s="828"/>
      <c r="BW89" s="828"/>
      <c r="BX89" s="828"/>
      <c r="BY89" s="828"/>
      <c r="BZ89" s="828"/>
      <c r="CA89" s="828"/>
      <c r="CB89" s="828"/>
      <c r="CC89" s="828"/>
      <c r="CD89" s="828"/>
      <c r="CE89" s="829"/>
      <c r="CF89" s="828"/>
      <c r="CG89" s="828"/>
      <c r="CH89" s="830"/>
      <c r="CI89" s="830"/>
      <c r="CJ89" s="830"/>
      <c r="CK89" s="1143"/>
      <c r="CL89" s="830"/>
      <c r="CM89" s="1099"/>
      <c r="CN89" s="1099"/>
      <c r="CO89" s="1125"/>
      <c r="CP89" s="1125"/>
      <c r="CQ89" s="1125"/>
      <c r="CR89" s="2317"/>
      <c r="CS89" s="2317"/>
      <c r="CT89" s="828"/>
      <c r="CU89" s="828"/>
      <c r="CV89" s="828"/>
      <c r="CW89" s="877"/>
    </row>
    <row r="90" spans="1:101" ht="14.5" x14ac:dyDescent="0.25">
      <c r="B90" s="820"/>
      <c r="E90" s="820"/>
      <c r="F90" s="820"/>
      <c r="G90" s="820"/>
      <c r="H90" s="820"/>
      <c r="I90" s="820"/>
      <c r="J90" s="820"/>
      <c r="K90" s="820"/>
      <c r="L90" s="1100"/>
      <c r="M90" s="947"/>
      <c r="N90" s="1145"/>
      <c r="O90" s="1146"/>
      <c r="P90" s="947"/>
      <c r="Q90" s="832"/>
      <c r="R90" s="832"/>
      <c r="S90" s="1141"/>
      <c r="T90" s="1141"/>
      <c r="U90" s="1141"/>
      <c r="V90" s="1141"/>
      <c r="W90" s="1147"/>
      <c r="X90" s="1141"/>
      <c r="AA90" s="107"/>
      <c r="AB90" s="828"/>
      <c r="AC90" s="828"/>
      <c r="AD90" s="828"/>
      <c r="AE90" s="828"/>
      <c r="AF90" s="829"/>
      <c r="AG90" s="828"/>
      <c r="AH90" s="828"/>
      <c r="AI90" s="828"/>
      <c r="AJ90" s="828"/>
      <c r="AK90" s="828"/>
      <c r="AL90" s="828"/>
      <c r="AM90" s="828"/>
      <c r="AN90" s="828"/>
      <c r="AO90" s="828"/>
      <c r="AP90" s="828"/>
      <c r="AQ90" s="828"/>
      <c r="AR90" s="828"/>
      <c r="AS90" s="828"/>
      <c r="AT90" s="828"/>
      <c r="AU90" s="828"/>
      <c r="AV90" s="899"/>
      <c r="AW90" s="828"/>
      <c r="AX90" s="828"/>
      <c r="AY90" s="828"/>
      <c r="BI90" s="828"/>
      <c r="BJ90" s="828"/>
      <c r="BK90" s="877"/>
      <c r="BL90" s="877"/>
      <c r="BM90" s="1097"/>
      <c r="BN90" s="1097"/>
      <c r="BO90" s="828"/>
      <c r="BP90" s="828"/>
      <c r="BQ90" s="828"/>
      <c r="BR90" s="828"/>
      <c r="BS90" s="828"/>
      <c r="BT90" s="828"/>
      <c r="BU90" s="828"/>
      <c r="BV90" s="828"/>
      <c r="BW90" s="828"/>
      <c r="BX90" s="828"/>
      <c r="BY90" s="828"/>
      <c r="BZ90" s="828"/>
      <c r="CA90" s="828"/>
      <c r="CB90" s="828"/>
      <c r="CC90" s="828"/>
      <c r="CD90" s="828"/>
      <c r="CE90" s="829"/>
      <c r="CF90" s="828"/>
      <c r="CG90" s="828"/>
      <c r="CH90" s="830"/>
      <c r="CI90" s="830"/>
      <c r="CJ90" s="830"/>
      <c r="CK90" s="1143"/>
      <c r="CL90" s="830"/>
      <c r="CM90" s="1099"/>
      <c r="CN90" s="1099"/>
      <c r="CO90" s="1125"/>
      <c r="CP90" s="1125"/>
      <c r="CQ90" s="1125"/>
      <c r="CR90" s="1144"/>
      <c r="CS90" s="1144"/>
      <c r="CT90" s="828"/>
      <c r="CU90" s="828"/>
      <c r="CV90" s="828"/>
      <c r="CW90" s="877"/>
    </row>
    <row r="91" spans="1:101" ht="22.5" customHeight="1" x14ac:dyDescent="0.25">
      <c r="B91" s="820"/>
      <c r="E91" s="820"/>
      <c r="F91" s="820"/>
      <c r="G91" s="820"/>
      <c r="H91" s="820"/>
      <c r="I91" s="820"/>
      <c r="J91" s="820"/>
      <c r="K91" s="820"/>
      <c r="L91" s="1100"/>
      <c r="M91" s="947"/>
      <c r="N91" s="1148">
        <v>650527200</v>
      </c>
      <c r="O91" s="1148">
        <f>10821120+14965440+10251840+22655520+35816640+28646400+41260800+25261440+15157440+6366720</f>
        <v>211203360</v>
      </c>
      <c r="P91" s="947"/>
      <c r="Q91" s="832"/>
      <c r="R91" s="832"/>
      <c r="S91" s="1141"/>
      <c r="T91" s="1141"/>
      <c r="U91" s="1141"/>
      <c r="V91" s="1141"/>
      <c r="W91" s="1147"/>
      <c r="X91" s="1141"/>
      <c r="AA91" s="107"/>
      <c r="AB91" s="828"/>
      <c r="AC91" s="828"/>
      <c r="AD91" s="828"/>
      <c r="AE91" s="828"/>
      <c r="AF91" s="829"/>
      <c r="AG91" s="828"/>
      <c r="AH91" s="828"/>
      <c r="AI91" s="828"/>
      <c r="AJ91" s="828"/>
      <c r="AK91" s="828"/>
      <c r="AL91" s="828"/>
      <c r="AM91" s="828"/>
      <c r="AN91" s="828"/>
      <c r="AO91" s="828"/>
      <c r="AP91" s="828"/>
      <c r="AQ91" s="828"/>
      <c r="AR91" s="828"/>
      <c r="AS91" s="828"/>
      <c r="AT91" s="828"/>
      <c r="AU91" s="828"/>
      <c r="AV91" s="899"/>
      <c r="AW91" s="828"/>
      <c r="AX91" s="828"/>
      <c r="AY91" s="828"/>
      <c r="BI91" s="828"/>
      <c r="BJ91" s="828"/>
      <c r="BK91" s="877"/>
      <c r="BL91" s="877"/>
      <c r="BM91" s="1097"/>
      <c r="BN91" s="1097"/>
      <c r="BO91" s="828"/>
      <c r="BP91" s="828"/>
      <c r="BQ91" s="828"/>
      <c r="BR91" s="828"/>
      <c r="BS91" s="828"/>
      <c r="BT91" s="828"/>
      <c r="BU91" s="828"/>
      <c r="BV91" s="828"/>
      <c r="BW91" s="828"/>
      <c r="BX91" s="828"/>
      <c r="BY91" s="828"/>
      <c r="BZ91" s="828"/>
      <c r="CA91" s="828"/>
      <c r="CB91" s="828"/>
      <c r="CC91" s="828"/>
      <c r="CD91" s="828"/>
      <c r="CE91" s="829"/>
      <c r="CF91" s="828"/>
      <c r="CG91" s="828"/>
      <c r="CH91" s="830"/>
      <c r="CI91" s="830"/>
      <c r="CJ91" s="830"/>
      <c r="CK91" s="1143"/>
      <c r="CL91" s="830"/>
      <c r="CM91" s="1099"/>
      <c r="CN91" s="1099"/>
      <c r="CO91" s="1125"/>
      <c r="CP91" s="1125"/>
      <c r="CQ91" s="1125"/>
      <c r="CR91" s="1144"/>
      <c r="CS91" s="1144"/>
      <c r="CT91" s="828"/>
      <c r="CU91" s="828"/>
      <c r="CV91" s="828"/>
      <c r="CW91" s="877"/>
    </row>
    <row r="92" spans="1:101" ht="14.5" x14ac:dyDescent="0.25">
      <c r="B92" s="820"/>
      <c r="E92" s="820"/>
      <c r="F92" s="820"/>
      <c r="G92" s="820"/>
      <c r="H92" s="820"/>
      <c r="I92" s="820"/>
      <c r="J92" s="820"/>
      <c r="K92" s="820"/>
      <c r="L92" s="1100"/>
      <c r="M92" s="947"/>
      <c r="N92" s="1145"/>
      <c r="O92" s="1146"/>
      <c r="P92" s="947"/>
      <c r="Q92" s="832"/>
      <c r="R92" s="832"/>
      <c r="S92" s="1141"/>
      <c r="T92" s="1141"/>
      <c r="U92" s="1149"/>
      <c r="V92" s="1141"/>
      <c r="W92" s="1147"/>
      <c r="X92" s="1141"/>
      <c r="AA92" s="107"/>
      <c r="AB92" s="828"/>
      <c r="AC92" s="828"/>
      <c r="AD92" s="828"/>
      <c r="AE92" s="828"/>
      <c r="AF92" s="829"/>
      <c r="AG92" s="828"/>
      <c r="AH92" s="828"/>
      <c r="AI92" s="828"/>
      <c r="AJ92" s="828"/>
      <c r="AK92" s="828"/>
      <c r="AL92" s="828"/>
      <c r="AM92" s="828"/>
      <c r="AN92" s="828"/>
      <c r="AO92" s="828"/>
      <c r="AP92" s="828"/>
      <c r="AQ92" s="828"/>
      <c r="AR92" s="828"/>
      <c r="AS92" s="828"/>
      <c r="AT92" s="828"/>
      <c r="AU92" s="828"/>
      <c r="AV92" s="899"/>
      <c r="AW92" s="828"/>
      <c r="AX92" s="828"/>
      <c r="AY92" s="828"/>
      <c r="BI92" s="828"/>
      <c r="BJ92" s="828"/>
      <c r="BK92" s="877"/>
      <c r="BL92" s="877"/>
      <c r="BM92" s="1097"/>
      <c r="BN92" s="1097"/>
      <c r="BO92" s="828"/>
      <c r="BP92" s="828"/>
      <c r="BQ92" s="828"/>
      <c r="BR92" s="828"/>
      <c r="BS92" s="828"/>
      <c r="BT92" s="828"/>
      <c r="BU92" s="828"/>
      <c r="BV92" s="828"/>
      <c r="BW92" s="828"/>
      <c r="BX92" s="828"/>
      <c r="BY92" s="828"/>
      <c r="BZ92" s="828"/>
      <c r="CA92" s="828"/>
      <c r="CB92" s="828"/>
      <c r="CC92" s="828"/>
      <c r="CD92" s="828"/>
      <c r="CE92" s="829"/>
      <c r="CF92" s="828"/>
      <c r="CG92" s="828"/>
      <c r="CH92" s="830"/>
      <c r="CI92" s="830"/>
      <c r="CJ92" s="830"/>
      <c r="CK92" s="1143"/>
      <c r="CL92" s="830"/>
      <c r="CM92" s="1099"/>
      <c r="CN92" s="1099"/>
      <c r="CO92" s="1125"/>
      <c r="CP92" s="1125"/>
      <c r="CQ92" s="1125"/>
      <c r="CR92" s="1144"/>
      <c r="CS92" s="1144"/>
      <c r="CT92" s="828"/>
      <c r="CU92" s="828"/>
      <c r="CV92" s="828"/>
      <c r="CW92" s="877"/>
    </row>
    <row r="93" spans="1:101" ht="14.5" x14ac:dyDescent="0.25">
      <c r="B93" s="820"/>
      <c r="E93" s="820"/>
      <c r="F93" s="820"/>
      <c r="G93" s="820"/>
      <c r="H93" s="820"/>
      <c r="I93" s="820"/>
      <c r="J93" s="820"/>
      <c r="K93" s="820"/>
      <c r="M93" s="947"/>
      <c r="N93" s="1145"/>
      <c r="O93" s="1146"/>
      <c r="P93" s="947"/>
      <c r="Q93" s="832"/>
      <c r="R93" s="832"/>
      <c r="S93" s="1141"/>
      <c r="T93" s="1141"/>
      <c r="U93" s="1141"/>
      <c r="V93" s="1141"/>
      <c r="W93" s="1147"/>
      <c r="X93" s="1141"/>
      <c r="AA93" s="107"/>
      <c r="AB93" s="828"/>
      <c r="AC93" s="828"/>
      <c r="AD93" s="828"/>
      <c r="AE93" s="828"/>
      <c r="AF93" s="829"/>
      <c r="AG93" s="828"/>
      <c r="AH93" s="828"/>
      <c r="AI93" s="828"/>
      <c r="AJ93" s="828"/>
      <c r="AK93" s="828"/>
      <c r="AL93" s="828"/>
      <c r="AM93" s="828"/>
      <c r="AN93" s="828"/>
      <c r="AO93" s="828"/>
      <c r="AP93" s="828"/>
      <c r="AQ93" s="828"/>
      <c r="AR93" s="828"/>
      <c r="AS93" s="828"/>
      <c r="AT93" s="828"/>
      <c r="AU93" s="828"/>
      <c r="AV93" s="899"/>
      <c r="AW93" s="828"/>
      <c r="AX93" s="828"/>
      <c r="AY93" s="828"/>
      <c r="BI93" s="828"/>
      <c r="BJ93" s="828"/>
      <c r="BK93" s="877"/>
      <c r="BL93" s="877"/>
      <c r="BM93" s="1097"/>
      <c r="BN93" s="1097"/>
      <c r="BO93" s="828"/>
      <c r="BP93" s="828"/>
      <c r="BQ93" s="828"/>
      <c r="BR93" s="828"/>
      <c r="BS93" s="828"/>
      <c r="BT93" s="828"/>
      <c r="BU93" s="828"/>
      <c r="BV93" s="828"/>
      <c r="BW93" s="828"/>
      <c r="BX93" s="828"/>
      <c r="BY93" s="828"/>
      <c r="BZ93" s="828"/>
      <c r="CA93" s="828"/>
      <c r="CB93" s="828"/>
      <c r="CC93" s="828"/>
      <c r="CD93" s="828"/>
      <c r="CE93" s="829"/>
      <c r="CF93" s="828"/>
      <c r="CG93" s="828"/>
      <c r="CH93" s="830"/>
      <c r="CI93" s="830"/>
      <c r="CJ93" s="830"/>
      <c r="CK93" s="1143"/>
      <c r="CL93" s="830"/>
      <c r="CM93" s="1099"/>
      <c r="CN93" s="1099"/>
      <c r="CO93" s="1125"/>
      <c r="CP93" s="1125"/>
      <c r="CQ93" s="1125"/>
      <c r="CR93" s="1144"/>
      <c r="CS93" s="1144"/>
      <c r="CT93" s="828"/>
      <c r="CU93" s="828"/>
      <c r="CV93" s="828"/>
      <c r="CW93" s="877"/>
    </row>
    <row r="94" spans="1:101" ht="14.5" x14ac:dyDescent="0.25">
      <c r="B94" s="820"/>
      <c r="E94" s="820"/>
      <c r="F94" s="820"/>
      <c r="G94" s="820"/>
      <c r="H94" s="820"/>
      <c r="I94" s="820"/>
      <c r="J94" s="820"/>
      <c r="K94" s="820"/>
      <c r="M94" s="947"/>
      <c r="N94" s="1145"/>
      <c r="O94" s="1146"/>
      <c r="P94" s="947"/>
      <c r="Q94" s="820"/>
      <c r="R94" s="820"/>
      <c r="S94" s="1141"/>
      <c r="T94" s="1141"/>
      <c r="U94" s="1141"/>
      <c r="V94" s="1141"/>
      <c r="W94" s="1147"/>
      <c r="X94" s="1141"/>
      <c r="Y94" s="828"/>
      <c r="Z94" s="828"/>
      <c r="AA94" s="107"/>
      <c r="AB94" s="828"/>
      <c r="AC94" s="828"/>
      <c r="AD94" s="828"/>
      <c r="AE94" s="828"/>
      <c r="AF94" s="829"/>
      <c r="AG94" s="828"/>
      <c r="AH94" s="828"/>
      <c r="AI94" s="828"/>
      <c r="AJ94" s="828"/>
      <c r="AK94" s="828"/>
      <c r="AL94" s="828"/>
      <c r="AM94" s="828"/>
      <c r="AN94" s="828"/>
      <c r="AO94" s="828"/>
      <c r="AP94" s="828"/>
      <c r="AQ94" s="828"/>
      <c r="AR94" s="828"/>
      <c r="AS94" s="828"/>
      <c r="AT94" s="828"/>
      <c r="AU94" s="828"/>
      <c r="AV94" s="899"/>
      <c r="AW94" s="828"/>
      <c r="AX94" s="828"/>
      <c r="AY94" s="828"/>
      <c r="BI94" s="828"/>
      <c r="BJ94" s="828"/>
      <c r="BK94" s="877"/>
      <c r="BL94" s="877"/>
      <c r="BM94" s="1097"/>
      <c r="BN94" s="1097"/>
      <c r="BO94" s="828"/>
      <c r="BP94" s="828"/>
      <c r="BQ94" s="828"/>
      <c r="BR94" s="828"/>
      <c r="BS94" s="828"/>
      <c r="BT94" s="828"/>
      <c r="BU94" s="828"/>
      <c r="BV94" s="828"/>
      <c r="BW94" s="828"/>
      <c r="BX94" s="828"/>
      <c r="BY94" s="828"/>
      <c r="BZ94" s="828"/>
      <c r="CA94" s="828"/>
      <c r="CB94" s="828"/>
      <c r="CC94" s="828"/>
      <c r="CD94" s="828"/>
      <c r="CE94" s="829"/>
      <c r="CF94" s="828"/>
      <c r="CG94" s="828"/>
      <c r="CH94" s="830"/>
      <c r="CI94" s="830"/>
      <c r="CJ94" s="830"/>
      <c r="CK94" s="1143"/>
      <c r="CL94" s="830"/>
      <c r="CM94" s="1099"/>
      <c r="CN94" s="1099"/>
      <c r="CO94" s="1125"/>
      <c r="CP94" s="1125"/>
      <c r="CQ94" s="1125"/>
      <c r="CR94" s="1144"/>
      <c r="CS94" s="1144"/>
      <c r="CT94" s="828"/>
      <c r="CU94" s="828"/>
      <c r="CV94" s="828"/>
      <c r="CW94" s="877"/>
    </row>
    <row r="95" spans="1:101" ht="14" x14ac:dyDescent="0.25">
      <c r="B95" s="820"/>
      <c r="E95" s="820"/>
      <c r="F95" s="820"/>
      <c r="G95" s="820"/>
      <c r="H95" s="820"/>
      <c r="I95" s="820"/>
      <c r="J95" s="820"/>
      <c r="K95" s="820"/>
      <c r="Q95" s="820"/>
      <c r="R95" s="820"/>
      <c r="S95" s="1141"/>
      <c r="T95" s="1141"/>
      <c r="U95" s="1141"/>
      <c r="V95" s="1141"/>
      <c r="W95" s="1147"/>
      <c r="X95" s="1141"/>
      <c r="Y95" s="828"/>
      <c r="Z95" s="828"/>
      <c r="AA95" s="107"/>
      <c r="AB95" s="828"/>
      <c r="AC95" s="828"/>
      <c r="AD95" s="828"/>
      <c r="AE95" s="828"/>
      <c r="AF95" s="829"/>
      <c r="AG95" s="828"/>
      <c r="AH95" s="828"/>
      <c r="AI95" s="828"/>
      <c r="AJ95" s="828"/>
      <c r="AK95" s="828"/>
      <c r="AL95" s="828"/>
      <c r="AM95" s="828"/>
      <c r="AN95" s="828"/>
      <c r="AO95" s="828"/>
      <c r="AP95" s="828"/>
      <c r="AQ95" s="828"/>
      <c r="AR95" s="828"/>
      <c r="AS95" s="828"/>
      <c r="AT95" s="828"/>
      <c r="AU95" s="828"/>
      <c r="AV95" s="899"/>
      <c r="AW95" s="828"/>
      <c r="AX95" s="828"/>
      <c r="AY95" s="828"/>
      <c r="BI95" s="828"/>
      <c r="BJ95" s="828"/>
      <c r="BK95" s="877"/>
      <c r="BL95" s="877"/>
      <c r="BM95" s="1097"/>
      <c r="BN95" s="1097"/>
      <c r="BO95" s="828"/>
      <c r="BP95" s="828"/>
      <c r="BQ95" s="828"/>
      <c r="BR95" s="828"/>
      <c r="BS95" s="828"/>
      <c r="BT95" s="828"/>
      <c r="BU95" s="828"/>
      <c r="BV95" s="828"/>
      <c r="BW95" s="828"/>
      <c r="BX95" s="828"/>
      <c r="BY95" s="828"/>
      <c r="BZ95" s="828"/>
      <c r="CA95" s="828"/>
      <c r="CB95" s="828"/>
      <c r="CC95" s="828"/>
      <c r="CD95" s="828"/>
      <c r="CE95" s="829"/>
      <c r="CF95" s="828"/>
      <c r="CG95" s="828"/>
      <c r="CH95" s="830"/>
      <c r="CI95" s="830"/>
      <c r="CJ95" s="830"/>
      <c r="CK95" s="1143"/>
      <c r="CL95" s="830"/>
      <c r="CM95" s="1099"/>
      <c r="CN95" s="1099"/>
      <c r="CO95" s="1125"/>
      <c r="CP95" s="1125"/>
      <c r="CQ95" s="1125"/>
      <c r="CR95" s="1144"/>
      <c r="CS95" s="1144"/>
      <c r="CT95" s="828"/>
      <c r="CU95" s="828"/>
      <c r="CV95" s="828"/>
      <c r="CW95" s="877"/>
    </row>
    <row r="96" spans="1:101" ht="14" x14ac:dyDescent="0.25">
      <c r="B96" s="820"/>
      <c r="E96" s="820"/>
      <c r="F96" s="820"/>
      <c r="G96" s="820"/>
      <c r="H96" s="820"/>
      <c r="I96" s="820"/>
      <c r="J96" s="820"/>
      <c r="K96" s="820"/>
      <c r="Q96" s="820"/>
      <c r="R96" s="820"/>
      <c r="S96" s="1141"/>
      <c r="T96" s="1141"/>
      <c r="U96" s="1141"/>
      <c r="V96" s="1141"/>
      <c r="W96" s="1147"/>
      <c r="X96" s="1141"/>
      <c r="Y96" s="828"/>
      <c r="Z96" s="828"/>
      <c r="AA96" s="107"/>
      <c r="AB96" s="828"/>
      <c r="AC96" s="828"/>
      <c r="AD96" s="828"/>
      <c r="AE96" s="828"/>
      <c r="AF96" s="829"/>
      <c r="AG96" s="828"/>
      <c r="AH96" s="828"/>
      <c r="AI96" s="828"/>
      <c r="AJ96" s="828"/>
      <c r="AK96" s="828"/>
      <c r="AL96" s="828"/>
      <c r="AM96" s="828"/>
      <c r="AN96" s="828"/>
      <c r="AO96" s="828"/>
      <c r="AP96" s="828"/>
      <c r="AQ96" s="828"/>
      <c r="AR96" s="828"/>
      <c r="AS96" s="828"/>
      <c r="AT96" s="828"/>
      <c r="AU96" s="828"/>
      <c r="AV96" s="899"/>
      <c r="AW96" s="828"/>
      <c r="AX96" s="828"/>
      <c r="AY96" s="828"/>
      <c r="BI96" s="828"/>
      <c r="BJ96" s="828"/>
      <c r="BK96" s="877"/>
      <c r="BL96" s="877"/>
      <c r="BM96" s="1097"/>
      <c r="BN96" s="1097"/>
      <c r="BO96" s="828"/>
      <c r="BP96" s="828"/>
      <c r="BQ96" s="828"/>
      <c r="BR96" s="828"/>
      <c r="BS96" s="828"/>
      <c r="BT96" s="828"/>
      <c r="BU96" s="828"/>
      <c r="BV96" s="828"/>
      <c r="BW96" s="828"/>
      <c r="BX96" s="828"/>
      <c r="BY96" s="828"/>
      <c r="BZ96" s="828"/>
      <c r="CA96" s="828"/>
      <c r="CB96" s="828"/>
      <c r="CC96" s="828"/>
      <c r="CD96" s="828"/>
      <c r="CE96" s="829"/>
      <c r="CF96" s="828"/>
      <c r="CG96" s="828"/>
      <c r="CH96" s="830"/>
      <c r="CI96" s="830"/>
      <c r="CJ96" s="830"/>
      <c r="CK96" s="1143"/>
      <c r="CL96" s="830"/>
      <c r="CM96" s="1099"/>
      <c r="CN96" s="1099"/>
      <c r="CO96" s="1125"/>
      <c r="CP96" s="1125"/>
      <c r="CQ96" s="1125"/>
      <c r="CR96" s="1144"/>
      <c r="CS96" s="1144"/>
      <c r="CT96" s="828"/>
      <c r="CU96" s="828"/>
      <c r="CV96" s="828"/>
      <c r="CW96" s="877"/>
    </row>
    <row r="97" spans="1:102" ht="14" x14ac:dyDescent="0.25">
      <c r="B97" s="820"/>
      <c r="E97" s="820"/>
      <c r="F97" s="820"/>
      <c r="G97" s="820"/>
      <c r="H97" s="820"/>
      <c r="I97" s="820"/>
      <c r="J97" s="820"/>
      <c r="K97" s="820"/>
      <c r="Q97" s="820"/>
      <c r="R97" s="820"/>
      <c r="S97" s="1141"/>
      <c r="T97" s="1141"/>
      <c r="U97" s="1141"/>
      <c r="V97" s="1141"/>
      <c r="W97" s="1147"/>
      <c r="X97" s="1141"/>
      <c r="Y97" s="828"/>
      <c r="Z97" s="828"/>
      <c r="AA97" s="107"/>
      <c r="AB97" s="828"/>
      <c r="AC97" s="828"/>
      <c r="AD97" s="828"/>
      <c r="AE97" s="828"/>
      <c r="AF97" s="829"/>
      <c r="AG97" s="828"/>
      <c r="AH97" s="828"/>
      <c r="AI97" s="828"/>
      <c r="AJ97" s="828"/>
      <c r="AK97" s="828"/>
      <c r="AL97" s="828"/>
      <c r="AM97" s="828"/>
      <c r="AN97" s="828"/>
      <c r="AO97" s="828"/>
      <c r="AP97" s="828"/>
      <c r="AQ97" s="828"/>
      <c r="AR97" s="828"/>
      <c r="AS97" s="828"/>
      <c r="AT97" s="828"/>
      <c r="AU97" s="828"/>
      <c r="AV97" s="899"/>
      <c r="AW97" s="828"/>
      <c r="AX97" s="828"/>
      <c r="AY97" s="828"/>
      <c r="BI97" s="828"/>
      <c r="BJ97" s="828"/>
      <c r="BK97" s="877"/>
      <c r="BL97" s="877"/>
      <c r="BM97" s="1097"/>
      <c r="BN97" s="1097"/>
      <c r="BO97" s="828"/>
      <c r="BP97" s="828"/>
      <c r="BQ97" s="828"/>
      <c r="BR97" s="828"/>
      <c r="BS97" s="828"/>
      <c r="BT97" s="828"/>
      <c r="BU97" s="828"/>
      <c r="BV97" s="828"/>
      <c r="BW97" s="828"/>
      <c r="BX97" s="828"/>
      <c r="BY97" s="828"/>
      <c r="BZ97" s="828"/>
      <c r="CA97" s="828"/>
      <c r="CB97" s="828"/>
      <c r="CC97" s="828"/>
      <c r="CD97" s="828"/>
      <c r="CE97" s="829"/>
      <c r="CF97" s="828"/>
      <c r="CG97" s="828"/>
      <c r="CH97" s="830"/>
      <c r="CI97" s="830"/>
      <c r="CJ97" s="830"/>
      <c r="CK97" s="1143"/>
      <c r="CL97" s="830"/>
      <c r="CM97" s="1099"/>
      <c r="CN97" s="1099"/>
      <c r="CO97" s="1125"/>
      <c r="CP97" s="1125"/>
      <c r="CQ97" s="1125"/>
      <c r="CR97" s="1144"/>
      <c r="CS97" s="1144"/>
      <c r="CT97" s="828"/>
      <c r="CU97" s="828"/>
      <c r="CV97" s="828"/>
      <c r="CW97" s="877"/>
    </row>
    <row r="98" spans="1:102" ht="14" x14ac:dyDescent="0.25">
      <c r="B98" s="820"/>
      <c r="E98" s="820"/>
      <c r="F98" s="820"/>
      <c r="G98" s="820"/>
      <c r="H98" s="820"/>
      <c r="I98" s="820"/>
      <c r="J98" s="820"/>
      <c r="K98" s="820"/>
      <c r="Q98" s="820"/>
      <c r="R98" s="820"/>
      <c r="S98" s="1141"/>
      <c r="T98" s="1141"/>
      <c r="U98" s="1141"/>
      <c r="V98" s="1141"/>
      <c r="W98" s="1147"/>
      <c r="X98" s="1141"/>
      <c r="Y98" s="828"/>
      <c r="Z98" s="828"/>
      <c r="AA98" s="107"/>
      <c r="AB98" s="828"/>
      <c r="AC98" s="828"/>
      <c r="AD98" s="828"/>
      <c r="AE98" s="828"/>
      <c r="AF98" s="829"/>
      <c r="AG98" s="828"/>
      <c r="AH98" s="828"/>
      <c r="AI98" s="828"/>
      <c r="AJ98" s="828"/>
      <c r="AK98" s="828"/>
      <c r="AL98" s="828"/>
      <c r="AM98" s="828"/>
      <c r="AN98" s="828"/>
      <c r="AO98" s="828"/>
      <c r="AP98" s="828"/>
      <c r="AQ98" s="828"/>
      <c r="AR98" s="828"/>
      <c r="AS98" s="828"/>
      <c r="AT98" s="828"/>
      <c r="AU98" s="828"/>
      <c r="AV98" s="899"/>
      <c r="AW98" s="828"/>
      <c r="AX98" s="828"/>
      <c r="AY98" s="828"/>
      <c r="BI98" s="828"/>
      <c r="BJ98" s="828"/>
      <c r="BK98" s="877"/>
      <c r="BL98" s="877"/>
      <c r="BM98" s="1097"/>
      <c r="BN98" s="1097"/>
      <c r="BO98" s="828"/>
      <c r="BP98" s="828"/>
      <c r="BQ98" s="828"/>
      <c r="BR98" s="828"/>
      <c r="BS98" s="828"/>
      <c r="BT98" s="828"/>
      <c r="BU98" s="828"/>
      <c r="BV98" s="828"/>
      <c r="BW98" s="828"/>
      <c r="BX98" s="828"/>
      <c r="BY98" s="828"/>
      <c r="BZ98" s="828"/>
      <c r="CA98" s="828"/>
      <c r="CB98" s="828"/>
      <c r="CC98" s="828"/>
      <c r="CD98" s="828"/>
      <c r="CE98" s="829"/>
      <c r="CF98" s="828"/>
      <c r="CG98" s="828"/>
      <c r="CH98" s="830"/>
      <c r="CI98" s="830"/>
      <c r="CJ98" s="830"/>
      <c r="CK98" s="1143"/>
      <c r="CL98" s="830"/>
      <c r="CM98" s="1099"/>
      <c r="CN98" s="1099"/>
      <c r="CO98" s="1125"/>
      <c r="CP98" s="1125"/>
      <c r="CQ98" s="1125"/>
      <c r="CR98" s="1144"/>
      <c r="CS98" s="1144"/>
      <c r="CT98" s="828"/>
      <c r="CU98" s="828"/>
      <c r="CV98" s="828"/>
      <c r="CW98" s="877"/>
    </row>
    <row r="99" spans="1:102" ht="14" x14ac:dyDescent="0.25">
      <c r="B99" s="820"/>
      <c r="E99" s="820"/>
      <c r="F99" s="820"/>
      <c r="G99" s="820"/>
      <c r="H99" s="820"/>
      <c r="I99" s="820"/>
      <c r="J99" s="820"/>
      <c r="K99" s="820"/>
      <c r="Q99" s="820"/>
      <c r="R99" s="820"/>
      <c r="S99" s="1141"/>
      <c r="T99" s="1141"/>
      <c r="U99" s="1141"/>
      <c r="V99" s="1141"/>
      <c r="W99" s="1147"/>
      <c r="X99" s="1141"/>
      <c r="Y99" s="828"/>
      <c r="Z99" s="828"/>
      <c r="AA99" s="107"/>
      <c r="AB99" s="828"/>
      <c r="AC99" s="828"/>
      <c r="AD99" s="828"/>
      <c r="AE99" s="828"/>
      <c r="AF99" s="829"/>
      <c r="AG99" s="828"/>
      <c r="AH99" s="828"/>
      <c r="AI99" s="828"/>
      <c r="AJ99" s="828"/>
      <c r="AK99" s="828"/>
      <c r="AL99" s="828"/>
      <c r="AM99" s="828"/>
      <c r="AN99" s="828"/>
      <c r="AO99" s="828"/>
      <c r="AP99" s="828"/>
      <c r="AQ99" s="828"/>
      <c r="AR99" s="828"/>
      <c r="AS99" s="828"/>
      <c r="AT99" s="828"/>
      <c r="AU99" s="828"/>
      <c r="AV99" s="899"/>
      <c r="AW99" s="828"/>
      <c r="AX99" s="828"/>
      <c r="AY99" s="828"/>
      <c r="BI99" s="828"/>
      <c r="BJ99" s="828"/>
      <c r="BK99" s="877"/>
      <c r="BL99" s="877"/>
      <c r="BM99" s="1097"/>
      <c r="BN99" s="1097"/>
      <c r="BO99" s="828"/>
      <c r="BP99" s="828"/>
      <c r="BQ99" s="828"/>
      <c r="BR99" s="828"/>
      <c r="BS99" s="828"/>
      <c r="BT99" s="828"/>
      <c r="BU99" s="828"/>
      <c r="BV99" s="828"/>
      <c r="BW99" s="828"/>
      <c r="BX99" s="828"/>
      <c r="BY99" s="828"/>
      <c r="BZ99" s="828"/>
      <c r="CA99" s="828"/>
      <c r="CB99" s="828"/>
      <c r="CC99" s="828"/>
      <c r="CD99" s="828"/>
      <c r="CE99" s="829"/>
      <c r="CF99" s="828"/>
      <c r="CG99" s="828"/>
      <c r="CH99" s="830"/>
      <c r="CI99" s="830"/>
      <c r="CJ99" s="830"/>
      <c r="CK99" s="1143"/>
      <c r="CL99" s="830"/>
      <c r="CM99" s="1099"/>
      <c r="CN99" s="1099"/>
      <c r="CO99" s="1125"/>
      <c r="CP99" s="1125"/>
      <c r="CQ99" s="1125"/>
      <c r="CR99" s="1144"/>
      <c r="CS99" s="1144"/>
      <c r="CT99" s="828"/>
      <c r="CU99" s="828"/>
      <c r="CV99" s="828"/>
      <c r="CW99" s="877"/>
    </row>
    <row r="100" spans="1:102" ht="14" x14ac:dyDescent="0.25">
      <c r="B100" s="820"/>
      <c r="E100" s="820"/>
      <c r="F100" s="820"/>
      <c r="G100" s="820"/>
      <c r="H100" s="820"/>
      <c r="I100" s="820"/>
      <c r="J100" s="820"/>
      <c r="K100" s="820"/>
      <c r="Q100" s="820"/>
      <c r="R100" s="820"/>
      <c r="V100" s="820"/>
      <c r="W100" s="1127"/>
      <c r="X100" s="877"/>
      <c r="Y100" s="828"/>
      <c r="Z100" s="828"/>
      <c r="AA100" s="107"/>
      <c r="AB100" s="828"/>
      <c r="AC100" s="828"/>
      <c r="AD100" s="828"/>
      <c r="AE100" s="828"/>
      <c r="AF100" s="829"/>
      <c r="AG100" s="828"/>
      <c r="AH100" s="828"/>
      <c r="AI100" s="828"/>
      <c r="AJ100" s="828"/>
      <c r="AK100" s="828"/>
      <c r="AL100" s="828"/>
      <c r="AM100" s="828"/>
      <c r="AN100" s="828"/>
      <c r="AO100" s="828"/>
      <c r="AP100" s="828"/>
      <c r="AQ100" s="828"/>
      <c r="AR100" s="828"/>
      <c r="AS100" s="828"/>
      <c r="AT100" s="828"/>
      <c r="AU100" s="828"/>
      <c r="AV100" s="899"/>
      <c r="AW100" s="828"/>
      <c r="AX100" s="828"/>
      <c r="AY100" s="828"/>
      <c r="BI100" s="828"/>
      <c r="BJ100" s="828"/>
      <c r="BK100" s="877"/>
      <c r="BL100" s="877"/>
      <c r="BM100" s="1097"/>
      <c r="BN100" s="1097"/>
      <c r="BO100" s="828"/>
      <c r="BP100" s="828"/>
      <c r="BQ100" s="828"/>
      <c r="BR100" s="828"/>
      <c r="BS100" s="828"/>
      <c r="BT100" s="828"/>
      <c r="BU100" s="828"/>
      <c r="BV100" s="828"/>
      <c r="BW100" s="828"/>
      <c r="BX100" s="828"/>
      <c r="BY100" s="828"/>
      <c r="BZ100" s="828"/>
      <c r="CA100" s="828"/>
      <c r="CB100" s="828"/>
      <c r="CC100" s="828"/>
      <c r="CD100" s="828"/>
      <c r="CE100" s="829"/>
      <c r="CF100" s="828"/>
      <c r="CG100" s="828"/>
      <c r="CH100" s="830"/>
      <c r="CI100" s="830"/>
      <c r="CJ100" s="830"/>
      <c r="CK100" s="1143"/>
      <c r="CL100" s="830"/>
      <c r="CM100" s="1099"/>
      <c r="CN100" s="1099"/>
      <c r="CO100" s="1125"/>
      <c r="CP100" s="1125"/>
      <c r="CQ100" s="1125"/>
      <c r="CR100" s="1144"/>
      <c r="CS100" s="1144"/>
      <c r="CT100" s="828"/>
      <c r="CU100" s="828"/>
      <c r="CV100" s="828"/>
      <c r="CW100" s="877"/>
    </row>
    <row r="101" spans="1:102" ht="14" x14ac:dyDescent="0.25">
      <c r="B101" s="820"/>
      <c r="E101" s="820"/>
      <c r="F101" s="820"/>
      <c r="G101" s="820"/>
      <c r="H101" s="820"/>
      <c r="I101" s="820"/>
      <c r="J101" s="820"/>
      <c r="K101" s="820"/>
      <c r="Q101" s="820"/>
      <c r="R101" s="820"/>
      <c r="V101" s="820"/>
      <c r="W101" s="1127"/>
      <c r="X101" s="877"/>
      <c r="Y101" s="828"/>
      <c r="Z101" s="828"/>
      <c r="AA101" s="107"/>
      <c r="AB101" s="828"/>
      <c r="AC101" s="828"/>
      <c r="AD101" s="828"/>
      <c r="AE101" s="828"/>
      <c r="AF101" s="829"/>
      <c r="AG101" s="828"/>
      <c r="AH101" s="828"/>
      <c r="AI101" s="828"/>
      <c r="AJ101" s="828"/>
      <c r="AK101" s="828"/>
      <c r="AL101" s="828"/>
      <c r="AM101" s="828"/>
      <c r="AN101" s="828"/>
      <c r="AO101" s="828"/>
      <c r="AP101" s="828"/>
      <c r="AQ101" s="828"/>
      <c r="AR101" s="828"/>
      <c r="AS101" s="828"/>
      <c r="AT101" s="828"/>
      <c r="AU101" s="828"/>
      <c r="AV101" s="899"/>
      <c r="AW101" s="828"/>
      <c r="AX101" s="828"/>
      <c r="AY101" s="828"/>
      <c r="BI101" s="828"/>
      <c r="BJ101" s="828"/>
      <c r="BK101" s="877"/>
      <c r="BL101" s="877"/>
      <c r="BM101" s="1097"/>
      <c r="BN101" s="1097"/>
      <c r="BO101" s="828"/>
      <c r="BP101" s="828"/>
      <c r="BQ101" s="828"/>
      <c r="BR101" s="828"/>
      <c r="BS101" s="828"/>
      <c r="BT101" s="828"/>
      <c r="BU101" s="828"/>
      <c r="BV101" s="828"/>
      <c r="BW101" s="828"/>
      <c r="BX101" s="828"/>
      <c r="BY101" s="828"/>
      <c r="BZ101" s="828"/>
      <c r="CA101" s="828"/>
      <c r="CB101" s="828"/>
      <c r="CC101" s="828"/>
      <c r="CD101" s="828"/>
      <c r="CE101" s="829"/>
      <c r="CF101" s="828"/>
      <c r="CG101" s="828"/>
      <c r="CH101" s="830"/>
      <c r="CI101" s="830"/>
      <c r="CJ101" s="830"/>
      <c r="CK101" s="1143"/>
      <c r="CL101" s="830"/>
      <c r="CM101" s="1099"/>
      <c r="CN101" s="1099"/>
      <c r="CO101" s="1125"/>
      <c r="CP101" s="1125"/>
      <c r="CQ101" s="1125"/>
      <c r="CR101" s="1144"/>
      <c r="CS101" s="1144"/>
      <c r="CT101" s="828"/>
      <c r="CU101" s="828"/>
      <c r="CV101" s="828"/>
      <c r="CW101" s="877"/>
    </row>
    <row r="102" spans="1:102" ht="14" x14ac:dyDescent="0.25">
      <c r="B102" s="820"/>
      <c r="E102" s="820"/>
      <c r="F102" s="820"/>
      <c r="G102" s="820"/>
      <c r="H102" s="820"/>
      <c r="I102" s="820"/>
      <c r="J102" s="820"/>
      <c r="K102" s="820"/>
      <c r="Q102" s="820"/>
      <c r="R102" s="820"/>
      <c r="V102" s="820"/>
      <c r="W102" s="1127"/>
      <c r="X102" s="877"/>
      <c r="Y102" s="828"/>
      <c r="Z102" s="828"/>
      <c r="AA102" s="107"/>
      <c r="AB102" s="828"/>
      <c r="AC102" s="828"/>
      <c r="AD102" s="828"/>
      <c r="AE102" s="828"/>
      <c r="AF102" s="829"/>
      <c r="AG102" s="828"/>
      <c r="AH102" s="828"/>
      <c r="AI102" s="828"/>
      <c r="AJ102" s="828"/>
      <c r="AK102" s="828"/>
      <c r="AL102" s="828"/>
      <c r="AM102" s="828"/>
      <c r="AN102" s="828"/>
      <c r="AO102" s="828"/>
      <c r="AP102" s="828"/>
      <c r="AQ102" s="828"/>
      <c r="AR102" s="828"/>
      <c r="AS102" s="828"/>
      <c r="AT102" s="828"/>
      <c r="AU102" s="828"/>
      <c r="AV102" s="899"/>
      <c r="AW102" s="828"/>
      <c r="AX102" s="828"/>
      <c r="AY102" s="828"/>
      <c r="BI102" s="828"/>
      <c r="BJ102" s="828"/>
      <c r="BK102" s="877"/>
      <c r="BL102" s="877"/>
      <c r="BM102" s="1097"/>
      <c r="BN102" s="1097"/>
      <c r="BO102" s="828"/>
      <c r="BP102" s="828"/>
      <c r="BQ102" s="828"/>
      <c r="BR102" s="828"/>
      <c r="BS102" s="828"/>
      <c r="BT102" s="828"/>
      <c r="BU102" s="828"/>
      <c r="BV102" s="828"/>
      <c r="BW102" s="828"/>
      <c r="BX102" s="828"/>
      <c r="BY102" s="828"/>
      <c r="BZ102" s="828"/>
      <c r="CA102" s="828"/>
      <c r="CB102" s="828"/>
      <c r="CC102" s="828"/>
      <c r="CD102" s="828"/>
      <c r="CE102" s="829"/>
      <c r="CF102" s="828"/>
      <c r="CG102" s="828"/>
      <c r="CH102" s="830"/>
      <c r="CI102" s="830"/>
      <c r="CJ102" s="830"/>
      <c r="CK102" s="1143"/>
      <c r="CL102" s="830"/>
      <c r="CM102" s="1099"/>
      <c r="CN102" s="1099"/>
      <c r="CO102" s="1125"/>
      <c r="CP102" s="1125"/>
      <c r="CQ102" s="1125"/>
      <c r="CR102" s="1144"/>
      <c r="CS102" s="1144"/>
      <c r="CT102" s="828"/>
      <c r="CU102" s="828"/>
      <c r="CV102" s="828"/>
      <c r="CW102" s="877"/>
    </row>
    <row r="103" spans="1:102" ht="14" x14ac:dyDescent="0.25">
      <c r="B103" s="820"/>
      <c r="E103" s="820"/>
      <c r="F103" s="820"/>
      <c r="G103" s="820"/>
      <c r="H103" s="820"/>
      <c r="I103" s="820"/>
      <c r="J103" s="820"/>
      <c r="K103" s="820"/>
      <c r="Q103" s="820"/>
      <c r="R103" s="820"/>
      <c r="V103" s="820"/>
      <c r="AV103" s="1152"/>
      <c r="CM103" s="1153"/>
      <c r="CN103" s="1153"/>
      <c r="CO103" s="1154"/>
      <c r="CP103" s="1154"/>
      <c r="CQ103" s="1154"/>
      <c r="CR103" s="1155"/>
      <c r="CS103" s="1155"/>
    </row>
    <row r="104" spans="1:102" ht="19.5" customHeight="1" x14ac:dyDescent="0.25">
      <c r="A104" s="1156"/>
      <c r="B104" s="2387" t="s">
        <v>531</v>
      </c>
      <c r="C104" s="2387"/>
      <c r="D104" s="2387"/>
      <c r="E104" s="2387"/>
      <c r="F104" s="2387"/>
      <c r="G104" s="2387"/>
      <c r="H104" s="2387"/>
      <c r="I104" s="2387"/>
      <c r="J104" s="2387"/>
      <c r="K104" s="820"/>
      <c r="P104" s="2388" t="str">
        <f>N2</f>
        <v>Month December-2022</v>
      </c>
      <c r="Q104" s="2388"/>
      <c r="R104" s="2388"/>
      <c r="V104" s="820"/>
      <c r="AF104" s="1157"/>
      <c r="AV104" s="1152"/>
      <c r="CD104" s="1156"/>
      <c r="CE104" s="1157"/>
      <c r="CF104" s="1156"/>
      <c r="CG104" s="1156"/>
      <c r="CH104" s="1158"/>
      <c r="CI104" s="1158"/>
      <c r="CJ104" s="1158"/>
      <c r="CK104" s="1159"/>
      <c r="CL104" s="1158"/>
      <c r="CM104" s="2389" t="s">
        <v>530</v>
      </c>
      <c r="CN104" s="2389"/>
      <c r="CO104" s="2389"/>
      <c r="CP104" s="2389"/>
      <c r="CQ104" s="2389"/>
    </row>
    <row r="105" spans="1:102" ht="23.25" customHeight="1" x14ac:dyDescent="0.25">
      <c r="A105" s="2305" t="s">
        <v>397</v>
      </c>
      <c r="B105" s="2306"/>
      <c r="C105" s="2306"/>
      <c r="D105" s="2306"/>
      <c r="E105" s="2306"/>
      <c r="F105" s="2306"/>
      <c r="G105" s="2306"/>
      <c r="H105" s="2307"/>
      <c r="I105" s="2305" t="s">
        <v>396</v>
      </c>
      <c r="J105" s="2306"/>
      <c r="K105" s="2306"/>
      <c r="L105" s="2307"/>
      <c r="M105" s="2278" t="s">
        <v>525</v>
      </c>
      <c r="N105" s="2280"/>
      <c r="O105" s="2319" t="s">
        <v>404</v>
      </c>
      <c r="P105" s="2305" t="s">
        <v>403</v>
      </c>
      <c r="Q105" s="2306"/>
      <c r="R105" s="2306"/>
      <c r="S105" s="2306"/>
      <c r="T105" s="2306"/>
      <c r="U105" s="2307"/>
      <c r="V105" s="2305" t="s">
        <v>529</v>
      </c>
      <c r="W105" s="2306"/>
      <c r="X105" s="2306"/>
      <c r="Y105" s="2307"/>
      <c r="Z105" s="848"/>
      <c r="AA105" s="850"/>
      <c r="AB105" s="2311" t="s">
        <v>402</v>
      </c>
      <c r="AC105" s="2311" t="s">
        <v>528</v>
      </c>
      <c r="AD105" s="837"/>
      <c r="AE105" s="837"/>
      <c r="AF105" s="837"/>
      <c r="AG105" s="2385" t="s">
        <v>527</v>
      </c>
      <c r="AH105" s="2385"/>
      <c r="AI105" s="2385"/>
      <c r="AJ105" s="2385"/>
      <c r="AK105" s="2385" t="s">
        <v>516</v>
      </c>
      <c r="AL105" s="2385"/>
      <c r="AM105" s="2385"/>
      <c r="AN105" s="2385"/>
      <c r="AO105" s="2386" t="s">
        <v>526</v>
      </c>
      <c r="AP105" s="2386"/>
      <c r="AQ105" s="837"/>
      <c r="AR105" s="837"/>
      <c r="AS105" s="837"/>
      <c r="AT105" s="837"/>
      <c r="AU105" s="837"/>
      <c r="AV105" s="999"/>
      <c r="AW105" s="837"/>
      <c r="AX105" s="837"/>
      <c r="AY105" s="837"/>
      <c r="BI105" s="837"/>
      <c r="BJ105" s="837"/>
      <c r="BK105" s="839"/>
      <c r="BL105" s="877"/>
      <c r="BM105" s="2313" t="s">
        <v>398</v>
      </c>
      <c r="BN105" s="2314"/>
      <c r="BO105" s="2315" t="s">
        <v>399</v>
      </c>
      <c r="BP105" s="2274"/>
      <c r="BQ105" s="846" t="s">
        <v>398</v>
      </c>
      <c r="BR105" s="828"/>
      <c r="BS105" s="828"/>
      <c r="BT105" s="828"/>
      <c r="BU105" s="828"/>
      <c r="BV105" s="828"/>
      <c r="BW105" s="828"/>
      <c r="BX105" s="828"/>
      <c r="BY105" s="828"/>
      <c r="BZ105" s="828"/>
      <c r="CA105" s="828"/>
      <c r="CB105" s="828"/>
      <c r="CC105" s="828"/>
      <c r="CD105" s="2305" t="s">
        <v>397</v>
      </c>
      <c r="CE105" s="2306"/>
      <c r="CF105" s="2306"/>
      <c r="CG105" s="2306"/>
      <c r="CH105" s="2306"/>
      <c r="CI105" s="2306"/>
      <c r="CJ105" s="2306"/>
      <c r="CK105" s="2307"/>
      <c r="CL105" s="2305" t="s">
        <v>396</v>
      </c>
      <c r="CM105" s="2306"/>
      <c r="CN105" s="2306"/>
      <c r="CO105" s="2307"/>
      <c r="CP105" s="2278" t="s">
        <v>525</v>
      </c>
      <c r="CQ105" s="2280"/>
      <c r="CR105" s="2305" t="s">
        <v>403</v>
      </c>
      <c r="CS105" s="2306"/>
      <c r="CT105" s="2306"/>
      <c r="CU105" s="2278" t="s">
        <v>524</v>
      </c>
      <c r="CV105" s="2280"/>
      <c r="CW105" s="2308" t="s">
        <v>391</v>
      </c>
      <c r="CX105" s="2310" t="s">
        <v>393</v>
      </c>
    </row>
    <row r="106" spans="1:102" ht="42" x14ac:dyDescent="0.25">
      <c r="A106" s="843" t="s">
        <v>376</v>
      </c>
      <c r="B106" s="852" t="s">
        <v>375</v>
      </c>
      <c r="C106" s="843" t="s">
        <v>374</v>
      </c>
      <c r="D106" s="843" t="s">
        <v>373</v>
      </c>
      <c r="E106" s="853" t="s">
        <v>385</v>
      </c>
      <c r="F106" s="853" t="s">
        <v>384</v>
      </c>
      <c r="G106" s="853" t="s">
        <v>383</v>
      </c>
      <c r="H106" s="854" t="s">
        <v>382</v>
      </c>
      <c r="I106" s="855" t="s">
        <v>5</v>
      </c>
      <c r="J106" s="862" t="str">
        <f>J4</f>
        <v>Reading at 00.00hr 
01.11.2021</v>
      </c>
      <c r="K106" s="862" t="str">
        <f>K4</f>
        <v>Reading at 00.00hr 
01.11.2021</v>
      </c>
      <c r="L106" s="843" t="s">
        <v>381</v>
      </c>
      <c r="M106" s="843" t="s">
        <v>372</v>
      </c>
      <c r="N106" s="856" t="s">
        <v>380</v>
      </c>
      <c r="O106" s="2320"/>
      <c r="P106" s="843" t="s">
        <v>392</v>
      </c>
      <c r="Q106" s="862" t="str">
        <f>Q4</f>
        <v>Reading at 00.00hr 
01.11.2021</v>
      </c>
      <c r="R106" s="862" t="str">
        <f>R4</f>
        <v>Reading at 00.00hr 
01.11.2021</v>
      </c>
      <c r="S106" s="843" t="s">
        <v>379</v>
      </c>
      <c r="T106" s="843" t="s">
        <v>378</v>
      </c>
      <c r="U106" s="843" t="s">
        <v>377</v>
      </c>
      <c r="V106" s="116" t="s">
        <v>523</v>
      </c>
      <c r="W106" s="856" t="s">
        <v>522</v>
      </c>
      <c r="X106" s="851" t="s">
        <v>391</v>
      </c>
      <c r="Y106" s="843" t="s">
        <v>390</v>
      </c>
      <c r="Z106" s="843" t="s">
        <v>521</v>
      </c>
      <c r="AA106" s="113" t="s">
        <v>520</v>
      </c>
      <c r="AB106" s="2312"/>
      <c r="AC106" s="2312"/>
      <c r="AD106" s="837"/>
      <c r="AE106" s="837"/>
      <c r="AF106" s="857" t="s">
        <v>375</v>
      </c>
      <c r="AG106" s="857" t="str">
        <f>AK106</f>
        <v>PF</v>
      </c>
      <c r="AH106" s="857" t="str">
        <f>AL106</f>
        <v>CF</v>
      </c>
      <c r="AI106" s="857" t="s">
        <v>518</v>
      </c>
      <c r="AJ106" s="857" t="str">
        <f>AN106</f>
        <v>PFC Surcharge</v>
      </c>
      <c r="AK106" s="857" t="s">
        <v>519</v>
      </c>
      <c r="AL106" s="857" t="s">
        <v>3</v>
      </c>
      <c r="AM106" s="857" t="s">
        <v>518</v>
      </c>
      <c r="AN106" s="857" t="s">
        <v>517</v>
      </c>
      <c r="AO106" s="2362" t="s">
        <v>10</v>
      </c>
      <c r="AP106" s="2362"/>
      <c r="AQ106" s="837"/>
      <c r="AR106" s="837"/>
      <c r="AS106" s="837"/>
      <c r="AT106" s="837"/>
      <c r="AU106" s="837"/>
      <c r="AV106" s="999"/>
      <c r="AW106" s="837"/>
      <c r="AX106" s="837"/>
      <c r="AY106" s="837"/>
      <c r="BI106" s="837"/>
      <c r="BJ106" s="837"/>
      <c r="BK106" s="839"/>
      <c r="BL106" s="877" t="s">
        <v>516</v>
      </c>
      <c r="BM106" s="860" t="s">
        <v>372</v>
      </c>
      <c r="BN106" s="860" t="s">
        <v>380</v>
      </c>
      <c r="BO106" s="861" t="s">
        <v>372</v>
      </c>
      <c r="BP106" s="861" t="s">
        <v>380</v>
      </c>
      <c r="BQ106" s="861" t="s">
        <v>388</v>
      </c>
      <c r="BR106" s="828"/>
      <c r="BS106" s="828"/>
      <c r="BT106" s="828"/>
      <c r="BU106" s="828"/>
      <c r="BV106" s="828"/>
      <c r="BW106" s="828"/>
      <c r="BX106" s="828"/>
      <c r="BY106" s="828"/>
      <c r="BZ106" s="828"/>
      <c r="CA106" s="828"/>
      <c r="CB106" s="828"/>
      <c r="CC106" s="828"/>
      <c r="CD106" s="843" t="s">
        <v>376</v>
      </c>
      <c r="CE106" s="852" t="s">
        <v>375</v>
      </c>
      <c r="CF106" s="843" t="s">
        <v>374</v>
      </c>
      <c r="CG106" s="843" t="s">
        <v>373</v>
      </c>
      <c r="CH106" s="853" t="s">
        <v>385</v>
      </c>
      <c r="CI106" s="853" t="s">
        <v>384</v>
      </c>
      <c r="CJ106" s="853" t="s">
        <v>383</v>
      </c>
      <c r="CK106" s="854" t="s">
        <v>382</v>
      </c>
      <c r="CL106" s="855" t="s">
        <v>5</v>
      </c>
      <c r="CM106" s="862" t="str">
        <f>CM4</f>
        <v>Reading at 00.00hr 
01.01.18</v>
      </c>
      <c r="CN106" s="862" t="str">
        <f>CN4</f>
        <v>Reading at 00.00hr 
01.02.18</v>
      </c>
      <c r="CO106" s="843" t="s">
        <v>381</v>
      </c>
      <c r="CP106" s="843" t="s">
        <v>372</v>
      </c>
      <c r="CQ106" s="843" t="s">
        <v>380</v>
      </c>
      <c r="CR106" s="862" t="str">
        <f>CR4</f>
        <v>Reading at 00.00hr 
01.01.18</v>
      </c>
      <c r="CS106" s="862" t="str">
        <f>CS4</f>
        <v>Reading at 00.00hr 
01.02.18</v>
      </c>
      <c r="CT106" s="843" t="s">
        <v>379</v>
      </c>
      <c r="CU106" s="843" t="s">
        <v>378</v>
      </c>
      <c r="CV106" s="843" t="s">
        <v>377</v>
      </c>
      <c r="CW106" s="2309"/>
      <c r="CX106" s="2310"/>
    </row>
    <row r="107" spans="1:102" ht="14" x14ac:dyDescent="0.25">
      <c r="A107" s="843">
        <v>1</v>
      </c>
      <c r="B107" s="852">
        <v>2</v>
      </c>
      <c r="C107" s="843">
        <v>3</v>
      </c>
      <c r="D107" s="843">
        <v>4</v>
      </c>
      <c r="E107" s="853">
        <v>5</v>
      </c>
      <c r="F107" s="853">
        <v>6</v>
      </c>
      <c r="G107" s="853">
        <v>7</v>
      </c>
      <c r="H107" s="854">
        <v>8</v>
      </c>
      <c r="I107" s="855">
        <v>9</v>
      </c>
      <c r="J107" s="862">
        <v>11</v>
      </c>
      <c r="K107" s="862">
        <v>11</v>
      </c>
      <c r="L107" s="862">
        <v>12</v>
      </c>
      <c r="M107" s="862">
        <v>13</v>
      </c>
      <c r="N107" s="1160">
        <v>14</v>
      </c>
      <c r="O107" s="1161">
        <v>15</v>
      </c>
      <c r="P107" s="862">
        <v>16</v>
      </c>
      <c r="Q107" s="862">
        <v>18</v>
      </c>
      <c r="R107" s="862">
        <v>18</v>
      </c>
      <c r="S107" s="862">
        <v>19</v>
      </c>
      <c r="T107" s="862">
        <v>20</v>
      </c>
      <c r="U107" s="862">
        <v>21</v>
      </c>
      <c r="V107" s="143">
        <v>22</v>
      </c>
      <c r="W107" s="1160">
        <v>23</v>
      </c>
      <c r="X107" s="1162">
        <v>24</v>
      </c>
      <c r="Y107" s="862">
        <v>25</v>
      </c>
      <c r="Z107" s="862">
        <v>26</v>
      </c>
      <c r="AA107" s="113">
        <v>27</v>
      </c>
      <c r="AB107" s="862">
        <v>30</v>
      </c>
      <c r="AC107" s="862">
        <v>28</v>
      </c>
      <c r="AD107" s="836"/>
      <c r="AE107" s="837"/>
      <c r="AF107" s="857">
        <v>2</v>
      </c>
      <c r="AG107" s="857">
        <v>30</v>
      </c>
      <c r="AH107" s="857">
        <v>31</v>
      </c>
      <c r="AI107" s="857">
        <v>32</v>
      </c>
      <c r="AJ107" s="857">
        <v>33</v>
      </c>
      <c r="AK107" s="862">
        <v>34</v>
      </c>
      <c r="AL107" s="862">
        <v>35</v>
      </c>
      <c r="AM107" s="862">
        <v>36</v>
      </c>
      <c r="AN107" s="862">
        <v>37</v>
      </c>
      <c r="AO107" s="862">
        <v>38</v>
      </c>
      <c r="AP107" s="862">
        <v>39</v>
      </c>
      <c r="AQ107" s="836"/>
      <c r="AR107" s="836"/>
      <c r="AS107" s="836"/>
      <c r="AT107" s="836"/>
      <c r="AU107" s="836"/>
      <c r="AV107" s="1163"/>
      <c r="AW107" s="836"/>
      <c r="AX107" s="836"/>
      <c r="AY107" s="836"/>
      <c r="BI107" s="836"/>
      <c r="BJ107" s="836"/>
      <c r="BK107" s="839"/>
      <c r="BL107" s="877"/>
      <c r="BM107" s="860"/>
      <c r="BN107" s="860"/>
      <c r="BO107" s="861"/>
      <c r="BP107" s="861"/>
      <c r="BQ107" s="879"/>
      <c r="BR107" s="828"/>
      <c r="BS107" s="828"/>
      <c r="BT107" s="828"/>
      <c r="BU107" s="828"/>
      <c r="BV107" s="828"/>
      <c r="BW107" s="828"/>
      <c r="BX107" s="828"/>
      <c r="BY107" s="828"/>
      <c r="BZ107" s="828"/>
      <c r="CA107" s="828"/>
      <c r="CB107" s="828"/>
      <c r="CC107" s="828"/>
      <c r="CD107" s="843">
        <v>1</v>
      </c>
      <c r="CE107" s="843">
        <v>2</v>
      </c>
      <c r="CF107" s="843">
        <v>3</v>
      </c>
      <c r="CG107" s="843">
        <v>4</v>
      </c>
      <c r="CH107" s="843">
        <v>5</v>
      </c>
      <c r="CI107" s="843">
        <v>6</v>
      </c>
      <c r="CJ107" s="843">
        <v>7</v>
      </c>
      <c r="CK107" s="843">
        <v>8</v>
      </c>
      <c r="CL107" s="843">
        <v>9</v>
      </c>
      <c r="CM107" s="843">
        <v>10</v>
      </c>
      <c r="CN107" s="843">
        <v>11</v>
      </c>
      <c r="CO107" s="843">
        <v>12</v>
      </c>
      <c r="CP107" s="843">
        <v>13</v>
      </c>
      <c r="CQ107" s="843">
        <v>14</v>
      </c>
      <c r="CR107" s="843">
        <v>15</v>
      </c>
      <c r="CS107" s="843">
        <v>16</v>
      </c>
      <c r="CT107" s="843">
        <v>17</v>
      </c>
      <c r="CU107" s="843">
        <v>18</v>
      </c>
      <c r="CV107" s="843">
        <v>19</v>
      </c>
      <c r="CW107" s="843">
        <v>20</v>
      </c>
      <c r="CX107" s="843">
        <v>21</v>
      </c>
    </row>
    <row r="108" spans="1:102" ht="14.25" customHeight="1" x14ac:dyDescent="0.25">
      <c r="A108" s="2278" t="s">
        <v>515</v>
      </c>
      <c r="B108" s="2279"/>
      <c r="C108" s="2279"/>
      <c r="D108" s="2279"/>
      <c r="E108" s="2279"/>
      <c r="F108" s="2280"/>
      <c r="G108" s="855"/>
      <c r="H108" s="932"/>
      <c r="I108" s="855"/>
      <c r="J108" s="867"/>
      <c r="K108" s="867"/>
      <c r="L108" s="861"/>
      <c r="M108" s="861"/>
      <c r="N108" s="868"/>
      <c r="O108" s="1164"/>
      <c r="P108" s="861"/>
      <c r="Q108" s="867"/>
      <c r="R108" s="867"/>
      <c r="S108" s="861"/>
      <c r="T108" s="861"/>
      <c r="U108" s="861"/>
      <c r="V108" s="122"/>
      <c r="W108" s="868"/>
      <c r="X108" s="870"/>
      <c r="Y108" s="861"/>
      <c r="Z108" s="861"/>
      <c r="AA108" s="121"/>
      <c r="AB108" s="861"/>
      <c r="AC108" s="861"/>
      <c r="AD108" s="828"/>
      <c r="AE108" s="837"/>
      <c r="AF108" s="872"/>
      <c r="AG108" s="872"/>
      <c r="AH108" s="872"/>
      <c r="AI108" s="872"/>
      <c r="AJ108" s="872"/>
      <c r="AK108" s="861"/>
      <c r="AL108" s="861"/>
      <c r="AM108" s="861"/>
      <c r="AN108" s="861"/>
      <c r="AO108" s="861"/>
      <c r="AP108" s="861"/>
      <c r="AQ108" s="828"/>
      <c r="AR108" s="828"/>
      <c r="AS108" s="828"/>
      <c r="AT108" s="828"/>
      <c r="AU108" s="828"/>
      <c r="AV108" s="899"/>
      <c r="AW108" s="828"/>
      <c r="AX108" s="828"/>
      <c r="AY108" s="828"/>
      <c r="BI108" s="828"/>
      <c r="BJ108" s="828"/>
      <c r="BK108" s="877"/>
      <c r="BL108" s="877"/>
      <c r="BM108" s="860"/>
      <c r="BN108" s="860"/>
      <c r="BO108" s="861"/>
      <c r="BP108" s="861"/>
      <c r="BQ108" s="879"/>
      <c r="BV108" s="828"/>
      <c r="BW108" s="828"/>
      <c r="BX108" s="828"/>
      <c r="BY108" s="828"/>
      <c r="BZ108" s="828"/>
      <c r="CA108" s="828"/>
      <c r="CB108" s="828"/>
      <c r="CC108" s="828"/>
      <c r="CD108" s="2278" t="s">
        <v>515</v>
      </c>
      <c r="CE108" s="2279"/>
      <c r="CF108" s="2279"/>
      <c r="CG108" s="2279"/>
      <c r="CH108" s="2279"/>
      <c r="CI108" s="2280"/>
      <c r="CJ108" s="855"/>
      <c r="CK108" s="932"/>
      <c r="CL108" s="855"/>
      <c r="CM108" s="867"/>
      <c r="CN108" s="867"/>
      <c r="CO108" s="861"/>
      <c r="CP108" s="861"/>
      <c r="CQ108" s="861"/>
      <c r="CR108" s="867"/>
      <c r="CS108" s="867"/>
      <c r="CT108" s="861"/>
      <c r="CU108" s="861"/>
      <c r="CV108" s="861"/>
      <c r="CW108" s="870"/>
      <c r="CX108" s="879"/>
    </row>
    <row r="109" spans="1:102" ht="16.5" customHeight="1" x14ac:dyDescent="0.25">
      <c r="A109" s="2299"/>
      <c r="B109" s="2375" t="s">
        <v>512</v>
      </c>
      <c r="C109" s="2375" t="s">
        <v>511</v>
      </c>
      <c r="D109" s="2377">
        <v>33</v>
      </c>
      <c r="E109" s="1165" t="s">
        <v>326</v>
      </c>
      <c r="F109" s="2379">
        <v>96833444</v>
      </c>
      <c r="G109" s="2382" t="s">
        <v>514</v>
      </c>
      <c r="H109" s="1166" t="s">
        <v>324</v>
      </c>
      <c r="I109" s="1167">
        <v>1000</v>
      </c>
      <c r="J109" s="1168">
        <v>823550.34</v>
      </c>
      <c r="K109" s="1168">
        <v>823550.34</v>
      </c>
      <c r="L109" s="1169">
        <f>K109-J109</f>
        <v>0</v>
      </c>
      <c r="M109" s="1170"/>
      <c r="N109" s="1171">
        <f>L109*I109</f>
        <v>0</v>
      </c>
      <c r="O109" s="1172"/>
      <c r="P109" s="1169"/>
      <c r="Q109" s="1173">
        <v>359974.85</v>
      </c>
      <c r="R109" s="1173">
        <v>359974.85</v>
      </c>
      <c r="S109" s="1174">
        <f>R109-Q109</f>
        <v>0</v>
      </c>
      <c r="T109" s="861"/>
      <c r="U109" s="861">
        <f>S109*I109</f>
        <v>0</v>
      </c>
      <c r="V109" s="122"/>
      <c r="W109" s="868"/>
      <c r="X109" s="870" t="str">
        <f>IF(S109&lt;0.00001,"0",COS(ATAN(S109/L109)))</f>
        <v>0</v>
      </c>
      <c r="Y109" s="871"/>
      <c r="Z109" s="871"/>
      <c r="AA109" s="121"/>
      <c r="AB109" s="890"/>
      <c r="AC109" s="2295"/>
      <c r="AD109" s="828"/>
      <c r="AE109" s="837"/>
      <c r="AF109" s="2381" t="s">
        <v>512</v>
      </c>
      <c r="AG109" s="872"/>
      <c r="AH109" s="872"/>
      <c r="AI109" s="872"/>
      <c r="AJ109" s="872"/>
      <c r="AK109" s="861"/>
      <c r="AL109" s="861"/>
      <c r="AM109" s="861"/>
      <c r="AN109" s="861"/>
      <c r="AO109" s="861"/>
      <c r="AP109" s="861"/>
      <c r="AQ109" s="828"/>
      <c r="AR109" s="828"/>
      <c r="AS109" s="828"/>
      <c r="AT109" s="828"/>
      <c r="AU109" s="828"/>
      <c r="AV109" s="899"/>
      <c r="AW109" s="828"/>
      <c r="AX109" s="828"/>
      <c r="AY109" s="828"/>
      <c r="BI109" s="828"/>
      <c r="BJ109" s="828"/>
      <c r="BK109" s="877"/>
      <c r="BL109" s="877"/>
      <c r="BM109" s="860">
        <f>I109</f>
        <v>1000</v>
      </c>
      <c r="BN109" s="860">
        <f>N109</f>
        <v>0</v>
      </c>
      <c r="BO109" s="861">
        <v>0</v>
      </c>
      <c r="BP109" s="861" t="s">
        <v>513</v>
      </c>
      <c r="BQ109" s="861"/>
      <c r="BR109" s="828"/>
      <c r="BS109" s="828"/>
      <c r="BT109" s="828"/>
      <c r="BU109" s="828"/>
      <c r="BV109" s="828"/>
      <c r="BW109" s="828"/>
      <c r="BX109" s="828"/>
      <c r="BY109" s="828"/>
      <c r="BZ109" s="828"/>
      <c r="CA109" s="828"/>
      <c r="CB109" s="828"/>
      <c r="CC109" s="828"/>
      <c r="CD109" s="2311">
        <v>1</v>
      </c>
      <c r="CE109" s="2299" t="s">
        <v>512</v>
      </c>
      <c r="CF109" s="2299" t="s">
        <v>511</v>
      </c>
      <c r="CG109" s="2371">
        <v>33</v>
      </c>
      <c r="CH109" s="890" t="s">
        <v>326</v>
      </c>
      <c r="CI109" s="2373">
        <v>96833444</v>
      </c>
      <c r="CJ109" s="2356" t="s">
        <v>514</v>
      </c>
      <c r="CK109" s="932" t="s">
        <v>324</v>
      </c>
      <c r="CL109" s="855">
        <v>1000</v>
      </c>
      <c r="CM109" s="1175">
        <f t="shared" ref="CM109:CN112" si="43">J109</f>
        <v>823550.34</v>
      </c>
      <c r="CN109" s="1175">
        <f t="shared" si="43"/>
        <v>823550.34</v>
      </c>
      <c r="CO109" s="861">
        <f>CN109-CM109</f>
        <v>0</v>
      </c>
      <c r="CQ109" s="890">
        <f>CO109*CL109</f>
        <v>0</v>
      </c>
      <c r="CR109" s="1176">
        <f t="shared" ref="CR109:CS112" si="44">Q109</f>
        <v>359974.85</v>
      </c>
      <c r="CS109" s="1176">
        <f t="shared" si="44"/>
        <v>359974.85</v>
      </c>
      <c r="CT109" s="878">
        <f>CS109-CR109</f>
        <v>0</v>
      </c>
      <c r="CU109" s="861"/>
      <c r="CV109" s="861">
        <f>CT109*CL109</f>
        <v>0</v>
      </c>
      <c r="CW109" s="870" t="str">
        <f>IF(CT109&lt;0.00001,"0",COS(ATAN(CT109/CO109)))</f>
        <v>0</v>
      </c>
      <c r="CX109" s="879"/>
    </row>
    <row r="110" spans="1:102" ht="16" x14ac:dyDescent="0.25">
      <c r="A110" s="2300"/>
      <c r="B110" s="2376"/>
      <c r="C110" s="2376"/>
      <c r="D110" s="2378"/>
      <c r="E110" s="1167" t="s">
        <v>339</v>
      </c>
      <c r="F110" s="2380"/>
      <c r="G110" s="2383"/>
      <c r="H110" s="1166" t="s">
        <v>324</v>
      </c>
      <c r="I110" s="1167">
        <v>1000</v>
      </c>
      <c r="J110" s="1168">
        <v>862.34</v>
      </c>
      <c r="K110" s="1168">
        <v>862.34</v>
      </c>
      <c r="L110" s="1169">
        <f>K110-J110</f>
        <v>0</v>
      </c>
      <c r="M110" s="1169">
        <f>L110*I110</f>
        <v>0</v>
      </c>
      <c r="N110" s="1171"/>
      <c r="O110" s="1172"/>
      <c r="P110" s="1178"/>
      <c r="Q110" s="1173">
        <v>2203.2600000000002</v>
      </c>
      <c r="R110" s="1173">
        <v>2203.2600000000002</v>
      </c>
      <c r="S110" s="1174">
        <f>R110-Q110</f>
        <v>0</v>
      </c>
      <c r="T110" s="861">
        <f>S110*I110</f>
        <v>0</v>
      </c>
      <c r="U110" s="861"/>
      <c r="V110" s="122"/>
      <c r="X110" s="870" t="str">
        <f>IF(S110&lt;0.00001,"0",COS(ATAN(S110/L110)))</f>
        <v>0</v>
      </c>
      <c r="Y110" s="1179"/>
      <c r="Z110" s="1179"/>
      <c r="AA110" s="121"/>
      <c r="AB110" s="890"/>
      <c r="AC110" s="2295"/>
      <c r="AD110" s="828"/>
      <c r="AE110" s="837"/>
      <c r="AF110" s="2381"/>
      <c r="AG110" s="872"/>
      <c r="AH110" s="872"/>
      <c r="AI110" s="872"/>
      <c r="AJ110" s="872"/>
      <c r="AK110" s="861"/>
      <c r="AL110" s="861"/>
      <c r="AM110" s="861"/>
      <c r="AN110" s="861"/>
      <c r="AO110" s="861"/>
      <c r="AP110" s="861"/>
      <c r="AQ110" s="828"/>
      <c r="AR110" s="828"/>
      <c r="AS110" s="828"/>
      <c r="AT110" s="828"/>
      <c r="AU110" s="828"/>
      <c r="AV110" s="899"/>
      <c r="AW110" s="828"/>
      <c r="AX110" s="828"/>
      <c r="AY110" s="828"/>
      <c r="BI110" s="828"/>
      <c r="BJ110" s="828"/>
      <c r="BK110" s="877"/>
      <c r="BL110" s="877"/>
      <c r="BM110" s="860">
        <f>I110</f>
        <v>1000</v>
      </c>
      <c r="BN110" s="860">
        <f>N110</f>
        <v>0</v>
      </c>
      <c r="BO110" s="861">
        <v>0</v>
      </c>
      <c r="BP110" s="861" t="s">
        <v>513</v>
      </c>
      <c r="BQ110" s="861"/>
      <c r="BR110" s="828"/>
      <c r="BS110" s="828"/>
      <c r="BT110" s="828"/>
      <c r="BU110" s="828"/>
      <c r="BV110" s="828"/>
      <c r="BW110" s="828"/>
      <c r="BX110" s="828"/>
      <c r="BY110" s="828"/>
      <c r="BZ110" s="828"/>
      <c r="CA110" s="828"/>
      <c r="CB110" s="828"/>
      <c r="CC110" s="828"/>
      <c r="CD110" s="2384"/>
      <c r="CE110" s="2301"/>
      <c r="CF110" s="2301"/>
      <c r="CG110" s="2372"/>
      <c r="CH110" s="855" t="s">
        <v>339</v>
      </c>
      <c r="CI110" s="2374"/>
      <c r="CJ110" s="2357"/>
      <c r="CK110" s="932" t="s">
        <v>324</v>
      </c>
      <c r="CL110" s="855">
        <v>1000</v>
      </c>
      <c r="CM110" s="1175">
        <f t="shared" si="43"/>
        <v>862.34</v>
      </c>
      <c r="CN110" s="1175">
        <f t="shared" si="43"/>
        <v>862.34</v>
      </c>
      <c r="CO110" s="861">
        <f>CN110-CM110</f>
        <v>0</v>
      </c>
      <c r="CP110" s="861">
        <f>CO110*CL110</f>
        <v>0</v>
      </c>
      <c r="CQ110" s="861"/>
      <c r="CR110" s="1176">
        <f t="shared" si="44"/>
        <v>2203.2600000000002</v>
      </c>
      <c r="CS110" s="1176">
        <f t="shared" si="44"/>
        <v>2203.2600000000002</v>
      </c>
      <c r="CT110" s="878">
        <f>CS110-CR110</f>
        <v>0</v>
      </c>
      <c r="CU110" s="861">
        <f>CT110*CL110</f>
        <v>0</v>
      </c>
      <c r="CV110" s="861"/>
      <c r="CW110" s="870" t="str">
        <f>IF(CT110&lt;0.00001,"0",COS(ATAN(CT110/CO110)))</f>
        <v>0</v>
      </c>
      <c r="CX110" s="879"/>
    </row>
    <row r="111" spans="1:102" ht="14.25" customHeight="1" x14ac:dyDescent="0.25">
      <c r="A111" s="2300"/>
      <c r="B111" s="2375" t="s">
        <v>512</v>
      </c>
      <c r="C111" s="2375" t="s">
        <v>511</v>
      </c>
      <c r="D111" s="2377">
        <v>33</v>
      </c>
      <c r="E111" s="1165" t="s">
        <v>326</v>
      </c>
      <c r="F111" s="2379">
        <v>216742477</v>
      </c>
      <c r="G111" s="1177" t="s">
        <v>307</v>
      </c>
      <c r="H111" s="1166">
        <v>1</v>
      </c>
      <c r="I111" s="1167">
        <v>82500</v>
      </c>
      <c r="J111" s="1168">
        <v>2218.2915383030304</v>
      </c>
      <c r="K111" s="1168">
        <v>2218.2915383030304</v>
      </c>
      <c r="L111" s="1174">
        <f>K111-J111</f>
        <v>0</v>
      </c>
      <c r="M111" s="1170"/>
      <c r="N111" s="1171">
        <f>L111*I111</f>
        <v>0</v>
      </c>
      <c r="O111" s="1180">
        <f>'[3]PDB SUM AMR'!$G$8</f>
        <v>0</v>
      </c>
      <c r="P111" s="1178"/>
      <c r="Q111" s="1168">
        <v>812.91399999999999</v>
      </c>
      <c r="R111" s="1168">
        <v>812.91399999999999</v>
      </c>
      <c r="S111" s="1174">
        <f>R111-Q111</f>
        <v>0</v>
      </c>
      <c r="T111" s="861"/>
      <c r="U111" s="861">
        <f>S111*I111</f>
        <v>0</v>
      </c>
      <c r="V111" s="122"/>
      <c r="W111" s="868"/>
      <c r="X111" s="870" t="str">
        <f>IF(S111&lt;0.00001,"0",COS(ATAN(S111/L111)))</f>
        <v>0</v>
      </c>
      <c r="Y111" s="871"/>
      <c r="Z111" s="1181"/>
      <c r="AA111" s="142"/>
      <c r="AB111" s="1182"/>
      <c r="AC111" s="913"/>
      <c r="AD111" s="828"/>
      <c r="AE111" s="837"/>
      <c r="AF111" s="2381" t="s">
        <v>512</v>
      </c>
      <c r="AG111" s="872"/>
      <c r="AH111" s="872"/>
      <c r="AI111" s="872"/>
      <c r="AJ111" s="872"/>
      <c r="AK111" s="861"/>
      <c r="AL111" s="861"/>
      <c r="AM111" s="861"/>
      <c r="AN111" s="861"/>
      <c r="AO111" s="861"/>
      <c r="AP111" s="861"/>
      <c r="AQ111" s="828"/>
      <c r="AR111" s="828"/>
      <c r="AS111" s="828"/>
      <c r="AT111" s="828"/>
      <c r="AU111" s="828"/>
      <c r="AV111" s="828"/>
      <c r="AW111" s="828"/>
      <c r="AX111" s="828"/>
      <c r="AY111" s="828"/>
      <c r="BI111" s="828"/>
      <c r="BJ111" s="828"/>
      <c r="BK111" s="877"/>
      <c r="BL111" s="877"/>
      <c r="BM111" s="860"/>
      <c r="BN111" s="860"/>
      <c r="BO111" s="861"/>
      <c r="BP111" s="861"/>
      <c r="BQ111" s="861"/>
      <c r="BR111" s="828"/>
      <c r="BS111" s="828"/>
      <c r="BT111" s="828"/>
      <c r="BU111" s="828"/>
      <c r="BV111" s="828"/>
      <c r="BW111" s="828"/>
      <c r="BX111" s="828"/>
      <c r="BY111" s="828"/>
      <c r="BZ111" s="828"/>
      <c r="CA111" s="828"/>
      <c r="CB111" s="828"/>
      <c r="CC111" s="828"/>
      <c r="CD111" s="2384"/>
      <c r="CE111" s="2299" t="s">
        <v>512</v>
      </c>
      <c r="CF111" s="2299" t="s">
        <v>511</v>
      </c>
      <c r="CG111" s="2371">
        <v>33</v>
      </c>
      <c r="CH111" s="890" t="s">
        <v>326</v>
      </c>
      <c r="CI111" s="2373">
        <v>216742477</v>
      </c>
      <c r="CJ111" s="909" t="s">
        <v>307</v>
      </c>
      <c r="CK111" s="932"/>
      <c r="CL111" s="855">
        <v>82500</v>
      </c>
      <c r="CM111" s="1183">
        <f t="shared" si="43"/>
        <v>2218.2915383030304</v>
      </c>
      <c r="CN111" s="1175">
        <f t="shared" si="43"/>
        <v>2218.2915383030304</v>
      </c>
      <c r="CO111" s="906">
        <f>CN111-CM111</f>
        <v>0</v>
      </c>
      <c r="CQ111" s="991">
        <f>CO111*CL111+3</f>
        <v>3</v>
      </c>
      <c r="CR111" s="1176">
        <f t="shared" si="44"/>
        <v>812.91399999999999</v>
      </c>
      <c r="CS111" s="1176">
        <f t="shared" si="44"/>
        <v>812.91399999999999</v>
      </c>
      <c r="CT111" s="878">
        <f>CS111-CR111</f>
        <v>0</v>
      </c>
      <c r="CU111" s="861"/>
      <c r="CV111" s="861">
        <f>CT111*CL111</f>
        <v>0</v>
      </c>
      <c r="CW111" s="870" t="str">
        <f>IF(CT111&lt;0.00001,"0",COS(ATAN(CT111/CO111)))</f>
        <v>0</v>
      </c>
      <c r="CX111" s="879"/>
    </row>
    <row r="112" spans="1:102" ht="14" x14ac:dyDescent="0.25">
      <c r="A112" s="2301"/>
      <c r="B112" s="2376"/>
      <c r="C112" s="2376"/>
      <c r="D112" s="2378"/>
      <c r="E112" s="1167" t="s">
        <v>339</v>
      </c>
      <c r="F112" s="2380"/>
      <c r="G112" s="1177"/>
      <c r="H112" s="1166">
        <v>1</v>
      </c>
      <c r="I112" s="1167">
        <v>82500</v>
      </c>
      <c r="J112" s="1168">
        <v>2.0379999999999999E-2</v>
      </c>
      <c r="K112" s="1168">
        <v>2.0379999999999999E-2</v>
      </c>
      <c r="L112" s="1169">
        <f>K112-J112</f>
        <v>0</v>
      </c>
      <c r="M112" s="1174">
        <f>L112*I112*H112</f>
        <v>0</v>
      </c>
      <c r="N112" s="1171">
        <f>M112</f>
        <v>0</v>
      </c>
      <c r="O112" s="1172"/>
      <c r="P112" s="1178"/>
      <c r="Q112" s="1184">
        <v>8.77E-2</v>
      </c>
      <c r="R112" s="1184">
        <v>8.77E-2</v>
      </c>
      <c r="S112" s="1185">
        <f>R112-Q112</f>
        <v>0</v>
      </c>
      <c r="T112" s="861">
        <f>S112*I112</f>
        <v>0</v>
      </c>
      <c r="U112" s="861"/>
      <c r="V112" s="122"/>
      <c r="W112" s="868"/>
      <c r="X112" s="870" t="str">
        <f>IF(S112&lt;0.00001,"0",COS(ATAN(S112/L112)))</f>
        <v>0</v>
      </c>
      <c r="Y112" s="1179"/>
      <c r="Z112" s="1186"/>
      <c r="AA112" s="142"/>
      <c r="AB112" s="1182"/>
      <c r="AC112" s="913"/>
      <c r="AD112" s="828"/>
      <c r="AE112" s="837"/>
      <c r="AF112" s="2381"/>
      <c r="AG112" s="872"/>
      <c r="AH112" s="872"/>
      <c r="AI112" s="872"/>
      <c r="AJ112" s="872"/>
      <c r="AK112" s="861"/>
      <c r="AL112" s="861"/>
      <c r="AM112" s="861"/>
      <c r="AN112" s="861"/>
      <c r="AO112" s="861"/>
      <c r="AP112" s="861"/>
      <c r="AQ112" s="828"/>
      <c r="AR112" s="828"/>
      <c r="AS112" s="828"/>
      <c r="AT112" s="828"/>
      <c r="AU112" s="828"/>
      <c r="AV112" s="828"/>
      <c r="AW112" s="828"/>
      <c r="AX112" s="828"/>
      <c r="AY112" s="828"/>
      <c r="BI112" s="828"/>
      <c r="BJ112" s="828"/>
      <c r="BK112" s="877"/>
      <c r="BL112" s="877"/>
      <c r="BM112" s="860"/>
      <c r="BN112" s="860"/>
      <c r="BO112" s="861"/>
      <c r="BP112" s="861"/>
      <c r="BQ112" s="861"/>
      <c r="BR112" s="828"/>
      <c r="BS112" s="828"/>
      <c r="BT112" s="828"/>
      <c r="BU112" s="828"/>
      <c r="BV112" s="828"/>
      <c r="BW112" s="828"/>
      <c r="BX112" s="828"/>
      <c r="BY112" s="828"/>
      <c r="BZ112" s="828"/>
      <c r="CA112" s="828"/>
      <c r="CB112" s="828"/>
      <c r="CC112" s="828"/>
      <c r="CD112" s="2312"/>
      <c r="CE112" s="2301"/>
      <c r="CF112" s="2301"/>
      <c r="CG112" s="2372"/>
      <c r="CH112" s="855" t="s">
        <v>339</v>
      </c>
      <c r="CI112" s="2374"/>
      <c r="CJ112" s="909"/>
      <c r="CK112" s="932"/>
      <c r="CL112" s="855">
        <v>82500</v>
      </c>
      <c r="CM112" s="1183">
        <f t="shared" si="43"/>
        <v>2.0379999999999999E-2</v>
      </c>
      <c r="CN112" s="1187">
        <f t="shared" si="43"/>
        <v>2.0379999999999999E-2</v>
      </c>
      <c r="CO112" s="861">
        <f>CN112-CM112</f>
        <v>0</v>
      </c>
      <c r="CP112" s="1033">
        <f>CO112*CL112</f>
        <v>0</v>
      </c>
      <c r="CQ112" s="861"/>
      <c r="CR112" s="1183">
        <f t="shared" si="44"/>
        <v>8.77E-2</v>
      </c>
      <c r="CS112" s="1183">
        <f t="shared" si="44"/>
        <v>8.77E-2</v>
      </c>
      <c r="CT112" s="1049">
        <f>CS112-CR112</f>
        <v>0</v>
      </c>
      <c r="CU112" s="861">
        <f>CT112*CL112</f>
        <v>0</v>
      </c>
      <c r="CV112" s="861"/>
      <c r="CW112" s="870" t="str">
        <f>IF(CT112&lt;0.00001,"0",COS(ATAN(CT112/CO112)))</f>
        <v>0</v>
      </c>
      <c r="CX112" s="879"/>
    </row>
    <row r="113" spans="1:131" s="1083" customFormat="1" ht="14" x14ac:dyDescent="0.3">
      <c r="A113" s="1076"/>
      <c r="B113" s="1188"/>
      <c r="C113" s="1189"/>
      <c r="D113" s="1190"/>
      <c r="E113" s="1191"/>
      <c r="F113" s="1192"/>
      <c r="G113" s="1193"/>
      <c r="H113" s="1194"/>
      <c r="I113" s="1191"/>
      <c r="J113" s="1175"/>
      <c r="K113" s="1175"/>
      <c r="L113" s="1076">
        <v>0</v>
      </c>
      <c r="M113" s="1078">
        <f>M110+M112</f>
        <v>0</v>
      </c>
      <c r="N113" s="1195">
        <f>N111-M112</f>
        <v>0</v>
      </c>
      <c r="O113" s="1196"/>
      <c r="P113" s="1197"/>
      <c r="Q113" s="1198"/>
      <c r="R113" s="1198"/>
      <c r="S113" s="1076"/>
      <c r="T113" s="1076"/>
      <c r="U113" s="1076"/>
      <c r="V113" s="140"/>
      <c r="W113" s="1195"/>
      <c r="X113" s="1077"/>
      <c r="Y113" s="1199"/>
      <c r="Z113" s="1199"/>
      <c r="AA113" s="141">
        <f>SUM(AA108:AA112)</f>
        <v>0</v>
      </c>
      <c r="AB113" s="1200"/>
      <c r="AC113" s="1188"/>
      <c r="AD113" s="1063"/>
      <c r="AE113" s="1063"/>
      <c r="AF113" s="1117"/>
      <c r="AG113" s="1117"/>
      <c r="AH113" s="1117"/>
      <c r="AI113" s="1117"/>
      <c r="AJ113" s="1117"/>
      <c r="AK113" s="1076"/>
      <c r="AL113" s="1076"/>
      <c r="AM113" s="1076"/>
      <c r="AN113" s="1076"/>
      <c r="AO113" s="1076"/>
      <c r="AP113" s="1076"/>
      <c r="AQ113" s="1063"/>
      <c r="AR113" s="1063"/>
      <c r="AS113" s="1063"/>
      <c r="AT113" s="1063"/>
      <c r="AU113" s="1063"/>
      <c r="AV113" s="1063"/>
      <c r="AW113" s="1063"/>
      <c r="AX113" s="1063"/>
      <c r="AY113" s="1063"/>
      <c r="AZ113" s="1073"/>
      <c r="BA113" s="1073"/>
      <c r="BB113" s="1073"/>
      <c r="BC113" s="1073"/>
      <c r="BD113" s="1073"/>
      <c r="BE113" s="1073"/>
      <c r="BF113" s="1073"/>
      <c r="BG113" s="1073"/>
      <c r="BH113" s="1073"/>
      <c r="BI113" s="1063"/>
      <c r="BJ113" s="1063"/>
      <c r="BK113" s="1071"/>
      <c r="BL113" s="1071"/>
      <c r="BM113" s="1075"/>
      <c r="BN113" s="1075"/>
      <c r="BO113" s="1076"/>
      <c r="BP113" s="1076"/>
      <c r="BQ113" s="1076"/>
      <c r="BR113" s="1063"/>
      <c r="BS113" s="1063"/>
      <c r="BT113" s="1063"/>
      <c r="BU113" s="1063"/>
      <c r="BV113" s="1063"/>
      <c r="BW113" s="1063"/>
      <c r="BX113" s="1063"/>
      <c r="BY113" s="1063"/>
      <c r="BZ113" s="1063"/>
      <c r="CA113" s="1063"/>
      <c r="CB113" s="1063"/>
      <c r="CC113" s="1063"/>
      <c r="CD113" s="1076"/>
      <c r="CE113" s="1188"/>
      <c r="CF113" s="1189"/>
      <c r="CG113" s="1190"/>
      <c r="CH113" s="1191"/>
      <c r="CI113" s="1192"/>
      <c r="CJ113" s="1193"/>
      <c r="CK113" s="1194"/>
      <c r="CL113" s="1191"/>
      <c r="CM113" s="1201"/>
      <c r="CN113" s="1202"/>
      <c r="CO113" s="1076">
        <v>0</v>
      </c>
      <c r="CP113" s="1203">
        <f>CP110+CP112</f>
        <v>0</v>
      </c>
      <c r="CQ113" s="1078">
        <f>CQ109+CQ111</f>
        <v>3</v>
      </c>
      <c r="CR113" s="1201"/>
      <c r="CS113" s="1201"/>
      <c r="CT113" s="1076"/>
      <c r="CU113" s="1076"/>
      <c r="CV113" s="1076"/>
      <c r="CW113" s="1077"/>
      <c r="CX113" s="1082"/>
    </row>
    <row r="114" spans="1:131" s="1219" customFormat="1" ht="19.5" customHeight="1" x14ac:dyDescent="0.3">
      <c r="A114" s="2367" t="s">
        <v>510</v>
      </c>
      <c r="B114" s="2368"/>
      <c r="C114" s="2368"/>
      <c r="D114" s="2368"/>
      <c r="E114" s="2368"/>
      <c r="F114" s="2369"/>
      <c r="G114" s="2370" t="s">
        <v>469</v>
      </c>
      <c r="H114" s="2370"/>
      <c r="I114" s="2370"/>
      <c r="J114" s="1175"/>
      <c r="K114" s="1175"/>
      <c r="L114" s="1204">
        <f>N113</f>
        <v>0</v>
      </c>
      <c r="M114" s="1068"/>
      <c r="N114" s="1205"/>
      <c r="O114" s="988">
        <f>IF(N113&gt;O108,N113-O108,0)</f>
        <v>0</v>
      </c>
      <c r="P114" s="1206"/>
      <c r="Q114" s="1207"/>
      <c r="R114" s="1207"/>
      <c r="S114" s="1208"/>
      <c r="T114" s="1076">
        <f>T110+T112</f>
        <v>0</v>
      </c>
      <c r="U114" s="1076">
        <f>U109+U111</f>
        <v>0</v>
      </c>
      <c r="V114" s="140"/>
      <c r="W114" s="1195"/>
      <c r="X114" s="1209"/>
      <c r="Y114" s="1210"/>
      <c r="Z114" s="1210"/>
      <c r="AA114" s="139"/>
      <c r="AB114" s="1076"/>
      <c r="AC114" s="1211"/>
      <c r="AD114" s="1212"/>
      <c r="AE114" s="1063"/>
      <c r="AF114" s="1213"/>
      <c r="AG114" s="1213"/>
      <c r="AH114" s="1213"/>
      <c r="AI114" s="1213"/>
      <c r="AJ114" s="1213"/>
      <c r="AK114" s="1211"/>
      <c r="AL114" s="1211"/>
      <c r="AM114" s="1211"/>
      <c r="AN114" s="1211"/>
      <c r="AO114" s="1211"/>
      <c r="AP114" s="1211"/>
      <c r="AQ114" s="1212"/>
      <c r="AR114" s="1212"/>
      <c r="AS114" s="1212"/>
      <c r="AT114" s="1212"/>
      <c r="AU114" s="1212"/>
      <c r="AV114" s="1212"/>
      <c r="AW114" s="1212"/>
      <c r="AX114" s="1212"/>
      <c r="AY114" s="1212"/>
      <c r="AZ114" s="1214"/>
      <c r="BA114" s="1214"/>
      <c r="BB114" s="1214"/>
      <c r="BC114" s="1214"/>
      <c r="BD114" s="1214"/>
      <c r="BE114" s="1214"/>
      <c r="BF114" s="1214"/>
      <c r="BG114" s="1214"/>
      <c r="BH114" s="1214"/>
      <c r="BI114" s="1212"/>
      <c r="BJ114" s="1212"/>
      <c r="BK114" s="1215"/>
      <c r="BL114" s="1215"/>
      <c r="BM114" s="1216"/>
      <c r="BN114" s="1216"/>
      <c r="BO114" s="1211"/>
      <c r="BP114" s="1211"/>
      <c r="BQ114" s="1211"/>
      <c r="BR114" s="1212"/>
      <c r="BS114" s="1212"/>
      <c r="BT114" s="1212"/>
      <c r="BU114" s="1212"/>
      <c r="BV114" s="1212"/>
      <c r="BW114" s="1212"/>
      <c r="BX114" s="1212"/>
      <c r="BY114" s="1212"/>
      <c r="BZ114" s="1212"/>
      <c r="CA114" s="1212"/>
      <c r="CB114" s="1212"/>
      <c r="CC114" s="1212"/>
      <c r="CD114" s="2367" t="s">
        <v>510</v>
      </c>
      <c r="CE114" s="2368"/>
      <c r="CF114" s="2368"/>
      <c r="CG114" s="2368"/>
      <c r="CH114" s="2368"/>
      <c r="CI114" s="2369"/>
      <c r="CJ114" s="2370" t="s">
        <v>469</v>
      </c>
      <c r="CK114" s="2370"/>
      <c r="CL114" s="2370"/>
      <c r="CM114" s="1217"/>
      <c r="CN114" s="1218"/>
      <c r="CO114" s="1204">
        <f>CQ113-CP113</f>
        <v>3</v>
      </c>
      <c r="CP114" s="1068"/>
      <c r="CQ114" s="1074"/>
      <c r="CR114" s="1217"/>
      <c r="CS114" s="1217"/>
      <c r="CT114" s="1208"/>
      <c r="CU114" s="1076">
        <f>CU110+CU112</f>
        <v>0</v>
      </c>
      <c r="CV114" s="1076">
        <f>CV109+CV111</f>
        <v>0</v>
      </c>
      <c r="CW114" s="1209"/>
      <c r="CX114" s="1208"/>
    </row>
    <row r="115" spans="1:131" ht="24" customHeight="1" x14ac:dyDescent="0.25">
      <c r="A115" s="861">
        <v>1</v>
      </c>
      <c r="B115" s="1220" t="s">
        <v>508</v>
      </c>
      <c r="C115" s="2356" t="s">
        <v>507</v>
      </c>
      <c r="D115" s="861">
        <v>33</v>
      </c>
      <c r="E115" s="855" t="s">
        <v>326</v>
      </c>
      <c r="F115" s="1221" t="s">
        <v>506</v>
      </c>
      <c r="G115" s="855" t="s">
        <v>505</v>
      </c>
      <c r="H115" s="932" t="s">
        <v>324</v>
      </c>
      <c r="I115" s="855">
        <v>48000</v>
      </c>
      <c r="J115" s="1222">
        <v>11910.314</v>
      </c>
      <c r="K115" s="1222">
        <v>11910.314</v>
      </c>
      <c r="L115" s="906">
        <f t="shared" ref="L115:L123" si="45">K115-J115</f>
        <v>0</v>
      </c>
      <c r="M115" s="861"/>
      <c r="N115" s="868">
        <f>L115*I115</f>
        <v>0</v>
      </c>
      <c r="O115" s="1223"/>
      <c r="P115" s="890"/>
      <c r="Q115" s="1222">
        <v>6895.2240000000002</v>
      </c>
      <c r="R115" s="1222">
        <v>6895.2240000000002</v>
      </c>
      <c r="S115" s="861">
        <f>R115-Q115</f>
        <v>0</v>
      </c>
      <c r="T115" s="861"/>
      <c r="U115" s="861">
        <f>S115*I115</f>
        <v>0</v>
      </c>
      <c r="V115" s="122">
        <f>N115</f>
        <v>0</v>
      </c>
      <c r="W115" s="868">
        <f>U115</f>
        <v>0</v>
      </c>
      <c r="X115" s="870" t="str">
        <f>IFERROR(IF(W115&lt;0.01,"0",COS(ATAN(W115/V115))),0)</f>
        <v>0</v>
      </c>
      <c r="Y115" s="871">
        <f>IF(AND(X115&gt;=0.885,X115&lt;0.9),1*0.005,IF(AND(X115&gt;=0.875,X115&lt;0.89),1*0.01,IF(AND(X115&gt;=0.865,X115&lt;0.88),1*0.02,IF(AND(X115&gt;=0.855,X115&lt;0.87),1*0.03,IF(AND(X115&gt;=0.845,X115&lt;0.86),1*0.04,IF(AND(X115&gt;=0.835,X115&lt;0.85),1*0.05,IF(AND(X115&gt;=0.825,X115&lt;0.84),1*0.06,IF(AND(X115&gt;=0.815,X115&lt;0.83),1*0.07,IF(AND(X115&gt;=0.805,X115&lt;0.82),1*0.08,IF(AND(X115&gt;=0.795,X115&lt;0.81),1*0.09,IF(AND(X115&gt;=0.785,X115&lt;0.8),1*0.105,IF(AND(X115&gt;=0.775,X115&lt;0.79),1*0.12,IF(AND(X115&gt;=0.765,X115&lt;0.78),1*0.135,IF(AND(X115&gt;=0.755,X115&lt;0.77),1*0.15,IF(AND(X115&gt;=0.745,X115&lt;0.76),1*0.165,0)))))))))))))))</f>
        <v>0</v>
      </c>
      <c r="Z115" s="889">
        <f>Y115*V115</f>
        <v>0</v>
      </c>
      <c r="AA115" s="121">
        <f>Z115*6.4531</f>
        <v>0</v>
      </c>
      <c r="AB115" s="890" t="s">
        <v>509</v>
      </c>
      <c r="AC115" s="861">
        <v>0</v>
      </c>
      <c r="AD115" s="828"/>
      <c r="AE115" s="837"/>
      <c r="AF115" s="1224" t="s">
        <v>508</v>
      </c>
      <c r="AG115" s="892" t="str">
        <f t="shared" ref="AG115:AH117" si="46">X115</f>
        <v>0</v>
      </c>
      <c r="AH115" s="872">
        <f t="shared" si="46"/>
        <v>0</v>
      </c>
      <c r="AI115" s="874" t="e">
        <f>#REF!</f>
        <v>#REF!</v>
      </c>
      <c r="AJ115" s="874" t="e">
        <f>AI115*5.928</f>
        <v>#REF!</v>
      </c>
      <c r="AK115" s="861"/>
      <c r="AL115" s="861"/>
      <c r="AM115" s="861"/>
      <c r="AN115" s="861"/>
      <c r="AO115" s="890" t="e">
        <f>AM115-AI115</f>
        <v>#REF!</v>
      </c>
      <c r="AP115" s="890" t="e">
        <f>AN115-AJ115</f>
        <v>#REF!</v>
      </c>
      <c r="AQ115" s="828"/>
      <c r="AR115" s="828"/>
      <c r="AS115" s="828"/>
      <c r="AT115" s="828"/>
      <c r="AU115" s="828"/>
      <c r="AV115" s="828"/>
      <c r="AW115" s="828"/>
      <c r="AX115" s="828"/>
      <c r="AY115" s="828"/>
      <c r="BI115" s="828"/>
      <c r="BJ115" s="828"/>
      <c r="BK115" s="877"/>
      <c r="BL115" s="877"/>
      <c r="BM115" s="860">
        <f t="shared" ref="BM115:BN117" si="47">M115</f>
        <v>0</v>
      </c>
      <c r="BN115" s="860">
        <f t="shared" si="47"/>
        <v>0</v>
      </c>
      <c r="BO115" s="861">
        <v>0</v>
      </c>
      <c r="BP115" s="861">
        <v>0</v>
      </c>
      <c r="BQ115" s="861">
        <f>BO115-BM115</f>
        <v>0</v>
      </c>
      <c r="BR115" s="828"/>
      <c r="BS115" s="828"/>
      <c r="BT115" s="828"/>
      <c r="BU115" s="828"/>
      <c r="BV115" s="828"/>
      <c r="BW115" s="828"/>
      <c r="BX115" s="828"/>
      <c r="BY115" s="828"/>
      <c r="BZ115" s="828"/>
      <c r="CA115" s="828"/>
      <c r="CB115" s="828"/>
      <c r="CC115" s="828"/>
      <c r="CD115" s="843">
        <v>2</v>
      </c>
      <c r="CE115" s="1220" t="s">
        <v>508</v>
      </c>
      <c r="CF115" s="2356" t="s">
        <v>507</v>
      </c>
      <c r="CG115" s="861">
        <v>33</v>
      </c>
      <c r="CH115" s="855" t="s">
        <v>326</v>
      </c>
      <c r="CI115" s="1221" t="s">
        <v>506</v>
      </c>
      <c r="CJ115" s="855" t="s">
        <v>505</v>
      </c>
      <c r="CK115" s="932" t="s">
        <v>324</v>
      </c>
      <c r="CL115" s="855">
        <v>48000</v>
      </c>
      <c r="CM115" s="1175">
        <f t="shared" ref="CM115:CN123" si="48">J115</f>
        <v>11910.314</v>
      </c>
      <c r="CN115" s="1175">
        <f t="shared" si="48"/>
        <v>11910.314</v>
      </c>
      <c r="CO115" s="878">
        <f>CN115-CM115</f>
        <v>0</v>
      </c>
      <c r="CP115" s="861"/>
      <c r="CQ115" s="861">
        <f>CO115*CL115</f>
        <v>0</v>
      </c>
      <c r="CR115" s="1175">
        <f t="shared" ref="CR115:CS117" si="49">Q115</f>
        <v>6895.2240000000002</v>
      </c>
      <c r="CS115" s="1175">
        <f t="shared" si="49"/>
        <v>6895.2240000000002</v>
      </c>
      <c r="CT115" s="861">
        <f>CS115-CR115</f>
        <v>0</v>
      </c>
      <c r="CU115" s="861"/>
      <c r="CV115" s="861">
        <f>CT115*CL115</f>
        <v>0</v>
      </c>
      <c r="CW115" s="878" t="str">
        <f>IF(CT115&lt;0.00001,"0",COS(ATAN(CT115/CO115)))</f>
        <v>0</v>
      </c>
      <c r="CX115" s="879"/>
    </row>
    <row r="116" spans="1:131" ht="18" customHeight="1" x14ac:dyDescent="0.25">
      <c r="A116" s="1018">
        <v>2</v>
      </c>
      <c r="B116" s="1225" t="s">
        <v>504</v>
      </c>
      <c r="C116" s="2358"/>
      <c r="D116" s="861">
        <v>33</v>
      </c>
      <c r="E116" s="855" t="s">
        <v>326</v>
      </c>
      <c r="F116" s="855" t="s">
        <v>503</v>
      </c>
      <c r="G116" s="855" t="s">
        <v>502</v>
      </c>
      <c r="H116" s="932" t="s">
        <v>324</v>
      </c>
      <c r="I116" s="855">
        <v>48000</v>
      </c>
      <c r="J116" s="1222">
        <v>14467.636</v>
      </c>
      <c r="K116" s="1222">
        <v>14467.636</v>
      </c>
      <c r="L116" s="861">
        <f t="shared" si="45"/>
        <v>0</v>
      </c>
      <c r="M116" s="861"/>
      <c r="N116" s="868">
        <f>L116*I116</f>
        <v>0</v>
      </c>
      <c r="O116" s="1226"/>
      <c r="P116" s="855"/>
      <c r="Q116" s="1175">
        <v>9301.5120000000006</v>
      </c>
      <c r="R116" s="1175">
        <v>9301.5120000000006</v>
      </c>
      <c r="S116" s="861">
        <f>R116-Q116</f>
        <v>0</v>
      </c>
      <c r="T116" s="861"/>
      <c r="U116" s="1028">
        <f>S116*I116</f>
        <v>0</v>
      </c>
      <c r="V116" s="122">
        <f>N116</f>
        <v>0</v>
      </c>
      <c r="W116" s="868">
        <f>U116</f>
        <v>0</v>
      </c>
      <c r="X116" s="870" t="str">
        <f>IFERROR(IF(W116&lt;0.01,"0",COS(ATAN(W116/V116))),0)</f>
        <v>0</v>
      </c>
      <c r="Y116" s="871">
        <f>IF(AND(X116&gt;=0.885,X116&lt;0.9),1*0.005,IF(AND(X116&gt;=0.875,X116&lt;0.89),1*0.01,IF(AND(X116&gt;=0.865,X116&lt;0.88),1*0.02,IF(AND(X116&gt;=0.855,X116&lt;0.87),1*0.03,IF(AND(X116&gt;=0.845,X116&lt;0.86),1*0.04,IF(AND(X116&gt;=0.835,X116&lt;0.85),1*0.05,IF(AND(X116&gt;=0.825,X116&lt;0.84),1*0.06,IF(AND(X116&gt;=0.815,X116&lt;0.83),1*0.07,IF(AND(X116&gt;=0.805,X116&lt;0.82),1*0.08,IF(AND(X116&gt;=0.795,X116&lt;0.81),1*0.09,IF(AND(X116&gt;=0.785,X116&lt;0.8),1*0.105,IF(AND(X116&gt;=0.775,X116&lt;0.79),1*0.12,IF(AND(X116&gt;=0.765,X116&lt;0.78),1*0.135,IF(AND(X116&gt;=0.755,X116&lt;0.77),1*0.15,IF(AND(X116&gt;=0.745,X116&lt;0.76),1*0.165,0)))))))))))))))</f>
        <v>0</v>
      </c>
      <c r="Z116" s="871">
        <f>Y116*V116</f>
        <v>0</v>
      </c>
      <c r="AA116" s="121">
        <f t="shared" ref="AA116:AA164" si="50">Z116*6.4531</f>
        <v>0</v>
      </c>
      <c r="AB116" s="890"/>
      <c r="AC116" s="861">
        <v>0</v>
      </c>
      <c r="AD116" s="828"/>
      <c r="AE116" s="837"/>
      <c r="AF116" s="1227" t="s">
        <v>504</v>
      </c>
      <c r="AG116" s="892" t="str">
        <f t="shared" si="46"/>
        <v>0</v>
      </c>
      <c r="AH116" s="872">
        <f t="shared" si="46"/>
        <v>0</v>
      </c>
      <c r="AI116" s="874" t="e">
        <f>#REF!</f>
        <v>#REF!</v>
      </c>
      <c r="AJ116" s="874" t="e">
        <f>AI116*5.928</f>
        <v>#REF!</v>
      </c>
      <c r="AK116" s="861"/>
      <c r="AL116" s="861"/>
      <c r="AM116" s="861"/>
      <c r="AN116" s="861"/>
      <c r="AO116" s="890" t="e">
        <f>AM116-AI116</f>
        <v>#REF!</v>
      </c>
      <c r="AP116" s="890" t="e">
        <f>AN116-AJ116</f>
        <v>#REF!</v>
      </c>
      <c r="AQ116" s="828"/>
      <c r="AR116" s="828"/>
      <c r="AS116" s="828"/>
      <c r="AT116" s="828"/>
      <c r="AU116" s="828"/>
      <c r="AV116" s="828"/>
      <c r="AW116" s="828"/>
      <c r="AX116" s="828"/>
      <c r="AY116" s="828"/>
      <c r="BI116" s="828"/>
      <c r="BJ116" s="828"/>
      <c r="BK116" s="877"/>
      <c r="BL116" s="877">
        <v>13363</v>
      </c>
      <c r="BM116" s="860">
        <f t="shared" si="47"/>
        <v>0</v>
      </c>
      <c r="BN116" s="860">
        <f t="shared" si="47"/>
        <v>0</v>
      </c>
      <c r="BO116" s="861">
        <v>0</v>
      </c>
      <c r="BP116" s="861">
        <v>2863680</v>
      </c>
      <c r="BQ116" s="861">
        <f>BO116-BM116</f>
        <v>0</v>
      </c>
      <c r="BR116" s="828"/>
      <c r="BS116" s="828"/>
      <c r="BT116" s="828"/>
      <c r="BU116" s="828"/>
      <c r="BV116" s="828"/>
      <c r="BW116" s="828"/>
      <c r="BX116" s="828"/>
      <c r="BY116" s="828"/>
      <c r="BZ116" s="828"/>
      <c r="CA116" s="828"/>
      <c r="CB116" s="828"/>
      <c r="CC116" s="828"/>
      <c r="CD116" s="910">
        <v>3</v>
      </c>
      <c r="CE116" s="1225" t="s">
        <v>504</v>
      </c>
      <c r="CF116" s="2358"/>
      <c r="CG116" s="861">
        <v>33</v>
      </c>
      <c r="CH116" s="855" t="s">
        <v>326</v>
      </c>
      <c r="CI116" s="855" t="s">
        <v>503</v>
      </c>
      <c r="CJ116" s="855" t="s">
        <v>502</v>
      </c>
      <c r="CK116" s="932" t="s">
        <v>324</v>
      </c>
      <c r="CL116" s="855">
        <v>48000</v>
      </c>
      <c r="CM116" s="1175">
        <f t="shared" si="48"/>
        <v>14467.636</v>
      </c>
      <c r="CN116" s="1175">
        <f t="shared" si="48"/>
        <v>14467.636</v>
      </c>
      <c r="CO116" s="861">
        <f t="shared" ref="CO116:CO123" si="51">CN116-CM116</f>
        <v>0</v>
      </c>
      <c r="CP116" s="861"/>
      <c r="CQ116" s="890">
        <f>CO116*CL116</f>
        <v>0</v>
      </c>
      <c r="CR116" s="1175">
        <f t="shared" si="49"/>
        <v>9301.5120000000006</v>
      </c>
      <c r="CS116" s="1175">
        <f t="shared" si="49"/>
        <v>9301.5120000000006</v>
      </c>
      <c r="CT116" s="861">
        <f>CS116-CR116</f>
        <v>0</v>
      </c>
      <c r="CU116" s="861"/>
      <c r="CV116" s="861">
        <f>CT116*CL116</f>
        <v>0</v>
      </c>
      <c r="CW116" s="878" t="str">
        <f>IF(CT116&lt;0.00001,"0",COS(ATAN(CT116/CO116)))</f>
        <v>0</v>
      </c>
      <c r="CX116" s="879"/>
    </row>
    <row r="117" spans="1:131" ht="14" x14ac:dyDescent="0.25">
      <c r="A117" s="1018">
        <v>3</v>
      </c>
      <c r="B117" s="1225" t="s">
        <v>501</v>
      </c>
      <c r="C117" s="2358"/>
      <c r="D117" s="861">
        <v>33</v>
      </c>
      <c r="E117" s="855" t="s">
        <v>326</v>
      </c>
      <c r="F117" s="855">
        <v>8993798</v>
      </c>
      <c r="G117" s="855" t="s">
        <v>500</v>
      </c>
      <c r="H117" s="1228">
        <v>1</v>
      </c>
      <c r="I117" s="855">
        <v>48000</v>
      </c>
      <c r="J117" s="1175">
        <v>60.351999999999997</v>
      </c>
      <c r="K117" s="1175">
        <v>60.351999999999997</v>
      </c>
      <c r="L117" s="861">
        <f t="shared" si="45"/>
        <v>0</v>
      </c>
      <c r="M117" s="878"/>
      <c r="N117" s="868">
        <f>L117*I117+P117</f>
        <v>0</v>
      </c>
      <c r="O117" s="863"/>
      <c r="P117" s="1048"/>
      <c r="Q117" s="1175">
        <v>19.510000000000002</v>
      </c>
      <c r="R117" s="1175">
        <v>19.510000000000002</v>
      </c>
      <c r="S117" s="861">
        <f>R117-Q117</f>
        <v>0</v>
      </c>
      <c r="T117" s="861"/>
      <c r="U117" s="1028">
        <f>S117*I117+EA117</f>
        <v>0</v>
      </c>
      <c r="V117" s="122">
        <f>N117</f>
        <v>0</v>
      </c>
      <c r="W117" s="868">
        <f>U117</f>
        <v>0</v>
      </c>
      <c r="X117" s="870" t="str">
        <f>IF(W117&lt;0.00001,"0",COS(ATAN(W117/V117)))</f>
        <v>0</v>
      </c>
      <c r="Y117" s="1179">
        <f>IF(AND(X117&gt;=0.885,X117&lt;0.9),1*Y1140.005,IF(AND(X117&gt;=0.875,X117&lt;0.89),1*0.01,IF(AND(X117&gt;=0.865,X117&lt;0.88),1*0.02,IF(AND(X117&gt;=0.855,X117&lt;0.87),1*0.03,IF(AND(X117&gt;=0.845,X117&lt;0.86),1*0.04,IF(AND(X117&gt;=0.835,X117&lt;0.85),1*0.05,IF(AND(X117&gt;=0.825,X117&lt;0.84),1*0.06,IF(AND(X117&gt;=0.815,X117&lt;0.83),1*0.07,IF(AND(X117&gt;=0.805,X117&lt;0.82),1*0.08,IF(AND(X117&gt;=0.795,X117&lt;0.81),1*0.09,IF(AND(X117&gt;=0.785,X117&lt;0.8),1*0.105,IF(AND(X117&gt;=0.775,X117&lt;0.79),1*0.12,IF(AND(X117&gt;=0.765,X117&lt;0.78),1*0.135,IF(AND(X117&gt;=0.755,X117&lt;0.77),1*0.15,IF(AND(X117&gt;=0.745,X117&lt;0.76),1*0.165,0)))))))))))))))</f>
        <v>0</v>
      </c>
      <c r="Z117" s="871">
        <f t="shared" ref="Z117:Z157" si="52">Y117*V117</f>
        <v>0</v>
      </c>
      <c r="AA117" s="121">
        <f t="shared" si="50"/>
        <v>0</v>
      </c>
      <c r="AB117" s="890"/>
      <c r="AC117" s="861">
        <v>0</v>
      </c>
      <c r="AD117" s="828"/>
      <c r="AE117" s="837"/>
      <c r="AF117" s="1227" t="s">
        <v>501</v>
      </c>
      <c r="AG117" s="891" t="str">
        <f t="shared" si="46"/>
        <v>0</v>
      </c>
      <c r="AH117" s="872">
        <f t="shared" si="46"/>
        <v>0</v>
      </c>
      <c r="AI117" s="872" t="e">
        <f>#REF!</f>
        <v>#REF!</v>
      </c>
      <c r="AJ117" s="874" t="e">
        <f>AI117*5.928</f>
        <v>#REF!</v>
      </c>
      <c r="AK117" s="861"/>
      <c r="AL117" s="861"/>
      <c r="AM117" s="861"/>
      <c r="AN117" s="861"/>
      <c r="AO117" s="861" t="e">
        <f>AM117-AI117</f>
        <v>#REF!</v>
      </c>
      <c r="AP117" s="861"/>
      <c r="AQ117" s="828"/>
      <c r="AR117" s="828"/>
      <c r="AS117" s="828"/>
      <c r="AT117" s="828"/>
      <c r="AU117" s="828"/>
      <c r="AV117" s="828"/>
      <c r="AW117" s="998">
        <f>Z115+Z116</f>
        <v>0</v>
      </c>
      <c r="AX117" s="828"/>
      <c r="AY117" s="828"/>
      <c r="BI117" s="828"/>
      <c r="BJ117" s="828"/>
      <c r="BK117" s="877"/>
      <c r="BL117" s="877">
        <v>8899</v>
      </c>
      <c r="BM117" s="860">
        <f t="shared" si="47"/>
        <v>0</v>
      </c>
      <c r="BN117" s="860">
        <f t="shared" si="47"/>
        <v>0</v>
      </c>
      <c r="BO117" s="861">
        <v>0</v>
      </c>
      <c r="BP117" s="861">
        <v>129744</v>
      </c>
      <c r="BQ117" s="861">
        <f>BO117-BM117</f>
        <v>0</v>
      </c>
      <c r="BR117" s="828"/>
      <c r="BS117" s="828"/>
      <c r="BT117" s="828"/>
      <c r="BU117" s="828"/>
      <c r="BV117" s="828"/>
      <c r="BW117" s="828"/>
      <c r="BX117" s="828"/>
      <c r="BY117" s="828"/>
      <c r="BZ117" s="828"/>
      <c r="CA117" s="828"/>
      <c r="CB117" s="828"/>
      <c r="CC117" s="828"/>
      <c r="CD117" s="910">
        <v>4</v>
      </c>
      <c r="CE117" s="1225" t="s">
        <v>501</v>
      </c>
      <c r="CF117" s="2358"/>
      <c r="CG117" s="861">
        <v>33</v>
      </c>
      <c r="CH117" s="855" t="s">
        <v>326</v>
      </c>
      <c r="CI117" s="855">
        <v>8993820</v>
      </c>
      <c r="CJ117" s="855" t="s">
        <v>500</v>
      </c>
      <c r="CK117" s="932" t="s">
        <v>324</v>
      </c>
      <c r="CL117" s="855">
        <v>48000</v>
      </c>
      <c r="CM117" s="1175">
        <f t="shared" si="48"/>
        <v>60.351999999999997</v>
      </c>
      <c r="CN117" s="1175">
        <f t="shared" si="48"/>
        <v>60.351999999999997</v>
      </c>
      <c r="CO117" s="861">
        <f t="shared" si="51"/>
        <v>0</v>
      </c>
      <c r="CP117" s="878"/>
      <c r="CQ117" s="890">
        <f>CO117*CL117</f>
        <v>0</v>
      </c>
      <c r="CR117" s="1176">
        <f t="shared" si="49"/>
        <v>19.510000000000002</v>
      </c>
      <c r="CS117" s="1176">
        <f t="shared" si="49"/>
        <v>19.510000000000002</v>
      </c>
      <c r="CT117" s="861">
        <f>CS117-CR117</f>
        <v>0</v>
      </c>
      <c r="CU117" s="861"/>
      <c r="CV117" s="861">
        <f>CT117*CL117</f>
        <v>0</v>
      </c>
      <c r="CW117" s="870" t="str">
        <f>IF(CT117&lt;0.00001,"0",COS(ATAN(CT117/CO117)))</f>
        <v>0</v>
      </c>
      <c r="CX117" s="879"/>
      <c r="EA117" s="122"/>
    </row>
    <row r="118" spans="1:131" ht="14" x14ac:dyDescent="0.25">
      <c r="A118" s="1018"/>
      <c r="B118" s="880" t="s">
        <v>499</v>
      </c>
      <c r="C118" s="2358"/>
      <c r="D118" s="861"/>
      <c r="E118" s="855"/>
      <c r="F118" s="855"/>
      <c r="G118" s="855"/>
      <c r="H118" s="1228"/>
      <c r="I118" s="855"/>
      <c r="J118" s="1175" t="s">
        <v>237</v>
      </c>
      <c r="K118" s="1175" t="s">
        <v>237</v>
      </c>
      <c r="L118" s="861"/>
      <c r="M118" s="878"/>
      <c r="N118" s="868"/>
      <c r="O118" s="863"/>
      <c r="P118" s="1048"/>
      <c r="Q118" s="1175"/>
      <c r="R118" s="1175"/>
      <c r="S118" s="861"/>
      <c r="T118" s="1229">
        <f>U117</f>
        <v>0</v>
      </c>
      <c r="U118" s="1028"/>
      <c r="V118" s="122"/>
      <c r="W118" s="868"/>
      <c r="X118" s="870"/>
      <c r="Y118" s="1179"/>
      <c r="Z118" s="871"/>
      <c r="AA118" s="121"/>
      <c r="AB118" s="1230"/>
      <c r="AC118" s="1018"/>
      <c r="AD118" s="828"/>
      <c r="AE118" s="837"/>
      <c r="AF118" s="1227"/>
      <c r="AG118" s="891"/>
      <c r="AH118" s="872"/>
      <c r="AI118" s="872"/>
      <c r="AJ118" s="874"/>
      <c r="AK118" s="861"/>
      <c r="AL118" s="861"/>
      <c r="AM118" s="861"/>
      <c r="AN118" s="861"/>
      <c r="AO118" s="861"/>
      <c r="AP118" s="861"/>
      <c r="AQ118" s="828"/>
      <c r="AR118" s="828"/>
      <c r="AS118" s="828"/>
      <c r="AT118" s="828"/>
      <c r="AU118" s="828"/>
      <c r="AV118" s="828"/>
      <c r="AW118" s="998"/>
      <c r="AX118" s="828"/>
      <c r="AY118" s="828"/>
      <c r="BI118" s="828"/>
      <c r="BJ118" s="828"/>
      <c r="BK118" s="877"/>
      <c r="BL118" s="877"/>
      <c r="BM118" s="860"/>
      <c r="BN118" s="860"/>
      <c r="BO118" s="861"/>
      <c r="BP118" s="861"/>
      <c r="BQ118" s="861"/>
      <c r="BR118" s="828"/>
      <c r="BS118" s="828"/>
      <c r="BT118" s="828"/>
      <c r="BU118" s="828"/>
      <c r="BV118" s="828"/>
      <c r="BW118" s="828"/>
      <c r="BX118" s="828"/>
      <c r="BY118" s="828"/>
      <c r="BZ118" s="828"/>
      <c r="CA118" s="828"/>
      <c r="CB118" s="828"/>
      <c r="CC118" s="828"/>
      <c r="CD118" s="910"/>
      <c r="CE118" s="1225"/>
      <c r="CF118" s="2358"/>
      <c r="CG118" s="861"/>
      <c r="CH118" s="855"/>
      <c r="CI118" s="855"/>
      <c r="CJ118" s="855"/>
      <c r="CK118" s="932"/>
      <c r="CL118" s="855"/>
      <c r="CM118" s="1175"/>
      <c r="CN118" s="1175"/>
      <c r="CO118" s="861"/>
      <c r="CP118" s="878"/>
      <c r="CQ118" s="890"/>
      <c r="CR118" s="1176"/>
      <c r="CS118" s="1176"/>
      <c r="CT118" s="861"/>
      <c r="CU118" s="861"/>
      <c r="CV118" s="861"/>
      <c r="CW118" s="870"/>
      <c r="CX118" s="879"/>
      <c r="EA118" s="138"/>
    </row>
    <row r="119" spans="1:131" ht="14" x14ac:dyDescent="0.25">
      <c r="A119" s="1018"/>
      <c r="B119" s="880" t="s">
        <v>498</v>
      </c>
      <c r="C119" s="2358"/>
      <c r="D119" s="885">
        <v>33</v>
      </c>
      <c r="E119" s="1231" t="s">
        <v>339</v>
      </c>
      <c r="F119" s="1231">
        <v>9921657</v>
      </c>
      <c r="G119" s="1231"/>
      <c r="H119" s="1231">
        <v>1</v>
      </c>
      <c r="I119" s="1231">
        <v>5500</v>
      </c>
      <c r="J119" s="1231">
        <v>3426</v>
      </c>
      <c r="K119" s="1231">
        <v>3426</v>
      </c>
      <c r="L119" s="1231">
        <f t="shared" si="45"/>
        <v>0</v>
      </c>
      <c r="M119" s="890">
        <f>L119*I119*H119</f>
        <v>0</v>
      </c>
      <c r="N119" s="868"/>
      <c r="O119" s="1008"/>
      <c r="P119" s="1009"/>
      <c r="Q119" s="1175"/>
      <c r="R119" s="1175"/>
      <c r="S119" s="861"/>
      <c r="T119" s="861"/>
      <c r="U119" s="861"/>
      <c r="V119" s="122"/>
      <c r="W119" s="868"/>
      <c r="X119" s="870"/>
      <c r="Y119" s="1179"/>
      <c r="Z119" s="871"/>
      <c r="AA119" s="121">
        <f t="shared" si="50"/>
        <v>0</v>
      </c>
      <c r="AB119" s="1230"/>
      <c r="AC119" s="1018">
        <v>0</v>
      </c>
      <c r="AD119" s="828"/>
      <c r="AE119" s="837"/>
      <c r="AF119" s="1227"/>
      <c r="AG119" s="891"/>
      <c r="AH119" s="872"/>
      <c r="AI119" s="872"/>
      <c r="AJ119" s="874"/>
      <c r="AK119" s="861"/>
      <c r="AL119" s="861"/>
      <c r="AM119" s="861"/>
      <c r="AN119" s="861"/>
      <c r="AO119" s="861"/>
      <c r="AP119" s="861"/>
      <c r="AQ119" s="828"/>
      <c r="AR119" s="828"/>
      <c r="AS119" s="828"/>
      <c r="AT119" s="828"/>
      <c r="AU119" s="828"/>
      <c r="AV119" s="828"/>
      <c r="AW119" s="998"/>
      <c r="AX119" s="828"/>
      <c r="AY119" s="828"/>
      <c r="BI119" s="828"/>
      <c r="BJ119" s="828"/>
      <c r="BK119" s="877"/>
      <c r="BL119" s="877"/>
      <c r="BM119" s="860"/>
      <c r="BN119" s="860"/>
      <c r="BO119" s="861"/>
      <c r="BP119" s="861"/>
      <c r="BQ119" s="861"/>
      <c r="BR119" s="828"/>
      <c r="BS119" s="828"/>
      <c r="BT119" s="828"/>
      <c r="BU119" s="828"/>
      <c r="BV119" s="828"/>
      <c r="BW119" s="828"/>
      <c r="BX119" s="828"/>
      <c r="BY119" s="828"/>
      <c r="BZ119" s="828"/>
      <c r="CA119" s="828"/>
      <c r="CB119" s="828"/>
      <c r="CC119" s="828"/>
      <c r="CD119" s="910"/>
      <c r="CE119" s="1225"/>
      <c r="CF119" s="2358"/>
      <c r="CG119" s="861"/>
      <c r="CH119" s="855"/>
      <c r="CI119" s="855"/>
      <c r="CJ119" s="855"/>
      <c r="CK119" s="932"/>
      <c r="CL119" s="855"/>
      <c r="CM119" s="1175"/>
      <c r="CN119" s="1175"/>
      <c r="CO119" s="861"/>
      <c r="CP119" s="878"/>
      <c r="CQ119" s="890"/>
      <c r="CR119" s="1176"/>
      <c r="CS119" s="1176"/>
      <c r="CT119" s="861"/>
      <c r="CU119" s="861"/>
      <c r="CV119" s="861"/>
      <c r="CW119" s="870"/>
      <c r="CX119" s="879"/>
    </row>
    <row r="120" spans="1:131" ht="15.75" customHeight="1" x14ac:dyDescent="0.25">
      <c r="A120" s="1018"/>
      <c r="B120" s="880" t="s">
        <v>497</v>
      </c>
      <c r="C120" s="2358"/>
      <c r="D120" s="885">
        <v>33</v>
      </c>
      <c r="E120" s="1231" t="s">
        <v>339</v>
      </c>
      <c r="F120" s="1231" t="s">
        <v>496</v>
      </c>
      <c r="G120" s="1231"/>
      <c r="H120" s="1231">
        <v>1</v>
      </c>
      <c r="I120" s="1231">
        <v>5500</v>
      </c>
      <c r="J120" s="1231">
        <v>1257</v>
      </c>
      <c r="K120" s="1231">
        <v>1257</v>
      </c>
      <c r="L120" s="1231">
        <f t="shared" si="45"/>
        <v>0</v>
      </c>
      <c r="M120" s="890">
        <f>L120*I120*H120</f>
        <v>0</v>
      </c>
      <c r="N120" s="868"/>
      <c r="O120" s="1008"/>
      <c r="P120" s="1009"/>
      <c r="Q120" s="1175"/>
      <c r="R120" s="1175"/>
      <c r="S120" s="861"/>
      <c r="T120" s="861"/>
      <c r="U120" s="861"/>
      <c r="V120" s="122"/>
      <c r="W120" s="868"/>
      <c r="X120" s="870"/>
      <c r="Y120" s="1179"/>
      <c r="Z120" s="871"/>
      <c r="AA120" s="121">
        <f t="shared" si="50"/>
        <v>0</v>
      </c>
      <c r="AB120" s="1230"/>
      <c r="AC120" s="1018"/>
      <c r="AD120" s="828"/>
      <c r="AE120" s="837"/>
      <c r="AF120" s="1227"/>
      <c r="AG120" s="891"/>
      <c r="AH120" s="872"/>
      <c r="AI120" s="872"/>
      <c r="AJ120" s="874"/>
      <c r="AK120" s="861"/>
      <c r="AL120" s="861"/>
      <c r="AM120" s="861"/>
      <c r="AN120" s="861"/>
      <c r="AO120" s="861"/>
      <c r="AP120" s="861"/>
      <c r="AQ120" s="828"/>
      <c r="AR120" s="828"/>
      <c r="AS120" s="828"/>
      <c r="AT120" s="828"/>
      <c r="AU120" s="828"/>
      <c r="AV120" s="828"/>
      <c r="AW120" s="998"/>
      <c r="AX120" s="828"/>
      <c r="AY120" s="828"/>
      <c r="BI120" s="828"/>
      <c r="BJ120" s="828"/>
      <c r="BK120" s="877"/>
      <c r="BL120" s="877"/>
      <c r="BM120" s="860"/>
      <c r="BN120" s="860"/>
      <c r="BO120" s="861"/>
      <c r="BP120" s="861"/>
      <c r="BQ120" s="861"/>
      <c r="BR120" s="828"/>
      <c r="BS120" s="828"/>
      <c r="BT120" s="828"/>
      <c r="BU120" s="828"/>
      <c r="BV120" s="828"/>
      <c r="BW120" s="828"/>
      <c r="BX120" s="828"/>
      <c r="BY120" s="828"/>
      <c r="BZ120" s="828"/>
      <c r="CA120" s="828"/>
      <c r="CB120" s="828"/>
      <c r="CC120" s="828"/>
      <c r="CD120" s="910"/>
      <c r="CE120" s="1225"/>
      <c r="CF120" s="2358"/>
      <c r="CG120" s="861"/>
      <c r="CH120" s="855"/>
      <c r="CI120" s="855"/>
      <c r="CJ120" s="855"/>
      <c r="CK120" s="932"/>
      <c r="CL120" s="855"/>
      <c r="CM120" s="1175"/>
      <c r="CN120" s="1175"/>
      <c r="CO120" s="861"/>
      <c r="CP120" s="878"/>
      <c r="CQ120" s="890"/>
      <c r="CR120" s="1176"/>
      <c r="CS120" s="1176"/>
      <c r="CT120" s="861"/>
      <c r="CU120" s="861"/>
      <c r="CV120" s="861"/>
      <c r="CW120" s="870"/>
      <c r="CX120" s="879"/>
    </row>
    <row r="121" spans="1:131" ht="14.25" customHeight="1" x14ac:dyDescent="0.25">
      <c r="A121" s="1018"/>
      <c r="B121" s="880" t="s">
        <v>495</v>
      </c>
      <c r="C121" s="2358"/>
      <c r="D121" s="885">
        <v>33</v>
      </c>
      <c r="E121" s="1231" t="s">
        <v>482</v>
      </c>
      <c r="F121" s="1231">
        <v>122218112</v>
      </c>
      <c r="G121" s="1231" t="s">
        <v>492</v>
      </c>
      <c r="H121" s="1231">
        <v>1.0049999999999999</v>
      </c>
      <c r="I121" s="1231">
        <v>1000</v>
      </c>
      <c r="J121" s="1231">
        <v>53653.586000000003</v>
      </c>
      <c r="K121" s="1231">
        <v>53653.586000000003</v>
      </c>
      <c r="L121" s="1231">
        <f t="shared" si="45"/>
        <v>0</v>
      </c>
      <c r="M121" s="890"/>
      <c r="O121" s="869"/>
      <c r="P121" s="861"/>
      <c r="Q121" s="1175"/>
      <c r="R121" s="1175"/>
      <c r="S121" s="942"/>
      <c r="T121" s="861"/>
      <c r="U121" s="861"/>
      <c r="V121" s="122"/>
      <c r="W121" s="868"/>
      <c r="X121" s="870"/>
      <c r="Y121" s="1179"/>
      <c r="Z121" s="871"/>
      <c r="AA121" s="121">
        <f t="shared" si="50"/>
        <v>0</v>
      </c>
      <c r="AB121" s="1230"/>
      <c r="AC121" s="2299"/>
      <c r="AD121" s="828"/>
      <c r="AE121" s="837"/>
      <c r="AF121" s="1227" t="s">
        <v>495</v>
      </c>
      <c r="AG121" s="872"/>
      <c r="AH121" s="872"/>
      <c r="AI121" s="872"/>
      <c r="AJ121" s="874"/>
      <c r="AK121" s="861"/>
      <c r="AL121" s="861"/>
      <c r="AM121" s="861"/>
      <c r="AN121" s="861"/>
      <c r="AO121" s="861"/>
      <c r="AP121" s="861"/>
      <c r="AQ121" s="828"/>
      <c r="AR121" s="828"/>
      <c r="AS121" s="828"/>
      <c r="AT121" s="828"/>
      <c r="AU121" s="828"/>
      <c r="AV121" s="828"/>
      <c r="AW121" s="828"/>
      <c r="AX121" s="828"/>
      <c r="AY121" s="828"/>
      <c r="BI121" s="828"/>
      <c r="BJ121" s="828"/>
      <c r="BK121" s="877"/>
      <c r="BL121" s="877"/>
      <c r="BM121" s="860"/>
      <c r="BN121" s="860"/>
      <c r="BO121" s="861"/>
      <c r="BP121" s="861"/>
      <c r="BQ121" s="861"/>
      <c r="BR121" s="828"/>
      <c r="BS121" s="828"/>
      <c r="BT121" s="828"/>
      <c r="BU121" s="828"/>
      <c r="BV121" s="828"/>
      <c r="BW121" s="828"/>
      <c r="BX121" s="828"/>
      <c r="BY121" s="828"/>
      <c r="BZ121" s="828"/>
      <c r="CA121" s="828"/>
      <c r="CB121" s="828"/>
      <c r="CC121" s="828"/>
      <c r="CD121" s="1132">
        <v>1</v>
      </c>
      <c r="CE121" s="1225" t="s">
        <v>495</v>
      </c>
      <c r="CF121" s="2358"/>
      <c r="CG121" s="861">
        <v>33</v>
      </c>
      <c r="CH121" s="855" t="s">
        <v>482</v>
      </c>
      <c r="CI121" s="855">
        <v>122218112</v>
      </c>
      <c r="CJ121" s="855" t="s">
        <v>492</v>
      </c>
      <c r="CK121" s="932">
        <v>1.0049999999999999</v>
      </c>
      <c r="CL121" s="984">
        <v>1000</v>
      </c>
      <c r="CM121" s="1175">
        <f t="shared" si="48"/>
        <v>53653.586000000003</v>
      </c>
      <c r="CN121" s="1175">
        <f t="shared" si="48"/>
        <v>53653.586000000003</v>
      </c>
      <c r="CO121" s="861">
        <f t="shared" si="51"/>
        <v>0</v>
      </c>
      <c r="CP121" s="890">
        <f>CO121*CL121*CK121</f>
        <v>0</v>
      </c>
      <c r="CQ121" s="890"/>
      <c r="CR121" s="1176"/>
      <c r="CS121" s="1176"/>
      <c r="CT121" s="942"/>
      <c r="CU121" s="861"/>
      <c r="CV121" s="861"/>
      <c r="CW121" s="870"/>
      <c r="CX121" s="879"/>
    </row>
    <row r="122" spans="1:131" ht="13.5" customHeight="1" x14ac:dyDescent="0.25">
      <c r="A122" s="1018"/>
      <c r="B122" s="880" t="s">
        <v>494</v>
      </c>
      <c r="C122" s="2357"/>
      <c r="D122" s="885">
        <v>33</v>
      </c>
      <c r="E122" s="1231" t="s">
        <v>482</v>
      </c>
      <c r="F122" s="1231">
        <v>12920031</v>
      </c>
      <c r="G122" s="1231" t="s">
        <v>492</v>
      </c>
      <c r="H122" s="1231">
        <v>1.0049999999999999</v>
      </c>
      <c r="I122" s="1231">
        <v>5500</v>
      </c>
      <c r="J122" s="1231">
        <v>7806</v>
      </c>
      <c r="K122" s="1231">
        <v>7806</v>
      </c>
      <c r="L122" s="1231">
        <f t="shared" si="45"/>
        <v>0</v>
      </c>
      <c r="M122" s="890">
        <f>L122*I122*H122</f>
        <v>0</v>
      </c>
      <c r="N122" s="868"/>
      <c r="O122" s="1232"/>
      <c r="P122" s="861"/>
      <c r="Q122" s="1175"/>
      <c r="R122" s="1175"/>
      <c r="S122" s="942"/>
      <c r="T122" s="861" t="s">
        <v>237</v>
      </c>
      <c r="U122" s="861"/>
      <c r="V122" s="122"/>
      <c r="W122" s="868"/>
      <c r="X122" s="870"/>
      <c r="Y122" s="1179"/>
      <c r="Z122" s="871"/>
      <c r="AA122" s="121">
        <f t="shared" si="50"/>
        <v>0</v>
      </c>
      <c r="AB122" s="1182"/>
      <c r="AC122" s="2301"/>
      <c r="AD122" s="828"/>
      <c r="AE122" s="837"/>
      <c r="AF122" s="1227" t="s">
        <v>494</v>
      </c>
      <c r="AG122" s="872"/>
      <c r="AH122" s="872"/>
      <c r="AI122" s="872"/>
      <c r="AJ122" s="874"/>
      <c r="AK122" s="861"/>
      <c r="AL122" s="861"/>
      <c r="AM122" s="861"/>
      <c r="AN122" s="861"/>
      <c r="AO122" s="861"/>
      <c r="AP122" s="861"/>
      <c r="AQ122" s="828"/>
      <c r="AR122" s="828"/>
      <c r="AS122" s="828"/>
      <c r="AT122" s="828"/>
      <c r="AU122" s="828"/>
      <c r="AV122" s="828"/>
      <c r="AW122" s="828"/>
      <c r="AX122" s="828"/>
      <c r="AY122" s="828"/>
      <c r="BI122" s="828"/>
      <c r="BJ122" s="828"/>
      <c r="BK122" s="877"/>
      <c r="BL122" s="877"/>
      <c r="BM122" s="860"/>
      <c r="BN122" s="860"/>
      <c r="BO122" s="861"/>
      <c r="BP122" s="861"/>
      <c r="BQ122" s="861"/>
      <c r="BR122" s="828"/>
      <c r="BS122" s="828"/>
      <c r="BT122" s="828"/>
      <c r="BU122" s="828"/>
      <c r="BV122" s="828"/>
      <c r="BW122" s="828"/>
      <c r="BX122" s="828"/>
      <c r="BY122" s="828"/>
      <c r="BZ122" s="828"/>
      <c r="CA122" s="828"/>
      <c r="CB122" s="828"/>
      <c r="CC122" s="828"/>
      <c r="CD122" s="1132">
        <v>2</v>
      </c>
      <c r="CE122" s="1225" t="s">
        <v>494</v>
      </c>
      <c r="CF122" s="2357"/>
      <c r="CG122" s="861">
        <v>33</v>
      </c>
      <c r="CH122" s="855" t="s">
        <v>482</v>
      </c>
      <c r="CI122" s="855">
        <v>12920031</v>
      </c>
      <c r="CJ122" s="855" t="s">
        <v>492</v>
      </c>
      <c r="CK122" s="932">
        <v>1.0049999999999999</v>
      </c>
      <c r="CL122" s="984">
        <v>5500</v>
      </c>
      <c r="CM122" s="1175">
        <f t="shared" si="48"/>
        <v>7806</v>
      </c>
      <c r="CN122" s="1175">
        <f t="shared" si="48"/>
        <v>7806</v>
      </c>
      <c r="CO122" s="861">
        <f t="shared" si="51"/>
        <v>0</v>
      </c>
      <c r="CP122" s="890">
        <f>CO122*CL122*CK122</f>
        <v>0</v>
      </c>
      <c r="CQ122" s="890"/>
      <c r="CR122" s="1176"/>
      <c r="CS122" s="1176"/>
      <c r="CT122" s="942"/>
      <c r="CU122" s="861"/>
      <c r="CV122" s="861"/>
      <c r="CW122" s="870"/>
      <c r="CX122" s="879"/>
    </row>
    <row r="123" spans="1:131" ht="14.25" customHeight="1" thickBot="1" x14ac:dyDescent="0.3">
      <c r="A123" s="1018"/>
      <c r="B123" s="880" t="s">
        <v>493</v>
      </c>
      <c r="C123" s="909"/>
      <c r="D123" s="885">
        <v>33</v>
      </c>
      <c r="E123" s="1231" t="s">
        <v>482</v>
      </c>
      <c r="F123" s="1231">
        <v>15716186</v>
      </c>
      <c r="G123" s="1231" t="s">
        <v>492</v>
      </c>
      <c r="H123" s="1231">
        <v>1.0049999999999999</v>
      </c>
      <c r="I123" s="1231">
        <v>5500</v>
      </c>
      <c r="J123" s="1231">
        <v>6775</v>
      </c>
      <c r="K123" s="1231">
        <v>6775</v>
      </c>
      <c r="L123" s="1231">
        <f t="shared" si="45"/>
        <v>0</v>
      </c>
      <c r="M123" s="890">
        <f>L123*I123*H123</f>
        <v>0</v>
      </c>
      <c r="N123" s="868"/>
      <c r="O123" s="1232"/>
      <c r="P123" s="861"/>
      <c r="Q123" s="1175"/>
      <c r="R123" s="1175"/>
      <c r="S123" s="942"/>
      <c r="T123" s="861"/>
      <c r="U123" s="861"/>
      <c r="V123" s="122"/>
      <c r="W123" s="868"/>
      <c r="X123" s="870"/>
      <c r="Y123" s="1179"/>
      <c r="Z123" s="871"/>
      <c r="AA123" s="121">
        <f t="shared" si="50"/>
        <v>0</v>
      </c>
      <c r="AB123" s="1182"/>
      <c r="AC123" s="913"/>
      <c r="AD123" s="828"/>
      <c r="AE123" s="837"/>
      <c r="AF123" s="1227" t="s">
        <v>493</v>
      </c>
      <c r="AG123" s="872"/>
      <c r="AH123" s="872"/>
      <c r="AI123" s="872"/>
      <c r="AJ123" s="874"/>
      <c r="AK123" s="861"/>
      <c r="AL123" s="861"/>
      <c r="AM123" s="861"/>
      <c r="AN123" s="861"/>
      <c r="AO123" s="861"/>
      <c r="AP123" s="861"/>
      <c r="AQ123" s="828"/>
      <c r="AR123" s="828"/>
      <c r="AS123" s="828"/>
      <c r="AT123" s="828"/>
      <c r="AU123" s="828"/>
      <c r="AV123" s="828"/>
      <c r="AW123" s="828"/>
      <c r="AX123" s="828"/>
      <c r="AY123" s="828"/>
      <c r="BI123" s="828"/>
      <c r="BJ123" s="828"/>
      <c r="BK123" s="877"/>
      <c r="BL123" s="877"/>
      <c r="BM123" s="860"/>
      <c r="BN123" s="860"/>
      <c r="BO123" s="861"/>
      <c r="BP123" s="861"/>
      <c r="BQ123" s="861"/>
      <c r="BR123" s="828"/>
      <c r="BS123" s="828"/>
      <c r="BT123" s="828"/>
      <c r="BU123" s="828"/>
      <c r="BV123" s="828"/>
      <c r="BW123" s="828"/>
      <c r="BX123" s="828"/>
      <c r="BY123" s="828"/>
      <c r="BZ123" s="828"/>
      <c r="CA123" s="828"/>
      <c r="CB123" s="828"/>
      <c r="CC123" s="828"/>
      <c r="CD123" s="1132">
        <v>3</v>
      </c>
      <c r="CE123" s="1225" t="s">
        <v>493</v>
      </c>
      <c r="CF123" s="909"/>
      <c r="CG123" s="861">
        <v>33</v>
      </c>
      <c r="CH123" s="855" t="s">
        <v>482</v>
      </c>
      <c r="CI123" s="908">
        <v>15716186</v>
      </c>
      <c r="CJ123" s="908" t="s">
        <v>492</v>
      </c>
      <c r="CK123" s="912">
        <v>1.0049999999999999</v>
      </c>
      <c r="CL123" s="984">
        <v>5500</v>
      </c>
      <c r="CM123" s="1175">
        <f t="shared" si="48"/>
        <v>6775</v>
      </c>
      <c r="CN123" s="1175">
        <f t="shared" si="48"/>
        <v>6775</v>
      </c>
      <c r="CO123" s="861">
        <f t="shared" si="51"/>
        <v>0</v>
      </c>
      <c r="CP123" s="890">
        <f>CO123*CL123*CK123</f>
        <v>0</v>
      </c>
      <c r="CQ123" s="890"/>
      <c r="CR123" s="1176"/>
      <c r="CS123" s="1176"/>
      <c r="CT123" s="942"/>
      <c r="CU123" s="861"/>
      <c r="CV123" s="861"/>
      <c r="CW123" s="870"/>
      <c r="CX123" s="879"/>
    </row>
    <row r="124" spans="1:131" ht="15.75" customHeight="1" thickBot="1" x14ac:dyDescent="0.3">
      <c r="A124" s="1233" t="s">
        <v>491</v>
      </c>
      <c r="B124" s="1234"/>
      <c r="C124" s="1234"/>
      <c r="D124" s="1234"/>
      <c r="E124" s="1234"/>
      <c r="F124" s="2363" t="s">
        <v>490</v>
      </c>
      <c r="G124" s="2364"/>
      <c r="H124" s="912">
        <v>5241</v>
      </c>
      <c r="I124" s="2278">
        <v>179431602</v>
      </c>
      <c r="J124" s="2279"/>
      <c r="K124" s="2280"/>
      <c r="L124" s="910" t="s">
        <v>323</v>
      </c>
      <c r="M124" s="1090">
        <f>M119+M120+M118</f>
        <v>0</v>
      </c>
      <c r="N124" s="1235">
        <f>SUM(N115:N117)</f>
        <v>0</v>
      </c>
      <c r="O124" s="1236">
        <f>N124-M124</f>
        <v>0</v>
      </c>
      <c r="P124" s="1237"/>
      <c r="Q124" s="1175"/>
      <c r="R124" s="1175"/>
      <c r="S124" s="879"/>
      <c r="T124" s="843"/>
      <c r="U124" s="954">
        <f>SUM(U115:U122)</f>
        <v>0</v>
      </c>
      <c r="V124" s="116"/>
      <c r="W124" s="856"/>
      <c r="X124" s="870" t="str">
        <f>IF(S124&lt;0.00001,"0",COS(ATAN(S124/L124)))</f>
        <v>0</v>
      </c>
      <c r="Y124" s="1179"/>
      <c r="Z124" s="871">
        <f t="shared" si="52"/>
        <v>0</v>
      </c>
      <c r="AA124" s="121">
        <f t="shared" si="50"/>
        <v>0</v>
      </c>
      <c r="AB124" s="991"/>
      <c r="AC124" s="954">
        <f>SUM(AC115:AC123)</f>
        <v>0</v>
      </c>
      <c r="AD124" s="828"/>
      <c r="AE124" s="837"/>
      <c r="AF124" s="1238"/>
      <c r="AG124" s="872"/>
      <c r="AH124" s="872"/>
      <c r="AI124" s="872"/>
      <c r="AJ124" s="874"/>
      <c r="AK124" s="861"/>
      <c r="AL124" s="861"/>
      <c r="AM124" s="861"/>
      <c r="AN124" s="861"/>
      <c r="AO124" s="861"/>
      <c r="AP124" s="861"/>
      <c r="AQ124" s="828"/>
      <c r="AR124" s="828"/>
      <c r="AS124" s="828"/>
      <c r="AT124" s="828"/>
      <c r="AU124" s="828"/>
      <c r="AV124" s="828"/>
      <c r="AW124" s="828"/>
      <c r="AX124" s="828"/>
      <c r="AY124" s="828"/>
      <c r="BI124" s="828"/>
      <c r="BJ124" s="828"/>
      <c r="BK124" s="877"/>
      <c r="BL124" s="877"/>
      <c r="BM124" s="860"/>
      <c r="BN124" s="860"/>
      <c r="BO124" s="861"/>
      <c r="BP124" s="861"/>
      <c r="BQ124" s="861"/>
      <c r="BR124" s="828"/>
      <c r="BS124" s="828"/>
      <c r="BT124" s="828"/>
      <c r="BU124" s="828"/>
      <c r="BV124" s="828"/>
      <c r="BW124" s="828"/>
      <c r="BX124" s="828"/>
      <c r="BY124" s="828"/>
      <c r="BZ124" s="828"/>
      <c r="CA124" s="828"/>
      <c r="CB124" s="828"/>
      <c r="CC124" s="828"/>
      <c r="CD124" s="1239" t="s">
        <v>491</v>
      </c>
      <c r="CE124" s="1240"/>
      <c r="CF124" s="1240"/>
      <c r="CG124" s="1240"/>
      <c r="CH124" s="1240"/>
      <c r="CI124" s="2365" t="s">
        <v>490</v>
      </c>
      <c r="CJ124" s="2366"/>
      <c r="CK124" s="912">
        <v>12922</v>
      </c>
      <c r="CL124" s="1044"/>
      <c r="CM124" s="1175"/>
      <c r="CN124" s="1175"/>
      <c r="CO124" s="843" t="s">
        <v>323</v>
      </c>
      <c r="CP124" s="991">
        <f>SUM(CP121:CP123)</f>
        <v>0</v>
      </c>
      <c r="CQ124" s="991">
        <f>SUM(CQ115:CQ117)</f>
        <v>0</v>
      </c>
      <c r="CR124" s="1176"/>
      <c r="CS124" s="1176"/>
      <c r="CT124" s="879"/>
      <c r="CU124" s="843"/>
      <c r="CV124" s="843">
        <f>SUM(CV115:CV122)</f>
        <v>0</v>
      </c>
      <c r="CW124" s="906" t="str">
        <f>IF(CT124&lt;0.00001,"0",COS(ATAN(CT124/CO124)))</f>
        <v>0</v>
      </c>
      <c r="CX124" s="879"/>
    </row>
    <row r="125" spans="1:131" ht="15.75" customHeight="1" x14ac:dyDescent="0.25">
      <c r="A125" s="880" t="s">
        <v>486</v>
      </c>
      <c r="B125" s="880" t="s">
        <v>487</v>
      </c>
      <c r="C125" s="880" t="s">
        <v>489</v>
      </c>
      <c r="D125" s="880" t="s">
        <v>488</v>
      </c>
      <c r="E125" s="1241" t="s">
        <v>482</v>
      </c>
      <c r="F125" s="2311">
        <v>12393375</v>
      </c>
      <c r="G125" s="1242"/>
      <c r="H125" s="985"/>
      <c r="I125" s="1243">
        <v>960000</v>
      </c>
      <c r="J125" s="1231">
        <v>4481.3969500000003</v>
      </c>
      <c r="K125" s="1231">
        <v>4481.3969500000003</v>
      </c>
      <c r="L125" s="1231">
        <f>K125-J125</f>
        <v>0</v>
      </c>
      <c r="M125" s="1175"/>
      <c r="N125" s="856"/>
      <c r="O125" s="869">
        <f>L125*I125</f>
        <v>0</v>
      </c>
      <c r="P125" s="889"/>
      <c r="Q125" s="1175"/>
      <c r="R125" s="1175"/>
      <c r="S125" s="879"/>
      <c r="T125" s="843"/>
      <c r="U125" s="843"/>
      <c r="V125" s="116"/>
      <c r="W125" s="856"/>
      <c r="X125" s="957"/>
      <c r="Y125" s="1179"/>
      <c r="Z125" s="871"/>
      <c r="AA125" s="121">
        <f t="shared" si="50"/>
        <v>0</v>
      </c>
      <c r="AB125" s="843"/>
      <c r="AC125" s="861"/>
      <c r="AD125" s="828"/>
      <c r="AE125" s="837"/>
      <c r="AF125" s="2362" t="s">
        <v>487</v>
      </c>
      <c r="AG125" s="872"/>
      <c r="AH125" s="872"/>
      <c r="AI125" s="872"/>
      <c r="AJ125" s="874"/>
      <c r="AK125" s="861"/>
      <c r="AL125" s="861"/>
      <c r="AM125" s="861"/>
      <c r="AN125" s="861"/>
      <c r="AO125" s="861"/>
      <c r="AP125" s="861"/>
      <c r="AQ125" s="828"/>
      <c r="AR125" s="828"/>
      <c r="AS125" s="828"/>
      <c r="AT125" s="828"/>
      <c r="AU125" s="828"/>
      <c r="AV125" s="828"/>
      <c r="AW125" s="828"/>
      <c r="AX125" s="828"/>
      <c r="AY125" s="828"/>
      <c r="BI125" s="828"/>
      <c r="BJ125" s="828"/>
      <c r="BK125" s="877"/>
      <c r="BL125" s="877"/>
      <c r="BM125" s="860"/>
      <c r="BN125" s="860"/>
      <c r="BO125" s="861"/>
      <c r="BP125" s="861"/>
      <c r="BQ125" s="861"/>
      <c r="BR125" s="828"/>
      <c r="BS125" s="828"/>
      <c r="BT125" s="828"/>
      <c r="BU125" s="828"/>
      <c r="BV125" s="828"/>
      <c r="BW125" s="828"/>
      <c r="BX125" s="828"/>
      <c r="BY125" s="828"/>
      <c r="BZ125" s="828"/>
      <c r="CA125" s="828"/>
      <c r="CB125" s="828"/>
      <c r="CC125" s="828"/>
      <c r="CD125" s="2283" t="s">
        <v>486</v>
      </c>
      <c r="CE125" s="2283" t="s">
        <v>487</v>
      </c>
      <c r="CF125" s="843"/>
      <c r="CG125" s="2283" t="s">
        <v>483</v>
      </c>
      <c r="CH125" s="1241" t="s">
        <v>482</v>
      </c>
      <c r="CI125" s="2312">
        <v>13176571</v>
      </c>
      <c r="CJ125" s="1244"/>
      <c r="CK125" s="1245"/>
      <c r="CL125" s="1243">
        <v>960000</v>
      </c>
      <c r="CM125" s="1175">
        <f>J125</f>
        <v>4481.3969500000003</v>
      </c>
      <c r="CN125" s="1175">
        <f>K125</f>
        <v>4481.3969500000003</v>
      </c>
      <c r="CO125" s="878">
        <f>CN125-CM125</f>
        <v>0</v>
      </c>
      <c r="CP125" s="991"/>
      <c r="CQ125" s="991"/>
      <c r="CR125" s="1176"/>
      <c r="CS125" s="1176"/>
      <c r="CT125" s="879"/>
      <c r="CU125" s="843"/>
      <c r="CV125" s="843"/>
      <c r="CW125" s="957"/>
      <c r="CX125" s="879"/>
    </row>
    <row r="126" spans="1:131" ht="15.75" customHeight="1" x14ac:dyDescent="0.25">
      <c r="A126" s="880"/>
      <c r="B126" s="880"/>
      <c r="C126" s="880"/>
      <c r="D126" s="880"/>
      <c r="E126" s="1241" t="s">
        <v>326</v>
      </c>
      <c r="F126" s="2312"/>
      <c r="G126" s="1242"/>
      <c r="H126" s="985"/>
      <c r="I126" s="1243">
        <v>960000</v>
      </c>
      <c r="J126" s="1231">
        <v>2.892925</v>
      </c>
      <c r="K126" s="1231">
        <v>2.892925</v>
      </c>
      <c r="L126" s="1231">
        <f>K126-J126</f>
        <v>0</v>
      </c>
      <c r="M126" s="1175"/>
      <c r="N126" s="856"/>
      <c r="O126" s="1232">
        <f>L126*I126</f>
        <v>0</v>
      </c>
      <c r="P126" s="879"/>
      <c r="Q126" s="1175"/>
      <c r="R126" s="1175"/>
      <c r="S126" s="879"/>
      <c r="T126" s="843"/>
      <c r="U126" s="843"/>
      <c r="V126" s="116"/>
      <c r="W126" s="856"/>
      <c r="X126" s="957"/>
      <c r="Y126" s="1179"/>
      <c r="Z126" s="871"/>
      <c r="AA126" s="121">
        <f t="shared" si="50"/>
        <v>0</v>
      </c>
      <c r="AB126" s="843"/>
      <c r="AC126" s="861"/>
      <c r="AD126" s="828"/>
      <c r="AE126" s="837"/>
      <c r="AF126" s="2362"/>
      <c r="AG126" s="872"/>
      <c r="AH126" s="872"/>
      <c r="AI126" s="872"/>
      <c r="AJ126" s="874"/>
      <c r="AK126" s="861"/>
      <c r="AL126" s="861"/>
      <c r="AM126" s="861"/>
      <c r="AN126" s="861"/>
      <c r="AO126" s="861"/>
      <c r="AP126" s="861"/>
      <c r="AQ126" s="828"/>
      <c r="AR126" s="828"/>
      <c r="AS126" s="828"/>
      <c r="AT126" s="828"/>
      <c r="AU126" s="828"/>
      <c r="AV126" s="828"/>
      <c r="AW126" s="828"/>
      <c r="AX126" s="828"/>
      <c r="AY126" s="828"/>
      <c r="BI126" s="828"/>
      <c r="BJ126" s="828"/>
      <c r="BK126" s="877"/>
      <c r="BL126" s="877"/>
      <c r="BM126" s="860"/>
      <c r="BN126" s="860"/>
      <c r="BO126" s="861"/>
      <c r="BP126" s="861"/>
      <c r="BQ126" s="861"/>
      <c r="BR126" s="828"/>
      <c r="BS126" s="828"/>
      <c r="BT126" s="828"/>
      <c r="BU126" s="828"/>
      <c r="BV126" s="828"/>
      <c r="BW126" s="828"/>
      <c r="BX126" s="828"/>
      <c r="BY126" s="828"/>
      <c r="BZ126" s="828"/>
      <c r="CA126" s="828"/>
      <c r="CB126" s="828"/>
      <c r="CC126" s="828"/>
      <c r="CD126" s="2283"/>
      <c r="CE126" s="2283"/>
      <c r="CF126" s="843"/>
      <c r="CG126" s="2283"/>
      <c r="CH126" s="1241" t="s">
        <v>326</v>
      </c>
      <c r="CI126" s="2283"/>
      <c r="CJ126" s="1242"/>
      <c r="CK126" s="985"/>
      <c r="CL126" s="1243">
        <v>960000</v>
      </c>
      <c r="CM126" s="1175">
        <f>J126</f>
        <v>2.892925</v>
      </c>
      <c r="CN126" s="1175">
        <f>K126</f>
        <v>2.892925</v>
      </c>
      <c r="CO126" s="878">
        <f>CN126-CM126</f>
        <v>0</v>
      </c>
      <c r="CP126" s="889"/>
      <c r="CQ126" s="991"/>
      <c r="CR126" s="1176"/>
      <c r="CS126" s="1176"/>
      <c r="CT126" s="879"/>
      <c r="CU126" s="843"/>
      <c r="CV126" s="843"/>
      <c r="CW126" s="957"/>
      <c r="CX126" s="879"/>
    </row>
    <row r="127" spans="1:131" ht="15.75" customHeight="1" x14ac:dyDescent="0.25">
      <c r="A127" s="880" t="s">
        <v>486</v>
      </c>
      <c r="B127" s="880" t="s">
        <v>485</v>
      </c>
      <c r="C127" s="880" t="s">
        <v>484</v>
      </c>
      <c r="D127" s="880" t="s">
        <v>483</v>
      </c>
      <c r="E127" s="1241" t="s">
        <v>482</v>
      </c>
      <c r="F127" s="2283" t="s">
        <v>481</v>
      </c>
      <c r="G127" s="1242"/>
      <c r="H127" s="985"/>
      <c r="I127" s="1243">
        <v>480000</v>
      </c>
      <c r="J127" s="1231">
        <v>2326.156567</v>
      </c>
      <c r="K127" s="1231">
        <v>2326.156567</v>
      </c>
      <c r="L127" s="1231">
        <f>K127-J127</f>
        <v>0</v>
      </c>
      <c r="M127" s="1175"/>
      <c r="N127" s="856"/>
      <c r="O127" s="1232">
        <f>L127*I127</f>
        <v>0</v>
      </c>
      <c r="P127" s="879"/>
      <c r="Q127" s="1175"/>
      <c r="R127" s="1175"/>
      <c r="S127" s="879"/>
      <c r="T127" s="843"/>
      <c r="U127" s="843"/>
      <c r="V127" s="116"/>
      <c r="W127" s="856"/>
      <c r="X127" s="957"/>
      <c r="Y127" s="1179"/>
      <c r="Z127" s="871"/>
      <c r="AA127" s="121">
        <f t="shared" si="50"/>
        <v>0</v>
      </c>
      <c r="AB127" s="843"/>
      <c r="AC127" s="861"/>
      <c r="AD127" s="828"/>
      <c r="AE127" s="837"/>
      <c r="AF127" s="857"/>
      <c r="AG127" s="872"/>
      <c r="AH127" s="872"/>
      <c r="AI127" s="872"/>
      <c r="AJ127" s="874"/>
      <c r="AK127" s="861"/>
      <c r="AL127" s="861"/>
      <c r="AM127" s="861"/>
      <c r="AN127" s="861"/>
      <c r="AO127" s="861"/>
      <c r="AP127" s="861"/>
      <c r="AQ127" s="828"/>
      <c r="AR127" s="828"/>
      <c r="AS127" s="828"/>
      <c r="AT127" s="828"/>
      <c r="AU127" s="828"/>
      <c r="AV127" s="828"/>
      <c r="AW127" s="828"/>
      <c r="AX127" s="828"/>
      <c r="AY127" s="828"/>
      <c r="BI127" s="828"/>
      <c r="BJ127" s="828"/>
      <c r="BK127" s="877"/>
      <c r="BL127" s="877"/>
      <c r="BM127" s="860"/>
      <c r="BN127" s="860"/>
      <c r="BO127" s="861"/>
      <c r="BP127" s="861"/>
      <c r="BQ127" s="861"/>
      <c r="BR127" s="828"/>
      <c r="BS127" s="828"/>
      <c r="BT127" s="828"/>
      <c r="BU127" s="828"/>
      <c r="BV127" s="828"/>
      <c r="BW127" s="828"/>
      <c r="BX127" s="828"/>
      <c r="BY127" s="828"/>
      <c r="BZ127" s="828"/>
      <c r="CA127" s="828"/>
      <c r="CB127" s="828"/>
      <c r="CC127" s="828"/>
      <c r="CD127" s="843"/>
      <c r="CE127" s="843"/>
      <c r="CF127" s="843"/>
      <c r="CG127" s="843"/>
      <c r="CH127" s="1241"/>
      <c r="CI127" s="843"/>
      <c r="CJ127" s="1242"/>
      <c r="CK127" s="985"/>
      <c r="CL127" s="1243"/>
      <c r="CM127" s="1175"/>
      <c r="CN127" s="1175"/>
      <c r="CO127" s="878"/>
      <c r="CP127" s="889"/>
      <c r="CQ127" s="991"/>
      <c r="CR127" s="1176"/>
      <c r="CS127" s="1176"/>
      <c r="CT127" s="879"/>
      <c r="CU127" s="843"/>
      <c r="CV127" s="843"/>
      <c r="CW127" s="957"/>
      <c r="CX127" s="879"/>
    </row>
    <row r="128" spans="1:131" ht="15.75" customHeight="1" x14ac:dyDescent="0.25">
      <c r="A128" s="880"/>
      <c r="B128" s="880"/>
      <c r="C128" s="880"/>
      <c r="D128" s="880"/>
      <c r="E128" s="1241" t="s">
        <v>326</v>
      </c>
      <c r="F128" s="2283"/>
      <c r="G128" s="1242"/>
      <c r="H128" s="985"/>
      <c r="I128" s="1243">
        <v>480000</v>
      </c>
      <c r="J128" s="1231">
        <v>4.2590070000000004</v>
      </c>
      <c r="K128" s="1231">
        <v>4.2590070000000004</v>
      </c>
      <c r="L128" s="1231">
        <f>K128-J128</f>
        <v>0</v>
      </c>
      <c r="M128" s="1175"/>
      <c r="N128" s="856"/>
      <c r="O128" s="1232">
        <f>L128*I128</f>
        <v>0</v>
      </c>
      <c r="P128" s="879"/>
      <c r="Q128" s="1175"/>
      <c r="R128" s="1175"/>
      <c r="S128" s="879"/>
      <c r="T128" s="843"/>
      <c r="U128" s="843"/>
      <c r="V128" s="116"/>
      <c r="W128" s="856"/>
      <c r="X128" s="957"/>
      <c r="Y128" s="1179"/>
      <c r="Z128" s="871"/>
      <c r="AA128" s="121">
        <f t="shared" si="50"/>
        <v>0</v>
      </c>
      <c r="AB128" s="843"/>
      <c r="AC128" s="861"/>
      <c r="AD128" s="828"/>
      <c r="AE128" s="837"/>
      <c r="AF128" s="857"/>
      <c r="AG128" s="872"/>
      <c r="AH128" s="872"/>
      <c r="AI128" s="872"/>
      <c r="AJ128" s="874"/>
      <c r="AK128" s="861"/>
      <c r="AL128" s="861"/>
      <c r="AM128" s="861"/>
      <c r="AN128" s="861"/>
      <c r="AO128" s="861"/>
      <c r="AP128" s="861"/>
      <c r="AQ128" s="828"/>
      <c r="AR128" s="828"/>
      <c r="AS128" s="828"/>
      <c r="AT128" s="828"/>
      <c r="AU128" s="828"/>
      <c r="AV128" s="828"/>
      <c r="AW128" s="828"/>
      <c r="AX128" s="828"/>
      <c r="AY128" s="828"/>
      <c r="BI128" s="828"/>
      <c r="BJ128" s="828"/>
      <c r="BK128" s="877"/>
      <c r="BL128" s="877"/>
      <c r="BM128" s="860"/>
      <c r="BN128" s="860"/>
      <c r="BO128" s="861"/>
      <c r="BP128" s="861"/>
      <c r="BQ128" s="861"/>
      <c r="BR128" s="828"/>
      <c r="BS128" s="828"/>
      <c r="BT128" s="828"/>
      <c r="BU128" s="828"/>
      <c r="BV128" s="828"/>
      <c r="BW128" s="828"/>
      <c r="BX128" s="828"/>
      <c r="BY128" s="828"/>
      <c r="BZ128" s="828"/>
      <c r="CA128" s="828"/>
      <c r="CB128" s="828"/>
      <c r="CC128" s="828"/>
      <c r="CD128" s="843"/>
      <c r="CE128" s="843"/>
      <c r="CF128" s="843"/>
      <c r="CG128" s="843"/>
      <c r="CH128" s="1241"/>
      <c r="CI128" s="843"/>
      <c r="CJ128" s="1242"/>
      <c r="CK128" s="985"/>
      <c r="CL128" s="1243"/>
      <c r="CM128" s="1175"/>
      <c r="CN128" s="1175"/>
      <c r="CO128" s="878"/>
      <c r="CP128" s="889"/>
      <c r="CQ128" s="991"/>
      <c r="CR128" s="1176"/>
      <c r="CS128" s="1176"/>
      <c r="CT128" s="879"/>
      <c r="CU128" s="843"/>
      <c r="CV128" s="843"/>
      <c r="CW128" s="957"/>
      <c r="CX128" s="879"/>
    </row>
    <row r="129" spans="1:102" ht="22.5" customHeight="1" x14ac:dyDescent="0.25">
      <c r="A129" s="843"/>
      <c r="B129" s="2283" t="s">
        <v>480</v>
      </c>
      <c r="C129" s="2283"/>
      <c r="D129" s="2283"/>
      <c r="E129" s="2283"/>
      <c r="F129" s="2283"/>
      <c r="G129" s="2283"/>
      <c r="H129" s="955"/>
      <c r="I129" s="955"/>
      <c r="J129" s="1175"/>
      <c r="K129" s="1175"/>
      <c r="L129" s="1175"/>
      <c r="M129" s="1175"/>
      <c r="N129" s="856"/>
      <c r="O129" s="856">
        <f>O125-O126+O127-O128</f>
        <v>0</v>
      </c>
      <c r="P129" s="879"/>
      <c r="Q129" s="1175"/>
      <c r="R129" s="1175"/>
      <c r="S129" s="879"/>
      <c r="T129" s="843"/>
      <c r="U129" s="843"/>
      <c r="V129" s="116"/>
      <c r="W129" s="856"/>
      <c r="X129" s="957"/>
      <c r="Y129" s="1179"/>
      <c r="Z129" s="871"/>
      <c r="AA129" s="121">
        <f t="shared" si="50"/>
        <v>0</v>
      </c>
      <c r="AB129" s="843"/>
      <c r="AC129" s="861"/>
      <c r="AD129" s="828"/>
      <c r="AE129" s="837"/>
      <c r="AF129" s="872"/>
      <c r="AG129" s="872"/>
      <c r="AH129" s="872"/>
      <c r="AI129" s="872"/>
      <c r="AJ129" s="874"/>
      <c r="AK129" s="861"/>
      <c r="AL129" s="861"/>
      <c r="AM129" s="861"/>
      <c r="AN129" s="861"/>
      <c r="AO129" s="861"/>
      <c r="AP129" s="861"/>
      <c r="AQ129" s="828"/>
      <c r="AR129" s="828"/>
      <c r="AS129" s="828"/>
      <c r="AT129" s="828"/>
      <c r="AU129" s="828"/>
      <c r="AV129" s="828"/>
      <c r="AW129" s="828"/>
      <c r="AX129" s="828"/>
      <c r="AY129" s="828"/>
      <c r="BI129" s="828"/>
      <c r="BJ129" s="828"/>
      <c r="BK129" s="877"/>
      <c r="BL129" s="877"/>
      <c r="BM129" s="860"/>
      <c r="BN129" s="860"/>
      <c r="BO129" s="861"/>
      <c r="BP129" s="861"/>
      <c r="BQ129" s="861"/>
      <c r="BR129" s="828"/>
      <c r="BS129" s="828"/>
      <c r="BT129" s="828"/>
      <c r="BU129" s="828"/>
      <c r="BV129" s="828"/>
      <c r="BW129" s="828"/>
      <c r="BX129" s="828"/>
      <c r="BY129" s="828"/>
      <c r="BZ129" s="828"/>
      <c r="CA129" s="828"/>
      <c r="CB129" s="828"/>
      <c r="CC129" s="828"/>
      <c r="CD129" s="843"/>
      <c r="CE129" s="2283" t="s">
        <v>480</v>
      </c>
      <c r="CF129" s="2283"/>
      <c r="CG129" s="2283"/>
      <c r="CH129" s="2283"/>
      <c r="CI129" s="2283"/>
      <c r="CJ129" s="2283"/>
      <c r="CK129" s="955"/>
      <c r="CL129" s="955"/>
      <c r="CM129" s="1175"/>
      <c r="CN129" s="1175"/>
      <c r="CO129" s="879"/>
      <c r="CP129" s="879"/>
      <c r="CQ129" s="991"/>
      <c r="CR129" s="1176"/>
      <c r="CS129" s="1176"/>
      <c r="CT129" s="879"/>
      <c r="CU129" s="843"/>
      <c r="CV129" s="843"/>
      <c r="CW129" s="957"/>
      <c r="CX129" s="879"/>
    </row>
    <row r="130" spans="1:102" ht="16" x14ac:dyDescent="0.25">
      <c r="A130" s="861"/>
      <c r="B130" s="880" t="s">
        <v>478</v>
      </c>
      <c r="C130" s="2356" t="s">
        <v>479</v>
      </c>
      <c r="D130" s="885">
        <v>33</v>
      </c>
      <c r="E130" s="882" t="s">
        <v>326</v>
      </c>
      <c r="F130" s="1246">
        <v>8993841</v>
      </c>
      <c r="G130" s="882" t="s">
        <v>477</v>
      </c>
      <c r="H130" s="883" t="s">
        <v>324</v>
      </c>
      <c r="I130" s="1247">
        <v>18000</v>
      </c>
      <c r="J130" s="1231">
        <v>29344.892</v>
      </c>
      <c r="K130" s="1231">
        <v>29344.892</v>
      </c>
      <c r="L130" s="885">
        <f>K130-J130</f>
        <v>0</v>
      </c>
      <c r="M130" s="885"/>
      <c r="N130" s="1248">
        <f>L130*I130</f>
        <v>0</v>
      </c>
      <c r="O130" s="888"/>
      <c r="P130" s="885"/>
      <c r="Q130" s="1231">
        <v>7711.3140000000003</v>
      </c>
      <c r="R130" s="1231">
        <v>7711.3140000000003</v>
      </c>
      <c r="S130" s="885">
        <f>R130-Q130</f>
        <v>0</v>
      </c>
      <c r="T130" s="861"/>
      <c r="U130" s="861">
        <f>S130*I130</f>
        <v>0</v>
      </c>
      <c r="V130" s="122">
        <f t="shared" ref="V130:V135" si="53">N130</f>
        <v>0</v>
      </c>
      <c r="W130" s="868">
        <v>0</v>
      </c>
      <c r="X130" s="870" t="str">
        <f>IF(W130&lt;0.00001,"0",COS(ATAN(W130/V130)))</f>
        <v>0</v>
      </c>
      <c r="Y130" s="1179">
        <f t="shared" ref="Y130:Y135" si="54">IF(AND(X130&gt;=0.885,X130&lt;0.9),1*0.005,IF(AND(X130&gt;=0.875,X130&lt;0.89),1*0.01,IF(AND(X130&gt;=0.865,X130&lt;0.88),1*0.02,IF(AND(X130&gt;=0.855,X130&lt;0.87),1*0.03,IF(AND(X130&gt;=0.845,X130&lt;0.86),1*0.04,IF(AND(X130&gt;=0.835,X130&lt;0.85),1*0.05,IF(AND(X130&gt;=0.825,X130&lt;0.84),1*0.06,IF(AND(X130&gt;=0.815,X130&lt;0.83),1*0.07,IF(AND(X130&gt;=0.805,X130&lt;0.82),1*0.08,IF(AND(X130&gt;=0.795,X130&lt;0.81),1*0.09,IF(AND(X130&gt;=0.785,X130&lt;0.8),1*0.105,IF(AND(X130&gt;=0.775,X130&lt;0.79),1*0.12,IF(AND(X130&gt;=0.765,X130&lt;0.78),1*0.135,IF(AND(X130&gt;=0.755,X130&lt;0.77),1*0.15,IF(AND(X130&gt;=0.745,X130&lt;0.76),1*0.165,0)))))))))))))))</f>
        <v>0</v>
      </c>
      <c r="Z130" s="871">
        <f t="shared" si="52"/>
        <v>0</v>
      </c>
      <c r="AA130" s="121">
        <f t="shared" si="50"/>
        <v>0</v>
      </c>
      <c r="AB130" s="890"/>
      <c r="AC130" s="861">
        <v>0</v>
      </c>
      <c r="AD130" s="828"/>
      <c r="AE130" s="837"/>
      <c r="AF130" s="872" t="s">
        <v>478</v>
      </c>
      <c r="AG130" s="891" t="str">
        <f t="shared" ref="AG130:AH132" si="55">X130</f>
        <v>0</v>
      </c>
      <c r="AH130" s="872">
        <f t="shared" si="55"/>
        <v>0</v>
      </c>
      <c r="AI130" s="872" t="e">
        <f>#REF!</f>
        <v>#REF!</v>
      </c>
      <c r="AJ130" s="874"/>
      <c r="AK130" s="861"/>
      <c r="AL130" s="861"/>
      <c r="AM130" s="861"/>
      <c r="AN130" s="861"/>
      <c r="AO130" s="861"/>
      <c r="AP130" s="861"/>
      <c r="AQ130" s="828"/>
      <c r="AR130" s="828"/>
      <c r="AS130" s="828"/>
      <c r="AT130" s="828"/>
      <c r="AU130" s="828"/>
      <c r="AV130" s="828"/>
      <c r="AW130" s="828"/>
      <c r="AX130" s="828"/>
      <c r="AY130" s="828"/>
      <c r="BI130" s="828"/>
      <c r="BJ130" s="828"/>
      <c r="BK130" s="877"/>
      <c r="BL130" s="877"/>
      <c r="BM130" s="860">
        <f t="shared" ref="BM130:BN132" si="56">M130</f>
        <v>0</v>
      </c>
      <c r="BN130" s="1249">
        <f t="shared" si="56"/>
        <v>0</v>
      </c>
      <c r="BO130" s="861">
        <v>0</v>
      </c>
      <c r="BP130" s="861">
        <v>5352552</v>
      </c>
      <c r="BQ130" s="861">
        <f t="shared" ref="BQ130:BQ135" si="57">BO130-BM130</f>
        <v>0</v>
      </c>
      <c r="BR130" s="828"/>
      <c r="BS130" s="828"/>
      <c r="BT130" s="828"/>
      <c r="BU130" s="828"/>
      <c r="BV130" s="828"/>
      <c r="BW130" s="828"/>
      <c r="BX130" s="828"/>
      <c r="BY130" s="828"/>
      <c r="BZ130" s="828"/>
      <c r="CA130" s="828"/>
      <c r="CB130" s="828"/>
      <c r="CC130" s="828"/>
      <c r="CD130" s="843">
        <v>5</v>
      </c>
      <c r="CE130" s="931" t="s">
        <v>478</v>
      </c>
      <c r="CF130" s="2356" t="s">
        <v>479</v>
      </c>
      <c r="CG130" s="861">
        <v>33</v>
      </c>
      <c r="CH130" s="855" t="s">
        <v>326</v>
      </c>
      <c r="CI130" s="1221">
        <v>8993841</v>
      </c>
      <c r="CJ130" s="855" t="s">
        <v>477</v>
      </c>
      <c r="CK130" s="932" t="s">
        <v>324</v>
      </c>
      <c r="CL130" s="137">
        <v>18000</v>
      </c>
      <c r="CM130" s="1175">
        <f t="shared" ref="CM130:CN132" si="58">J130</f>
        <v>29344.892</v>
      </c>
      <c r="CN130" s="1175">
        <f t="shared" si="58"/>
        <v>29344.892</v>
      </c>
      <c r="CO130" s="861">
        <f>CN130-CM130</f>
        <v>0</v>
      </c>
      <c r="CP130" s="861"/>
      <c r="CQ130" s="1250">
        <f>CO130*CL130</f>
        <v>0</v>
      </c>
      <c r="CR130" s="1175">
        <f t="shared" ref="CR130:CS132" si="59">Q130</f>
        <v>7711.3140000000003</v>
      </c>
      <c r="CS130" s="1175">
        <f t="shared" si="59"/>
        <v>7711.3140000000003</v>
      </c>
      <c r="CT130" s="861">
        <f>CS130-CR130</f>
        <v>0</v>
      </c>
      <c r="CU130" s="861"/>
      <c r="CV130" s="861">
        <f>CT130*CL130</f>
        <v>0</v>
      </c>
      <c r="CW130" s="870" t="str">
        <f>IF(CT130&lt;0.00001,"0",COS(ATAN(CT130/CO130)))</f>
        <v>0</v>
      </c>
      <c r="CX130" s="879"/>
    </row>
    <row r="131" spans="1:102" ht="16" x14ac:dyDescent="0.25">
      <c r="A131" s="861">
        <v>4</v>
      </c>
      <c r="B131" s="852" t="s">
        <v>478</v>
      </c>
      <c r="C131" s="2358"/>
      <c r="D131" s="861">
        <v>33</v>
      </c>
      <c r="E131" s="855" t="s">
        <v>326</v>
      </c>
      <c r="F131" s="1221">
        <v>8993841</v>
      </c>
      <c r="G131" s="855" t="s">
        <v>477</v>
      </c>
      <c r="H131" s="932" t="s">
        <v>324</v>
      </c>
      <c r="I131" s="137">
        <v>36000</v>
      </c>
      <c r="J131" s="933">
        <v>38295.366999999998</v>
      </c>
      <c r="K131" s="933">
        <v>38447.241000000002</v>
      </c>
      <c r="L131" s="861">
        <f>K131-J131</f>
        <v>151.87400000000343</v>
      </c>
      <c r="M131" s="861"/>
      <c r="N131" s="1251">
        <f>L131*I131</f>
        <v>5467464.0000001239</v>
      </c>
      <c r="O131" s="869"/>
      <c r="P131" s="861"/>
      <c r="Q131" s="1175">
        <v>10153.776</v>
      </c>
      <c r="R131" s="1175">
        <v>10185.627</v>
      </c>
      <c r="S131" s="861">
        <f>R131-Q131</f>
        <v>31.851000000000568</v>
      </c>
      <c r="T131" s="861"/>
      <c r="U131" s="861">
        <f>S131*I131</f>
        <v>1146636.0000000205</v>
      </c>
      <c r="V131" s="122">
        <f t="shared" si="53"/>
        <v>5467464.0000001239</v>
      </c>
      <c r="W131" s="868">
        <f>U131</f>
        <v>1146636.0000000205</v>
      </c>
      <c r="X131" s="870">
        <f>IF(W131&lt;0.00001,"0",COS(ATAN(W131/V131)))</f>
        <v>0.97870859857532866</v>
      </c>
      <c r="Y131" s="1179">
        <f t="shared" si="54"/>
        <v>0</v>
      </c>
      <c r="Z131" s="871">
        <f t="shared" si="52"/>
        <v>0</v>
      </c>
      <c r="AA131" s="121">
        <f t="shared" si="50"/>
        <v>0</v>
      </c>
      <c r="AB131" s="890"/>
      <c r="AC131" s="861">
        <v>3709</v>
      </c>
      <c r="AD131" s="828"/>
      <c r="AE131" s="837"/>
      <c r="AF131" s="872" t="s">
        <v>478</v>
      </c>
      <c r="AG131" s="891">
        <f t="shared" si="55"/>
        <v>0.97870859857532866</v>
      </c>
      <c r="AH131" s="872">
        <f t="shared" si="55"/>
        <v>0</v>
      </c>
      <c r="AI131" s="872" t="e">
        <f>#REF!</f>
        <v>#REF!</v>
      </c>
      <c r="AJ131" s="874"/>
      <c r="AK131" s="861"/>
      <c r="AL131" s="861"/>
      <c r="AM131" s="861"/>
      <c r="AN131" s="861"/>
      <c r="AO131" s="861"/>
      <c r="AP131" s="861"/>
      <c r="AQ131" s="828"/>
      <c r="AR131" s="828"/>
      <c r="AS131" s="828"/>
      <c r="AT131" s="828"/>
      <c r="AU131" s="828"/>
      <c r="AV131" s="828"/>
      <c r="AW131" s="828"/>
      <c r="AX131" s="828"/>
      <c r="AY131" s="828"/>
      <c r="BI131" s="828"/>
      <c r="BJ131" s="828"/>
      <c r="BK131" s="877"/>
      <c r="BL131" s="877"/>
      <c r="BM131" s="860">
        <f t="shared" si="56"/>
        <v>0</v>
      </c>
      <c r="BN131" s="1249">
        <f t="shared" si="56"/>
        <v>5467464.0000001239</v>
      </c>
      <c r="BO131" s="861">
        <v>0</v>
      </c>
      <c r="BP131" s="861">
        <v>5352552</v>
      </c>
      <c r="BQ131" s="861">
        <f t="shared" si="57"/>
        <v>0</v>
      </c>
      <c r="BR131" s="828"/>
      <c r="BS131" s="828"/>
      <c r="BT131" s="828"/>
      <c r="BU131" s="828"/>
      <c r="BV131" s="828"/>
      <c r="BW131" s="828"/>
      <c r="BX131" s="828"/>
      <c r="BY131" s="828"/>
      <c r="BZ131" s="828"/>
      <c r="CA131" s="828"/>
      <c r="CB131" s="828"/>
      <c r="CC131" s="828"/>
      <c r="CD131" s="843">
        <v>5</v>
      </c>
      <c r="CE131" s="931" t="s">
        <v>478</v>
      </c>
      <c r="CF131" s="2358"/>
      <c r="CG131" s="861">
        <v>33</v>
      </c>
      <c r="CH131" s="855" t="s">
        <v>326</v>
      </c>
      <c r="CI131" s="1221">
        <v>8993841</v>
      </c>
      <c r="CJ131" s="855" t="s">
        <v>477</v>
      </c>
      <c r="CK131" s="932" t="s">
        <v>324</v>
      </c>
      <c r="CL131" s="137">
        <v>18000</v>
      </c>
      <c r="CM131" s="1175">
        <f t="shared" si="58"/>
        <v>38295.366999999998</v>
      </c>
      <c r="CN131" s="1175">
        <f t="shared" si="58"/>
        <v>38447.241000000002</v>
      </c>
      <c r="CO131" s="861">
        <f>CN131-CM131</f>
        <v>151.87400000000343</v>
      </c>
      <c r="CP131" s="861"/>
      <c r="CQ131" s="1250">
        <f>CO131*CL131</f>
        <v>2733732.0000000619</v>
      </c>
      <c r="CR131" s="1175">
        <f t="shared" si="59"/>
        <v>10153.776</v>
      </c>
      <c r="CS131" s="1175">
        <f t="shared" si="59"/>
        <v>10185.627</v>
      </c>
      <c r="CT131" s="861">
        <f>CS131-CR131</f>
        <v>31.851000000000568</v>
      </c>
      <c r="CU131" s="861"/>
      <c r="CV131" s="861">
        <f>CT131*CL131</f>
        <v>573318.00000001024</v>
      </c>
      <c r="CW131" s="870">
        <f>IF(CT131&lt;0.00001,"0",COS(ATAN(CT131/CO131)))</f>
        <v>0.97870859857532866</v>
      </c>
      <c r="CX131" s="879"/>
    </row>
    <row r="132" spans="1:102" ht="16" x14ac:dyDescent="0.25">
      <c r="A132" s="861">
        <v>5</v>
      </c>
      <c r="B132" s="931" t="s">
        <v>476</v>
      </c>
      <c r="C132" s="2358"/>
      <c r="D132" s="861">
        <v>33</v>
      </c>
      <c r="E132" s="855" t="s">
        <v>326</v>
      </c>
      <c r="F132" s="1221">
        <v>8993842</v>
      </c>
      <c r="G132" s="855" t="s">
        <v>475</v>
      </c>
      <c r="H132" s="932" t="s">
        <v>324</v>
      </c>
      <c r="I132" s="137">
        <v>180000</v>
      </c>
      <c r="J132" s="933">
        <v>2588.4859999999999</v>
      </c>
      <c r="K132" s="933">
        <v>2588.4859999999999</v>
      </c>
      <c r="L132" s="861">
        <f>K132-J132</f>
        <v>0</v>
      </c>
      <c r="M132" s="1028"/>
      <c r="N132" s="1251">
        <f>L132*I132</f>
        <v>0</v>
      </c>
      <c r="O132" s="1034"/>
      <c r="P132" s="861"/>
      <c r="Q132" s="1175">
        <v>633.75300000000004</v>
      </c>
      <c r="R132" s="1175">
        <v>633.75300000000004</v>
      </c>
      <c r="S132" s="861">
        <f>R132-Q132</f>
        <v>0</v>
      </c>
      <c r="T132" s="861"/>
      <c r="U132" s="1252">
        <f>S132*I132</f>
        <v>0</v>
      </c>
      <c r="V132" s="122">
        <f t="shared" si="53"/>
        <v>0</v>
      </c>
      <c r="W132" s="868">
        <f>U132</f>
        <v>0</v>
      </c>
      <c r="X132" s="870" t="str">
        <f>IF(W132&lt;0.00001,"0",COS(ATAN(W132/V132)))</f>
        <v>0</v>
      </c>
      <c r="Y132" s="1179">
        <f t="shared" si="54"/>
        <v>0</v>
      </c>
      <c r="Z132" s="871">
        <f t="shared" si="52"/>
        <v>0</v>
      </c>
      <c r="AA132" s="121">
        <f t="shared" si="50"/>
        <v>0</v>
      </c>
      <c r="AB132" s="890"/>
      <c r="AC132" s="861">
        <v>0</v>
      </c>
      <c r="AD132" s="828"/>
      <c r="AE132" s="837"/>
      <c r="AF132" s="872" t="s">
        <v>476</v>
      </c>
      <c r="AG132" s="891" t="str">
        <f t="shared" si="55"/>
        <v>0</v>
      </c>
      <c r="AH132" s="872">
        <f t="shared" si="55"/>
        <v>0</v>
      </c>
      <c r="AI132" s="872" t="e">
        <f>#REF!</f>
        <v>#REF!</v>
      </c>
      <c r="AJ132" s="874"/>
      <c r="AK132" s="861"/>
      <c r="AL132" s="861"/>
      <c r="AM132" s="861"/>
      <c r="AN132" s="861"/>
      <c r="AO132" s="861"/>
      <c r="AP132" s="861"/>
      <c r="AQ132" s="828"/>
      <c r="AR132" s="828"/>
      <c r="AS132" s="828"/>
      <c r="AT132" s="828"/>
      <c r="AU132" s="828"/>
      <c r="AV132" s="828"/>
      <c r="AW132" s="828"/>
      <c r="AX132" s="828"/>
      <c r="AY132" s="828"/>
      <c r="BI132" s="828"/>
      <c r="BJ132" s="828"/>
      <c r="BK132" s="877"/>
      <c r="BL132" s="877"/>
      <c r="BM132" s="860">
        <f t="shared" si="56"/>
        <v>0</v>
      </c>
      <c r="BN132" s="860">
        <f t="shared" si="56"/>
        <v>0</v>
      </c>
      <c r="BO132" s="861">
        <v>0</v>
      </c>
      <c r="BP132" s="861">
        <v>4402000</v>
      </c>
      <c r="BQ132" s="861">
        <f t="shared" si="57"/>
        <v>0</v>
      </c>
      <c r="BR132" s="828"/>
      <c r="BS132" s="828"/>
      <c r="BT132" s="828"/>
      <c r="BU132" s="828"/>
      <c r="BV132" s="828"/>
      <c r="BW132" s="828"/>
      <c r="BX132" s="828"/>
      <c r="BY132" s="828"/>
      <c r="BZ132" s="828"/>
      <c r="CA132" s="828"/>
      <c r="CB132" s="828"/>
      <c r="CC132" s="828"/>
      <c r="CD132" s="843">
        <v>6</v>
      </c>
      <c r="CE132" s="931" t="s">
        <v>476</v>
      </c>
      <c r="CF132" s="2358"/>
      <c r="CG132" s="861">
        <v>33</v>
      </c>
      <c r="CH132" s="855" t="s">
        <v>326</v>
      </c>
      <c r="CI132" s="1221">
        <v>8993842</v>
      </c>
      <c r="CJ132" s="855" t="s">
        <v>475</v>
      </c>
      <c r="CK132" s="932" t="s">
        <v>324</v>
      </c>
      <c r="CL132" s="137">
        <v>180000</v>
      </c>
      <c r="CM132" s="1175">
        <f t="shared" si="58"/>
        <v>2588.4859999999999</v>
      </c>
      <c r="CN132" s="1175">
        <f t="shared" si="58"/>
        <v>2588.4859999999999</v>
      </c>
      <c r="CO132" s="861">
        <f>CN132-CM132</f>
        <v>0</v>
      </c>
      <c r="CP132" s="861"/>
      <c r="CQ132" s="1250">
        <f>CO132*CL132</f>
        <v>0</v>
      </c>
      <c r="CR132" s="1175">
        <f t="shared" si="59"/>
        <v>633.75300000000004</v>
      </c>
      <c r="CS132" s="1175">
        <f t="shared" si="59"/>
        <v>633.75300000000004</v>
      </c>
      <c r="CT132" s="861">
        <f>CS132-CR132</f>
        <v>0</v>
      </c>
      <c r="CU132" s="861"/>
      <c r="CV132" s="861">
        <f>CT132*CL132</f>
        <v>0</v>
      </c>
      <c r="CW132" s="870" t="str">
        <f>IF(CT132&lt;0.00001,"0",COS(ATAN(CT132/CO132)))</f>
        <v>0</v>
      </c>
      <c r="CX132" s="879"/>
    </row>
    <row r="133" spans="1:102" ht="20.25" customHeight="1" x14ac:dyDescent="0.25">
      <c r="A133" s="861"/>
      <c r="B133" s="931"/>
      <c r="C133" s="2358"/>
      <c r="D133" s="861"/>
      <c r="E133" s="1253"/>
      <c r="F133" s="1254"/>
      <c r="G133" s="1254"/>
      <c r="H133" s="1254"/>
      <c r="I133" s="1254"/>
      <c r="J133" s="1175"/>
      <c r="K133" s="1175"/>
      <c r="L133" s="1254"/>
      <c r="M133" s="1255"/>
      <c r="N133" s="1251"/>
      <c r="O133" s="1034"/>
      <c r="P133" s="1028" t="s">
        <v>237</v>
      </c>
      <c r="Q133" s="1175"/>
      <c r="R133" s="1175"/>
      <c r="S133" s="861"/>
      <c r="T133" s="861"/>
      <c r="U133" s="861">
        <v>0</v>
      </c>
      <c r="V133" s="122">
        <f t="shared" si="53"/>
        <v>0</v>
      </c>
      <c r="W133" s="868">
        <f>U133</f>
        <v>0</v>
      </c>
      <c r="X133" s="870" t="str">
        <f>IF(W133&lt;0.00001,"0",COS(ATAN(W133/V133)))</f>
        <v>0</v>
      </c>
      <c r="Y133" s="1179">
        <f t="shared" si="54"/>
        <v>0</v>
      </c>
      <c r="Z133" s="871">
        <f t="shared" si="52"/>
        <v>0</v>
      </c>
      <c r="AA133" s="121">
        <f t="shared" si="50"/>
        <v>0</v>
      </c>
      <c r="AB133" s="890"/>
      <c r="AC133" s="861">
        <v>0</v>
      </c>
      <c r="AD133" s="828"/>
      <c r="AE133" s="837"/>
      <c r="AF133" s="872"/>
      <c r="AG133" s="891"/>
      <c r="AH133" s="872"/>
      <c r="AI133" s="872"/>
      <c r="AJ133" s="874"/>
      <c r="AK133" s="861"/>
      <c r="AL133" s="861"/>
      <c r="AM133" s="861"/>
      <c r="AN133" s="861"/>
      <c r="AO133" s="861"/>
      <c r="AP133" s="861"/>
      <c r="AQ133" s="828"/>
      <c r="AR133" s="828"/>
      <c r="AS133" s="828"/>
      <c r="AT133" s="828"/>
      <c r="AU133" s="828"/>
      <c r="AV133" s="828"/>
      <c r="AW133" s="828"/>
      <c r="AX133" s="828"/>
      <c r="AY133" s="828"/>
      <c r="BI133" s="828"/>
      <c r="BJ133" s="828"/>
      <c r="BK133" s="877"/>
      <c r="BL133" s="877"/>
      <c r="BM133" s="860"/>
      <c r="BN133" s="860"/>
      <c r="BO133" s="861"/>
      <c r="BP133" s="861"/>
      <c r="BQ133" s="861"/>
      <c r="BR133" s="828"/>
      <c r="BS133" s="828"/>
      <c r="BT133" s="828"/>
      <c r="BU133" s="828"/>
      <c r="BV133" s="828"/>
      <c r="BW133" s="828"/>
      <c r="BX133" s="828"/>
      <c r="BY133" s="828"/>
      <c r="BZ133" s="828"/>
      <c r="CA133" s="828"/>
      <c r="CB133" s="828"/>
      <c r="CC133" s="828"/>
      <c r="CD133" s="843"/>
      <c r="CE133" s="931"/>
      <c r="CF133" s="2358"/>
      <c r="CG133" s="861"/>
      <c r="CH133" s="855"/>
      <c r="CI133" s="1221"/>
      <c r="CJ133" s="855"/>
      <c r="CK133" s="932"/>
      <c r="CL133" s="137"/>
      <c r="CM133" s="1175"/>
      <c r="CN133" s="1175"/>
      <c r="CO133" s="861"/>
      <c r="CP133" s="861"/>
      <c r="CQ133" s="1250"/>
      <c r="CR133" s="1175"/>
      <c r="CS133" s="1175"/>
      <c r="CT133" s="861"/>
      <c r="CU133" s="861"/>
      <c r="CV133" s="861"/>
      <c r="CW133" s="870"/>
      <c r="CX133" s="879"/>
    </row>
    <row r="134" spans="1:102" ht="16" x14ac:dyDescent="0.25">
      <c r="A134" s="861"/>
      <c r="B134" s="880" t="s">
        <v>474</v>
      </c>
      <c r="C134" s="2358"/>
      <c r="D134" s="885">
        <v>0.4</v>
      </c>
      <c r="E134" s="983" t="s">
        <v>326</v>
      </c>
      <c r="F134" s="855">
        <v>9187973</v>
      </c>
      <c r="G134" s="855" t="s">
        <v>471</v>
      </c>
      <c r="H134" s="932" t="s">
        <v>470</v>
      </c>
      <c r="I134" s="855">
        <v>10</v>
      </c>
      <c r="J134" s="1231">
        <v>112402</v>
      </c>
      <c r="K134" s="1231">
        <v>112402</v>
      </c>
      <c r="L134" s="1231">
        <f>K134-J134</f>
        <v>0</v>
      </c>
      <c r="M134" s="1231"/>
      <c r="N134" s="1231">
        <f>1.025*I134*M134</f>
        <v>0</v>
      </c>
      <c r="O134" s="1231"/>
      <c r="P134" s="1231"/>
      <c r="Q134" s="1231">
        <v>0</v>
      </c>
      <c r="R134" s="1231">
        <v>0</v>
      </c>
      <c r="S134" s="1231">
        <f>R134-Q134</f>
        <v>0</v>
      </c>
      <c r="T134" s="861"/>
      <c r="U134" s="861">
        <f>S134*I134</f>
        <v>0</v>
      </c>
      <c r="V134" s="122">
        <f t="shared" si="53"/>
        <v>0</v>
      </c>
      <c r="W134" s="868"/>
      <c r="X134" s="870" t="str">
        <f>IF(S134&lt;0.00001,"0",COS(ATAN(S134/L134)))</f>
        <v>0</v>
      </c>
      <c r="Y134" s="1179">
        <f t="shared" si="54"/>
        <v>0</v>
      </c>
      <c r="Z134" s="871">
        <f t="shared" si="52"/>
        <v>0</v>
      </c>
      <c r="AA134" s="121">
        <f t="shared" si="50"/>
        <v>0</v>
      </c>
      <c r="AB134" s="890"/>
      <c r="AC134" s="861"/>
      <c r="AD134" s="828"/>
      <c r="AE134" s="837"/>
      <c r="AF134" s="872" t="s">
        <v>474</v>
      </c>
      <c r="AG134" s="872"/>
      <c r="AH134" s="872"/>
      <c r="AI134" s="872"/>
      <c r="AJ134" s="874"/>
      <c r="AK134" s="861"/>
      <c r="AL134" s="861"/>
      <c r="AM134" s="861"/>
      <c r="AN134" s="861"/>
      <c r="AO134" s="861"/>
      <c r="AP134" s="861"/>
      <c r="AQ134" s="828"/>
      <c r="AR134" s="828"/>
      <c r="AS134" s="828"/>
      <c r="AT134" s="828"/>
      <c r="AU134" s="828"/>
      <c r="AV134" s="828"/>
      <c r="AW134" s="828"/>
      <c r="AX134" s="828"/>
      <c r="AY134" s="828"/>
      <c r="BI134" s="828"/>
      <c r="BJ134" s="828"/>
      <c r="BK134" s="877"/>
      <c r="BL134" s="877"/>
      <c r="BM134" s="860">
        <f>M134</f>
        <v>0</v>
      </c>
      <c r="BN134" s="860">
        <f>N134</f>
        <v>0</v>
      </c>
      <c r="BO134" s="861">
        <v>0</v>
      </c>
      <c r="BP134" s="861">
        <v>0</v>
      </c>
      <c r="BQ134" s="861">
        <f t="shared" si="57"/>
        <v>0</v>
      </c>
      <c r="BR134" s="828"/>
      <c r="BS134" s="828"/>
      <c r="BT134" s="828"/>
      <c r="BU134" s="828"/>
      <c r="BV134" s="828"/>
      <c r="BW134" s="828"/>
      <c r="BX134" s="828"/>
      <c r="BY134" s="828"/>
      <c r="BZ134" s="828"/>
      <c r="CA134" s="828"/>
      <c r="CB134" s="828"/>
      <c r="CC134" s="828"/>
      <c r="CD134" s="843">
        <v>7</v>
      </c>
      <c r="CE134" s="931" t="s">
        <v>474</v>
      </c>
      <c r="CF134" s="2358"/>
      <c r="CG134" s="861">
        <v>0.4</v>
      </c>
      <c r="CH134" s="855" t="s">
        <v>326</v>
      </c>
      <c r="CI134" s="855">
        <v>9187973</v>
      </c>
      <c r="CJ134" s="855" t="s">
        <v>471</v>
      </c>
      <c r="CK134" s="932" t="s">
        <v>470</v>
      </c>
      <c r="CL134" s="855">
        <v>10</v>
      </c>
      <c r="CM134" s="1256">
        <f>J134</f>
        <v>112402</v>
      </c>
      <c r="CN134" s="1256">
        <f>K134</f>
        <v>112402</v>
      </c>
      <c r="CO134" s="890">
        <f>CN134-CM134</f>
        <v>0</v>
      </c>
      <c r="CP134" s="861"/>
      <c r="CQ134" s="1256">
        <v>0</v>
      </c>
      <c r="CR134" s="1257">
        <f>Q134</f>
        <v>0</v>
      </c>
      <c r="CS134" s="1257">
        <f>R134</f>
        <v>0</v>
      </c>
      <c r="CT134" s="861">
        <f>CS134-CR134</f>
        <v>0</v>
      </c>
      <c r="CU134" s="861"/>
      <c r="CV134" s="861">
        <f>CT134*CL134</f>
        <v>0</v>
      </c>
      <c r="CW134" s="870" t="str">
        <f>IF(CT134&lt;0.00001,"0",COS(ATAN(CT134/CO134)))</f>
        <v>0</v>
      </c>
      <c r="CX134" s="879"/>
    </row>
    <row r="135" spans="1:102" ht="16" x14ac:dyDescent="0.25">
      <c r="A135" s="861"/>
      <c r="B135" s="880" t="s">
        <v>472</v>
      </c>
      <c r="C135" s="2357"/>
      <c r="D135" s="885">
        <v>0.4</v>
      </c>
      <c r="E135" s="855" t="s">
        <v>326</v>
      </c>
      <c r="F135" s="855">
        <v>9187972</v>
      </c>
      <c r="G135" s="855" t="s">
        <v>471</v>
      </c>
      <c r="H135" s="932" t="s">
        <v>470</v>
      </c>
      <c r="I135" s="855">
        <v>10</v>
      </c>
      <c r="J135" s="1231">
        <v>155453</v>
      </c>
      <c r="K135" s="1231">
        <v>155453</v>
      </c>
      <c r="L135" s="1231">
        <f>K135-J135</f>
        <v>0</v>
      </c>
      <c r="M135" s="1231"/>
      <c r="N135" s="1231">
        <v>0</v>
      </c>
      <c r="O135" s="1231"/>
      <c r="P135" s="1231"/>
      <c r="Q135" s="1231">
        <v>0</v>
      </c>
      <c r="R135" s="1231">
        <v>0</v>
      </c>
      <c r="S135" s="1231">
        <f>R135-Q135</f>
        <v>0</v>
      </c>
      <c r="T135" s="861"/>
      <c r="U135" s="861">
        <f>S135*I135</f>
        <v>0</v>
      </c>
      <c r="V135" s="122">
        <f t="shared" si="53"/>
        <v>0</v>
      </c>
      <c r="W135" s="868"/>
      <c r="X135" s="870" t="str">
        <f>IF(S135&lt;0.00001,"0",COS(ATAN(S135/L135)))</f>
        <v>0</v>
      </c>
      <c r="Y135" s="1179">
        <f t="shared" si="54"/>
        <v>0</v>
      </c>
      <c r="Z135" s="871">
        <f t="shared" si="52"/>
        <v>0</v>
      </c>
      <c r="AA135" s="121">
        <f t="shared" si="50"/>
        <v>0</v>
      </c>
      <c r="AB135" s="890" t="s">
        <v>473</v>
      </c>
      <c r="AC135" s="861">
        <v>0</v>
      </c>
      <c r="AD135" s="828"/>
      <c r="AE135" s="837"/>
      <c r="AF135" s="872" t="s">
        <v>472</v>
      </c>
      <c r="AG135" s="872"/>
      <c r="AH135" s="872"/>
      <c r="AI135" s="872"/>
      <c r="AJ135" s="874"/>
      <c r="AK135" s="861"/>
      <c r="AL135" s="861"/>
      <c r="AM135" s="861"/>
      <c r="AN135" s="861"/>
      <c r="AO135" s="861"/>
      <c r="AP135" s="861"/>
      <c r="AQ135" s="828"/>
      <c r="AR135" s="828"/>
      <c r="AS135" s="828"/>
      <c r="AT135" s="828"/>
      <c r="AU135" s="828"/>
      <c r="AV135" s="828"/>
      <c r="AW135" s="828"/>
      <c r="AX135" s="828"/>
      <c r="AY135" s="828"/>
      <c r="BI135" s="828"/>
      <c r="BJ135" s="828"/>
      <c r="BK135" s="877"/>
      <c r="BL135" s="877"/>
      <c r="BM135" s="860">
        <f>M135</f>
        <v>0</v>
      </c>
      <c r="BN135" s="860">
        <f>N135</f>
        <v>0</v>
      </c>
      <c r="BO135" s="861">
        <v>0</v>
      </c>
      <c r="BP135" s="861">
        <v>15440</v>
      </c>
      <c r="BQ135" s="861">
        <f t="shared" si="57"/>
        <v>0</v>
      </c>
      <c r="BR135" s="828"/>
      <c r="BS135" s="828"/>
      <c r="BT135" s="828"/>
      <c r="BU135" s="828"/>
      <c r="BV135" s="828"/>
      <c r="BW135" s="828"/>
      <c r="BX135" s="828"/>
      <c r="BY135" s="828"/>
      <c r="BZ135" s="828"/>
      <c r="CA135" s="828"/>
      <c r="CB135" s="828"/>
      <c r="CC135" s="828"/>
      <c r="CD135" s="843">
        <v>8</v>
      </c>
      <c r="CE135" s="931" t="s">
        <v>472</v>
      </c>
      <c r="CF135" s="2357"/>
      <c r="CG135" s="861">
        <v>0.4</v>
      </c>
      <c r="CH135" s="855" t="s">
        <v>326</v>
      </c>
      <c r="CI135" s="855">
        <v>9187972</v>
      </c>
      <c r="CJ135" s="855" t="s">
        <v>471</v>
      </c>
      <c r="CK135" s="932" t="s">
        <v>470</v>
      </c>
      <c r="CL135" s="855">
        <v>10</v>
      </c>
      <c r="CM135" s="1256">
        <f>J135</f>
        <v>155453</v>
      </c>
      <c r="CN135" s="1256">
        <f>K135</f>
        <v>155453</v>
      </c>
      <c r="CO135" s="878">
        <f>CN135-CM135</f>
        <v>0</v>
      </c>
      <c r="CP135" s="861">
        <v>1.0249999999999999</v>
      </c>
      <c r="CQ135" s="1250">
        <f>CO135*CL135*CP135</f>
        <v>0</v>
      </c>
      <c r="CR135" s="1257">
        <f>Q135</f>
        <v>0</v>
      </c>
      <c r="CS135" s="1257">
        <f>R135</f>
        <v>0</v>
      </c>
      <c r="CT135" s="861">
        <f>CS135-CR135</f>
        <v>0</v>
      </c>
      <c r="CU135" s="861"/>
      <c r="CV135" s="861">
        <f>CT135*CL135</f>
        <v>0</v>
      </c>
      <c r="CW135" s="870" t="str">
        <f>IF(CT135&lt;0.00001,"0",COS(ATAN(CT135/CO135)))</f>
        <v>0</v>
      </c>
      <c r="CX135" s="879"/>
    </row>
    <row r="136" spans="1:102" ht="22.5" customHeight="1" x14ac:dyDescent="0.25">
      <c r="A136" s="2278" t="s">
        <v>468</v>
      </c>
      <c r="B136" s="2279"/>
      <c r="C136" s="2279"/>
      <c r="D136" s="2279"/>
      <c r="E136" s="2283" t="s">
        <v>469</v>
      </c>
      <c r="F136" s="2283"/>
      <c r="G136" s="2283"/>
      <c r="H136" s="2283"/>
      <c r="I136" s="955"/>
      <c r="J136" s="1175"/>
      <c r="K136" s="1175"/>
      <c r="L136" s="991">
        <f>IF(N136&gt;O129,O129,N136)</f>
        <v>0</v>
      </c>
      <c r="N136" s="1235">
        <f>SUM(N130:N135)</f>
        <v>5467464.0000001239</v>
      </c>
      <c r="O136" s="988"/>
      <c r="P136" s="1176"/>
      <c r="Q136" s="1175"/>
      <c r="R136" s="1175"/>
      <c r="S136" s="879"/>
      <c r="T136" s="879"/>
      <c r="U136" s="879"/>
      <c r="V136" s="124"/>
      <c r="W136" s="1038"/>
      <c r="X136" s="957"/>
      <c r="Y136" s="1179"/>
      <c r="Z136" s="871">
        <f t="shared" si="52"/>
        <v>0</v>
      </c>
      <c r="AA136" s="121">
        <f t="shared" si="50"/>
        <v>0</v>
      </c>
      <c r="AB136" s="991"/>
      <c r="AC136" s="954">
        <f>SUM(AC130:AC135)</f>
        <v>3709</v>
      </c>
      <c r="AD136" s="828"/>
      <c r="AE136" s="837"/>
      <c r="AF136" s="872"/>
      <c r="AG136" s="872"/>
      <c r="AH136" s="872"/>
      <c r="AI136" s="872"/>
      <c r="AJ136" s="874"/>
      <c r="AK136" s="861"/>
      <c r="AL136" s="861"/>
      <c r="AM136" s="861"/>
      <c r="AN136" s="861"/>
      <c r="AO136" s="861"/>
      <c r="AP136" s="861"/>
      <c r="AQ136" s="828"/>
      <c r="AR136" s="828"/>
      <c r="AS136" s="828"/>
      <c r="AT136" s="828"/>
      <c r="AU136" s="828"/>
      <c r="AV136" s="828"/>
      <c r="AW136" s="828"/>
      <c r="AX136" s="828"/>
      <c r="AY136" s="828"/>
      <c r="BI136" s="828"/>
      <c r="BJ136" s="828"/>
      <c r="BK136" s="877"/>
      <c r="BL136" s="877"/>
      <c r="BM136" s="860"/>
      <c r="BN136" s="860"/>
      <c r="BO136" s="861"/>
      <c r="BP136" s="861"/>
      <c r="BQ136" s="861"/>
      <c r="BR136" s="828"/>
      <c r="BS136" s="828"/>
      <c r="BT136" s="828"/>
      <c r="BU136" s="828"/>
      <c r="BV136" s="828"/>
      <c r="BW136" s="828"/>
      <c r="BX136" s="828"/>
      <c r="BY136" s="828"/>
      <c r="BZ136" s="828"/>
      <c r="CA136" s="828"/>
      <c r="CB136" s="828"/>
      <c r="CC136" s="828"/>
      <c r="CD136" s="2278" t="s">
        <v>468</v>
      </c>
      <c r="CE136" s="2279"/>
      <c r="CF136" s="2279"/>
      <c r="CG136" s="2279"/>
      <c r="CH136" s="2283"/>
      <c r="CI136" s="2283"/>
      <c r="CJ136" s="2283"/>
      <c r="CK136" s="2283"/>
      <c r="CL136" s="955"/>
      <c r="CM136" s="1175"/>
      <c r="CN136" s="1256"/>
      <c r="CO136" s="991"/>
      <c r="CQ136" s="991">
        <f>SUM(CQ130:CQ135)</f>
        <v>2733732.0000000619</v>
      </c>
      <c r="CR136" s="1176"/>
      <c r="CS136" s="1176"/>
      <c r="CT136" s="879"/>
      <c r="CU136" s="879"/>
      <c r="CV136" s="879"/>
      <c r="CW136" s="957"/>
      <c r="CX136" s="879"/>
    </row>
    <row r="137" spans="1:102" ht="24" customHeight="1" x14ac:dyDescent="0.25">
      <c r="A137" s="2278" t="s">
        <v>467</v>
      </c>
      <c r="B137" s="2279"/>
      <c r="C137" s="2279"/>
      <c r="D137" s="2279"/>
      <c r="E137" s="2279"/>
      <c r="F137" s="2280"/>
      <c r="G137" s="855"/>
      <c r="H137" s="932"/>
      <c r="I137" s="855"/>
      <c r="J137" s="1175"/>
      <c r="K137" s="1175"/>
      <c r="L137" s="843" t="s">
        <v>323</v>
      </c>
      <c r="M137" s="843"/>
      <c r="N137" s="1038"/>
      <c r="O137" s="856">
        <f>IF(N136&gt;O129,N136-O129,0)</f>
        <v>5467464.0000001239</v>
      </c>
      <c r="P137" s="889"/>
      <c r="Q137" s="1175"/>
      <c r="R137" s="1175"/>
      <c r="S137" s="879"/>
      <c r="T137" s="879"/>
      <c r="U137" s="954">
        <f>SUM(U130:U136)</f>
        <v>1146636.0000000205</v>
      </c>
      <c r="V137" s="116"/>
      <c r="W137" s="856"/>
      <c r="X137" s="957"/>
      <c r="Y137" s="1179"/>
      <c r="Z137" s="871">
        <f t="shared" si="52"/>
        <v>0</v>
      </c>
      <c r="AA137" s="121">
        <f t="shared" si="50"/>
        <v>0</v>
      </c>
      <c r="AB137" s="879"/>
      <c r="AC137" s="1005"/>
      <c r="AD137" s="840"/>
      <c r="AE137" s="837"/>
      <c r="AF137" s="857"/>
      <c r="AG137" s="872"/>
      <c r="AH137" s="872"/>
      <c r="AI137" s="872"/>
      <c r="AJ137" s="874"/>
      <c r="AK137" s="861"/>
      <c r="AL137" s="861"/>
      <c r="AM137" s="861"/>
      <c r="AN137" s="861"/>
      <c r="AO137" s="861"/>
      <c r="AP137" s="861"/>
      <c r="AQ137" s="828"/>
      <c r="AR137" s="828"/>
      <c r="AS137" s="828"/>
      <c r="AT137" s="828"/>
      <c r="AU137" s="828"/>
      <c r="AV137" s="828"/>
      <c r="AW137" s="828"/>
      <c r="AX137" s="828"/>
      <c r="AY137" s="828"/>
      <c r="BI137" s="828"/>
      <c r="BJ137" s="828"/>
      <c r="BK137" s="1258"/>
      <c r="BL137" s="877"/>
      <c r="BM137" s="860"/>
      <c r="BN137" s="860"/>
      <c r="BO137" s="861"/>
      <c r="BP137" s="861"/>
      <c r="BQ137" s="861"/>
      <c r="BR137" s="828"/>
      <c r="BS137" s="828"/>
      <c r="BT137" s="828"/>
      <c r="BU137" s="828"/>
      <c r="BV137" s="828"/>
      <c r="BW137" s="828"/>
      <c r="BX137" s="828"/>
      <c r="BY137" s="828"/>
      <c r="BZ137" s="828"/>
      <c r="CA137" s="828"/>
      <c r="CB137" s="828"/>
      <c r="CC137" s="828"/>
      <c r="CD137" s="2278" t="s">
        <v>467</v>
      </c>
      <c r="CE137" s="2279"/>
      <c r="CF137" s="2279"/>
      <c r="CG137" s="2279"/>
      <c r="CH137" s="2279"/>
      <c r="CI137" s="2280"/>
      <c r="CJ137" s="855"/>
      <c r="CK137" s="932"/>
      <c r="CL137" s="855"/>
      <c r="CM137" s="1175"/>
      <c r="CN137" s="1256"/>
      <c r="CO137" s="843" t="s">
        <v>323</v>
      </c>
      <c r="CP137" s="843"/>
      <c r="CQ137" s="843"/>
      <c r="CR137" s="1176"/>
      <c r="CS137" s="1176"/>
      <c r="CT137" s="879"/>
      <c r="CU137" s="879"/>
      <c r="CV137" s="843">
        <f>SUM(CV130:CV136)</f>
        <v>573318.00000001024</v>
      </c>
      <c r="CW137" s="957"/>
      <c r="CX137" s="879"/>
    </row>
    <row r="138" spans="1:102" ht="24" customHeight="1" x14ac:dyDescent="0.25">
      <c r="A138" s="2299">
        <v>6</v>
      </c>
      <c r="B138" s="2360" t="s">
        <v>465</v>
      </c>
      <c r="C138" s="2356" t="s">
        <v>464</v>
      </c>
      <c r="D138" s="861">
        <v>33</v>
      </c>
      <c r="E138" s="855" t="s">
        <v>326</v>
      </c>
      <c r="F138" s="860" t="s">
        <v>466</v>
      </c>
      <c r="G138" s="855" t="s">
        <v>463</v>
      </c>
      <c r="H138" s="932" t="s">
        <v>324</v>
      </c>
      <c r="I138" s="137">
        <v>180000</v>
      </c>
      <c r="J138" s="1175">
        <v>1072.0530000000001</v>
      </c>
      <c r="K138" s="1175">
        <v>1072.0530000000001</v>
      </c>
      <c r="L138" s="1175">
        <f t="shared" ref="L138:L145" si="60">K138-J138</f>
        <v>0</v>
      </c>
      <c r="M138" s="1175"/>
      <c r="N138" s="1251">
        <f t="shared" ref="N138:N143" si="61">L138*I138</f>
        <v>0</v>
      </c>
      <c r="O138" s="1259"/>
      <c r="P138" s="1175"/>
      <c r="Q138" s="1175">
        <v>547.36</v>
      </c>
      <c r="R138" s="1175">
        <v>547.36</v>
      </c>
      <c r="S138" s="1175">
        <f t="shared" ref="S138:S145" si="62">R138-Q138</f>
        <v>0</v>
      </c>
      <c r="T138" s="861"/>
      <c r="U138" s="861">
        <f t="shared" ref="U138:U144" si="63">S138*I138</f>
        <v>0</v>
      </c>
      <c r="V138" s="122">
        <f t="shared" ref="V138:V145" si="64">N138</f>
        <v>0</v>
      </c>
      <c r="W138" s="868">
        <f t="shared" ref="W138:W145" si="65">U138</f>
        <v>0</v>
      </c>
      <c r="X138" s="870" t="str">
        <f>IF(S138&lt;0.00001,"0",COS(ATAN(S138/L138)))</f>
        <v>0</v>
      </c>
      <c r="Y138" s="871">
        <f>IF(AND(X138&gt;=0.885,X138&lt;0.9),1*0.005,IF(AND(X138&gt;=0.875,X138&lt;0.89),1*0.01,IF(AND(X138&gt;=0.865,X138&lt;0.88),1*0.02,IF(AND(X138&gt;=0.855,X138&lt;0.87),1*0.03,IF(AND(X138&gt;=0.845,X138&lt;0.86),1*0.04,IF(AND(X138&gt;=0.835,X138&lt;0.85),1*0.05,IF(AND(X138&gt;=0.825,X138&lt;0.84),1*0.06,IF(AND(X138&gt;=0.815,X138&lt;0.83),1*0.07,IF(AND(X138&gt;=0.805,X138&lt;0.82),1*0.08,IF(AND(X138&gt;=0.795,X138&lt;0.81),1*0.09,IF(AND(X138&gt;=0.785,X138&lt;0.8),1*0.105,IF(AND(X138&gt;=0.775,X138&lt;0.79),1*0.12,IF(AND(X138&gt;=0.765,X138&lt;0.78),1*0.135,IF(AND(X138&gt;=0.755,X138&lt;0.77),1*0.15,IF(AND(X138&gt;=0.745,X138&lt;0.76),1*0.165,0)))))))))))))))</f>
        <v>0</v>
      </c>
      <c r="Z138" s="871">
        <f>Y138*V138</f>
        <v>0</v>
      </c>
      <c r="AA138" s="121">
        <f t="shared" si="50"/>
        <v>0</v>
      </c>
      <c r="AB138" s="890" t="s">
        <v>1407</v>
      </c>
      <c r="AC138" s="861">
        <v>0</v>
      </c>
      <c r="AD138" s="828"/>
      <c r="AE138" s="837"/>
      <c r="AF138" s="1224" t="s">
        <v>465</v>
      </c>
      <c r="AG138" s="872"/>
      <c r="AH138" s="872"/>
      <c r="AI138" s="872"/>
      <c r="AJ138" s="874"/>
      <c r="AK138" s="861"/>
      <c r="AL138" s="861"/>
      <c r="AM138" s="861"/>
      <c r="AN138" s="861"/>
      <c r="AO138" s="861"/>
      <c r="AP138" s="861"/>
      <c r="AQ138" s="828"/>
      <c r="AR138" s="828"/>
      <c r="AS138" s="828"/>
      <c r="AT138" s="828"/>
      <c r="AU138" s="828"/>
      <c r="AV138" s="828"/>
      <c r="AW138" s="828"/>
      <c r="AX138" s="828"/>
      <c r="AY138" s="828"/>
      <c r="BI138" s="828"/>
      <c r="BJ138" s="828"/>
      <c r="BK138" s="877"/>
      <c r="BL138" s="877"/>
      <c r="BM138" s="860">
        <f>M138</f>
        <v>0</v>
      </c>
      <c r="BN138" s="860" t="e">
        <f>#REF!</f>
        <v>#REF!</v>
      </c>
      <c r="BO138" s="861">
        <v>0</v>
      </c>
      <c r="BP138" s="861">
        <v>0</v>
      </c>
      <c r="BQ138" s="861">
        <f t="shared" ref="BQ138:BQ147" si="66">BO138-BM138</f>
        <v>0</v>
      </c>
      <c r="BR138" s="828"/>
      <c r="BS138" s="828"/>
      <c r="BT138" s="828"/>
      <c r="BU138" s="828"/>
      <c r="BV138" s="828"/>
      <c r="BW138" s="828"/>
      <c r="BX138" s="828"/>
      <c r="BY138" s="828"/>
      <c r="BZ138" s="828"/>
      <c r="CA138" s="828"/>
      <c r="CB138" s="828"/>
      <c r="CC138" s="828"/>
      <c r="CD138" s="843">
        <v>9</v>
      </c>
      <c r="CE138" s="1220" t="s">
        <v>465</v>
      </c>
      <c r="CF138" s="2356" t="s">
        <v>464</v>
      </c>
      <c r="CG138" s="861">
        <v>33</v>
      </c>
      <c r="CH138" s="855" t="s">
        <v>326</v>
      </c>
      <c r="CI138" s="1221">
        <v>8993834</v>
      </c>
      <c r="CJ138" s="855" t="s">
        <v>463</v>
      </c>
      <c r="CK138" s="932" t="s">
        <v>324</v>
      </c>
      <c r="CL138" s="137">
        <v>180000</v>
      </c>
      <c r="CM138" s="1175">
        <v>1071.741</v>
      </c>
      <c r="CN138" s="1175">
        <f>K138</f>
        <v>1072.0530000000001</v>
      </c>
      <c r="CO138" s="878">
        <f t="shared" ref="CO138:CO147" si="67">CN138-CM138</f>
        <v>0.31200000000012551</v>
      </c>
      <c r="CP138" s="861"/>
      <c r="CQ138" s="1260">
        <f>CO138*CL138</f>
        <v>56160.000000022592</v>
      </c>
      <c r="CR138" s="1175">
        <f t="shared" ref="CR138:CS147" si="68">Q138</f>
        <v>547.36</v>
      </c>
      <c r="CS138" s="1175">
        <f t="shared" si="68"/>
        <v>547.36</v>
      </c>
      <c r="CT138" s="861">
        <f>CS138-CR138</f>
        <v>0</v>
      </c>
      <c r="CU138" s="861"/>
      <c r="CV138" s="861">
        <f>CT138*CL138</f>
        <v>0</v>
      </c>
      <c r="CW138" s="870" t="str">
        <f>IF(CT138&lt;0.00001,"0",COS(ATAN(CT138/CO138)))</f>
        <v>0</v>
      </c>
      <c r="CX138" s="879"/>
    </row>
    <row r="139" spans="1:102" ht="25.5" customHeight="1" x14ac:dyDescent="0.25">
      <c r="A139" s="2301"/>
      <c r="B139" s="2361"/>
      <c r="C139" s="2358"/>
      <c r="D139" s="861">
        <v>33</v>
      </c>
      <c r="E139" s="855" t="s">
        <v>326</v>
      </c>
      <c r="F139" s="860" t="s">
        <v>462</v>
      </c>
      <c r="G139" s="855"/>
      <c r="H139" s="932"/>
      <c r="I139" s="137">
        <v>180000</v>
      </c>
      <c r="J139" s="1175">
        <v>0.24399999999999999</v>
      </c>
      <c r="K139" s="1175">
        <v>0.30099999999999999</v>
      </c>
      <c r="L139" s="878">
        <f t="shared" si="60"/>
        <v>5.6999999999999995E-2</v>
      </c>
      <c r="M139" s="1261"/>
      <c r="N139" s="1085">
        <f t="shared" si="61"/>
        <v>10260</v>
      </c>
      <c r="O139" s="869"/>
      <c r="P139" s="861"/>
      <c r="Q139" s="1175">
        <v>0</v>
      </c>
      <c r="R139" s="1175">
        <v>0</v>
      </c>
      <c r="S139" s="861">
        <f t="shared" si="62"/>
        <v>0</v>
      </c>
      <c r="T139" s="861"/>
      <c r="U139" s="861">
        <f t="shared" si="63"/>
        <v>0</v>
      </c>
      <c r="V139" s="122">
        <f t="shared" si="64"/>
        <v>10260</v>
      </c>
      <c r="W139" s="868">
        <f t="shared" si="65"/>
        <v>0</v>
      </c>
      <c r="X139" s="870" t="str">
        <f>IF(S139&lt;0.00001,"0",COS(ATAN(S139/L139)))</f>
        <v>0</v>
      </c>
      <c r="Y139" s="871">
        <f>IF(AND(X139&gt;=0.885,X139&lt;0.9),1*0.005,IF(AND(X139&gt;=0.875,X139&lt;0.89),1*0.01,IF(AND(X139&gt;=0.865,X139&lt;0.88),1*0.02,IF(AND(X139&gt;=0.855,X139&lt;0.87),1*0.03,IF(AND(X139&gt;=0.845,X139&lt;0.86),1*0.04,IF(AND(X139&gt;=0.835,X139&lt;0.85),1*0.05,IF(AND(X139&gt;=0.825,X139&lt;0.84),1*0.06,IF(AND(X139&gt;=0.815,X139&lt;0.83),1*0.07,IF(AND(X139&gt;=0.805,X139&lt;0.82),1*0.08,IF(AND(X139&gt;=0.795,X139&lt;0.81),1*0.09,IF(AND(X139&gt;=0.785,X139&lt;0.8),1*0.105,IF(AND(X139&gt;=0.775,X139&lt;0.79),1*0.12,IF(AND(X139&gt;=0.765,X139&lt;0.78),1*0.135,IF(AND(X139&gt;=0.755,X139&lt;0.77),1*0.15,IF(AND(X139&gt;=0.745,X139&lt;0.76),1*0.165,0)))))))))))))))</f>
        <v>0</v>
      </c>
      <c r="Z139" s="871">
        <f>Y139*V139</f>
        <v>0</v>
      </c>
      <c r="AA139" s="121">
        <f t="shared" si="50"/>
        <v>0</v>
      </c>
      <c r="AB139" s="991" t="s">
        <v>1408</v>
      </c>
      <c r="AC139" s="861">
        <v>0</v>
      </c>
      <c r="AD139" s="828"/>
      <c r="AE139" s="837"/>
      <c r="AF139" s="1224"/>
      <c r="AG139" s="872"/>
      <c r="AH139" s="872"/>
      <c r="AI139" s="872"/>
      <c r="AJ139" s="874"/>
      <c r="AK139" s="861"/>
      <c r="AL139" s="861"/>
      <c r="AM139" s="861"/>
      <c r="AN139" s="861"/>
      <c r="AO139" s="861"/>
      <c r="AP139" s="861"/>
      <c r="AQ139" s="828"/>
      <c r="AR139" s="828"/>
      <c r="AS139" s="828"/>
      <c r="AT139" s="828"/>
      <c r="AU139" s="828"/>
      <c r="AV139" s="828"/>
      <c r="AW139" s="828"/>
      <c r="AX139" s="828"/>
      <c r="AY139" s="828"/>
      <c r="BI139" s="828"/>
      <c r="BJ139" s="828"/>
      <c r="BK139" s="877"/>
      <c r="BL139" s="877"/>
      <c r="BM139" s="860"/>
      <c r="BN139" s="860"/>
      <c r="BO139" s="861"/>
      <c r="BP139" s="861"/>
      <c r="BQ139" s="861"/>
      <c r="BR139" s="828"/>
      <c r="BS139" s="828"/>
      <c r="BT139" s="828"/>
      <c r="BU139" s="828"/>
      <c r="BV139" s="828"/>
      <c r="BW139" s="828"/>
      <c r="BX139" s="828"/>
      <c r="BY139" s="828"/>
      <c r="BZ139" s="828"/>
      <c r="CA139" s="828"/>
      <c r="CB139" s="828"/>
      <c r="CC139" s="828"/>
      <c r="CD139" s="843"/>
      <c r="CE139" s="1220"/>
      <c r="CF139" s="2358"/>
      <c r="CG139" s="861"/>
      <c r="CH139" s="855"/>
      <c r="CI139" s="1221"/>
      <c r="CJ139" s="855"/>
      <c r="CK139" s="932"/>
      <c r="CL139" s="137"/>
      <c r="CM139" s="1175"/>
      <c r="CN139" s="1175"/>
      <c r="CO139" s="878"/>
      <c r="CP139" s="861"/>
      <c r="CQ139" s="1260"/>
      <c r="CR139" s="1175"/>
      <c r="CS139" s="1175"/>
      <c r="CT139" s="861"/>
      <c r="CU139" s="861"/>
      <c r="CV139" s="861"/>
      <c r="CW139" s="870"/>
      <c r="CX139" s="879"/>
    </row>
    <row r="140" spans="1:102" ht="16" x14ac:dyDescent="0.25">
      <c r="A140" s="861">
        <v>7</v>
      </c>
      <c r="B140" s="1220" t="s">
        <v>461</v>
      </c>
      <c r="C140" s="2358"/>
      <c r="D140" s="861">
        <v>33</v>
      </c>
      <c r="E140" s="855" t="s">
        <v>326</v>
      </c>
      <c r="F140" s="1221">
        <v>8993833</v>
      </c>
      <c r="G140" s="855" t="s">
        <v>460</v>
      </c>
      <c r="H140" s="932" t="s">
        <v>324</v>
      </c>
      <c r="I140" s="137">
        <v>180000</v>
      </c>
      <c r="J140" s="1175">
        <v>315.00400000000002</v>
      </c>
      <c r="K140" s="1175">
        <v>315.00400000000002</v>
      </c>
      <c r="L140" s="861">
        <f t="shared" si="60"/>
        <v>0</v>
      </c>
      <c r="M140" s="1261"/>
      <c r="N140" s="1085">
        <f t="shared" si="61"/>
        <v>0</v>
      </c>
      <c r="O140" s="869"/>
      <c r="P140" s="861"/>
      <c r="Q140" s="1175">
        <v>243.39699999999999</v>
      </c>
      <c r="R140" s="1175">
        <v>243.39699999999999</v>
      </c>
      <c r="S140" s="861">
        <f t="shared" si="62"/>
        <v>0</v>
      </c>
      <c r="T140" s="861"/>
      <c r="U140" s="861">
        <f t="shared" si="63"/>
        <v>0</v>
      </c>
      <c r="V140" s="122">
        <f t="shared" si="64"/>
        <v>0</v>
      </c>
      <c r="W140" s="868">
        <f t="shared" si="65"/>
        <v>0</v>
      </c>
      <c r="X140" s="870" t="str">
        <f>IF(W140&lt;0.00001,"0",COS(ATAN(W140/V140)))</f>
        <v>0</v>
      </c>
      <c r="Y140" s="871">
        <v>0</v>
      </c>
      <c r="Z140" s="1262">
        <f t="shared" si="52"/>
        <v>0</v>
      </c>
      <c r="AA140" s="121">
        <f t="shared" si="50"/>
        <v>0</v>
      </c>
      <c r="AC140" s="861">
        <v>0</v>
      </c>
      <c r="AD140" s="828"/>
      <c r="AE140" s="837"/>
      <c r="AF140" s="1227" t="s">
        <v>461</v>
      </c>
      <c r="AG140" s="892" t="str">
        <f>X140</f>
        <v>0</v>
      </c>
      <c r="AH140" s="872">
        <f>Y140</f>
        <v>0</v>
      </c>
      <c r="AI140" s="872" t="e">
        <f>#REF!</f>
        <v>#REF!</v>
      </c>
      <c r="AJ140" s="874" t="e">
        <f>AI140*5.928</f>
        <v>#REF!</v>
      </c>
      <c r="AK140" s="861"/>
      <c r="AL140" s="861"/>
      <c r="AM140" s="861"/>
      <c r="AN140" s="861"/>
      <c r="AO140" s="890" t="e">
        <f>AM140-AI140</f>
        <v>#REF!</v>
      </c>
      <c r="AP140" s="890" t="e">
        <f>AN140-AJ140</f>
        <v>#REF!</v>
      </c>
      <c r="AQ140" s="828"/>
      <c r="AR140" s="828"/>
      <c r="AS140" s="828"/>
      <c r="AT140" s="828"/>
      <c r="AU140" s="828"/>
      <c r="AV140" s="828"/>
      <c r="AW140" s="828"/>
      <c r="AX140" s="828"/>
      <c r="AY140" s="828"/>
      <c r="BI140" s="828"/>
      <c r="BJ140" s="828"/>
      <c r="BK140" s="877"/>
      <c r="BL140" s="877"/>
      <c r="BM140" s="860">
        <f t="shared" ref="BM140:BN142" si="69">M140</f>
        <v>0</v>
      </c>
      <c r="BN140" s="860">
        <f t="shared" si="69"/>
        <v>0</v>
      </c>
      <c r="BO140" s="861">
        <v>0</v>
      </c>
      <c r="BP140" s="861">
        <v>640000</v>
      </c>
      <c r="BQ140" s="861">
        <f t="shared" si="66"/>
        <v>0</v>
      </c>
      <c r="BR140" s="828"/>
      <c r="BS140" s="828"/>
      <c r="BT140" s="828"/>
      <c r="BU140" s="828"/>
      <c r="BV140" s="828"/>
      <c r="BW140" s="828"/>
      <c r="BX140" s="828"/>
      <c r="BY140" s="828"/>
      <c r="BZ140" s="828"/>
      <c r="CA140" s="828"/>
      <c r="CB140" s="828"/>
      <c r="CC140" s="828"/>
      <c r="CD140" s="843">
        <v>10</v>
      </c>
      <c r="CE140" s="1220" t="s">
        <v>461</v>
      </c>
      <c r="CF140" s="2358"/>
      <c r="CG140" s="861">
        <v>33</v>
      </c>
      <c r="CH140" s="855" t="s">
        <v>326</v>
      </c>
      <c r="CI140" s="1221">
        <v>8993833</v>
      </c>
      <c r="CJ140" s="855" t="s">
        <v>460</v>
      </c>
      <c r="CK140" s="932" t="s">
        <v>324</v>
      </c>
      <c r="CL140" s="137">
        <v>180000</v>
      </c>
      <c r="CM140" s="1175">
        <v>298.60500000000002</v>
      </c>
      <c r="CN140" s="1175">
        <f>K140</f>
        <v>315.00400000000002</v>
      </c>
      <c r="CO140" s="861">
        <f t="shared" si="67"/>
        <v>16.399000000000001</v>
      </c>
      <c r="CP140" s="861"/>
      <c r="CQ140" s="1260">
        <f>CO140*CL140</f>
        <v>2951820</v>
      </c>
      <c r="CR140" s="1175">
        <f t="shared" si="68"/>
        <v>243.39699999999999</v>
      </c>
      <c r="CS140" s="1175">
        <f t="shared" si="68"/>
        <v>243.39699999999999</v>
      </c>
      <c r="CT140" s="861">
        <f>CS140-CR140</f>
        <v>0</v>
      </c>
      <c r="CU140" s="861"/>
      <c r="CV140" s="861">
        <f>CT140*CL140</f>
        <v>0</v>
      </c>
      <c r="CW140" s="878" t="str">
        <f>IF(CT140&lt;0.00001,"0",COS(ATAN(CT140/CO140)))</f>
        <v>0</v>
      </c>
      <c r="CX140" s="879"/>
    </row>
    <row r="141" spans="1:102" ht="14.25" customHeight="1" x14ac:dyDescent="0.25">
      <c r="A141" s="861">
        <v>8</v>
      </c>
      <c r="B141" s="1220" t="s">
        <v>458</v>
      </c>
      <c r="C141" s="2358"/>
      <c r="D141" s="861">
        <v>33</v>
      </c>
      <c r="E141" s="855" t="s">
        <v>326</v>
      </c>
      <c r="F141" s="1221" t="s">
        <v>457</v>
      </c>
      <c r="G141" s="855" t="s">
        <v>456</v>
      </c>
      <c r="H141" s="932" t="s">
        <v>324</v>
      </c>
      <c r="I141" s="137">
        <v>180000</v>
      </c>
      <c r="J141" s="1175">
        <v>4138.26</v>
      </c>
      <c r="K141" s="1175">
        <v>4143.2049999999999</v>
      </c>
      <c r="L141" s="861">
        <f t="shared" si="60"/>
        <v>4.944999999999709</v>
      </c>
      <c r="M141" s="1263"/>
      <c r="N141" s="1085">
        <f t="shared" si="61"/>
        <v>890099.99999994761</v>
      </c>
      <c r="O141" s="869"/>
      <c r="P141" s="861"/>
      <c r="Q141" s="1175">
        <v>2247.7429999999999</v>
      </c>
      <c r="R141" s="1175">
        <v>2248.5</v>
      </c>
      <c r="S141" s="861">
        <f t="shared" si="62"/>
        <v>0.75700000000006185</v>
      </c>
      <c r="T141" s="861"/>
      <c r="U141" s="861">
        <f t="shared" si="63"/>
        <v>136260.00000001112</v>
      </c>
      <c r="V141" s="122">
        <f t="shared" si="64"/>
        <v>890099.99999994761</v>
      </c>
      <c r="W141" s="868">
        <f t="shared" si="65"/>
        <v>136260.00000001112</v>
      </c>
      <c r="X141" s="870">
        <f>IF(S141&lt;0.00001,"0",COS(ATAN(S141/L141)))</f>
        <v>0.98848465935473895</v>
      </c>
      <c r="Y141" s="871">
        <f t="shared" ref="Y141:Y147" si="70">IF(AND(X141&gt;=0.885,X141&lt;0.9),1*0.005,IF(AND(X141&gt;=0.875,X141&lt;0.89),1*0.01,IF(AND(X141&gt;=0.865,X141&lt;0.88),1*0.02,IF(AND(X141&gt;=0.855,X141&lt;0.87),1*0.03,IF(AND(X141&gt;=0.845,X141&lt;0.86),1*0.04,IF(AND(X141&gt;=0.835,X141&lt;0.85),1*0.05,IF(AND(X141&gt;=0.825,X141&lt;0.84),1*0.06,IF(AND(X141&gt;=0.815,X141&lt;0.83),1*0.07,IF(AND(X141&gt;=0.805,X141&lt;0.82),1*0.08,IF(AND(X141&gt;=0.795,X141&lt;0.81),1*0.09,IF(AND(X141&gt;=0.785,X141&lt;0.8),1*0.105,IF(AND(X141&gt;=0.775,X141&lt;0.79),1*0.12,IF(AND(X141&gt;=0.765,X141&lt;0.78),1*0.135,IF(AND(X141&gt;=0.755,X141&lt;0.77),1*0.15,IF(AND(X141&gt;=0.745,X141&lt;0.76),1*0.165,0)))))))))))))))</f>
        <v>0</v>
      </c>
      <c r="Z141" s="871">
        <f t="shared" si="52"/>
        <v>0</v>
      </c>
      <c r="AA141" s="121">
        <f t="shared" si="50"/>
        <v>0</v>
      </c>
      <c r="AB141" s="991"/>
      <c r="AC141" s="861">
        <v>0</v>
      </c>
      <c r="AD141" s="828"/>
      <c r="AE141" s="837"/>
      <c r="AF141" s="1227" t="s">
        <v>458</v>
      </c>
      <c r="AG141" s="872"/>
      <c r="AH141" s="872"/>
      <c r="AI141" s="872"/>
      <c r="AJ141" s="874"/>
      <c r="AK141" s="861"/>
      <c r="AL141" s="861"/>
      <c r="AM141" s="861"/>
      <c r="AN141" s="861"/>
      <c r="AO141" s="861"/>
      <c r="AP141" s="890"/>
      <c r="AQ141" s="828"/>
      <c r="AR141" s="828"/>
      <c r="AS141" s="828"/>
      <c r="AT141" s="828"/>
      <c r="AU141" s="828"/>
      <c r="AV141" s="828"/>
      <c r="AW141" s="828"/>
      <c r="AX141" s="828"/>
      <c r="AY141" s="828"/>
      <c r="BI141" s="828"/>
      <c r="BJ141" s="828"/>
      <c r="BK141" s="877" t="s">
        <v>459</v>
      </c>
      <c r="BL141" s="877">
        <v>114789</v>
      </c>
      <c r="BM141" s="860">
        <f t="shared" si="69"/>
        <v>0</v>
      </c>
      <c r="BN141" s="860">
        <f t="shared" si="69"/>
        <v>890099.99999994761</v>
      </c>
      <c r="BO141" s="861">
        <v>0</v>
      </c>
      <c r="BP141" s="861">
        <v>12255000</v>
      </c>
      <c r="BQ141" s="861">
        <f t="shared" si="66"/>
        <v>0</v>
      </c>
      <c r="BR141" s="828"/>
      <c r="BS141" s="828"/>
      <c r="BT141" s="828"/>
      <c r="BU141" s="828"/>
      <c r="BV141" s="828"/>
      <c r="BW141" s="828"/>
      <c r="BX141" s="828"/>
      <c r="BY141" s="828"/>
      <c r="BZ141" s="828"/>
      <c r="CA141" s="828"/>
      <c r="CB141" s="828"/>
      <c r="CC141" s="828"/>
      <c r="CD141" s="843">
        <v>11</v>
      </c>
      <c r="CE141" s="1220" t="s">
        <v>458</v>
      </c>
      <c r="CF141" s="2358"/>
      <c r="CG141" s="861">
        <v>33</v>
      </c>
      <c r="CH141" s="855" t="s">
        <v>326</v>
      </c>
      <c r="CI141" s="1221" t="s">
        <v>457</v>
      </c>
      <c r="CJ141" s="855" t="s">
        <v>456</v>
      </c>
      <c r="CK141" s="932" t="s">
        <v>324</v>
      </c>
      <c r="CL141" s="137">
        <v>180000</v>
      </c>
      <c r="CM141" s="1175">
        <v>3925.828</v>
      </c>
      <c r="CN141" s="1175">
        <f>K141</f>
        <v>4143.2049999999999</v>
      </c>
      <c r="CO141" s="861">
        <f t="shared" si="67"/>
        <v>217.37699999999995</v>
      </c>
      <c r="CP141" s="861"/>
      <c r="CQ141" s="1260">
        <f>CO141*CL141</f>
        <v>39127859.999999993</v>
      </c>
      <c r="CR141" s="1175">
        <f t="shared" si="68"/>
        <v>2247.7429999999999</v>
      </c>
      <c r="CS141" s="1175">
        <f t="shared" si="68"/>
        <v>2248.5</v>
      </c>
      <c r="CT141" s="861">
        <f>CS141-CR141</f>
        <v>0.75700000000006185</v>
      </c>
      <c r="CU141" s="861"/>
      <c r="CV141" s="861">
        <f>CT141*CL141</f>
        <v>136260.00000001112</v>
      </c>
      <c r="CW141" s="878">
        <f>IF(CT141&lt;0.00001,"0",COS(ATAN(CT141/CO141)))</f>
        <v>0.99999393639878043</v>
      </c>
      <c r="CX141" s="879"/>
    </row>
    <row r="142" spans="1:102" ht="16" x14ac:dyDescent="0.25">
      <c r="A142" s="861">
        <v>9</v>
      </c>
      <c r="B142" s="1220" t="s">
        <v>455</v>
      </c>
      <c r="C142" s="2358"/>
      <c r="D142" s="861">
        <v>33</v>
      </c>
      <c r="E142" s="855" t="s">
        <v>326</v>
      </c>
      <c r="F142" s="1221" t="s">
        <v>454</v>
      </c>
      <c r="G142" s="855" t="s">
        <v>453</v>
      </c>
      <c r="H142" s="932" t="s">
        <v>324</v>
      </c>
      <c r="I142" s="137">
        <v>180000</v>
      </c>
      <c r="J142" s="1175">
        <v>5501.1189999999997</v>
      </c>
      <c r="K142" s="1175">
        <v>5528.1049999999996</v>
      </c>
      <c r="L142" s="861">
        <f t="shared" si="60"/>
        <v>26.985999999999876</v>
      </c>
      <c r="M142" s="1264"/>
      <c r="N142" s="1085">
        <f t="shared" si="61"/>
        <v>4857479.9999999776</v>
      </c>
      <c r="O142" s="869"/>
      <c r="P142" s="861"/>
      <c r="Q142" s="1175">
        <v>2524.674</v>
      </c>
      <c r="R142" s="1175">
        <v>2536.7950000000001</v>
      </c>
      <c r="S142" s="861">
        <f t="shared" si="62"/>
        <v>12.121000000000095</v>
      </c>
      <c r="T142" s="861"/>
      <c r="U142" s="861">
        <f t="shared" si="63"/>
        <v>2181780.0000000172</v>
      </c>
      <c r="V142" s="122">
        <f t="shared" si="64"/>
        <v>4857479.9999999776</v>
      </c>
      <c r="W142" s="868">
        <f t="shared" si="65"/>
        <v>2181780.0000000172</v>
      </c>
      <c r="X142" s="870">
        <f>IF(W142&lt;0.00001,"0",COS(ATAN(W142/V142)))</f>
        <v>0.91220843193888368</v>
      </c>
      <c r="Y142" s="1179">
        <f t="shared" si="70"/>
        <v>0</v>
      </c>
      <c r="Z142" s="871">
        <f t="shared" si="52"/>
        <v>0</v>
      </c>
      <c r="AA142" s="121">
        <f t="shared" si="50"/>
        <v>0</v>
      </c>
      <c r="AB142" s="890"/>
      <c r="AC142" s="861">
        <v>0</v>
      </c>
      <c r="AD142" s="828"/>
      <c r="AE142" s="837"/>
      <c r="AF142" s="1227" t="s">
        <v>455</v>
      </c>
      <c r="AG142" s="892">
        <f>X142</f>
        <v>0.91220843193888368</v>
      </c>
      <c r="AH142" s="872">
        <f>Y142</f>
        <v>0</v>
      </c>
      <c r="AI142" s="872" t="e">
        <f>#REF!</f>
        <v>#REF!</v>
      </c>
      <c r="AJ142" s="874"/>
      <c r="AK142" s="861"/>
      <c r="AL142" s="861"/>
      <c r="AM142" s="861"/>
      <c r="AN142" s="861"/>
      <c r="AO142" s="861"/>
      <c r="AP142" s="890"/>
      <c r="AQ142" s="828"/>
      <c r="AR142" s="828"/>
      <c r="AS142" s="828"/>
      <c r="AT142" s="828"/>
      <c r="AU142" s="828"/>
      <c r="AV142" s="828"/>
      <c r="AW142" s="828"/>
      <c r="AX142" s="828"/>
      <c r="AY142" s="828"/>
      <c r="BI142" s="828"/>
      <c r="BJ142" s="828"/>
      <c r="BK142" s="877"/>
      <c r="BL142" s="877"/>
      <c r="BM142" s="860">
        <f t="shared" si="69"/>
        <v>0</v>
      </c>
      <c r="BN142" s="860">
        <f t="shared" si="69"/>
        <v>4857479.9999999776</v>
      </c>
      <c r="BO142" s="861">
        <v>0</v>
      </c>
      <c r="BP142" s="861">
        <v>1370000</v>
      </c>
      <c r="BQ142" s="861">
        <f t="shared" si="66"/>
        <v>0</v>
      </c>
      <c r="BR142" s="828"/>
      <c r="BS142" s="828"/>
      <c r="BT142" s="828"/>
      <c r="BU142" s="828"/>
      <c r="BV142" s="828"/>
      <c r="BW142" s="828"/>
      <c r="BX142" s="828"/>
      <c r="BY142" s="828"/>
      <c r="BZ142" s="828"/>
      <c r="CA142" s="828"/>
      <c r="CB142" s="828"/>
      <c r="CC142" s="828"/>
      <c r="CD142" s="843">
        <v>12</v>
      </c>
      <c r="CE142" s="1220" t="s">
        <v>455</v>
      </c>
      <c r="CF142" s="2358"/>
      <c r="CG142" s="861">
        <v>33</v>
      </c>
      <c r="CH142" s="855" t="s">
        <v>326</v>
      </c>
      <c r="CI142" s="1221" t="s">
        <v>454</v>
      </c>
      <c r="CJ142" s="855" t="s">
        <v>453</v>
      </c>
      <c r="CK142" s="932" t="s">
        <v>324</v>
      </c>
      <c r="CL142" s="137">
        <v>180000</v>
      </c>
      <c r="CM142" s="1175">
        <v>3400.9259999999999</v>
      </c>
      <c r="CN142" s="1175">
        <f>K142</f>
        <v>5528.1049999999996</v>
      </c>
      <c r="CO142" s="861">
        <f t="shared" si="67"/>
        <v>2127.1789999999996</v>
      </c>
      <c r="CP142" s="861"/>
      <c r="CQ142" s="1260">
        <f>CO142*CL142</f>
        <v>382892219.99999994</v>
      </c>
      <c r="CR142" s="1175">
        <f t="shared" si="68"/>
        <v>2524.674</v>
      </c>
      <c r="CS142" s="1175">
        <f t="shared" si="68"/>
        <v>2536.7950000000001</v>
      </c>
      <c r="CT142" s="861">
        <f>CS142-CR142</f>
        <v>12.121000000000095</v>
      </c>
      <c r="CU142" s="861"/>
      <c r="CV142" s="861">
        <f>CT142*CL142</f>
        <v>2181780.0000000172</v>
      </c>
      <c r="CW142" s="878">
        <f>IF(CT142&lt;0.00001,"0",COS(ATAN(CT142/CO142)))</f>
        <v>0.99998376589848581</v>
      </c>
      <c r="CX142" s="879"/>
    </row>
    <row r="143" spans="1:102" ht="14" x14ac:dyDescent="0.25">
      <c r="A143" s="861">
        <v>10</v>
      </c>
      <c r="B143" s="1220" t="s">
        <v>452</v>
      </c>
      <c r="C143" s="2358"/>
      <c r="D143" s="861">
        <v>33</v>
      </c>
      <c r="E143" s="855" t="s">
        <v>326</v>
      </c>
      <c r="F143" s="1221">
        <v>8993831</v>
      </c>
      <c r="G143" s="855"/>
      <c r="H143" s="932"/>
      <c r="I143" s="137">
        <v>180000</v>
      </c>
      <c r="J143" s="1175">
        <v>6330.4260000000004</v>
      </c>
      <c r="K143" s="1175">
        <v>6348.3220000000001</v>
      </c>
      <c r="L143" s="861">
        <f t="shared" si="60"/>
        <v>17.895999999999731</v>
      </c>
      <c r="M143" s="1265"/>
      <c r="N143" s="1085">
        <f t="shared" si="61"/>
        <v>3221279.9999999516</v>
      </c>
      <c r="O143" s="1266"/>
      <c r="P143" s="1252"/>
      <c r="Q143" s="1175">
        <v>3112.7150000000001</v>
      </c>
      <c r="R143" s="1175">
        <v>3119.7950000000001</v>
      </c>
      <c r="S143" s="861">
        <f t="shared" si="62"/>
        <v>7.0799999999999272</v>
      </c>
      <c r="T143" s="861"/>
      <c r="U143" s="861">
        <f t="shared" si="63"/>
        <v>1274399.999999987</v>
      </c>
      <c r="V143" s="122">
        <f t="shared" si="64"/>
        <v>3221279.9999999516</v>
      </c>
      <c r="W143" s="868">
        <f t="shared" si="65"/>
        <v>1274399.999999987</v>
      </c>
      <c r="X143" s="870">
        <f>IF(W143&lt;0.00001,"0",COS(ATAN(W143/V143)))</f>
        <v>0.92987475918444218</v>
      </c>
      <c r="Y143" s="1179">
        <f t="shared" si="70"/>
        <v>0</v>
      </c>
      <c r="Z143" s="871">
        <f t="shared" si="52"/>
        <v>0</v>
      </c>
      <c r="AA143" s="121">
        <f t="shared" si="50"/>
        <v>0</v>
      </c>
      <c r="AB143" s="890"/>
      <c r="AC143" s="861">
        <v>0</v>
      </c>
      <c r="AD143" s="828"/>
      <c r="AE143" s="837"/>
      <c r="AF143" s="1227"/>
      <c r="AG143" s="892"/>
      <c r="AH143" s="872"/>
      <c r="AI143" s="872"/>
      <c r="AJ143" s="874"/>
      <c r="AK143" s="861"/>
      <c r="AL143" s="861"/>
      <c r="AM143" s="861"/>
      <c r="AN143" s="861"/>
      <c r="AO143" s="861"/>
      <c r="AP143" s="890"/>
      <c r="AQ143" s="828"/>
      <c r="AR143" s="828"/>
      <c r="AS143" s="828"/>
      <c r="AT143" s="828"/>
      <c r="AU143" s="828"/>
      <c r="AV143" s="828"/>
      <c r="AW143" s="828"/>
      <c r="AX143" s="828"/>
      <c r="AY143" s="828"/>
      <c r="BI143" s="828"/>
      <c r="BJ143" s="828"/>
      <c r="BK143" s="877"/>
      <c r="BL143" s="877"/>
      <c r="BM143" s="860"/>
      <c r="BN143" s="860"/>
      <c r="BO143" s="861"/>
      <c r="BP143" s="861"/>
      <c r="BQ143" s="861"/>
      <c r="BR143" s="828"/>
      <c r="BS143" s="828"/>
      <c r="BT143" s="828"/>
      <c r="BU143" s="828"/>
      <c r="BV143" s="828"/>
      <c r="BW143" s="828"/>
      <c r="BX143" s="828"/>
      <c r="BY143" s="828"/>
      <c r="BZ143" s="828"/>
      <c r="CA143" s="828"/>
      <c r="CB143" s="828"/>
      <c r="CC143" s="828"/>
      <c r="CD143" s="843"/>
      <c r="CE143" s="1220"/>
      <c r="CF143" s="2358"/>
      <c r="CG143" s="861"/>
      <c r="CH143" s="855"/>
      <c r="CI143" s="1221"/>
      <c r="CJ143" s="855"/>
      <c r="CK143" s="932"/>
      <c r="CL143" s="137"/>
      <c r="CM143" s="1175"/>
      <c r="CN143" s="1175"/>
      <c r="CO143" s="861"/>
      <c r="CP143" s="861"/>
      <c r="CQ143" s="1260"/>
      <c r="CR143" s="1175"/>
      <c r="CS143" s="1175"/>
      <c r="CT143" s="861"/>
      <c r="CU143" s="861"/>
      <c r="CV143" s="861"/>
      <c r="CW143" s="878"/>
      <c r="CX143" s="879"/>
    </row>
    <row r="144" spans="1:102" ht="24" customHeight="1" x14ac:dyDescent="0.25">
      <c r="A144" s="861">
        <v>11</v>
      </c>
      <c r="B144" s="1220" t="s">
        <v>451</v>
      </c>
      <c r="C144" s="2358"/>
      <c r="D144" s="861">
        <v>33</v>
      </c>
      <c r="E144" s="855" t="s">
        <v>326</v>
      </c>
      <c r="F144" s="1221">
        <v>8993839</v>
      </c>
      <c r="G144" s="855"/>
      <c r="H144" s="932"/>
      <c r="I144" s="137">
        <v>180000</v>
      </c>
      <c r="J144" s="1175">
        <v>8374.86</v>
      </c>
      <c r="K144" s="1175">
        <v>8409.99</v>
      </c>
      <c r="L144" s="861">
        <f t="shared" si="60"/>
        <v>35.1299999999992</v>
      </c>
      <c r="M144" s="1265"/>
      <c r="N144" s="1085">
        <f>L144*I144</f>
        <v>6323399.9999998556</v>
      </c>
      <c r="O144" s="1266"/>
      <c r="P144" s="861"/>
      <c r="Q144" s="1175">
        <v>3928.7510000000002</v>
      </c>
      <c r="R144" s="1175">
        <v>3940.4679999999998</v>
      </c>
      <c r="S144" s="861">
        <f t="shared" si="62"/>
        <v>11.716999999999643</v>
      </c>
      <c r="T144" s="861"/>
      <c r="U144" s="861">
        <f t="shared" si="63"/>
        <v>2109059.9999999357</v>
      </c>
      <c r="V144" s="122">
        <f t="shared" si="64"/>
        <v>6323399.9999998556</v>
      </c>
      <c r="W144" s="868">
        <f t="shared" si="65"/>
        <v>2109059.9999999357</v>
      </c>
      <c r="X144" s="870">
        <f>IF(W144&lt;0.00001,"0",COS(ATAN(W144/V144)))</f>
        <v>0.94862657582853738</v>
      </c>
      <c r="Y144" s="1179">
        <f t="shared" si="70"/>
        <v>0</v>
      </c>
      <c r="Z144" s="871">
        <f t="shared" si="52"/>
        <v>0</v>
      </c>
      <c r="AA144" s="121">
        <f t="shared" si="50"/>
        <v>0</v>
      </c>
      <c r="AB144" s="890"/>
      <c r="AC144" s="861">
        <v>0</v>
      </c>
      <c r="AD144" s="828"/>
      <c r="AE144" s="837"/>
      <c r="AF144" s="1227"/>
      <c r="AG144" s="892"/>
      <c r="AH144" s="872"/>
      <c r="AI144" s="872"/>
      <c r="AJ144" s="874"/>
      <c r="AK144" s="861"/>
      <c r="AL144" s="861"/>
      <c r="AM144" s="861"/>
      <c r="AN144" s="861"/>
      <c r="AO144" s="861"/>
      <c r="AP144" s="890"/>
      <c r="AQ144" s="828"/>
      <c r="AR144" s="828"/>
      <c r="AS144" s="828"/>
      <c r="AT144" s="828"/>
      <c r="AU144" s="828"/>
      <c r="AV144" s="828"/>
      <c r="AW144" s="828"/>
      <c r="AX144" s="828"/>
      <c r="AY144" s="828"/>
      <c r="BI144" s="828"/>
      <c r="BJ144" s="828"/>
      <c r="BK144" s="877"/>
      <c r="BL144" s="877"/>
      <c r="BM144" s="860"/>
      <c r="BN144" s="860"/>
      <c r="BO144" s="861"/>
      <c r="BP144" s="861"/>
      <c r="BQ144" s="861"/>
      <c r="BR144" s="828"/>
      <c r="BS144" s="828"/>
      <c r="BT144" s="828"/>
      <c r="BU144" s="828"/>
      <c r="BV144" s="828"/>
      <c r="BW144" s="828"/>
      <c r="BX144" s="828"/>
      <c r="BY144" s="828"/>
      <c r="BZ144" s="828"/>
      <c r="CA144" s="828"/>
      <c r="CB144" s="828"/>
      <c r="CC144" s="828"/>
      <c r="CD144" s="843"/>
      <c r="CE144" s="1220"/>
      <c r="CF144" s="2358"/>
      <c r="CG144" s="861"/>
      <c r="CH144" s="855"/>
      <c r="CI144" s="1221"/>
      <c r="CJ144" s="855"/>
      <c r="CK144" s="932"/>
      <c r="CL144" s="137"/>
      <c r="CM144" s="1175"/>
      <c r="CN144" s="1175"/>
      <c r="CO144" s="861"/>
      <c r="CP144" s="861"/>
      <c r="CQ144" s="1260"/>
      <c r="CR144" s="1175"/>
      <c r="CS144" s="1175"/>
      <c r="CT144" s="861"/>
      <c r="CU144" s="861"/>
      <c r="CV144" s="861"/>
      <c r="CW144" s="878"/>
      <c r="CX144" s="879"/>
    </row>
    <row r="145" spans="1:102" ht="18" customHeight="1" x14ac:dyDescent="0.25">
      <c r="A145" s="861">
        <v>12</v>
      </c>
      <c r="B145" s="1220" t="s">
        <v>450</v>
      </c>
      <c r="C145" s="2358"/>
      <c r="D145" s="861">
        <v>33</v>
      </c>
      <c r="E145" s="855" t="s">
        <v>326</v>
      </c>
      <c r="F145" s="1221">
        <v>38992611</v>
      </c>
      <c r="G145" s="855"/>
      <c r="H145" s="932"/>
      <c r="I145" s="137">
        <v>180000</v>
      </c>
      <c r="J145" s="1175">
        <v>1.583</v>
      </c>
      <c r="K145" s="1175">
        <v>7.4660000000000002</v>
      </c>
      <c r="L145" s="861">
        <f t="shared" si="60"/>
        <v>5.883</v>
      </c>
      <c r="M145" s="1265"/>
      <c r="N145" s="1085">
        <f>L145*I145+P145</f>
        <v>1058940</v>
      </c>
      <c r="O145" s="1266"/>
      <c r="P145" s="861"/>
      <c r="Q145" s="1175">
        <v>0.218</v>
      </c>
      <c r="R145" s="1175">
        <v>0.70499999999999996</v>
      </c>
      <c r="S145" s="861">
        <f t="shared" si="62"/>
        <v>0.48699999999999999</v>
      </c>
      <c r="T145" s="861"/>
      <c r="U145" s="1028">
        <f>S145*I145+AB145</f>
        <v>87660</v>
      </c>
      <c r="V145" s="122">
        <f t="shared" si="64"/>
        <v>1058940</v>
      </c>
      <c r="W145" s="868">
        <f t="shared" si="65"/>
        <v>87660</v>
      </c>
      <c r="X145" s="870">
        <f>IF(W145&lt;0.00001,"0",COS(ATAN(W145/V145)))</f>
        <v>0.99659117151422294</v>
      </c>
      <c r="Y145" s="1179">
        <f t="shared" si="70"/>
        <v>0</v>
      </c>
      <c r="Z145" s="871">
        <f t="shared" si="52"/>
        <v>0</v>
      </c>
      <c r="AA145" s="121">
        <f t="shared" si="50"/>
        <v>0</v>
      </c>
      <c r="AB145" s="890"/>
      <c r="AC145" s="861" t="s">
        <v>1409</v>
      </c>
      <c r="AD145" s="828"/>
      <c r="AE145" s="837"/>
      <c r="AF145" s="1227"/>
      <c r="AG145" s="892"/>
      <c r="AH145" s="872"/>
      <c r="AI145" s="872"/>
      <c r="AJ145" s="874"/>
      <c r="AK145" s="861"/>
      <c r="AL145" s="861"/>
      <c r="AM145" s="861"/>
      <c r="AN145" s="861"/>
      <c r="AO145" s="861"/>
      <c r="AP145" s="890"/>
      <c r="AQ145" s="828"/>
      <c r="AR145" s="828"/>
      <c r="AS145" s="828"/>
      <c r="AT145" s="828"/>
      <c r="AU145" s="828"/>
      <c r="AV145" s="828"/>
      <c r="AW145" s="828"/>
      <c r="AX145" s="828"/>
      <c r="AY145" s="828"/>
      <c r="BI145" s="828"/>
      <c r="BJ145" s="828"/>
      <c r="BK145" s="877"/>
      <c r="BL145" s="877"/>
      <c r="BM145" s="860"/>
      <c r="BN145" s="860"/>
      <c r="BO145" s="861"/>
      <c r="BP145" s="861"/>
      <c r="BQ145" s="861"/>
      <c r="BR145" s="828"/>
      <c r="BS145" s="828"/>
      <c r="BT145" s="828"/>
      <c r="BU145" s="828"/>
      <c r="BV145" s="828"/>
      <c r="BW145" s="828"/>
      <c r="BX145" s="828"/>
      <c r="BY145" s="828"/>
      <c r="BZ145" s="828"/>
      <c r="CA145" s="828"/>
      <c r="CB145" s="828"/>
      <c r="CC145" s="828"/>
      <c r="CD145" s="843"/>
      <c r="CE145" s="1220"/>
      <c r="CF145" s="2358"/>
      <c r="CG145" s="861"/>
      <c r="CH145" s="855"/>
      <c r="CI145" s="1221"/>
      <c r="CJ145" s="855"/>
      <c r="CK145" s="932"/>
      <c r="CL145" s="137"/>
      <c r="CM145" s="1175"/>
      <c r="CN145" s="1175"/>
      <c r="CO145" s="861"/>
      <c r="CP145" s="861"/>
      <c r="CQ145" s="1260"/>
      <c r="CR145" s="1175"/>
      <c r="CS145" s="1175"/>
      <c r="CT145" s="861"/>
      <c r="CU145" s="861"/>
      <c r="CV145" s="861"/>
      <c r="CW145" s="878"/>
      <c r="CX145" s="879"/>
    </row>
    <row r="146" spans="1:102" ht="14.25" customHeight="1" x14ac:dyDescent="0.25">
      <c r="A146" s="861"/>
      <c r="B146" s="1220" t="s">
        <v>449</v>
      </c>
      <c r="C146" s="2358"/>
      <c r="D146" s="861"/>
      <c r="E146" s="855"/>
      <c r="F146" s="1221"/>
      <c r="G146" s="855"/>
      <c r="H146" s="932"/>
      <c r="I146" s="137"/>
      <c r="J146" s="1175"/>
      <c r="K146" s="1175"/>
      <c r="L146" s="861"/>
      <c r="M146" s="1027">
        <v>4981738</v>
      </c>
      <c r="N146" s="1085"/>
      <c r="O146" s="869"/>
      <c r="P146" s="861"/>
      <c r="Q146" s="1175"/>
      <c r="R146" s="1175"/>
      <c r="S146" s="861"/>
      <c r="T146" s="1267">
        <v>538084</v>
      </c>
      <c r="U146" s="861"/>
      <c r="V146" s="122">
        <f>-M146</f>
        <v>-4981738</v>
      </c>
      <c r="W146" s="868">
        <f>-T146</f>
        <v>-538084</v>
      </c>
      <c r="X146" s="870" t="str">
        <f>IF(W146&lt;0.00001,"0",COS(ATAN(W146/V146)))</f>
        <v>0</v>
      </c>
      <c r="Y146" s="1179">
        <f t="shared" si="70"/>
        <v>0</v>
      </c>
      <c r="Z146" s="871">
        <f t="shared" si="52"/>
        <v>0</v>
      </c>
      <c r="AA146" s="121">
        <f t="shared" si="50"/>
        <v>0</v>
      </c>
      <c r="AB146" s="890"/>
      <c r="AC146" s="861">
        <v>0</v>
      </c>
      <c r="AD146" s="828"/>
      <c r="AE146" s="837"/>
      <c r="AF146" s="1227"/>
      <c r="AG146" s="892"/>
      <c r="AH146" s="872"/>
      <c r="AI146" s="872"/>
      <c r="AJ146" s="874"/>
      <c r="AK146" s="861"/>
      <c r="AL146" s="861"/>
      <c r="AM146" s="861"/>
      <c r="AN146" s="861"/>
      <c r="AO146" s="861"/>
      <c r="AP146" s="890"/>
      <c r="AQ146" s="828"/>
      <c r="AR146" s="828"/>
      <c r="AS146" s="828"/>
      <c r="AT146" s="828"/>
      <c r="AU146" s="828"/>
      <c r="AV146" s="828"/>
      <c r="AW146" s="828"/>
      <c r="AX146" s="828"/>
      <c r="AY146" s="828"/>
      <c r="BI146" s="828"/>
      <c r="BJ146" s="828"/>
      <c r="BK146" s="877"/>
      <c r="BL146" s="877"/>
      <c r="BM146" s="860"/>
      <c r="BN146" s="860"/>
      <c r="BO146" s="861"/>
      <c r="BP146" s="861"/>
      <c r="BQ146" s="861"/>
      <c r="BR146" s="828"/>
      <c r="BS146" s="828"/>
      <c r="BT146" s="828"/>
      <c r="BU146" s="828"/>
      <c r="BV146" s="828"/>
      <c r="BW146" s="828"/>
      <c r="BX146" s="828"/>
      <c r="BY146" s="828"/>
      <c r="BZ146" s="828"/>
      <c r="CA146" s="828"/>
      <c r="CB146" s="828"/>
      <c r="CC146" s="828"/>
      <c r="CD146" s="843"/>
      <c r="CE146" s="1220"/>
      <c r="CF146" s="2358"/>
      <c r="CG146" s="861"/>
      <c r="CH146" s="855"/>
      <c r="CI146" s="1221"/>
      <c r="CJ146" s="855"/>
      <c r="CK146" s="932"/>
      <c r="CL146" s="137"/>
      <c r="CM146" s="1175"/>
      <c r="CN146" s="1175"/>
      <c r="CO146" s="861"/>
      <c r="CP146" s="861"/>
      <c r="CQ146" s="1260"/>
      <c r="CR146" s="1175"/>
      <c r="CS146" s="1175"/>
      <c r="CT146" s="861"/>
      <c r="CU146" s="861"/>
      <c r="CV146" s="861"/>
      <c r="CW146" s="878"/>
      <c r="CX146" s="879"/>
    </row>
    <row r="147" spans="1:102" ht="18" x14ac:dyDescent="0.25">
      <c r="A147" s="861">
        <v>13</v>
      </c>
      <c r="B147" s="931" t="s">
        <v>448</v>
      </c>
      <c r="C147" s="2357"/>
      <c r="D147" s="861">
        <v>33</v>
      </c>
      <c r="E147" s="855" t="s">
        <v>326</v>
      </c>
      <c r="F147" s="1221" t="s">
        <v>447</v>
      </c>
      <c r="G147" s="855" t="s">
        <v>446</v>
      </c>
      <c r="H147" s="1005">
        <v>1</v>
      </c>
      <c r="I147" s="137">
        <v>180000</v>
      </c>
      <c r="J147" s="1175">
        <v>5385.2209999999995</v>
      </c>
      <c r="K147" s="1175">
        <v>5385.2209999999995</v>
      </c>
      <c r="L147" s="1175">
        <f>K147-J147</f>
        <v>0</v>
      </c>
      <c r="M147" s="1175"/>
      <c r="N147" s="1251">
        <f>L147*I147*H147</f>
        <v>0</v>
      </c>
      <c r="O147" s="1259"/>
      <c r="P147" s="1175"/>
      <c r="Q147" s="1175">
        <v>2659.2249999999999</v>
      </c>
      <c r="R147" s="1175">
        <v>2659.2249999999999</v>
      </c>
      <c r="S147" s="1268">
        <f>R147-Q147</f>
        <v>0</v>
      </c>
      <c r="T147" s="861"/>
      <c r="U147" s="861">
        <f>S147*I147*H147</f>
        <v>0</v>
      </c>
      <c r="V147" s="122">
        <f>N147</f>
        <v>0</v>
      </c>
      <c r="W147" s="868">
        <f>U147</f>
        <v>0</v>
      </c>
      <c r="X147" s="870" t="str">
        <f>IF(OR(N147=0,W147&lt;0.00001),"0",COS(ATAN(W147/V147)))</f>
        <v>0</v>
      </c>
      <c r="Y147" s="871">
        <f t="shared" si="70"/>
        <v>0</v>
      </c>
      <c r="Z147" s="871">
        <f t="shared" si="52"/>
        <v>0</v>
      </c>
      <c r="AA147" s="121">
        <f t="shared" si="50"/>
        <v>0</v>
      </c>
      <c r="AB147" s="890"/>
      <c r="AC147" s="861">
        <v>0</v>
      </c>
      <c r="AD147" s="828"/>
      <c r="AE147" s="837"/>
      <c r="AF147" s="1227" t="s">
        <v>448</v>
      </c>
      <c r="AG147" s="892" t="str">
        <f>X147</f>
        <v>0</v>
      </c>
      <c r="AH147" s="872">
        <f>Y147</f>
        <v>0</v>
      </c>
      <c r="AI147" s="872" t="e">
        <f>#REF!</f>
        <v>#REF!</v>
      </c>
      <c r="AJ147" s="874" t="e">
        <f>AI147*5.928</f>
        <v>#REF!</v>
      </c>
      <c r="AK147" s="861"/>
      <c r="AL147" s="861"/>
      <c r="AM147" s="861"/>
      <c r="AN147" s="861"/>
      <c r="AO147" s="890" t="e">
        <f>AM147-AI147</f>
        <v>#REF!</v>
      </c>
      <c r="AP147" s="890" t="e">
        <f>AN147-AJ147</f>
        <v>#REF!</v>
      </c>
      <c r="AQ147" s="828"/>
      <c r="AR147" s="828"/>
      <c r="AS147" s="828"/>
      <c r="AT147" s="828"/>
      <c r="AU147" s="828"/>
      <c r="AV147" s="828"/>
      <c r="AW147" s="828"/>
      <c r="AX147" s="828"/>
      <c r="AY147" s="828"/>
      <c r="BI147" s="828"/>
      <c r="BJ147" s="828"/>
      <c r="BK147" s="877"/>
      <c r="BL147" s="877">
        <f>SUM(BL116:BL142)</f>
        <v>137051</v>
      </c>
      <c r="BM147" s="860">
        <f>O147</f>
        <v>0</v>
      </c>
      <c r="BN147" s="860">
        <f>N147</f>
        <v>0</v>
      </c>
      <c r="BO147" s="861">
        <v>0</v>
      </c>
      <c r="BP147" s="861">
        <v>10341000</v>
      </c>
      <c r="BQ147" s="861">
        <f t="shared" si="66"/>
        <v>0</v>
      </c>
      <c r="BR147" s="828"/>
      <c r="BS147" s="828"/>
      <c r="BT147" s="828"/>
      <c r="BU147" s="828"/>
      <c r="BV147" s="828"/>
      <c r="BW147" s="828"/>
      <c r="BX147" s="828"/>
      <c r="BY147" s="828"/>
      <c r="BZ147" s="828"/>
      <c r="CA147" s="828"/>
      <c r="CB147" s="828"/>
      <c r="CC147" s="828"/>
      <c r="CD147" s="843">
        <v>13</v>
      </c>
      <c r="CE147" s="1220" t="s">
        <v>448</v>
      </c>
      <c r="CF147" s="2357"/>
      <c r="CG147" s="861">
        <v>33</v>
      </c>
      <c r="CH147" s="855" t="s">
        <v>326</v>
      </c>
      <c r="CI147" s="1221" t="s">
        <v>447</v>
      </c>
      <c r="CJ147" s="855" t="s">
        <v>446</v>
      </c>
      <c r="CK147" s="1005">
        <v>1</v>
      </c>
      <c r="CL147" s="137">
        <v>180000</v>
      </c>
      <c r="CM147" s="1175">
        <v>4091.9050000000002</v>
      </c>
      <c r="CN147" s="1175">
        <f>K147</f>
        <v>5385.2209999999995</v>
      </c>
      <c r="CO147" s="861">
        <f t="shared" si="67"/>
        <v>1293.3159999999993</v>
      </c>
      <c r="CP147" s="861"/>
      <c r="CQ147" s="1260">
        <f>CO147*CL147*CK147</f>
        <v>232796879.99999988</v>
      </c>
      <c r="CR147" s="1175">
        <f t="shared" si="68"/>
        <v>2659.2249999999999</v>
      </c>
      <c r="CS147" s="1175">
        <f t="shared" si="68"/>
        <v>2659.2249999999999</v>
      </c>
      <c r="CT147" s="861">
        <f>CS147-CR147</f>
        <v>0</v>
      </c>
      <c r="CU147" s="861"/>
      <c r="CV147" s="1028">
        <f>CT147*CL147*CK147</f>
        <v>0</v>
      </c>
      <c r="CW147" s="878" t="str">
        <f>IF(CT147&lt;0.00001,"0",COS(ATAN(CT147/CO147)))</f>
        <v>0</v>
      </c>
      <c r="CX147" s="879"/>
    </row>
    <row r="148" spans="1:102" ht="14.25" customHeight="1" x14ac:dyDescent="0.25">
      <c r="A148" s="2353" t="s">
        <v>445</v>
      </c>
      <c r="B148" s="2354"/>
      <c r="C148" s="2354"/>
      <c r="D148" s="2354"/>
      <c r="E148" s="2354"/>
      <c r="F148" s="2355"/>
      <c r="G148" s="853"/>
      <c r="H148" s="854"/>
      <c r="I148" s="855"/>
      <c r="J148" s="1175"/>
      <c r="K148" s="1175"/>
      <c r="L148" s="843" t="s">
        <v>323</v>
      </c>
      <c r="N148" s="1269">
        <f>SUM(N138:N147)</f>
        <v>16361459.999999732</v>
      </c>
      <c r="O148" s="1270"/>
      <c r="P148" s="991"/>
      <c r="Q148" s="1175"/>
      <c r="R148" s="1175"/>
      <c r="S148" s="1271"/>
      <c r="T148" s="843"/>
      <c r="U148" s="1272">
        <f>U147+U142+U141+U140+U138+U143+U144+U145</f>
        <v>5789159.9999999516</v>
      </c>
      <c r="V148" s="136"/>
      <c r="W148" s="1273"/>
      <c r="X148" s="1274"/>
      <c r="Y148" s="1021"/>
      <c r="Z148" s="871">
        <f t="shared" si="52"/>
        <v>0</v>
      </c>
      <c r="AA148" s="121">
        <f t="shared" si="50"/>
        <v>0</v>
      </c>
      <c r="AB148" s="991"/>
      <c r="AC148" s="954">
        <f>SUM(AC139:AC147)</f>
        <v>0</v>
      </c>
      <c r="AD148" s="828"/>
      <c r="AE148" s="837"/>
      <c r="AF148" s="872"/>
      <c r="AG148" s="872"/>
      <c r="AH148" s="872"/>
      <c r="AI148" s="872"/>
      <c r="AJ148" s="874"/>
      <c r="AK148" s="861"/>
      <c r="AL148" s="861"/>
      <c r="AM148" s="861"/>
      <c r="AN148" s="861"/>
      <c r="AO148" s="861"/>
      <c r="AP148" s="890"/>
      <c r="AQ148" s="828"/>
      <c r="AR148" s="828"/>
      <c r="AS148" s="828"/>
      <c r="AT148" s="828"/>
      <c r="AU148" s="828"/>
      <c r="AV148" s="828"/>
      <c r="AW148" s="828"/>
      <c r="AX148" s="828"/>
      <c r="AY148" s="828"/>
      <c r="BI148" s="828"/>
      <c r="BJ148" s="828"/>
      <c r="BK148" s="877"/>
      <c r="BL148" s="877"/>
      <c r="BM148" s="1249">
        <f>SUM(BM109:BM147)</f>
        <v>2000</v>
      </c>
      <c r="BN148" s="860" t="e">
        <f>SUM(BN109:BN147)</f>
        <v>#REF!</v>
      </c>
      <c r="BO148" s="861">
        <f>SUM(BO109:BO147)</f>
        <v>0</v>
      </c>
      <c r="BP148" s="861">
        <f>SUM(BP109:BP147)</f>
        <v>42721968</v>
      </c>
      <c r="BQ148" s="861"/>
      <c r="BR148" s="828"/>
      <c r="BS148" s="828"/>
      <c r="BT148" s="828"/>
      <c r="BU148" s="828"/>
      <c r="BV148" s="828"/>
      <c r="BW148" s="828"/>
      <c r="BX148" s="828"/>
      <c r="BY148" s="828"/>
      <c r="BZ148" s="828"/>
      <c r="CA148" s="828"/>
      <c r="CB148" s="828"/>
      <c r="CC148" s="828"/>
      <c r="CD148" s="2353" t="s">
        <v>445</v>
      </c>
      <c r="CE148" s="2354"/>
      <c r="CF148" s="2354"/>
      <c r="CG148" s="2354"/>
      <c r="CH148" s="2354"/>
      <c r="CI148" s="2355"/>
      <c r="CJ148" s="853"/>
      <c r="CK148" s="854"/>
      <c r="CL148" s="855"/>
      <c r="CM148" s="1175"/>
      <c r="CN148" s="1175"/>
      <c r="CO148" s="843" t="s">
        <v>323</v>
      </c>
      <c r="CQ148" s="1275">
        <f>SUM(CQ138:CQ147)</f>
        <v>657824939.99999976</v>
      </c>
      <c r="CR148" s="1175"/>
      <c r="CS148" s="1175"/>
      <c r="CT148" s="1271"/>
      <c r="CU148" s="843"/>
      <c r="CV148" s="843">
        <f>CV147+CV142+CV141+CV140+CV138</f>
        <v>2318040.0000000284</v>
      </c>
      <c r="CW148" s="1276"/>
      <c r="CX148" s="879"/>
    </row>
    <row r="149" spans="1:102" ht="14.25" customHeight="1" x14ac:dyDescent="0.25">
      <c r="A149" s="861">
        <v>14</v>
      </c>
      <c r="B149" s="931" t="s">
        <v>444</v>
      </c>
      <c r="C149" s="2356" t="s">
        <v>443</v>
      </c>
      <c r="D149" s="861">
        <v>33</v>
      </c>
      <c r="E149" s="855" t="s">
        <v>326</v>
      </c>
      <c r="F149" s="855" t="s">
        <v>442</v>
      </c>
      <c r="G149" s="853"/>
      <c r="H149" s="854">
        <v>1</v>
      </c>
      <c r="I149" s="855">
        <v>750000</v>
      </c>
      <c r="J149" s="1175">
        <v>2872.366</v>
      </c>
      <c r="K149" s="1175">
        <v>2897.1030000000001</v>
      </c>
      <c r="L149" s="878">
        <f>K149-J149</f>
        <v>24.73700000000008</v>
      </c>
      <c r="M149" s="977"/>
      <c r="N149" s="1038">
        <f>L149*I149+M149</f>
        <v>18552750.00000006</v>
      </c>
      <c r="O149" s="1270"/>
      <c r="P149" s="1271"/>
      <c r="Q149" s="1175">
        <v>1457.4649999999999</v>
      </c>
      <c r="R149" s="1175">
        <v>1470.492</v>
      </c>
      <c r="S149" s="878">
        <f>R149-Q149</f>
        <v>13.027000000000044</v>
      </c>
      <c r="T149" s="861" t="s">
        <v>237</v>
      </c>
      <c r="U149" s="1028">
        <f>S149*I149*H149</f>
        <v>9770250.0000000335</v>
      </c>
      <c r="V149" s="122">
        <f>N149</f>
        <v>18552750.00000006</v>
      </c>
      <c r="W149" s="868">
        <f>U149</f>
        <v>9770250.0000000335</v>
      </c>
      <c r="X149" s="870">
        <f>IF(W149&lt;0.00001,"0",COS(ATAN(W149/V149)))</f>
        <v>0.88480724485860496</v>
      </c>
      <c r="Y149" s="871">
        <f>IF(AND(X149&gt;=0.885,X149&lt;0.9),1*0.005,IF(AND(X149&gt;=0.875,X149&lt;0.89),1*0.01,IF(AND(X149&gt;=0.865,X149&lt;0.88),1*0.02,IF(AND(X149&gt;=0.855,X149&lt;0.87),1*0.03,IF(AND(X149&gt;=0.845,X149&lt;0.86),1*0.04,IF(AND(X149&gt;=0.835,X149&lt;0.85),1*0.05,IF(AND(X149&gt;=0.825,X149&lt;0.84),1*0.06,IF(AND(X149&gt;=0.815,X149&lt;0.83),1*0.07,IF(AND(X149&gt;=0.805,X149&lt;0.82),1*0.08,IF(AND(X149&gt;=0.795,X149&lt;0.81),1*0.09,IF(AND(X149&gt;=0.785,X149&lt;0.8),1*0.105,IF(AND(X149&gt;=0.775,X149&lt;0.79),1*0.12,IF(AND(X149&gt;=0.765,X149&lt;0.78),1*0.135,IF(AND(X149&gt;=0.755,X149&lt;0.77),1*0.15,IF(AND(X149&gt;=0.745,X149&lt;0.76),1*0.165,0)))))))))))))))</f>
        <v>0.01</v>
      </c>
      <c r="Z149" s="889">
        <f t="shared" si="52"/>
        <v>185527.50000000061</v>
      </c>
      <c r="AA149" s="121">
        <f t="shared" si="50"/>
        <v>1197227.510250004</v>
      </c>
      <c r="AB149" s="1277"/>
      <c r="AC149" s="1278"/>
      <c r="AD149" s="828"/>
      <c r="AE149" s="837"/>
      <c r="AF149" s="872" t="s">
        <v>444</v>
      </c>
      <c r="AG149" s="892">
        <f>X149</f>
        <v>0.88480724485860496</v>
      </c>
      <c r="AH149" s="872">
        <f>Y149</f>
        <v>0.01</v>
      </c>
      <c r="AI149" s="872" t="e">
        <f>#REF!</f>
        <v>#REF!</v>
      </c>
      <c r="AJ149" s="874" t="e">
        <f>AI149*5.928</f>
        <v>#REF!</v>
      </c>
      <c r="AK149" s="861"/>
      <c r="AL149" s="861"/>
      <c r="AM149" s="861"/>
      <c r="AN149" s="861"/>
      <c r="AO149" s="890" t="e">
        <f>AM149-AI149</f>
        <v>#REF!</v>
      </c>
      <c r="AP149" s="890" t="e">
        <f>AN149-AJ149</f>
        <v>#REF!</v>
      </c>
      <c r="AQ149" s="828"/>
      <c r="AR149" s="828"/>
      <c r="AS149" s="828"/>
      <c r="AT149" s="828"/>
      <c r="AU149" s="828"/>
      <c r="AV149" s="828"/>
      <c r="AW149" s="828"/>
      <c r="AX149" s="828"/>
      <c r="AY149" s="828"/>
      <c r="BI149" s="828"/>
      <c r="BJ149" s="828"/>
      <c r="BK149" s="877"/>
      <c r="BL149" s="877"/>
      <c r="BM149" s="1249"/>
      <c r="BN149" s="860"/>
      <c r="BO149" s="861"/>
      <c r="BP149" s="861"/>
      <c r="BQ149" s="861"/>
      <c r="BR149" s="828"/>
      <c r="BS149" s="828"/>
      <c r="BT149" s="828"/>
      <c r="BU149" s="828"/>
      <c r="BV149" s="828"/>
      <c r="BW149" s="828"/>
      <c r="BX149" s="828"/>
      <c r="BY149" s="828"/>
      <c r="BZ149" s="828"/>
      <c r="CA149" s="828"/>
      <c r="CB149" s="828"/>
      <c r="CC149" s="828"/>
      <c r="CD149" s="843">
        <v>14</v>
      </c>
      <c r="CE149" s="931" t="s">
        <v>444</v>
      </c>
      <c r="CF149" s="2356" t="s">
        <v>443</v>
      </c>
      <c r="CG149" s="861">
        <v>33</v>
      </c>
      <c r="CH149" s="855" t="s">
        <v>326</v>
      </c>
      <c r="CI149" s="855" t="s">
        <v>442</v>
      </c>
      <c r="CJ149" s="853"/>
      <c r="CK149" s="854">
        <v>1</v>
      </c>
      <c r="CL149" s="855">
        <v>750000</v>
      </c>
      <c r="CM149" s="1175">
        <v>872.98599999999999</v>
      </c>
      <c r="CN149" s="1175">
        <f>K149</f>
        <v>2897.1030000000001</v>
      </c>
      <c r="CO149" s="878">
        <f>CN149-CM149</f>
        <v>2024.1170000000002</v>
      </c>
      <c r="CP149" s="975">
        <v>0</v>
      </c>
      <c r="CQ149" s="861">
        <f>CO149*CL149+CP149</f>
        <v>1518087750.0000002</v>
      </c>
      <c r="CR149" s="1176">
        <f>Q149</f>
        <v>1457.4649999999999</v>
      </c>
      <c r="CS149" s="1176">
        <f>R149</f>
        <v>1470.492</v>
      </c>
      <c r="CT149" s="878">
        <f>CS149-CR149</f>
        <v>13.027000000000044</v>
      </c>
      <c r="CU149" s="861"/>
      <c r="CV149" s="1028">
        <f>CT149*CL149*CK149</f>
        <v>9770250.0000000335</v>
      </c>
      <c r="CW149" s="878">
        <f t="shared" ref="CW149:CW154" si="71">IF(CV149&lt;0.00001,"0",COS(ATAN(CV149/CQ149)))</f>
        <v>0.99997929028537436</v>
      </c>
      <c r="CX149" s="879"/>
    </row>
    <row r="150" spans="1:102" ht="15" customHeight="1" x14ac:dyDescent="0.25">
      <c r="A150" s="861">
        <v>15</v>
      </c>
      <c r="B150" s="931" t="s">
        <v>441</v>
      </c>
      <c r="C150" s="2357"/>
      <c r="D150" s="861">
        <v>33</v>
      </c>
      <c r="E150" s="855" t="s">
        <v>326</v>
      </c>
      <c r="F150" s="855" t="s">
        <v>440</v>
      </c>
      <c r="G150" s="853"/>
      <c r="H150" s="854">
        <v>1</v>
      </c>
      <c r="I150" s="855">
        <v>750000</v>
      </c>
      <c r="J150" s="1175">
        <v>2508.335</v>
      </c>
      <c r="K150" s="1175">
        <v>2532.9459999999999</v>
      </c>
      <c r="L150" s="906">
        <f>K150-J150</f>
        <v>24.610999999999876</v>
      </c>
      <c r="M150" s="977"/>
      <c r="N150" s="1038">
        <f>L150*I150</f>
        <v>18458249.999999907</v>
      </c>
      <c r="O150" s="1270"/>
      <c r="P150" s="1271"/>
      <c r="Q150" s="1175">
        <v>1252.0540000000001</v>
      </c>
      <c r="R150" s="1175">
        <v>1265.058</v>
      </c>
      <c r="S150" s="878">
        <f>R150-Q150</f>
        <v>13.003999999999905</v>
      </c>
      <c r="T150" s="861"/>
      <c r="U150" s="1028">
        <f>S150*I150*H150</f>
        <v>9752999.9999999292</v>
      </c>
      <c r="V150" s="122">
        <f>N150</f>
        <v>18458249.999999907</v>
      </c>
      <c r="W150" s="868">
        <f>U150</f>
        <v>9752999.9999999292</v>
      </c>
      <c r="X150" s="870">
        <f>IF(W150&lt;0.00001,"0",COS(ATAN(W150/V150)))</f>
        <v>0.8841642659443717</v>
      </c>
      <c r="Y150" s="871">
        <f>IF(AND(X150&gt;=0.885,X150&lt;0.9),1*0.005,IF(AND(X150&gt;=0.875,X150&lt;0.89),1*0.01,IF(AND(X150&gt;=0.865,X150&lt;0.88),1*0.02,IF(AND(X150&gt;=0.855,X150&lt;0.87),1*0.03,IF(AND(X150&gt;=0.845,X150&lt;0.86),1*0.04,IF(AND(X150&gt;=0.835,X150&lt;0.85),1*0.05,IF(AND(X150&gt;=0.825,X150&lt;0.84),1*0.06,IF(AND(X150&gt;=0.815,X150&lt;0.83),1*0.07,IF(AND(X150&gt;=0.805,X150&lt;0.82),1*0.08,IF(AND(X150&gt;=0.795,X150&lt;0.81),1*0.09,IF(AND(X150&gt;=0.785,X150&lt;0.8),1*0.105,IF(AND(X150&gt;=0.775,X150&lt;0.79),1*0.12,IF(AND(X150&gt;=0.765,X150&lt;0.78),1*0.135,IF(AND(X150&gt;=0.755,X150&lt;0.77),1*0.15,IF(AND(X150&gt;=0.745,X150&lt;0.76),1*0.165,0)))))))))))))))</f>
        <v>0.01</v>
      </c>
      <c r="Z150" s="889">
        <f t="shared" si="52"/>
        <v>184582.49999999907</v>
      </c>
      <c r="AA150" s="121">
        <f t="shared" si="50"/>
        <v>1191129.3307499939</v>
      </c>
      <c r="AB150" s="890"/>
      <c r="AC150" s="890"/>
      <c r="AD150" s="898"/>
      <c r="AE150" s="837"/>
      <c r="AF150" s="872" t="s">
        <v>441</v>
      </c>
      <c r="AG150" s="892">
        <f>X150</f>
        <v>0.8841642659443717</v>
      </c>
      <c r="AH150" s="872">
        <f>Y150</f>
        <v>0.01</v>
      </c>
      <c r="AI150" s="872" t="e">
        <f>#REF!</f>
        <v>#REF!</v>
      </c>
      <c r="AJ150" s="874" t="e">
        <f>AI150*5.928</f>
        <v>#REF!</v>
      </c>
      <c r="AK150" s="890"/>
      <c r="AL150" s="890"/>
      <c r="AM150" s="890"/>
      <c r="AN150" s="890"/>
      <c r="AO150" s="890" t="e">
        <f>AM150-AI150</f>
        <v>#REF!</v>
      </c>
      <c r="AP150" s="890" t="e">
        <f>AN150-AJ150</f>
        <v>#REF!</v>
      </c>
      <c r="AQ150" s="898"/>
      <c r="AR150" s="898"/>
      <c r="AS150" s="898"/>
      <c r="AT150" s="898"/>
      <c r="AU150" s="898"/>
      <c r="AV150" s="898"/>
      <c r="AW150" s="898"/>
      <c r="AX150" s="898"/>
      <c r="AY150" s="898"/>
      <c r="BI150" s="898"/>
      <c r="BJ150" s="898"/>
      <c r="BK150" s="877"/>
      <c r="BL150" s="877"/>
      <c r="BM150" s="1249"/>
      <c r="BN150" s="860"/>
      <c r="BO150" s="861"/>
      <c r="BP150" s="861"/>
      <c r="BQ150" s="861"/>
      <c r="BR150" s="828"/>
      <c r="BS150" s="828"/>
      <c r="BT150" s="828"/>
      <c r="BU150" s="828"/>
      <c r="BV150" s="828"/>
      <c r="BW150" s="828"/>
      <c r="BX150" s="828"/>
      <c r="BY150" s="828"/>
      <c r="BZ150" s="828"/>
      <c r="CA150" s="828"/>
      <c r="CB150" s="828"/>
      <c r="CC150" s="828"/>
      <c r="CD150" s="843">
        <v>15</v>
      </c>
      <c r="CE150" s="931" t="s">
        <v>441</v>
      </c>
      <c r="CF150" s="2357"/>
      <c r="CG150" s="861">
        <v>33</v>
      </c>
      <c r="CH150" s="855" t="s">
        <v>326</v>
      </c>
      <c r="CI150" s="855" t="s">
        <v>440</v>
      </c>
      <c r="CJ150" s="853"/>
      <c r="CK150" s="854">
        <v>1</v>
      </c>
      <c r="CL150" s="855">
        <v>750000</v>
      </c>
      <c r="CM150" s="1175">
        <v>467.14</v>
      </c>
      <c r="CN150" s="1175">
        <f>K150</f>
        <v>2532.9459999999999</v>
      </c>
      <c r="CO150" s="906">
        <f>CN150-CM150</f>
        <v>2065.806</v>
      </c>
      <c r="CP150" s="879"/>
      <c r="CQ150" s="861">
        <f>CO150*CL150</f>
        <v>1549354500</v>
      </c>
      <c r="CR150" s="1175">
        <f>Q150</f>
        <v>1252.0540000000001</v>
      </c>
      <c r="CS150" s="1175">
        <f>R150</f>
        <v>1265.058</v>
      </c>
      <c r="CT150" s="878">
        <f>CS150-CR150</f>
        <v>13.003999999999905</v>
      </c>
      <c r="CU150" s="861"/>
      <c r="CV150" s="1028">
        <f>CT150*CL150*CK150</f>
        <v>9752999.9999999292</v>
      </c>
      <c r="CW150" s="878">
        <f t="shared" si="71"/>
        <v>0.99998018783435227</v>
      </c>
      <c r="CX150" s="879"/>
    </row>
    <row r="151" spans="1:102" ht="14" x14ac:dyDescent="0.25">
      <c r="A151" s="861"/>
      <c r="B151" s="931"/>
      <c r="C151" s="911"/>
      <c r="D151" s="861"/>
      <c r="E151" s="855"/>
      <c r="F151" s="855"/>
      <c r="G151" s="853"/>
      <c r="H151" s="854"/>
      <c r="I151" s="855"/>
      <c r="J151" s="1175"/>
      <c r="K151" s="1175"/>
      <c r="L151" s="843" t="s">
        <v>323</v>
      </c>
      <c r="M151" s="977"/>
      <c r="N151" s="1269">
        <f>N149+N150</f>
        <v>37010999.99999997</v>
      </c>
      <c r="O151" s="1270"/>
      <c r="P151" s="1279"/>
      <c r="Q151" s="1175"/>
      <c r="R151" s="1175"/>
      <c r="S151" s="861"/>
      <c r="T151" s="861"/>
      <c r="U151" s="1027">
        <f>SUM(U149:U150)</f>
        <v>19523249.999999963</v>
      </c>
      <c r="V151" s="116"/>
      <c r="W151" s="856"/>
      <c r="X151" s="870"/>
      <c r="Y151" s="889">
        <f t="shared" ref="Y151:Y156" si="72">IF(AND(X151&gt;=0.885,X151&lt;0.9),1*0.005,IF(AND(X151&gt;=0.875,X151&lt;0.89),1*0.01,IF(AND(X151&gt;=0.865,X151&lt;0.88),1*0.02,IF(AND(X151&gt;=0.855,X151&lt;0.87),1*0.03,IF(AND(X151&gt;=0.845,X151&lt;0.86),1*0.04,IF(AND(X151&gt;=0.835,X151&lt;0.85),1*0.05,IF(AND(X151&gt;=0.825,X151&lt;0.84),1*0.06,IF(AND(X151&gt;=0.815,X151&lt;0.83),1*0.07,IF(AND(X151&gt;=0.805,X151&lt;0.82),1*0.08,IF(AND(X151&gt;=0.795,X151&lt;0.81),1*0.09,IF(AND(X151&gt;=0.785,X151&lt;0.8),1*0.105,IF(AND(X151&gt;=0.775,X151&lt;0.79),1*0.12,IF(AND(X151&gt;=0.765,X151&lt;0.78),1*0.135,IF(AND(X151&gt;=0.755,X151&lt;0.77),1*0.15,IF(AND(X151&gt;=0.745,X151&lt;0.76),1*0.165,0)))))))))))))))</f>
        <v>0</v>
      </c>
      <c r="Z151" s="871">
        <f t="shared" si="52"/>
        <v>0</v>
      </c>
      <c r="AA151" s="121">
        <f t="shared" si="50"/>
        <v>0</v>
      </c>
      <c r="AB151" s="890"/>
      <c r="AC151" s="861"/>
      <c r="AD151" s="828"/>
      <c r="AE151" s="837"/>
      <c r="AF151" s="872"/>
      <c r="AG151" s="872"/>
      <c r="AH151" s="872"/>
      <c r="AI151" s="872" t="e">
        <f>#REF!</f>
        <v>#REF!</v>
      </c>
      <c r="AJ151" s="874"/>
      <c r="AK151" s="861"/>
      <c r="AL151" s="861"/>
      <c r="AM151" s="861"/>
      <c r="AN151" s="861"/>
      <c r="AO151" s="861"/>
      <c r="AP151" s="861"/>
      <c r="AQ151" s="828"/>
      <c r="AR151" s="828"/>
      <c r="AS151" s="828"/>
      <c r="AT151" s="828"/>
      <c r="AU151" s="828"/>
      <c r="AV151" s="828"/>
      <c r="AW151" s="828"/>
      <c r="AX151" s="828"/>
      <c r="AY151" s="828"/>
      <c r="BI151" s="828"/>
      <c r="BJ151" s="828"/>
      <c r="BK151" s="877"/>
      <c r="BL151" s="877"/>
      <c r="BM151" s="1249"/>
      <c r="BN151" s="860"/>
      <c r="BO151" s="861"/>
      <c r="BP151" s="861"/>
      <c r="BQ151" s="861"/>
      <c r="BR151" s="828"/>
      <c r="BS151" s="828"/>
      <c r="BT151" s="828"/>
      <c r="BU151" s="828"/>
      <c r="BV151" s="828"/>
      <c r="BW151" s="828"/>
      <c r="BX151" s="828"/>
      <c r="BY151" s="828"/>
      <c r="BZ151" s="828"/>
      <c r="CA151" s="828"/>
      <c r="CB151" s="828"/>
      <c r="CC151" s="828"/>
      <c r="CD151" s="861"/>
      <c r="CE151" s="931"/>
      <c r="CF151" s="911"/>
      <c r="CG151" s="861"/>
      <c r="CH151" s="855"/>
      <c r="CI151" s="855"/>
      <c r="CJ151" s="853"/>
      <c r="CK151" s="854"/>
      <c r="CL151" s="855"/>
      <c r="CM151" s="1175"/>
      <c r="CN151" s="1175"/>
      <c r="CO151" s="843" t="s">
        <v>323</v>
      </c>
      <c r="CP151" s="879"/>
      <c r="CQ151" s="843">
        <f>CQ149+CQ150</f>
        <v>3067442250</v>
      </c>
      <c r="CR151" s="1175"/>
      <c r="CS151" s="1175"/>
      <c r="CT151" s="861"/>
      <c r="CU151" s="861"/>
      <c r="CV151" s="991">
        <f>SUM(CV149:CV150)</f>
        <v>19523249.999999963</v>
      </c>
      <c r="CW151" s="906">
        <f t="shared" si="71"/>
        <v>0.99997974611914653</v>
      </c>
      <c r="CX151" s="879"/>
    </row>
    <row r="152" spans="1:102" ht="14.25" customHeight="1" x14ac:dyDescent="0.25">
      <c r="A152" s="861">
        <v>16</v>
      </c>
      <c r="B152" s="879" t="s">
        <v>438</v>
      </c>
      <c r="C152" s="2356" t="s">
        <v>439</v>
      </c>
      <c r="D152" s="879">
        <v>33</v>
      </c>
      <c r="E152" s="855" t="s">
        <v>326</v>
      </c>
      <c r="F152" s="855">
        <v>35786569</v>
      </c>
      <c r="G152" s="1280">
        <f>1+0.009578663</f>
        <v>1.0095786630000001</v>
      </c>
      <c r="H152" s="932">
        <v>1</v>
      </c>
      <c r="I152" s="855">
        <v>180000</v>
      </c>
      <c r="J152" s="1175">
        <v>1745.336</v>
      </c>
      <c r="K152" s="1175">
        <v>1758.5540000000001</v>
      </c>
      <c r="L152" s="878">
        <f>K152-J152</f>
        <v>13.218000000000075</v>
      </c>
      <c r="M152" s="977"/>
      <c r="N152" s="1038">
        <f>+L152*I152*G152</f>
        <v>2402029.938156134</v>
      </c>
      <c r="O152" s="1281"/>
      <c r="P152" s="1282"/>
      <c r="Q152" s="1175">
        <v>606.55600000000004</v>
      </c>
      <c r="R152" s="1175">
        <v>609.42899999999997</v>
      </c>
      <c r="S152" s="878">
        <f>R152-Q152</f>
        <v>2.8729999999999336</v>
      </c>
      <c r="T152" s="861"/>
      <c r="U152" s="1283">
        <f>S152*I152*H152</f>
        <v>517139.99999998807</v>
      </c>
      <c r="V152" s="122">
        <f>N152</f>
        <v>2402029.938156134</v>
      </c>
      <c r="W152" s="868">
        <f t="shared" ref="W152:W162" si="73">U152</f>
        <v>517139.99999998807</v>
      </c>
      <c r="X152" s="870">
        <f>IF(W152&lt;0.00001,"0",COS(ATAN(W152/V152)))</f>
        <v>0.9776002321259244</v>
      </c>
      <c r="Y152" s="1179">
        <f t="shared" si="72"/>
        <v>0</v>
      </c>
      <c r="Z152" s="871">
        <f t="shared" si="52"/>
        <v>0</v>
      </c>
      <c r="AA152" s="121">
        <f t="shared" si="50"/>
        <v>0</v>
      </c>
      <c r="AB152" s="890"/>
      <c r="AC152" s="861"/>
      <c r="AD152" s="828"/>
      <c r="AE152" s="837"/>
      <c r="AF152" s="975" t="s">
        <v>438</v>
      </c>
      <c r="AG152" s="872"/>
      <c r="AH152" s="872"/>
      <c r="AI152" s="872"/>
      <c r="AJ152" s="874"/>
      <c r="AK152" s="861"/>
      <c r="AL152" s="861"/>
      <c r="AM152" s="861"/>
      <c r="AN152" s="861"/>
      <c r="AO152" s="861"/>
      <c r="AP152" s="861"/>
      <c r="AQ152" s="828"/>
      <c r="AR152" s="828"/>
      <c r="AS152" s="828"/>
      <c r="AT152" s="828"/>
      <c r="AU152" s="828"/>
      <c r="AV152" s="828"/>
      <c r="AW152" s="828"/>
      <c r="AX152" s="828"/>
      <c r="AY152" s="828"/>
      <c r="BI152" s="828"/>
      <c r="BJ152" s="828"/>
      <c r="BK152" s="877"/>
      <c r="BL152" s="877"/>
      <c r="BM152" s="1249"/>
      <c r="BN152" s="860"/>
      <c r="BO152" s="861"/>
      <c r="BP152" s="861"/>
      <c r="BQ152" s="861"/>
      <c r="BR152" s="828"/>
      <c r="BS152" s="828"/>
      <c r="BT152" s="828"/>
      <c r="BU152" s="828"/>
      <c r="BV152" s="828"/>
      <c r="BW152" s="828"/>
      <c r="BX152" s="828"/>
      <c r="BY152" s="828"/>
      <c r="BZ152" s="828"/>
      <c r="CA152" s="828"/>
      <c r="CB152" s="828"/>
      <c r="CC152" s="828"/>
      <c r="CD152" s="843">
        <v>16</v>
      </c>
      <c r="CE152" s="879" t="s">
        <v>438</v>
      </c>
      <c r="CF152" s="2359" t="s">
        <v>437</v>
      </c>
      <c r="CG152" s="879">
        <v>33</v>
      </c>
      <c r="CH152" s="855" t="s">
        <v>326</v>
      </c>
      <c r="CI152" s="855"/>
      <c r="CJ152" s="1284">
        <v>1.001553398</v>
      </c>
      <c r="CK152" s="932"/>
      <c r="CL152" s="855">
        <v>180000</v>
      </c>
      <c r="CM152" s="1175">
        <v>579.46799999999996</v>
      </c>
      <c r="CN152" s="1175">
        <f>K152</f>
        <v>1758.5540000000001</v>
      </c>
      <c r="CO152" s="861">
        <f>CN152-CM152</f>
        <v>1179.0860000000002</v>
      </c>
      <c r="CP152" s="861"/>
      <c r="CQ152" s="890">
        <f>CO152*CL152*CJ152</f>
        <v>212565166.17016107</v>
      </c>
      <c r="CR152" s="1175">
        <f t="shared" ref="CR152:CS154" si="74">Q152</f>
        <v>606.55600000000004</v>
      </c>
      <c r="CS152" s="1175">
        <f t="shared" si="74"/>
        <v>609.42899999999997</v>
      </c>
      <c r="CT152" s="878">
        <f>CS152-CR152</f>
        <v>2.8729999999999336</v>
      </c>
      <c r="CU152" s="861"/>
      <c r="CV152" s="861">
        <f>CT152*CL152*CJ152</f>
        <v>517943.32424170803</v>
      </c>
      <c r="CW152" s="906">
        <f t="shared" si="71"/>
        <v>0.99999703142273577</v>
      </c>
      <c r="CX152" s="879"/>
    </row>
    <row r="153" spans="1:102" ht="14" x14ac:dyDescent="0.25">
      <c r="A153" s="861">
        <v>17</v>
      </c>
      <c r="B153" s="879" t="s">
        <v>435</v>
      </c>
      <c r="C153" s="2358"/>
      <c r="D153" s="879">
        <v>33</v>
      </c>
      <c r="E153" s="855" t="s">
        <v>326</v>
      </c>
      <c r="F153" s="855">
        <v>35786575</v>
      </c>
      <c r="G153" s="1280">
        <f>1+0.009578663</f>
        <v>1.0095786630000001</v>
      </c>
      <c r="H153" s="932">
        <v>1</v>
      </c>
      <c r="I153" s="855">
        <v>180000</v>
      </c>
      <c r="J153" s="1175">
        <v>560.57299999999998</v>
      </c>
      <c r="K153" s="1175">
        <v>570.64099999999996</v>
      </c>
      <c r="L153" s="878">
        <f>K153-J153</f>
        <v>10.067999999999984</v>
      </c>
      <c r="M153" s="977"/>
      <c r="N153" s="1038">
        <f>+L153*I153*G153</f>
        <v>1829598.8362351172</v>
      </c>
      <c r="O153" s="869"/>
      <c r="P153" s="1282"/>
      <c r="Q153" s="1175">
        <v>39.432000000000002</v>
      </c>
      <c r="R153" s="1175">
        <v>39.762</v>
      </c>
      <c r="S153" s="878">
        <f>R153-Q153</f>
        <v>0.32999999999999829</v>
      </c>
      <c r="T153" s="861"/>
      <c r="U153" s="1283">
        <f>S153*I153*H153</f>
        <v>59399.999999999694</v>
      </c>
      <c r="V153" s="122">
        <f>N153</f>
        <v>1829598.8362351172</v>
      </c>
      <c r="W153" s="868">
        <f t="shared" si="73"/>
        <v>59399.999999999694</v>
      </c>
      <c r="X153" s="870">
        <f>IF(W153&lt;0.00001,"0",COS(ATAN(W153/V153)))</f>
        <v>0.9994733913562609</v>
      </c>
      <c r="Y153" s="1179">
        <f t="shared" si="72"/>
        <v>0</v>
      </c>
      <c r="Z153" s="871">
        <f t="shared" si="52"/>
        <v>0</v>
      </c>
      <c r="AA153" s="121">
        <f t="shared" si="50"/>
        <v>0</v>
      </c>
      <c r="AB153" s="890"/>
      <c r="AC153" s="861"/>
      <c r="AD153" s="828"/>
      <c r="AE153" s="837"/>
      <c r="AF153" s="975" t="s">
        <v>435</v>
      </c>
      <c r="AG153" s="872"/>
      <c r="AH153" s="872"/>
      <c r="AI153" s="872"/>
      <c r="AJ153" s="874"/>
      <c r="AK153" s="861"/>
      <c r="AL153" s="861"/>
      <c r="AM153" s="861"/>
      <c r="AN153" s="861"/>
      <c r="AO153" s="861"/>
      <c r="AP153" s="861"/>
      <c r="AQ153" s="828"/>
      <c r="AR153" s="828"/>
      <c r="AS153" s="828"/>
      <c r="AT153" s="828"/>
      <c r="AU153" s="828"/>
      <c r="AV153" s="828"/>
      <c r="AW153" s="828"/>
      <c r="AX153" s="828"/>
      <c r="AY153" s="828"/>
      <c r="BI153" s="828"/>
      <c r="BJ153" s="828"/>
      <c r="BK153" s="877"/>
      <c r="BL153" s="877"/>
      <c r="BM153" s="1249"/>
      <c r="BN153" s="860"/>
      <c r="BO153" s="861"/>
      <c r="BP153" s="861"/>
      <c r="BQ153" s="861"/>
      <c r="BR153" s="828"/>
      <c r="BS153" s="828"/>
      <c r="BT153" s="828"/>
      <c r="BU153" s="828"/>
      <c r="BV153" s="828"/>
      <c r="BW153" s="828"/>
      <c r="BX153" s="828"/>
      <c r="BY153" s="828"/>
      <c r="BZ153" s="828"/>
      <c r="CA153" s="828"/>
      <c r="CB153" s="828"/>
      <c r="CC153" s="828"/>
      <c r="CD153" s="843">
        <v>17</v>
      </c>
      <c r="CE153" s="879" t="s">
        <v>435</v>
      </c>
      <c r="CF153" s="2359"/>
      <c r="CG153" s="879">
        <v>33</v>
      </c>
      <c r="CH153" s="855" t="s">
        <v>326</v>
      </c>
      <c r="CI153" s="855"/>
      <c r="CJ153" s="1284">
        <v>1.001553398</v>
      </c>
      <c r="CK153" s="932"/>
      <c r="CL153" s="855">
        <v>180000</v>
      </c>
      <c r="CM153" s="1175">
        <v>110.48099999999999</v>
      </c>
      <c r="CN153" s="1175">
        <f>K153</f>
        <v>570.64099999999996</v>
      </c>
      <c r="CO153" s="861">
        <f>CN153-CM153</f>
        <v>460.15999999999997</v>
      </c>
      <c r="CP153" s="861"/>
      <c r="CQ153" s="890">
        <f>CO153*CL153*CJ153</f>
        <v>82957466.092262402</v>
      </c>
      <c r="CR153" s="1175">
        <f t="shared" si="74"/>
        <v>39.432000000000002</v>
      </c>
      <c r="CS153" s="1175">
        <f t="shared" si="74"/>
        <v>39.762</v>
      </c>
      <c r="CT153" s="878">
        <f>CS153-CR153</f>
        <v>0.32999999999999829</v>
      </c>
      <c r="CU153" s="861"/>
      <c r="CV153" s="861">
        <f>CT153*CL153*CJ153</f>
        <v>59492.27184119969</v>
      </c>
      <c r="CW153" s="906">
        <f t="shared" si="71"/>
        <v>0.99999974285387283</v>
      </c>
      <c r="CX153" s="879"/>
    </row>
    <row r="154" spans="1:102" ht="14" x14ac:dyDescent="0.25">
      <c r="A154" s="861">
        <v>18</v>
      </c>
      <c r="B154" s="879" t="s">
        <v>436</v>
      </c>
      <c r="C154" s="2358"/>
      <c r="D154" s="879">
        <v>33</v>
      </c>
      <c r="E154" s="855" t="s">
        <v>326</v>
      </c>
      <c r="F154" s="855">
        <v>35786580</v>
      </c>
      <c r="G154" s="1280">
        <f>1+0.009578663</f>
        <v>1.0095786630000001</v>
      </c>
      <c r="H154" s="932">
        <v>1</v>
      </c>
      <c r="I154" s="855">
        <v>180000</v>
      </c>
      <c r="J154" s="1175">
        <v>106.91500000000001</v>
      </c>
      <c r="K154" s="1175">
        <v>106.91500000000001</v>
      </c>
      <c r="L154" s="878">
        <f>K154-J154</f>
        <v>0</v>
      </c>
      <c r="M154" s="977"/>
      <c r="N154" s="1038">
        <f>+L154*I154*G154</f>
        <v>0</v>
      </c>
      <c r="O154" s="869"/>
      <c r="P154" s="1282"/>
      <c r="Q154" s="1175">
        <v>4.16</v>
      </c>
      <c r="R154" s="1175">
        <v>4.16</v>
      </c>
      <c r="S154" s="878">
        <f>R154-Q154</f>
        <v>0</v>
      </c>
      <c r="T154" s="861"/>
      <c r="U154" s="868">
        <f>S154*I154*H154</f>
        <v>0</v>
      </c>
      <c r="V154" s="122">
        <f>N154</f>
        <v>0</v>
      </c>
      <c r="W154" s="868">
        <f t="shared" si="73"/>
        <v>0</v>
      </c>
      <c r="X154" s="870" t="str">
        <f>IF(W154&lt;0.00001,"0",COS(ATAN(W154/V154)))</f>
        <v>0</v>
      </c>
      <c r="Y154" s="1179">
        <f t="shared" si="72"/>
        <v>0</v>
      </c>
      <c r="Z154" s="871">
        <f t="shared" si="52"/>
        <v>0</v>
      </c>
      <c r="AA154" s="121">
        <f t="shared" si="50"/>
        <v>0</v>
      </c>
      <c r="AB154" s="890"/>
      <c r="AC154" s="861"/>
      <c r="AD154" s="828"/>
      <c r="AE154" s="837"/>
      <c r="AF154" s="975" t="s">
        <v>435</v>
      </c>
      <c r="AG154" s="872"/>
      <c r="AH154" s="872"/>
      <c r="AI154" s="872"/>
      <c r="AJ154" s="874"/>
      <c r="AK154" s="861"/>
      <c r="AL154" s="861"/>
      <c r="AM154" s="861"/>
      <c r="AN154" s="861"/>
      <c r="AO154" s="861"/>
      <c r="AP154" s="861"/>
      <c r="AQ154" s="828"/>
      <c r="AR154" s="828"/>
      <c r="AS154" s="828"/>
      <c r="AT154" s="828"/>
      <c r="AU154" s="828"/>
      <c r="AV154" s="828"/>
      <c r="AW154" s="828"/>
      <c r="AX154" s="828"/>
      <c r="AY154" s="828"/>
      <c r="BI154" s="828"/>
      <c r="BJ154" s="828"/>
      <c r="BK154" s="877"/>
      <c r="BL154" s="877"/>
      <c r="BM154" s="1249"/>
      <c r="BN154" s="860"/>
      <c r="BO154" s="861"/>
      <c r="BP154" s="861"/>
      <c r="BQ154" s="861"/>
      <c r="BR154" s="828"/>
      <c r="BS154" s="828"/>
      <c r="BT154" s="828"/>
      <c r="BU154" s="828"/>
      <c r="BV154" s="828"/>
      <c r="BW154" s="828"/>
      <c r="BX154" s="828"/>
      <c r="BY154" s="828"/>
      <c r="BZ154" s="828"/>
      <c r="CA154" s="828"/>
      <c r="CB154" s="828"/>
      <c r="CC154" s="828"/>
      <c r="CD154" s="843">
        <v>17</v>
      </c>
      <c r="CE154" s="879" t="s">
        <v>435</v>
      </c>
      <c r="CF154" s="2359"/>
      <c r="CG154" s="879">
        <v>33</v>
      </c>
      <c r="CH154" s="855" t="s">
        <v>326</v>
      </c>
      <c r="CI154" s="855"/>
      <c r="CJ154" s="1284">
        <v>1.001553398</v>
      </c>
      <c r="CK154" s="932"/>
      <c r="CL154" s="855">
        <v>180000</v>
      </c>
      <c r="CM154" s="1175">
        <v>110.48099999999999</v>
      </c>
      <c r="CN154" s="1175">
        <f>K154</f>
        <v>106.91500000000001</v>
      </c>
      <c r="CO154" s="861">
        <f>CN154-CM154</f>
        <v>-3.5659999999999883</v>
      </c>
      <c r="CP154" s="861"/>
      <c r="CQ154" s="890">
        <f>CO154*CL154*CJ154</f>
        <v>-642877.09510823793</v>
      </c>
      <c r="CR154" s="1175">
        <f t="shared" si="74"/>
        <v>4.16</v>
      </c>
      <c r="CS154" s="1175" t="e">
        <f>#REF!</f>
        <v>#REF!</v>
      </c>
      <c r="CT154" s="878" t="e">
        <f>CS154-CR154</f>
        <v>#REF!</v>
      </c>
      <c r="CU154" s="861"/>
      <c r="CV154" s="861" t="e">
        <f>CT154*CL154*CJ154</f>
        <v>#REF!</v>
      </c>
      <c r="CW154" s="906" t="e">
        <f t="shared" si="71"/>
        <v>#REF!</v>
      </c>
      <c r="CX154" s="879"/>
    </row>
    <row r="155" spans="1:102" ht="14" x14ac:dyDescent="0.25">
      <c r="A155" s="861">
        <v>19</v>
      </c>
      <c r="B155" s="879" t="s">
        <v>434</v>
      </c>
      <c r="C155" s="2358"/>
      <c r="D155" s="879"/>
      <c r="E155" s="855"/>
      <c r="F155" s="855"/>
      <c r="G155" s="1280">
        <f>1+0.009578663</f>
        <v>1.0095786630000001</v>
      </c>
      <c r="H155" s="932">
        <v>1</v>
      </c>
      <c r="I155" s="855">
        <v>180000</v>
      </c>
      <c r="J155" s="1175">
        <v>858.82399999999996</v>
      </c>
      <c r="K155" s="1175">
        <v>870.28800000000001</v>
      </c>
      <c r="L155" s="878">
        <f>K155-J155</f>
        <v>11.464000000000055</v>
      </c>
      <c r="M155" s="977"/>
      <c r="N155" s="1038">
        <f>+L155*I155*G155</f>
        <v>2083285.7626737703</v>
      </c>
      <c r="O155" s="869"/>
      <c r="P155" s="1282"/>
      <c r="Q155" s="1175">
        <v>371.666</v>
      </c>
      <c r="R155" s="1175">
        <v>377.18700000000001</v>
      </c>
      <c r="S155" s="878">
        <f>R155-Q155</f>
        <v>5.521000000000015</v>
      </c>
      <c r="T155" s="861"/>
      <c r="U155" s="868">
        <f>S155*I155*H155</f>
        <v>993780.00000000268</v>
      </c>
      <c r="V155" s="122">
        <f>N155</f>
        <v>2083285.7626737703</v>
      </c>
      <c r="W155" s="868">
        <f t="shared" si="73"/>
        <v>993780.00000000268</v>
      </c>
      <c r="X155" s="870">
        <f>IF(W155&lt;0.00001,"0",COS(ATAN(W155/V155)))</f>
        <v>0.90256783222597714</v>
      </c>
      <c r="Y155" s="1179">
        <f t="shared" si="72"/>
        <v>0</v>
      </c>
      <c r="Z155" s="871">
        <f t="shared" si="52"/>
        <v>0</v>
      </c>
      <c r="AA155" s="121">
        <f t="shared" si="50"/>
        <v>0</v>
      </c>
      <c r="AB155" s="890"/>
      <c r="AC155" s="861"/>
      <c r="AD155" s="828"/>
      <c r="AE155" s="837"/>
      <c r="AF155" s="975"/>
      <c r="AG155" s="872"/>
      <c r="AH155" s="872"/>
      <c r="AI155" s="872"/>
      <c r="AJ155" s="874"/>
      <c r="AK155" s="861"/>
      <c r="AL155" s="861"/>
      <c r="AM155" s="861"/>
      <c r="AN155" s="861"/>
      <c r="AO155" s="861"/>
      <c r="AP155" s="861"/>
      <c r="AQ155" s="828"/>
      <c r="AR155" s="828"/>
      <c r="AS155" s="828"/>
      <c r="AT155" s="828"/>
      <c r="AU155" s="828"/>
      <c r="AV155" s="828"/>
      <c r="AW155" s="828"/>
      <c r="AX155" s="828"/>
      <c r="AY155" s="828"/>
      <c r="BI155" s="828"/>
      <c r="BJ155" s="828"/>
      <c r="BK155" s="877"/>
      <c r="BL155" s="877"/>
      <c r="BM155" s="1249"/>
      <c r="BN155" s="860"/>
      <c r="BO155" s="861"/>
      <c r="BP155" s="861"/>
      <c r="BQ155" s="861"/>
      <c r="BR155" s="828"/>
      <c r="BS155" s="828"/>
      <c r="BT155" s="828"/>
      <c r="BU155" s="828"/>
      <c r="BV155" s="828"/>
      <c r="BW155" s="828"/>
      <c r="BX155" s="828"/>
      <c r="BY155" s="828"/>
      <c r="BZ155" s="828"/>
      <c r="CA155" s="828"/>
      <c r="CB155" s="828"/>
      <c r="CC155" s="828"/>
      <c r="CD155" s="843"/>
      <c r="CE155" s="879"/>
      <c r="CF155" s="855"/>
      <c r="CG155" s="879"/>
      <c r="CH155" s="855"/>
      <c r="CI155" s="855"/>
      <c r="CJ155" s="1284"/>
      <c r="CK155" s="932"/>
      <c r="CL155" s="855"/>
      <c r="CM155" s="1175"/>
      <c r="CN155" s="1175"/>
      <c r="CO155" s="861"/>
      <c r="CP155" s="861"/>
      <c r="CQ155" s="890"/>
      <c r="CR155" s="1175"/>
      <c r="CS155" s="1175"/>
      <c r="CT155" s="878"/>
      <c r="CU155" s="861"/>
      <c r="CV155" s="861"/>
      <c r="CW155" s="1285"/>
      <c r="CX155" s="879"/>
    </row>
    <row r="156" spans="1:102" ht="14" x14ac:dyDescent="0.25">
      <c r="A156" s="861">
        <v>20</v>
      </c>
      <c r="B156" s="879" t="s">
        <v>433</v>
      </c>
      <c r="C156" s="2357"/>
      <c r="D156" s="879"/>
      <c r="E156" s="855"/>
      <c r="F156" s="855"/>
      <c r="G156" s="1280">
        <f>1+0.009578663</f>
        <v>1.0095786630000001</v>
      </c>
      <c r="H156" s="932">
        <v>1</v>
      </c>
      <c r="I156" s="855">
        <v>180000</v>
      </c>
      <c r="J156" s="1175">
        <v>589.58299999999997</v>
      </c>
      <c r="K156" s="1175">
        <v>609.34900000000005</v>
      </c>
      <c r="L156" s="878">
        <f>K156-J156</f>
        <v>19.766000000000076</v>
      </c>
      <c r="M156" s="977"/>
      <c r="N156" s="1038">
        <f>+L156*I156*G156</f>
        <v>3591959.7335144547</v>
      </c>
      <c r="O156" s="869"/>
      <c r="P156" s="1282"/>
      <c r="Q156" s="1175">
        <v>225.59200000000001</v>
      </c>
      <c r="R156" s="1175">
        <v>232.48699999999999</v>
      </c>
      <c r="S156" s="878">
        <f>R156-Q156</f>
        <v>6.8949999999999818</v>
      </c>
      <c r="T156" s="861"/>
      <c r="U156" s="1283">
        <f>S156*I156*H156</f>
        <v>1241099.9999999967</v>
      </c>
      <c r="V156" s="122">
        <f>N156</f>
        <v>3591959.7335144547</v>
      </c>
      <c r="W156" s="868">
        <f t="shared" si="73"/>
        <v>1241099.9999999967</v>
      </c>
      <c r="X156" s="870">
        <f>IF(W156&lt;0.00001,"0",COS(ATAN(W156/V156)))</f>
        <v>0.94517061736280672</v>
      </c>
      <c r="Y156" s="1179">
        <f t="shared" si="72"/>
        <v>0</v>
      </c>
      <c r="Z156" s="871">
        <f t="shared" si="52"/>
        <v>0</v>
      </c>
      <c r="AA156" s="121">
        <f t="shared" si="50"/>
        <v>0</v>
      </c>
      <c r="AB156" s="890"/>
      <c r="AC156" s="861"/>
      <c r="AD156" s="828"/>
      <c r="AE156" s="837"/>
      <c r="AF156" s="975"/>
      <c r="AG156" s="872"/>
      <c r="AH156" s="872"/>
      <c r="AI156" s="872"/>
      <c r="AJ156" s="874"/>
      <c r="AK156" s="861"/>
      <c r="AL156" s="861"/>
      <c r="AM156" s="861"/>
      <c r="AN156" s="861"/>
      <c r="AO156" s="861"/>
      <c r="AP156" s="861"/>
      <c r="AQ156" s="828"/>
      <c r="AR156" s="828"/>
      <c r="AS156" s="828"/>
      <c r="AT156" s="828"/>
      <c r="AU156" s="828"/>
      <c r="AV156" s="828"/>
      <c r="AW156" s="828"/>
      <c r="AX156" s="828"/>
      <c r="AY156" s="828"/>
      <c r="BI156" s="828"/>
      <c r="BJ156" s="828"/>
      <c r="BK156" s="877"/>
      <c r="BL156" s="877"/>
      <c r="BM156" s="1249"/>
      <c r="BN156" s="860"/>
      <c r="BO156" s="861"/>
      <c r="BP156" s="861"/>
      <c r="BQ156" s="861"/>
      <c r="BR156" s="828"/>
      <c r="BS156" s="828"/>
      <c r="BT156" s="828"/>
      <c r="BU156" s="828"/>
      <c r="BV156" s="828"/>
      <c r="BW156" s="828"/>
      <c r="BX156" s="828"/>
      <c r="BY156" s="828"/>
      <c r="BZ156" s="828"/>
      <c r="CA156" s="828"/>
      <c r="CB156" s="828"/>
      <c r="CC156" s="828"/>
      <c r="CD156" s="843"/>
      <c r="CE156" s="879"/>
      <c r="CF156" s="855"/>
      <c r="CG156" s="879"/>
      <c r="CH156" s="855"/>
      <c r="CI156" s="855"/>
      <c r="CJ156" s="1284"/>
      <c r="CK156" s="932"/>
      <c r="CL156" s="855"/>
      <c r="CM156" s="1175"/>
      <c r="CN156" s="1175"/>
      <c r="CO156" s="861"/>
      <c r="CP156" s="861"/>
      <c r="CQ156" s="890"/>
      <c r="CR156" s="1175"/>
      <c r="CS156" s="1175"/>
      <c r="CT156" s="878"/>
      <c r="CU156" s="861"/>
      <c r="CV156" s="861"/>
      <c r="CW156" s="1285"/>
      <c r="CX156" s="879"/>
    </row>
    <row r="157" spans="1:102" ht="14" x14ac:dyDescent="0.25">
      <c r="A157" s="861"/>
      <c r="B157" s="2343" t="s">
        <v>432</v>
      </c>
      <c r="C157" s="2343"/>
      <c r="D157" s="2343"/>
      <c r="E157" s="2343"/>
      <c r="F157" s="2343"/>
      <c r="G157" s="2343"/>
      <c r="H157" s="2343"/>
      <c r="I157" s="2343"/>
      <c r="J157" s="1175"/>
      <c r="K157" s="1175"/>
      <c r="L157" s="843"/>
      <c r="M157" s="1286"/>
      <c r="N157" s="1269">
        <f>SUM(N152:N156)</f>
        <v>9906874.2705794759</v>
      </c>
      <c r="O157" s="869"/>
      <c r="P157" s="1282"/>
      <c r="Q157" s="1175"/>
      <c r="R157" s="1175"/>
      <c r="S157" s="1114"/>
      <c r="T157" s="843"/>
      <c r="U157" s="991">
        <f>SUM(U152:U156)</f>
        <v>2811419.999999987</v>
      </c>
      <c r="V157" s="136"/>
      <c r="W157" s="1273"/>
      <c r="X157" s="1274"/>
      <c r="Y157" s="1021"/>
      <c r="Z157" s="871">
        <f t="shared" si="52"/>
        <v>0</v>
      </c>
      <c r="AA157" s="121">
        <f t="shared" si="50"/>
        <v>0</v>
      </c>
      <c r="AB157" s="843"/>
      <c r="AC157" s="861"/>
      <c r="AD157" s="828"/>
      <c r="AE157" s="837"/>
      <c r="AF157" s="872"/>
      <c r="AG157" s="872"/>
      <c r="AH157" s="872"/>
      <c r="AI157" s="872"/>
      <c r="AJ157" s="874"/>
      <c r="AK157" s="861"/>
      <c r="AL157" s="861"/>
      <c r="AM157" s="861"/>
      <c r="AN157" s="861"/>
      <c r="AO157" s="861"/>
      <c r="AP157" s="861"/>
      <c r="AQ157" s="828"/>
      <c r="AR157" s="828"/>
      <c r="AS157" s="828"/>
      <c r="AT157" s="828"/>
      <c r="AU157" s="828"/>
      <c r="AV157" s="828"/>
      <c r="AW157" s="828"/>
      <c r="AX157" s="828"/>
      <c r="AY157" s="828"/>
      <c r="BI157" s="828"/>
      <c r="BJ157" s="828"/>
      <c r="BK157" s="877"/>
      <c r="BL157" s="877"/>
      <c r="BM157" s="1249"/>
      <c r="BN157" s="860"/>
      <c r="BO157" s="861"/>
      <c r="BP157" s="861"/>
      <c r="BQ157" s="861"/>
      <c r="BR157" s="828"/>
      <c r="BS157" s="828"/>
      <c r="BT157" s="828"/>
      <c r="BU157" s="828"/>
      <c r="BV157" s="828"/>
      <c r="BW157" s="828"/>
      <c r="BX157" s="828"/>
      <c r="BY157" s="828"/>
      <c r="BZ157" s="828"/>
      <c r="CA157" s="828"/>
      <c r="CB157" s="828"/>
      <c r="CC157" s="828"/>
      <c r="CD157" s="861"/>
      <c r="CE157" s="2343" t="s">
        <v>432</v>
      </c>
      <c r="CF157" s="2343"/>
      <c r="CG157" s="2343"/>
      <c r="CH157" s="2343"/>
      <c r="CI157" s="2343"/>
      <c r="CJ157" s="2343"/>
      <c r="CK157" s="2343"/>
      <c r="CL157" s="2343"/>
      <c r="CM157" s="1175"/>
      <c r="CN157" s="1175"/>
      <c r="CO157" s="843"/>
      <c r="CP157" s="986"/>
      <c r="CQ157" s="991">
        <f>SUM(CQ152:CQ154)</f>
        <v>294879755.16731524</v>
      </c>
      <c r="CR157" s="1175"/>
      <c r="CS157" s="1175"/>
      <c r="CT157" s="1114"/>
      <c r="CU157" s="843"/>
      <c r="CV157" s="843"/>
      <c r="CW157" s="1276"/>
      <c r="CX157" s="879"/>
    </row>
    <row r="158" spans="1:102" ht="14.25" customHeight="1" x14ac:dyDescent="0.25">
      <c r="A158" s="861">
        <v>21</v>
      </c>
      <c r="B158" s="1047" t="s">
        <v>431</v>
      </c>
      <c r="C158" s="2344" t="s">
        <v>98</v>
      </c>
      <c r="D158" s="879">
        <v>33</v>
      </c>
      <c r="E158" s="855" t="s">
        <v>326</v>
      </c>
      <c r="F158" s="1287" t="s">
        <v>430</v>
      </c>
      <c r="G158" s="861">
        <v>1.0249999999999999</v>
      </c>
      <c r="H158" s="854"/>
      <c r="I158" s="855">
        <v>1</v>
      </c>
      <c r="J158" s="1175">
        <v>362104.5</v>
      </c>
      <c r="K158" s="1175">
        <v>368274.9</v>
      </c>
      <c r="L158" s="861">
        <f>K158-J158</f>
        <v>6170.4000000000233</v>
      </c>
      <c r="M158" s="1286"/>
      <c r="N158" s="1038">
        <f>L158*I158*G158</f>
        <v>6324.6600000000235</v>
      </c>
      <c r="O158" s="869"/>
      <c r="P158" s="1288"/>
      <c r="Q158" s="1175">
        <v>232084.3</v>
      </c>
      <c r="R158" s="1175">
        <v>234813.2</v>
      </c>
      <c r="S158" s="890">
        <f>R158-Q158</f>
        <v>2728.9000000000233</v>
      </c>
      <c r="T158" s="861"/>
      <c r="U158" s="890">
        <f>S158*G158</f>
        <v>2797.1225000000236</v>
      </c>
      <c r="V158" s="121">
        <f>N158</f>
        <v>6324.6600000000235</v>
      </c>
      <c r="W158" s="868">
        <f t="shared" si="73"/>
        <v>2797.1225000000236</v>
      </c>
      <c r="X158" s="870">
        <f>IF(W158&lt;0.00001,"0",COS(ATAN(W158/V158)))</f>
        <v>0.91455262956512662</v>
      </c>
      <c r="Y158" s="1179">
        <f>IF(AND(X158&gt;=0.885,X158&lt;0.9),1*0.005,IF(AND(X158&gt;=0.875,X158&lt;0.89),1*0.01,IF(AND(X158&gt;=0.865,X158&lt;0.88),1*0.02,IF(AND(X158&gt;=0.855,X158&lt;0.87),1*0.03,IF(AND(X158&gt;=0.845,X158&lt;0.86),1*0.04,IF(AND(X158&gt;=0.835,X158&lt;0.85),1*0.05,IF(AND(X158&gt;=0.825,X158&lt;0.84),1*0.06,IF(AND(X158&gt;=0.815,X158&lt;0.83),1*0.07,IF(AND(X158&gt;=0.805,X158&lt;0.82),1*0.08,IF(AND(X158&gt;=0.795,X158&lt;0.81),1*0.09,IF(AND(X158&gt;=0.785,X158&lt;0.8),1*0.105,IF(AND(X158&gt;=0.775,X158&lt;0.79),1*0.12,IF(AND(X158&gt;=0.765,X158&lt;0.78),1*0.135,IF(AND(X158&gt;=0.755,X158&lt;0.77),1*0.15,IF(AND(X158&gt;=0.745,X158&lt;0.76),1*0.165,0)))))))))))))))</f>
        <v>0</v>
      </c>
      <c r="Z158" s="871">
        <v>0</v>
      </c>
      <c r="AA158" s="121">
        <f t="shared" si="50"/>
        <v>0</v>
      </c>
      <c r="AB158" s="991"/>
      <c r="AC158" s="861"/>
      <c r="AD158" s="828"/>
      <c r="AE158" s="837"/>
      <c r="AF158" s="1289" t="s">
        <v>431</v>
      </c>
      <c r="AG158" s="872"/>
      <c r="AH158" s="872"/>
      <c r="AI158" s="872"/>
      <c r="AJ158" s="874"/>
      <c r="AK158" s="861"/>
      <c r="AL158" s="861"/>
      <c r="AM158" s="861"/>
      <c r="AN158" s="861"/>
      <c r="AO158" s="861"/>
      <c r="AP158" s="861"/>
      <c r="AQ158" s="828"/>
      <c r="AR158" s="828"/>
      <c r="AS158" s="828"/>
      <c r="AT158" s="828"/>
      <c r="AU158" s="828"/>
      <c r="AV158" s="828"/>
      <c r="AW158" s="828"/>
      <c r="AX158" s="828"/>
      <c r="AY158" s="828"/>
      <c r="BI158" s="828"/>
      <c r="BJ158" s="828"/>
      <c r="BK158" s="877"/>
      <c r="BL158" s="877"/>
      <c r="BM158" s="1249"/>
      <c r="BN158" s="860"/>
      <c r="BO158" s="861"/>
      <c r="BP158" s="861"/>
      <c r="BQ158" s="861"/>
      <c r="BR158" s="828"/>
      <c r="BS158" s="828"/>
      <c r="BT158" s="828"/>
      <c r="BU158" s="828"/>
      <c r="BV158" s="828"/>
      <c r="BW158" s="828"/>
      <c r="BX158" s="828"/>
      <c r="BY158" s="828"/>
      <c r="BZ158" s="828"/>
      <c r="CA158" s="828"/>
      <c r="CB158" s="828"/>
      <c r="CC158" s="828"/>
      <c r="CD158" s="843">
        <v>18</v>
      </c>
      <c r="CE158" s="1047" t="s">
        <v>431</v>
      </c>
      <c r="CF158" s="2343" t="s">
        <v>98</v>
      </c>
      <c r="CG158" s="879">
        <v>33</v>
      </c>
      <c r="CH158" s="855" t="s">
        <v>326</v>
      </c>
      <c r="CI158" s="1287" t="s">
        <v>430</v>
      </c>
      <c r="CJ158" s="861">
        <v>1</v>
      </c>
      <c r="CK158" s="854"/>
      <c r="CL158" s="855">
        <v>1</v>
      </c>
      <c r="CM158" s="1257">
        <f>J158</f>
        <v>362104.5</v>
      </c>
      <c r="CN158" s="1257">
        <f>K158</f>
        <v>368274.9</v>
      </c>
      <c r="CO158" s="861">
        <f>CN158-CM158</f>
        <v>6170.4000000000233</v>
      </c>
      <c r="CP158" s="986"/>
      <c r="CQ158" s="890">
        <f>CO158*CL158*CJ158</f>
        <v>6170.4000000000233</v>
      </c>
      <c r="CR158" s="1257">
        <f>Q158</f>
        <v>232084.3</v>
      </c>
      <c r="CS158" s="1257">
        <f>R158</f>
        <v>234813.2</v>
      </c>
      <c r="CT158" s="861">
        <f>CS158-CR158</f>
        <v>2728.9000000000233</v>
      </c>
      <c r="CU158" s="861"/>
      <c r="CV158" s="890">
        <f>CT158*CL158</f>
        <v>2728.9000000000233</v>
      </c>
      <c r="CW158" s="870">
        <f>IF(CT158&lt;0.00001,"0",COS(ATAN(CT158/CO158)))</f>
        <v>0.91455262956512662</v>
      </c>
      <c r="CX158" s="879"/>
    </row>
    <row r="159" spans="1:102" ht="14" x14ac:dyDescent="0.25">
      <c r="A159" s="861">
        <v>22</v>
      </c>
      <c r="B159" s="1047" t="s">
        <v>429</v>
      </c>
      <c r="C159" s="2345"/>
      <c r="D159" s="879">
        <v>33</v>
      </c>
      <c r="E159" s="855" t="s">
        <v>326</v>
      </c>
      <c r="F159" s="1287" t="s">
        <v>428</v>
      </c>
      <c r="G159" s="861">
        <v>1.0249999999999999</v>
      </c>
      <c r="H159" s="854"/>
      <c r="I159" s="855">
        <v>1</v>
      </c>
      <c r="J159" s="1175">
        <v>338439.8</v>
      </c>
      <c r="K159" s="1175">
        <v>342024.1</v>
      </c>
      <c r="L159" s="861">
        <f>K159-J159</f>
        <v>3584.2999999999884</v>
      </c>
      <c r="M159" s="1290"/>
      <c r="N159" s="1038">
        <f>L159*I159*G159</f>
        <v>3673.9074999999875</v>
      </c>
      <c r="O159" s="1291"/>
      <c r="P159" s="1288"/>
      <c r="Q159" s="1175">
        <v>117509.2</v>
      </c>
      <c r="R159" s="1175">
        <v>118507.6</v>
      </c>
      <c r="S159" s="890">
        <f>R159-Q159</f>
        <v>998.40000000000873</v>
      </c>
      <c r="T159" s="861"/>
      <c r="U159" s="890">
        <f>S159*G159</f>
        <v>1023.3600000000089</v>
      </c>
      <c r="V159" s="122">
        <f>N159</f>
        <v>3673.9074999999875</v>
      </c>
      <c r="W159" s="868">
        <f t="shared" si="73"/>
        <v>1023.3600000000089</v>
      </c>
      <c r="X159" s="870">
        <f>IF(W159&lt;0.00001,"0",COS(ATAN(W159/V159)))</f>
        <v>0.96332629502188616</v>
      </c>
      <c r="Y159" s="1179">
        <f>IF(AND(X159&gt;=0.885,X159&lt;0.9),1*0.005,IF(AND(X159&gt;=0.875,X159&lt;0.89),1*0.01,IF(AND(X159&gt;=0.865,X159&lt;0.88),1*0.02,IF(AND(X159&gt;=0.855,X159&lt;0.87),1*0.03,IF(AND(X159&gt;=0.845,X159&lt;0.86),1*0.04,IF(AND(X159&gt;=0.835,X159&lt;0.85),1*0.05,IF(AND(X159&gt;=0.825,X159&lt;0.84),1*0.06,IF(AND(X159&gt;=0.815,X159&lt;0.83),1*0.07,IF(AND(X159&gt;=0.805,X159&lt;0.82),1*0.08,IF(AND(X159&gt;=0.795,X159&lt;0.81),1*0.09,IF(AND(X159&gt;=0.785,X159&lt;0.8),1*0.105,IF(AND(X159&gt;=0.775,X159&lt;0.79),1*0.12,IF(AND(X159&gt;=0.765,X159&lt;0.78),1*0.135,IF(AND(X159&gt;=0.755,X159&lt;0.77),1*0.15,IF(AND(X159&gt;=0.745,X159&lt;0.76),1*0.165,0)))))))))))))))</f>
        <v>0</v>
      </c>
      <c r="Z159" s="871">
        <v>0</v>
      </c>
      <c r="AA159" s="121">
        <f t="shared" si="50"/>
        <v>0</v>
      </c>
      <c r="AB159" s="890"/>
      <c r="AC159" s="861"/>
      <c r="AD159" s="828"/>
      <c r="AE159" s="837"/>
      <c r="AF159" s="1289" t="s">
        <v>429</v>
      </c>
      <c r="AG159" s="872"/>
      <c r="AH159" s="872"/>
      <c r="AI159" s="872"/>
      <c r="AJ159" s="874"/>
      <c r="AK159" s="861"/>
      <c r="AL159" s="861"/>
      <c r="AM159" s="861"/>
      <c r="AN159" s="861"/>
      <c r="AO159" s="861"/>
      <c r="AP159" s="861"/>
      <c r="AQ159" s="828"/>
      <c r="AR159" s="828"/>
      <c r="AS159" s="828"/>
      <c r="AT159" s="828"/>
      <c r="AU159" s="828"/>
      <c r="AV159" s="828"/>
      <c r="AW159" s="828"/>
      <c r="AX159" s="828"/>
      <c r="AY159" s="828"/>
      <c r="BI159" s="828"/>
      <c r="BJ159" s="828"/>
      <c r="BK159" s="877"/>
      <c r="BL159" s="877"/>
      <c r="BM159" s="1249"/>
      <c r="BN159" s="860"/>
      <c r="BO159" s="861"/>
      <c r="BP159" s="861"/>
      <c r="BQ159" s="861"/>
      <c r="BR159" s="828"/>
      <c r="BS159" s="828"/>
      <c r="BT159" s="828"/>
      <c r="BU159" s="828"/>
      <c r="BV159" s="828"/>
      <c r="BW159" s="828"/>
      <c r="BX159" s="828"/>
      <c r="BY159" s="828"/>
      <c r="BZ159" s="828"/>
      <c r="CA159" s="828"/>
      <c r="CB159" s="828"/>
      <c r="CC159" s="828"/>
      <c r="CD159" s="910">
        <v>19</v>
      </c>
      <c r="CE159" s="1051" t="s">
        <v>429</v>
      </c>
      <c r="CF159" s="2343"/>
      <c r="CG159" s="879">
        <v>33</v>
      </c>
      <c r="CH159" s="855" t="s">
        <v>326</v>
      </c>
      <c r="CI159" s="1287" t="s">
        <v>428</v>
      </c>
      <c r="CJ159" s="861">
        <v>1</v>
      </c>
      <c r="CK159" s="854"/>
      <c r="CL159" s="855">
        <v>1</v>
      </c>
      <c r="CM159" s="1257">
        <f>J159</f>
        <v>338439.8</v>
      </c>
      <c r="CN159" s="1257">
        <f>K159</f>
        <v>342024.1</v>
      </c>
      <c r="CO159" s="861">
        <f>CN159-CM159</f>
        <v>3584.2999999999884</v>
      </c>
      <c r="CP159" s="986"/>
      <c r="CQ159" s="890">
        <f>CO159*CL159*CJ159</f>
        <v>3584.2999999999884</v>
      </c>
      <c r="CR159" s="1257">
        <f>Q159</f>
        <v>117509.2</v>
      </c>
      <c r="CS159" s="1257">
        <f>R159</f>
        <v>118507.6</v>
      </c>
      <c r="CT159" s="861">
        <f>CS159-CR159</f>
        <v>998.40000000000873</v>
      </c>
      <c r="CU159" s="861"/>
      <c r="CV159" s="890">
        <f>CT159*CL159</f>
        <v>998.40000000000873</v>
      </c>
      <c r="CW159" s="870">
        <f>IF(CT159&lt;0.00001,"0",COS(ATAN(CT159/CO159)))</f>
        <v>0.96332629502188616</v>
      </c>
      <c r="CX159" s="879"/>
    </row>
    <row r="160" spans="1:102" ht="14" x14ac:dyDescent="0.25">
      <c r="A160" s="861"/>
      <c r="B160" s="931"/>
      <c r="C160" s="1047"/>
      <c r="D160" s="861"/>
      <c r="E160" s="855"/>
      <c r="F160" s="853"/>
      <c r="G160" s="853"/>
      <c r="H160" s="854"/>
      <c r="I160" s="855"/>
      <c r="J160" s="1175"/>
      <c r="K160" s="1175"/>
      <c r="L160" s="843"/>
      <c r="M160" s="1286"/>
      <c r="N160" s="1269">
        <f>N159+N158</f>
        <v>9998.5675000000119</v>
      </c>
      <c r="O160" s="1291"/>
      <c r="P160" s="1114"/>
      <c r="Q160" s="1175"/>
      <c r="R160" s="1175"/>
      <c r="S160" s="1114"/>
      <c r="T160" s="843"/>
      <c r="U160" s="1027">
        <f>SUM(U158:U159)</f>
        <v>3820.4825000000324</v>
      </c>
      <c r="V160" s="136"/>
      <c r="W160" s="1273"/>
      <c r="X160" s="1274"/>
      <c r="Y160" s="1021"/>
      <c r="Z160" s="1292">
        <f>Z158+Z150+Z149+Z147+Z142+Z115+Z116+Z143+Z144-Z158+Z145+Z138+Z140</f>
        <v>370109.99999999965</v>
      </c>
      <c r="AA160" s="121">
        <f t="shared" si="50"/>
        <v>2388356.8409999977</v>
      </c>
      <c r="AB160" s="843">
        <f>Z160*5.928</f>
        <v>2194012.0799999977</v>
      </c>
      <c r="AC160" s="890"/>
      <c r="AD160" s="898"/>
      <c r="AE160" s="837"/>
      <c r="AF160" s="872"/>
      <c r="AG160" s="857" t="str">
        <f>AG72</f>
        <v>Unit</v>
      </c>
      <c r="AH160" s="857" t="e">
        <f>AI165</f>
        <v>#REF!</v>
      </c>
      <c r="AI160" s="857"/>
      <c r="AJ160" s="960"/>
      <c r="AK160" s="861"/>
      <c r="AL160" s="861"/>
      <c r="AM160" s="861"/>
      <c r="AN160" s="861"/>
      <c r="AO160" s="861"/>
      <c r="AP160" s="861"/>
      <c r="AQ160" s="828"/>
      <c r="AR160" s="828"/>
      <c r="AS160" s="828"/>
      <c r="AT160" s="828"/>
      <c r="AU160" s="828"/>
      <c r="AV160" s="828"/>
      <c r="AW160" s="828"/>
      <c r="AX160" s="828"/>
      <c r="AY160" s="828"/>
      <c r="BI160" s="828"/>
      <c r="BJ160" s="828"/>
      <c r="BK160" s="877"/>
      <c r="BL160" s="877"/>
      <c r="BM160" s="1249"/>
      <c r="BN160" s="860"/>
      <c r="BO160" s="861"/>
      <c r="BP160" s="861"/>
      <c r="BQ160" s="861"/>
      <c r="BR160" s="828"/>
      <c r="BS160" s="828"/>
      <c r="BT160" s="828"/>
      <c r="BU160" s="828"/>
      <c r="BV160" s="828"/>
      <c r="BW160" s="828"/>
      <c r="BX160" s="828"/>
      <c r="BY160" s="828"/>
      <c r="BZ160" s="828"/>
      <c r="CA160" s="828"/>
      <c r="CB160" s="828"/>
      <c r="CC160" s="828"/>
      <c r="CD160" s="861"/>
      <c r="CE160" s="931"/>
      <c r="CF160" s="2346"/>
      <c r="CG160" s="1018"/>
      <c r="CH160" s="908"/>
      <c r="CI160" s="1060"/>
      <c r="CJ160" s="1060"/>
      <c r="CK160" s="1061"/>
      <c r="CL160" s="908"/>
      <c r="CM160" s="1293"/>
      <c r="CN160" s="1293"/>
      <c r="CO160" s="910"/>
      <c r="CP160" s="986"/>
      <c r="CQ160" s="991">
        <f>CQ159+CQ158</f>
        <v>9754.7000000000116</v>
      </c>
      <c r="CR160" s="1120"/>
      <c r="CS160" s="1120"/>
      <c r="CT160" s="1114"/>
      <c r="CU160" s="843"/>
      <c r="CV160" s="991">
        <f>SUM(CV158:CV159)</f>
        <v>3727.300000000032</v>
      </c>
      <c r="CW160" s="1276"/>
      <c r="CX160" s="879"/>
    </row>
    <row r="161" spans="1:131" ht="22.5" customHeight="1" x14ac:dyDescent="0.25">
      <c r="A161" s="846">
        <v>23</v>
      </c>
      <c r="B161" s="1043" t="s">
        <v>427</v>
      </c>
      <c r="C161" s="1043" t="s">
        <v>426</v>
      </c>
      <c r="D161" s="951" t="s">
        <v>422</v>
      </c>
      <c r="E161" s="1036" t="s">
        <v>326</v>
      </c>
      <c r="F161" s="1287" t="s">
        <v>425</v>
      </c>
      <c r="G161" s="1294">
        <v>1.0249999999999999</v>
      </c>
      <c r="H161" s="854">
        <v>1</v>
      </c>
      <c r="I161" s="855">
        <v>2400</v>
      </c>
      <c r="J161" s="1175">
        <v>297.27</v>
      </c>
      <c r="K161" s="1175">
        <v>303.178</v>
      </c>
      <c r="L161" s="861">
        <f>K161-J161</f>
        <v>5.9080000000000155</v>
      </c>
      <c r="M161" s="1286"/>
      <c r="N161" s="1038">
        <f>L161*I161*G161</f>
        <v>14533.680000000037</v>
      </c>
      <c r="O161" s="1291"/>
      <c r="P161" s="1295"/>
      <c r="Q161" s="1175">
        <v>182.41800000000001</v>
      </c>
      <c r="R161" s="1175">
        <v>187.62200000000001</v>
      </c>
      <c r="S161" s="870">
        <f>R161-Q161</f>
        <v>5.2040000000000077</v>
      </c>
      <c r="T161" s="843"/>
      <c r="U161" s="991">
        <f>S161*I161*G161</f>
        <v>12801.840000000018</v>
      </c>
      <c r="V161" s="136">
        <f>N161</f>
        <v>14533.680000000037</v>
      </c>
      <c r="W161" s="868">
        <f t="shared" si="73"/>
        <v>12801.840000000018</v>
      </c>
      <c r="X161" s="1274"/>
      <c r="Y161" s="1021"/>
      <c r="Z161" s="1292"/>
      <c r="AA161" s="121">
        <f t="shared" si="50"/>
        <v>0</v>
      </c>
      <c r="AB161" s="843"/>
      <c r="AC161" s="890"/>
      <c r="AD161" s="898"/>
      <c r="AE161" s="837"/>
      <c r="AF161" s="872"/>
      <c r="AG161" s="857"/>
      <c r="AH161" s="857"/>
      <c r="AI161" s="857"/>
      <c r="AJ161" s="960"/>
      <c r="AK161" s="861"/>
      <c r="AL161" s="861"/>
      <c r="AM161" s="861"/>
      <c r="AN161" s="861"/>
      <c r="AO161" s="861"/>
      <c r="AP161" s="861"/>
      <c r="AQ161" s="828"/>
      <c r="AR161" s="828"/>
      <c r="AS161" s="828"/>
      <c r="AT161" s="828"/>
      <c r="AU161" s="828"/>
      <c r="AV161" s="828"/>
      <c r="AW161" s="828"/>
      <c r="AX161" s="828"/>
      <c r="AY161" s="828"/>
      <c r="BI161" s="828"/>
      <c r="BJ161" s="828"/>
      <c r="BK161" s="877"/>
      <c r="BL161" s="877"/>
      <c r="BM161" s="1249"/>
      <c r="BN161" s="860"/>
      <c r="BO161" s="861"/>
      <c r="BP161" s="861"/>
      <c r="BQ161" s="861"/>
      <c r="BR161" s="828"/>
      <c r="BS161" s="828"/>
      <c r="BT161" s="828"/>
      <c r="BU161" s="828"/>
      <c r="BV161" s="828"/>
      <c r="BW161" s="828"/>
      <c r="BX161" s="828"/>
      <c r="BY161" s="828"/>
      <c r="BZ161" s="828"/>
      <c r="CA161" s="828"/>
      <c r="CB161" s="828"/>
      <c r="CC161" s="828"/>
      <c r="CD161" s="828"/>
      <c r="CE161" s="829"/>
      <c r="CF161" s="1296"/>
      <c r="CG161" s="1297"/>
      <c r="CH161" s="1298"/>
      <c r="CI161" s="1299"/>
      <c r="CJ161" s="1299"/>
      <c r="CK161" s="1300"/>
      <c r="CL161" s="1298"/>
      <c r="CM161" s="1301"/>
      <c r="CN161" s="1301"/>
      <c r="CO161" s="1059"/>
      <c r="CP161" s="964"/>
      <c r="CQ161" s="1090"/>
      <c r="CR161" s="1302"/>
      <c r="CS161" s="1303"/>
      <c r="CT161" s="1276"/>
      <c r="CU161" s="843"/>
      <c r="CV161" s="1090"/>
      <c r="CW161" s="1276"/>
      <c r="CX161" s="879"/>
    </row>
    <row r="162" spans="1:131" ht="22.5" customHeight="1" x14ac:dyDescent="0.25">
      <c r="A162" s="846">
        <v>24</v>
      </c>
      <c r="B162" s="1043" t="s">
        <v>424</v>
      </c>
      <c r="C162" s="1043" t="s">
        <v>423</v>
      </c>
      <c r="D162" s="951" t="s">
        <v>422</v>
      </c>
      <c r="E162" s="1036" t="s">
        <v>326</v>
      </c>
      <c r="F162" s="1304" t="s">
        <v>421</v>
      </c>
      <c r="G162" s="1294">
        <v>1.0249999999999999</v>
      </c>
      <c r="H162" s="854"/>
      <c r="I162" s="855">
        <v>2400</v>
      </c>
      <c r="J162" s="1175">
        <v>76.656000000000006</v>
      </c>
      <c r="K162" s="1175">
        <v>77.787999999999997</v>
      </c>
      <c r="L162" s="861">
        <f>K162-J162</f>
        <v>1.1319999999999908</v>
      </c>
      <c r="M162" s="1286"/>
      <c r="N162" s="1038">
        <f>L162*I162*G162</f>
        <v>2784.7199999999771</v>
      </c>
      <c r="O162" s="1291"/>
      <c r="P162" s="1295"/>
      <c r="Q162" s="1175">
        <v>42.518000000000001</v>
      </c>
      <c r="R162" s="1175">
        <v>43.185000000000002</v>
      </c>
      <c r="S162" s="870">
        <f>R162-Q162</f>
        <v>0.66700000000000159</v>
      </c>
      <c r="T162" s="843"/>
      <c r="U162" s="991">
        <f>S162*I162*G162</f>
        <v>1640.8200000000038</v>
      </c>
      <c r="V162" s="136">
        <f>N162</f>
        <v>2784.7199999999771</v>
      </c>
      <c r="W162" s="868">
        <f t="shared" si="73"/>
        <v>1640.8200000000038</v>
      </c>
      <c r="X162" s="1274"/>
      <c r="Y162" s="1021"/>
      <c r="Z162" s="1292"/>
      <c r="AA162" s="121">
        <f t="shared" si="50"/>
        <v>0</v>
      </c>
      <c r="AB162" s="843"/>
      <c r="AC162" s="890"/>
      <c r="AD162" s="898"/>
      <c r="AE162" s="837"/>
      <c r="AF162" s="872"/>
      <c r="AG162" s="857"/>
      <c r="AH162" s="857"/>
      <c r="AI162" s="857"/>
      <c r="AJ162" s="960"/>
      <c r="AK162" s="861"/>
      <c r="AL162" s="861"/>
      <c r="AM162" s="861"/>
      <c r="AN162" s="861"/>
      <c r="AO162" s="861"/>
      <c r="AP162" s="861"/>
      <c r="AQ162" s="828"/>
      <c r="AR162" s="828"/>
      <c r="AS162" s="828"/>
      <c r="AT162" s="828"/>
      <c r="AU162" s="828"/>
      <c r="AV162" s="828"/>
      <c r="AW162" s="828"/>
      <c r="AX162" s="828"/>
      <c r="AY162" s="828"/>
      <c r="BI162" s="828"/>
      <c r="BJ162" s="828"/>
      <c r="BK162" s="877"/>
      <c r="BL162" s="877"/>
      <c r="BM162" s="1249"/>
      <c r="BN162" s="860"/>
      <c r="BO162" s="861"/>
      <c r="BP162" s="861"/>
      <c r="BQ162" s="861"/>
      <c r="BR162" s="828"/>
      <c r="BS162" s="828"/>
      <c r="BT162" s="828"/>
      <c r="BU162" s="828"/>
      <c r="BV162" s="828"/>
      <c r="BW162" s="828"/>
      <c r="BX162" s="828"/>
      <c r="BY162" s="828"/>
      <c r="BZ162" s="828"/>
      <c r="CA162" s="828"/>
      <c r="CB162" s="828"/>
      <c r="CC162" s="828"/>
      <c r="CD162" s="828"/>
      <c r="CE162" s="829"/>
      <c r="CF162" s="1296"/>
      <c r="CG162" s="1297"/>
      <c r="CH162" s="1298"/>
      <c r="CI162" s="1299"/>
      <c r="CJ162" s="1299"/>
      <c r="CK162" s="1300"/>
      <c r="CL162" s="1298"/>
      <c r="CM162" s="1301"/>
      <c r="CN162" s="1301"/>
      <c r="CO162" s="1059"/>
      <c r="CP162" s="964"/>
      <c r="CQ162" s="1090"/>
      <c r="CR162" s="1302"/>
      <c r="CS162" s="1303"/>
      <c r="CT162" s="1276"/>
      <c r="CU162" s="843"/>
      <c r="CV162" s="1090"/>
      <c r="CW162" s="1276"/>
      <c r="CX162" s="879"/>
    </row>
    <row r="163" spans="1:131" ht="14" x14ac:dyDescent="0.25">
      <c r="A163" s="846"/>
      <c r="B163" s="1043"/>
      <c r="C163" s="1043"/>
      <c r="D163" s="951"/>
      <c r="E163" s="1036"/>
      <c r="F163" s="1305"/>
      <c r="G163" s="1305"/>
      <c r="H163" s="854"/>
      <c r="I163" s="855"/>
      <c r="J163" s="867"/>
      <c r="K163" s="867"/>
      <c r="L163" s="843"/>
      <c r="M163" s="1286"/>
      <c r="N163" s="1269">
        <f>N161+N162</f>
        <v>17318.400000000012</v>
      </c>
      <c r="O163" s="1291"/>
      <c r="P163" s="1295"/>
      <c r="Q163" s="1303"/>
      <c r="R163" s="1303"/>
      <c r="S163" s="1276"/>
      <c r="T163" s="843"/>
      <c r="U163" s="1027">
        <f>U161+U162</f>
        <v>14442.660000000022</v>
      </c>
      <c r="V163" s="136"/>
      <c r="W163" s="1273"/>
      <c r="X163" s="1274"/>
      <c r="Y163" s="1021"/>
      <c r="Z163" s="1292"/>
      <c r="AA163" s="121">
        <f t="shared" si="50"/>
        <v>0</v>
      </c>
      <c r="AB163" s="843"/>
      <c r="AC163" s="890"/>
      <c r="AD163" s="898"/>
      <c r="AE163" s="837"/>
      <c r="AF163" s="872"/>
      <c r="AG163" s="857"/>
      <c r="AH163" s="857"/>
      <c r="AI163" s="857"/>
      <c r="AJ163" s="960"/>
      <c r="AK163" s="861"/>
      <c r="AL163" s="861"/>
      <c r="AM163" s="861"/>
      <c r="AN163" s="861"/>
      <c r="AO163" s="861"/>
      <c r="AP163" s="861"/>
      <c r="AQ163" s="828"/>
      <c r="AR163" s="828"/>
      <c r="AS163" s="828"/>
      <c r="AT163" s="828"/>
      <c r="AU163" s="828"/>
      <c r="AV163" s="828"/>
      <c r="AW163" s="828"/>
      <c r="AX163" s="828"/>
      <c r="AY163" s="828"/>
      <c r="BI163" s="828"/>
      <c r="BJ163" s="828"/>
      <c r="BK163" s="877"/>
      <c r="BL163" s="877"/>
      <c r="BM163" s="1249"/>
      <c r="BN163" s="860"/>
      <c r="BO163" s="861"/>
      <c r="BP163" s="861"/>
      <c r="BQ163" s="861"/>
      <c r="BR163" s="828"/>
      <c r="BS163" s="828"/>
      <c r="BT163" s="828"/>
      <c r="BU163" s="828"/>
      <c r="BV163" s="828"/>
      <c r="BW163" s="828"/>
      <c r="BX163" s="828"/>
      <c r="BY163" s="828"/>
      <c r="BZ163" s="828"/>
      <c r="CA163" s="828"/>
      <c r="CB163" s="828"/>
      <c r="CC163" s="828"/>
      <c r="CD163" s="828"/>
      <c r="CE163" s="829"/>
      <c r="CF163" s="1296"/>
      <c r="CG163" s="1297"/>
      <c r="CH163" s="1298"/>
      <c r="CI163" s="1299"/>
      <c r="CJ163" s="1299"/>
      <c r="CK163" s="1300"/>
      <c r="CL163" s="1298"/>
      <c r="CM163" s="1301"/>
      <c r="CN163" s="1301"/>
      <c r="CO163" s="1059"/>
      <c r="CP163" s="964"/>
      <c r="CQ163" s="1090"/>
      <c r="CR163" s="1302"/>
      <c r="CS163" s="1303"/>
      <c r="CT163" s="1276"/>
      <c r="CU163" s="843"/>
      <c r="CV163" s="1090"/>
      <c r="CW163" s="1276"/>
      <c r="CX163" s="879"/>
    </row>
    <row r="164" spans="1:131" ht="24" customHeight="1" x14ac:dyDescent="0.25">
      <c r="A164" s="2278" t="s">
        <v>420</v>
      </c>
      <c r="B164" s="2279"/>
      <c r="C164" s="2279" t="s">
        <v>419</v>
      </c>
      <c r="D164" s="2279"/>
      <c r="E164" s="2279"/>
      <c r="F164" s="2279"/>
      <c r="G164" s="2279"/>
      <c r="H164" s="955" t="s">
        <v>414</v>
      </c>
      <c r="I164" s="944">
        <f>L136+L114</f>
        <v>0</v>
      </c>
      <c r="J164" s="1306"/>
      <c r="K164" s="1306"/>
      <c r="L164" s="955"/>
      <c r="M164" s="1307">
        <f>M124+M137+M148+M132+M146</f>
        <v>4981738</v>
      </c>
      <c r="N164" s="1269">
        <f>N148+N136+N124+N113+N157+N160+N151+N163</f>
        <v>68774115.238079309</v>
      </c>
      <c r="O164" s="1308"/>
      <c r="P164" s="2347" t="s">
        <v>418</v>
      </c>
      <c r="Q164" s="2348"/>
      <c r="R164" s="2348"/>
      <c r="S164" s="2349"/>
      <c r="T164" s="1272">
        <f>T114+T146+T118</f>
        <v>538084</v>
      </c>
      <c r="U164" s="1309">
        <f>U151+U148+U137+U124+U160+U114+U157+U163</f>
        <v>29288729.14249992</v>
      </c>
      <c r="V164" s="135"/>
      <c r="W164" s="1135"/>
      <c r="X164" s="851"/>
      <c r="Y164" s="991"/>
      <c r="Z164" s="1027">
        <f>Z160</f>
        <v>370109.99999999965</v>
      </c>
      <c r="AA164" s="121">
        <f t="shared" si="50"/>
        <v>2388356.8409999977</v>
      </c>
      <c r="AB164" s="1310" t="s">
        <v>415</v>
      </c>
      <c r="AC164" s="1027">
        <f>AC124+AC136+AC141+AC142+AC143+AC144+AC146+AC147+AC139</f>
        <v>3709</v>
      </c>
      <c r="AD164" s="898"/>
      <c r="AE164" s="837"/>
      <c r="AF164" s="874"/>
      <c r="AG164" s="857"/>
      <c r="AH164" s="857">
        <v>5.9279999999999999</v>
      </c>
      <c r="AI164" s="857"/>
      <c r="AJ164" s="960"/>
      <c r="AK164" s="890"/>
      <c r="AL164" s="890"/>
      <c r="AM164" s="890"/>
      <c r="AN164" s="890"/>
      <c r="AO164" s="890"/>
      <c r="AP164" s="890"/>
      <c r="AQ164" s="1311"/>
      <c r="AR164" s="1312"/>
      <c r="AS164" s="1312"/>
      <c r="AT164" s="1312"/>
      <c r="AU164" s="1312"/>
      <c r="AV164" s="1312"/>
      <c r="AW164" s="1312"/>
      <c r="AX164" s="1312"/>
      <c r="AY164" s="1312"/>
      <c r="BI164" s="1312"/>
      <c r="BJ164" s="1312"/>
      <c r="BK164" s="1313"/>
      <c r="BL164" s="2350" t="s">
        <v>417</v>
      </c>
      <c r="BM164" s="860" t="s">
        <v>416</v>
      </c>
      <c r="BN164" s="860" t="e">
        <f>BN148-BM148</f>
        <v>#REF!</v>
      </c>
      <c r="BO164" s="861" t="s">
        <v>416</v>
      </c>
      <c r="BP164" s="861">
        <f>BP148-BO148</f>
        <v>42721968</v>
      </c>
      <c r="BQ164" s="861"/>
      <c r="BR164" s="828"/>
      <c r="BS164" s="828"/>
      <c r="BT164" s="828"/>
      <c r="BU164" s="828"/>
      <c r="BV164" s="828"/>
      <c r="BW164" s="828"/>
      <c r="BX164" s="828"/>
      <c r="BY164" s="828"/>
      <c r="BZ164" s="828"/>
      <c r="CA164" s="828"/>
      <c r="CB164" s="828"/>
      <c r="CC164" s="828"/>
      <c r="CD164" s="828"/>
      <c r="CE164" s="828"/>
      <c r="CF164" s="2351" t="str">
        <f>CF71</f>
        <v>TOTAL Import</v>
      </c>
      <c r="CG164" s="2352"/>
      <c r="CH164" s="2352"/>
      <c r="CI164" s="2352"/>
      <c r="CJ164" s="2352"/>
      <c r="CK164" s="2352"/>
      <c r="CL164" s="2352"/>
      <c r="CM164" s="2331" t="str">
        <f>CM71</f>
        <v>Active Energy ==&gt;</v>
      </c>
      <c r="CN164" s="2332"/>
      <c r="CO164" s="2333"/>
      <c r="CP164" s="1015">
        <f>CP124+CP137+CP113+CP148</f>
        <v>0</v>
      </c>
      <c r="CQ164" s="1090">
        <f>CQ148+CQ137+CQ136+CQ124+CQ111+CQ157+CQ160+CQ151</f>
        <v>4022890434.8673153</v>
      </c>
      <c r="CR164" s="2334" t="str">
        <f>CR71</f>
        <v>Reactive Energy ==&gt;</v>
      </c>
      <c r="CS164" s="2335"/>
      <c r="CT164" s="2336"/>
      <c r="CU164" s="843">
        <f>CU114</f>
        <v>0</v>
      </c>
      <c r="CV164" s="1090">
        <f>CV151+CV148+CV137+CV124+CV160+CV114</f>
        <v>22418335.300000004</v>
      </c>
      <c r="CW164" s="843"/>
      <c r="CX164" s="879"/>
      <c r="EA164" s="828" t="s">
        <v>415</v>
      </c>
    </row>
    <row r="165" spans="1:131" ht="48" customHeight="1" x14ac:dyDescent="0.25">
      <c r="A165" s="2278" t="s">
        <v>314</v>
      </c>
      <c r="B165" s="2279"/>
      <c r="C165" s="2279"/>
      <c r="D165" s="2279"/>
      <c r="E165" s="2279"/>
      <c r="F165" s="2279"/>
      <c r="G165" s="2279"/>
      <c r="H165" s="1075" t="s">
        <v>414</v>
      </c>
      <c r="I165" s="1314">
        <f>N165-I164</f>
        <v>63792377.238079309</v>
      </c>
      <c r="J165" s="1306"/>
      <c r="K165" s="1306"/>
      <c r="L165" s="1075" t="s">
        <v>413</v>
      </c>
      <c r="M165" s="879"/>
      <c r="N165" s="1315">
        <f>N164-M164</f>
        <v>63792377.238079309</v>
      </c>
      <c r="O165" s="2337" t="s">
        <v>412</v>
      </c>
      <c r="P165" s="2338"/>
      <c r="Q165" s="2338"/>
      <c r="R165" s="2338"/>
      <c r="S165" s="2338"/>
      <c r="T165" s="1316"/>
      <c r="U165" s="1317">
        <f>U164-T164</f>
        <v>28750645.14249992</v>
      </c>
      <c r="V165" s="116">
        <f>SUM(V108:V164)</f>
        <v>63792377.238079295</v>
      </c>
      <c r="W165" s="856">
        <f>SUM(W108:W164)</f>
        <v>28750645.14249992</v>
      </c>
      <c r="X165" s="1318">
        <f>COS(ATAN(W165/V165))</f>
        <v>0.91168563286034243</v>
      </c>
      <c r="Y165" s="991"/>
      <c r="Z165" s="991"/>
      <c r="AA165" s="1319">
        <f>AA160+AA157+AA148+AA137+AA129+AA124+AA113+AA151+AA158+AA150+AA149+AA147+AA142+AA115+AA116</f>
        <v>4776713.6819999954</v>
      </c>
      <c r="AB165" s="1310"/>
      <c r="AC165" s="878">
        <f>COS(ATAN(U165/N165))</f>
        <v>0.91168563286034243</v>
      </c>
      <c r="AD165" s="897"/>
      <c r="AE165" s="837"/>
      <c r="AF165" s="892"/>
      <c r="AG165" s="857">
        <f>AG74</f>
        <v>0</v>
      </c>
      <c r="AH165" s="960" t="e">
        <f>AH160*AH164</f>
        <v>#REF!</v>
      </c>
      <c r="AI165" s="874" t="e">
        <f>SUM(AI115:AI164)</f>
        <v>#REF!</v>
      </c>
      <c r="AJ165" s="960" t="e">
        <f>SUM(AJ115:AJ164)</f>
        <v>#REF!</v>
      </c>
      <c r="AK165" s="878"/>
      <c r="AL165" s="878"/>
      <c r="AM165" s="878"/>
      <c r="AN165" s="878"/>
      <c r="AO165" s="890" t="e">
        <f>SUM(AO115:AO164)</f>
        <v>#REF!</v>
      </c>
      <c r="AP165" s="890" t="e">
        <f>SUM(AP115:AP164)</f>
        <v>#REF!</v>
      </c>
      <c r="AQ165" s="1320"/>
      <c r="AR165" s="1321"/>
      <c r="AS165" s="1321"/>
      <c r="AT165" s="1321"/>
      <c r="AU165" s="1321"/>
      <c r="AV165" s="1321"/>
      <c r="AW165" s="1321"/>
      <c r="AX165" s="1321"/>
      <c r="AY165" s="1321"/>
      <c r="BI165" s="1321"/>
      <c r="BJ165" s="1321"/>
      <c r="BK165" s="1313"/>
      <c r="BL165" s="2350"/>
      <c r="BM165" s="860"/>
      <c r="BN165" s="860"/>
      <c r="BO165" s="861"/>
      <c r="BP165" s="861"/>
      <c r="BQ165" s="861"/>
      <c r="BR165" s="828"/>
      <c r="BS165" s="828"/>
      <c r="BT165" s="828"/>
      <c r="BU165" s="828"/>
      <c r="BV165" s="828"/>
      <c r="BW165" s="828"/>
      <c r="BX165" s="828"/>
      <c r="BY165" s="828"/>
      <c r="BZ165" s="828"/>
      <c r="CA165" s="828"/>
      <c r="CB165" s="828"/>
      <c r="CC165" s="828"/>
      <c r="CD165" s="828"/>
      <c r="CE165" s="828"/>
      <c r="CF165" s="2339" t="str">
        <f>CF72</f>
        <v xml:space="preserve">NET TOTAL  IMPORT (Energy export - Energy import)  </v>
      </c>
      <c r="CG165" s="2297"/>
      <c r="CH165" s="2297"/>
      <c r="CI165" s="2297"/>
      <c r="CJ165" s="2297"/>
      <c r="CK165" s="2297"/>
      <c r="CL165" s="2297"/>
      <c r="CM165" s="2331" t="str">
        <f>CM72</f>
        <v>Active Energy ==&gt;</v>
      </c>
      <c r="CN165" s="2332"/>
      <c r="CO165" s="2333"/>
      <c r="CP165" s="1323"/>
      <c r="CQ165" s="1324">
        <f>CQ164-CP164</f>
        <v>4022890434.8673153</v>
      </c>
      <c r="CR165" s="2340" t="str">
        <f>CR72</f>
        <v>Reactive Energy ==&gt;</v>
      </c>
      <c r="CS165" s="2341"/>
      <c r="CT165" s="2342"/>
      <c r="CU165" s="1325"/>
      <c r="CV165" s="1324">
        <f>(CV164-CU164)</f>
        <v>22418335.300000004</v>
      </c>
      <c r="CW165" s="1326">
        <f>COS(ATAN(CV165/CQ165))</f>
        <v>0.99998447290532855</v>
      </c>
      <c r="CX165" s="879"/>
    </row>
    <row r="166" spans="1:131" ht="6" customHeight="1" x14ac:dyDescent="0.25">
      <c r="A166" s="828"/>
      <c r="B166" s="829"/>
      <c r="C166" s="828"/>
      <c r="D166" s="828"/>
      <c r="E166" s="830"/>
      <c r="F166" s="830"/>
      <c r="G166" s="830"/>
      <c r="H166" s="1143"/>
      <c r="I166" s="830"/>
      <c r="J166" s="832"/>
      <c r="K166" s="832"/>
      <c r="L166" s="832"/>
      <c r="N166" s="1127"/>
      <c r="O166" s="1140"/>
      <c r="P166" s="828"/>
      <c r="Q166" s="832"/>
      <c r="R166" s="832"/>
      <c r="S166" s="828"/>
      <c r="T166" s="828"/>
      <c r="U166" s="828"/>
      <c r="V166" s="108"/>
      <c r="W166" s="1127"/>
      <c r="X166" s="877"/>
      <c r="Y166" s="828"/>
      <c r="Z166" s="828"/>
      <c r="AA166" s="107"/>
      <c r="AB166" s="828"/>
      <c r="AC166" s="828"/>
      <c r="AD166" s="828"/>
      <c r="AE166" s="837"/>
      <c r="AF166" s="1094"/>
      <c r="AI166" s="1094"/>
      <c r="AJ166" s="1094"/>
      <c r="AK166" s="828"/>
      <c r="AL166" s="828"/>
      <c r="AM166" s="828"/>
      <c r="AN166" s="828"/>
      <c r="AO166" s="828"/>
      <c r="AP166" s="828"/>
      <c r="AQ166" s="828"/>
      <c r="AR166" s="828"/>
      <c r="AS166" s="828"/>
      <c r="AT166" s="828"/>
      <c r="AU166" s="828"/>
      <c r="AV166" s="828"/>
      <c r="AW166" s="828"/>
      <c r="AX166" s="828"/>
      <c r="AY166" s="828"/>
      <c r="BI166" s="828"/>
      <c r="BJ166" s="828"/>
      <c r="BK166" s="877"/>
      <c r="BL166" s="877"/>
      <c r="BM166" s="1097"/>
      <c r="BN166" s="1097"/>
      <c r="BO166" s="828"/>
      <c r="BP166" s="828"/>
      <c r="BQ166" s="828"/>
      <c r="BR166" s="828"/>
      <c r="BS166" s="828"/>
      <c r="BT166" s="828"/>
      <c r="BU166" s="828"/>
      <c r="BV166" s="828"/>
      <c r="BW166" s="828"/>
      <c r="BX166" s="828"/>
      <c r="BY166" s="828"/>
      <c r="BZ166" s="828"/>
      <c r="CA166" s="828"/>
      <c r="CB166" s="828"/>
      <c r="CC166" s="828"/>
      <c r="CD166" s="828"/>
      <c r="CE166" s="828"/>
      <c r="CF166" s="2321" t="s">
        <v>411</v>
      </c>
      <c r="CG166" s="2282"/>
      <c r="CH166" s="2282"/>
      <c r="CI166" s="2282"/>
      <c r="CJ166" s="2282"/>
      <c r="CK166" s="2282"/>
      <c r="CL166" s="2282"/>
      <c r="CM166" s="2273"/>
      <c r="CN166" s="2273"/>
      <c r="CO166" s="2273"/>
      <c r="CP166" s="2273"/>
      <c r="CQ166" s="2273"/>
      <c r="CR166" s="2273"/>
      <c r="CS166" s="2273"/>
      <c r="CT166" s="2273"/>
      <c r="CU166" s="2273"/>
      <c r="CV166" s="2274"/>
      <c r="CW166" s="1327">
        <f>CW165</f>
        <v>0.99998447290532855</v>
      </c>
      <c r="CX166" s="879"/>
    </row>
    <row r="167" spans="1:131" ht="15" customHeight="1" thickBot="1" x14ac:dyDescent="0.3">
      <c r="A167" s="828"/>
      <c r="B167" s="829"/>
      <c r="C167" s="828"/>
      <c r="D167" s="828"/>
      <c r="E167" s="830"/>
      <c r="F167" s="830"/>
      <c r="G167" s="830"/>
      <c r="H167" s="1143"/>
      <c r="I167" s="830"/>
      <c r="J167" s="832"/>
      <c r="K167" s="832"/>
      <c r="L167" s="832"/>
      <c r="M167" s="2322" t="s">
        <v>410</v>
      </c>
      <c r="N167" s="1328" t="s">
        <v>14</v>
      </c>
      <c r="O167" s="2324" t="s">
        <v>409</v>
      </c>
      <c r="P167" s="2325"/>
      <c r="Q167" s="947"/>
      <c r="R167" s="947"/>
      <c r="S167" s="1141"/>
      <c r="T167" s="1141"/>
      <c r="U167" s="828"/>
      <c r="V167" s="108"/>
      <c r="W167" s="1127"/>
      <c r="X167" s="877"/>
      <c r="Y167" s="828"/>
      <c r="Z167" s="828"/>
      <c r="AA167" s="107"/>
      <c r="AB167" s="828"/>
      <c r="AC167" s="828"/>
      <c r="AD167" s="828"/>
      <c r="AE167" s="837"/>
      <c r="AF167" s="1094"/>
      <c r="AG167" s="1087" t="s">
        <v>408</v>
      </c>
      <c r="AH167" s="1094">
        <v>0</v>
      </c>
      <c r="AI167" s="1094"/>
      <c r="AJ167" s="1094"/>
      <c r="AK167" s="828"/>
      <c r="AL167" s="828"/>
      <c r="AM167" s="828"/>
      <c r="AN167" s="828"/>
      <c r="AO167" s="828"/>
      <c r="AP167" s="828"/>
      <c r="AQ167" s="828"/>
      <c r="AR167" s="828"/>
      <c r="AS167" s="828"/>
      <c r="AT167" s="828"/>
      <c r="AU167" s="828"/>
      <c r="AV167" s="828"/>
      <c r="AW167" s="828"/>
      <c r="AX167" s="828"/>
      <c r="AY167" s="828"/>
      <c r="BI167" s="828"/>
      <c r="BJ167" s="828"/>
      <c r="BK167" s="877"/>
      <c r="BL167" s="877"/>
      <c r="BM167" s="1097"/>
      <c r="BN167" s="1097"/>
      <c r="BO167" s="828"/>
      <c r="BP167" s="828"/>
      <c r="BQ167" s="828"/>
      <c r="BR167" s="828"/>
      <c r="BS167" s="828"/>
      <c r="BT167" s="828"/>
      <c r="BU167" s="828"/>
      <c r="BV167" s="828"/>
      <c r="BW167" s="828"/>
      <c r="BX167" s="828"/>
      <c r="BY167" s="828"/>
      <c r="BZ167" s="828"/>
      <c r="CA167" s="828"/>
      <c r="CB167" s="828"/>
      <c r="CC167" s="828"/>
      <c r="CD167" s="828"/>
      <c r="CE167" s="828"/>
      <c r="CF167" s="828"/>
      <c r="CG167" s="828"/>
      <c r="CH167" s="830"/>
      <c r="CI167" s="830"/>
      <c r="CJ167" s="830"/>
      <c r="CK167" s="1143"/>
      <c r="CL167" s="830"/>
      <c r="CM167" s="1331"/>
      <c r="CN167" s="1331"/>
      <c r="CO167" s="898"/>
      <c r="CP167" s="898"/>
      <c r="CQ167" s="898"/>
      <c r="CR167" s="898"/>
      <c r="CS167" s="898"/>
      <c r="CT167" s="898"/>
      <c r="CU167" s="898"/>
      <c r="CV167" s="828"/>
      <c r="CW167" s="877"/>
    </row>
    <row r="168" spans="1:131" ht="16" thickBot="1" x14ac:dyDescent="0.3">
      <c r="B168" s="1332"/>
      <c r="C168" s="2326"/>
      <c r="D168" s="2326"/>
      <c r="E168" s="2327"/>
      <c r="F168" s="2328"/>
      <c r="G168" s="1333"/>
      <c r="H168" s="1333"/>
      <c r="I168" s="1141"/>
      <c r="J168" s="1222"/>
      <c r="K168" s="947"/>
      <c r="L168" s="832"/>
      <c r="M168" s="2323"/>
      <c r="N168" s="1328">
        <f>N165</f>
        <v>63792377.238079309</v>
      </c>
      <c r="O168" s="2329">
        <f>U165</f>
        <v>28750645.14249992</v>
      </c>
      <c r="P168" s="2330"/>
      <c r="Q168" s="947"/>
      <c r="R168" s="947"/>
      <c r="S168" s="1141"/>
      <c r="T168" s="1141"/>
      <c r="U168" s="898"/>
      <c r="V168" s="108"/>
      <c r="W168" s="1127"/>
      <c r="X168" s="877"/>
      <c r="Y168" s="828"/>
      <c r="Z168" s="828"/>
      <c r="AA168" s="107"/>
      <c r="AB168" s="828"/>
      <c r="AC168" s="828" t="s">
        <v>237</v>
      </c>
      <c r="AD168" s="828"/>
      <c r="AE168" s="837"/>
      <c r="AF168" s="1332"/>
      <c r="AG168" s="1334" t="s">
        <v>388</v>
      </c>
      <c r="AH168" s="1096" t="e">
        <f>AH165-AH167</f>
        <v>#REF!</v>
      </c>
      <c r="AI168" s="828"/>
      <c r="AJ168" s="828"/>
      <c r="AK168" s="828"/>
      <c r="AL168" s="828"/>
      <c r="AM168" s="828"/>
      <c r="AN168" s="828"/>
      <c r="AO168" s="828"/>
      <c r="AP168" s="828"/>
      <c r="AQ168" s="828"/>
      <c r="AR168" s="828"/>
      <c r="AS168" s="828"/>
      <c r="AT168" s="828"/>
      <c r="AU168" s="828"/>
      <c r="AV168" s="828"/>
      <c r="AW168" s="828"/>
      <c r="AX168" s="828"/>
      <c r="AY168" s="828"/>
      <c r="BI168" s="828"/>
      <c r="BJ168" s="828"/>
      <c r="BK168" s="877"/>
      <c r="BL168" s="877"/>
      <c r="BM168" s="1097"/>
      <c r="BN168" s="1097"/>
      <c r="BO168" s="828"/>
      <c r="BP168" s="828"/>
      <c r="BQ168" s="828"/>
      <c r="BR168" s="828"/>
      <c r="BS168" s="828"/>
      <c r="BT168" s="828"/>
      <c r="BU168" s="828"/>
      <c r="BV168" s="828"/>
      <c r="BW168" s="828"/>
      <c r="BX168" s="828"/>
      <c r="BY168" s="828"/>
      <c r="BZ168" s="828"/>
      <c r="CA168" s="828"/>
      <c r="CB168" s="828"/>
      <c r="CC168" s="828"/>
      <c r="CD168" s="828"/>
      <c r="CE168" s="828"/>
      <c r="CF168" s="828"/>
      <c r="CG168" s="828"/>
      <c r="CH168" s="828"/>
      <c r="CI168" s="828"/>
      <c r="CJ168" s="828"/>
      <c r="CK168" s="828"/>
      <c r="CL168" s="830"/>
      <c r="CM168" s="836"/>
      <c r="CN168" s="836"/>
      <c r="CO168" s="898"/>
      <c r="CP168" s="898"/>
      <c r="CQ168" s="898"/>
      <c r="CR168" s="898"/>
      <c r="CS168" s="898"/>
      <c r="CT168" s="898"/>
      <c r="CU168" s="898"/>
      <c r="CV168" s="828"/>
      <c r="CW168" s="877"/>
    </row>
    <row r="169" spans="1:131" ht="4.5" customHeight="1" x14ac:dyDescent="0.25">
      <c r="A169" s="832"/>
      <c r="B169" s="832"/>
      <c r="C169" s="832"/>
      <c r="D169" s="832"/>
      <c r="E169" s="832"/>
      <c r="F169" s="832"/>
      <c r="G169" s="832"/>
      <c r="H169" s="1143"/>
      <c r="I169" s="1141"/>
      <c r="J169" s="947"/>
      <c r="K169" s="947"/>
      <c r="L169" s="828"/>
      <c r="M169" s="828"/>
      <c r="N169" s="1127"/>
      <c r="O169" s="1140"/>
      <c r="P169" s="828"/>
      <c r="Q169" s="832"/>
      <c r="R169" s="832"/>
      <c r="S169" s="828"/>
      <c r="T169" s="828"/>
      <c r="U169" s="828"/>
      <c r="V169" s="108"/>
      <c r="W169" s="1127"/>
      <c r="X169" s="877"/>
      <c r="Y169" s="828"/>
      <c r="Z169" s="828"/>
      <c r="AA169" s="107"/>
      <c r="AB169" s="828"/>
      <c r="AC169" s="828"/>
      <c r="AD169" s="828"/>
      <c r="AE169" s="837"/>
      <c r="AF169" s="828" t="s">
        <v>407</v>
      </c>
      <c r="AG169" s="828"/>
      <c r="AH169" s="828"/>
      <c r="AI169" s="828"/>
      <c r="AJ169" s="828"/>
      <c r="AK169" s="828"/>
      <c r="AL169" s="828"/>
      <c r="AM169" s="828"/>
      <c r="AN169" s="828"/>
      <c r="AO169" s="828"/>
      <c r="AP169" s="828"/>
      <c r="AQ169" s="828"/>
      <c r="AR169" s="828"/>
      <c r="AS169" s="828"/>
      <c r="AT169" s="828"/>
      <c r="AU169" s="828"/>
      <c r="AV169" s="828"/>
      <c r="AW169" s="828"/>
      <c r="AX169" s="828"/>
      <c r="AY169" s="828"/>
      <c r="BI169" s="828"/>
      <c r="BJ169" s="828"/>
      <c r="BK169" s="877"/>
      <c r="BL169" s="877"/>
      <c r="BM169" s="1097"/>
      <c r="BN169" s="1097"/>
      <c r="BO169" s="828"/>
      <c r="BP169" s="828"/>
      <c r="BQ169" s="828"/>
      <c r="BR169" s="828"/>
      <c r="BS169" s="828"/>
      <c r="BT169" s="828"/>
      <c r="BU169" s="828"/>
      <c r="BV169" s="828"/>
      <c r="BW169" s="828"/>
      <c r="BX169" s="828"/>
      <c r="BY169" s="828"/>
      <c r="BZ169" s="828"/>
      <c r="CA169" s="828"/>
      <c r="CB169" s="828"/>
      <c r="CC169" s="828"/>
      <c r="CD169" s="1332"/>
      <c r="CE169" s="1332"/>
      <c r="CF169" s="1332"/>
      <c r="CG169" s="1332"/>
      <c r="CH169" s="1332"/>
      <c r="CI169" s="1332"/>
      <c r="CJ169" s="1332"/>
      <c r="CK169" s="1143"/>
      <c r="CL169" s="830"/>
      <c r="CM169" s="832"/>
      <c r="CN169" s="832"/>
      <c r="CO169" s="832"/>
      <c r="CP169" s="832"/>
      <c r="CQ169" s="832"/>
      <c r="CR169" s="832"/>
      <c r="CS169" s="832"/>
      <c r="CT169" s="832"/>
      <c r="CU169" s="832"/>
      <c r="CV169" s="832"/>
      <c r="CW169" s="877"/>
    </row>
    <row r="170" spans="1:131" ht="15.5" x14ac:dyDescent="0.25">
      <c r="A170" s="832"/>
      <c r="B170" s="832"/>
      <c r="C170" s="832"/>
      <c r="D170" s="832"/>
      <c r="E170" s="832"/>
      <c r="F170" s="832"/>
      <c r="G170" s="832"/>
      <c r="H170" s="1143"/>
      <c r="I170" s="1141"/>
      <c r="J170" s="947"/>
      <c r="K170" s="947"/>
      <c r="L170" s="828"/>
      <c r="M170" s="947"/>
      <c r="N170" s="1145"/>
      <c r="O170" s="1146"/>
      <c r="P170" s="947"/>
      <c r="Q170" s="832"/>
      <c r="R170" s="832"/>
      <c r="S170" s="1141"/>
      <c r="T170" s="1141"/>
      <c r="U170" s="1141"/>
      <c r="V170" s="1141"/>
      <c r="W170" s="1147"/>
      <c r="X170" s="1141"/>
      <c r="Y170" s="1141"/>
      <c r="Z170" s="828"/>
      <c r="AA170" s="107"/>
      <c r="AB170" s="828"/>
      <c r="AC170" s="828"/>
      <c r="AD170" s="828"/>
      <c r="AE170" s="837"/>
      <c r="AF170" s="828"/>
      <c r="AG170" s="828"/>
      <c r="AH170" s="828"/>
      <c r="AI170" s="828"/>
      <c r="AJ170" s="828"/>
      <c r="AK170" s="828"/>
      <c r="AL170" s="828"/>
      <c r="AM170" s="828"/>
      <c r="AN170" s="828"/>
      <c r="AO170" s="828"/>
      <c r="AP170" s="828"/>
      <c r="AQ170" s="828"/>
      <c r="AR170" s="828"/>
      <c r="AS170" s="828"/>
      <c r="AT170" s="828"/>
      <c r="AU170" s="828"/>
      <c r="AV170" s="828"/>
      <c r="AW170" s="828"/>
      <c r="AX170" s="828"/>
      <c r="AY170" s="828"/>
      <c r="BI170" s="828"/>
      <c r="BJ170" s="828"/>
      <c r="BK170" s="877"/>
      <c r="BL170" s="877"/>
      <c r="BM170" s="1097"/>
      <c r="BN170" s="1097"/>
      <c r="BO170" s="828"/>
      <c r="BP170" s="828"/>
      <c r="BQ170" s="828"/>
      <c r="BR170" s="828"/>
      <c r="BS170" s="828"/>
      <c r="BT170" s="828"/>
      <c r="BU170" s="828"/>
      <c r="BV170" s="828"/>
      <c r="BW170" s="828"/>
      <c r="BX170" s="828"/>
      <c r="BY170" s="828"/>
      <c r="BZ170" s="828"/>
      <c r="CA170" s="828"/>
      <c r="CB170" s="828"/>
      <c r="CC170" s="828"/>
      <c r="CD170" s="1332"/>
      <c r="CE170" s="1332"/>
      <c r="CF170" s="1332"/>
      <c r="CG170" s="1332"/>
      <c r="CH170" s="1332"/>
      <c r="CI170" s="1332"/>
      <c r="CJ170" s="1332"/>
      <c r="CK170" s="1143"/>
      <c r="CL170" s="830"/>
      <c r="CM170" s="832"/>
      <c r="CN170" s="832"/>
      <c r="CO170" s="832"/>
      <c r="CP170" s="832"/>
      <c r="CQ170" s="832"/>
      <c r="CR170" s="832"/>
      <c r="CS170" s="832"/>
      <c r="CT170" s="832"/>
      <c r="CU170" s="832"/>
      <c r="CV170" s="832"/>
      <c r="CW170" s="832"/>
    </row>
    <row r="171" spans="1:131" ht="27" customHeight="1" x14ac:dyDescent="0.25">
      <c r="A171" s="832"/>
      <c r="B171" s="1335"/>
      <c r="C171" s="832"/>
      <c r="D171" s="832"/>
      <c r="E171" s="832"/>
      <c r="F171" s="832"/>
      <c r="G171" s="832"/>
      <c r="I171" s="1141"/>
      <c r="J171" s="947"/>
      <c r="K171" s="947"/>
      <c r="L171" s="828"/>
      <c r="M171" s="947"/>
      <c r="N171" s="1336">
        <f>68774115-4981738</f>
        <v>63792377</v>
      </c>
      <c r="O171" s="1336">
        <f>517140+59400+993780+1241100+19523250+1146636+5789196+3820+14443-538084</f>
        <v>28750681</v>
      </c>
      <c r="P171" s="947"/>
      <c r="Q171" s="832"/>
      <c r="R171" s="832"/>
      <c r="S171" s="1141"/>
      <c r="T171" s="1141"/>
      <c r="U171" s="1337"/>
      <c r="V171" s="1141"/>
      <c r="W171" s="1147"/>
      <c r="X171" s="1141"/>
      <c r="Y171" s="1141"/>
      <c r="Z171" s="828"/>
      <c r="AA171" s="133"/>
      <c r="AB171" s="828"/>
      <c r="AC171" s="828"/>
      <c r="AD171" s="828"/>
      <c r="AE171" s="837"/>
      <c r="AF171" s="828"/>
      <c r="AG171" s="828"/>
      <c r="AH171" s="828"/>
      <c r="AI171" s="828"/>
      <c r="AJ171" s="828"/>
      <c r="AK171" s="828"/>
      <c r="AL171" s="828"/>
      <c r="AM171" s="828"/>
      <c r="AN171" s="828"/>
      <c r="AO171" s="828"/>
      <c r="AP171" s="828"/>
      <c r="AQ171" s="828"/>
      <c r="AR171" s="828"/>
      <c r="AS171" s="828"/>
      <c r="AT171" s="828"/>
      <c r="AU171" s="828"/>
      <c r="AV171" s="828"/>
      <c r="AW171" s="828"/>
      <c r="AX171" s="828"/>
      <c r="AY171" s="828"/>
      <c r="BI171" s="828"/>
      <c r="BJ171" s="828"/>
      <c r="BK171" s="877"/>
      <c r="BL171" s="877"/>
      <c r="BM171" s="1097"/>
      <c r="BN171" s="1097"/>
      <c r="BO171" s="828"/>
      <c r="BP171" s="828"/>
      <c r="BQ171" s="828"/>
      <c r="BR171" s="828"/>
      <c r="BS171" s="828"/>
      <c r="BT171" s="828"/>
      <c r="BU171" s="828"/>
      <c r="BV171" s="828"/>
      <c r="BW171" s="828"/>
      <c r="BX171" s="828"/>
      <c r="BY171" s="828"/>
      <c r="BZ171" s="828"/>
      <c r="CA171" s="828"/>
      <c r="CB171" s="828"/>
      <c r="CC171" s="828"/>
      <c r="CD171" s="1332"/>
      <c r="CE171" s="1332"/>
      <c r="CF171" s="1332"/>
      <c r="CG171" s="1332"/>
      <c r="CH171" s="1332"/>
      <c r="CI171" s="1332"/>
      <c r="CJ171" s="1332"/>
      <c r="CK171" s="1332"/>
      <c r="CL171" s="1332"/>
      <c r="CM171" s="1338"/>
      <c r="CN171" s="832"/>
      <c r="CO171" s="832"/>
      <c r="CP171" s="832"/>
      <c r="CQ171" s="832"/>
      <c r="CR171" s="832"/>
      <c r="CS171" s="832"/>
      <c r="CT171" s="832"/>
      <c r="CU171" s="832"/>
      <c r="CV171" s="832"/>
      <c r="CW171" s="832"/>
    </row>
    <row r="172" spans="1:131" ht="15.5" x14ac:dyDescent="0.25">
      <c r="A172" s="832"/>
      <c r="B172" s="832"/>
      <c r="C172" s="832"/>
      <c r="D172" s="832"/>
      <c r="E172" s="832"/>
      <c r="F172" s="832"/>
      <c r="G172" s="832"/>
      <c r="H172" s="1143"/>
      <c r="I172" s="1339"/>
      <c r="J172" s="832"/>
      <c r="K172" s="832"/>
      <c r="L172" s="828"/>
      <c r="M172" s="947"/>
      <c r="N172" s="1145"/>
      <c r="O172" s="1146"/>
      <c r="P172" s="947"/>
      <c r="Q172" s="832"/>
      <c r="R172" s="832"/>
      <c r="S172" s="1141"/>
      <c r="T172" s="1141"/>
      <c r="U172" s="1141"/>
      <c r="V172" s="1141"/>
      <c r="W172" s="1147"/>
      <c r="X172" s="1141"/>
      <c r="Y172" s="1141"/>
      <c r="Z172" s="1340"/>
      <c r="AA172" s="107"/>
      <c r="AB172" s="828"/>
      <c r="AC172" s="828"/>
      <c r="AD172" s="828"/>
      <c r="AE172" s="828"/>
      <c r="AF172" s="828"/>
      <c r="AG172" s="828"/>
      <c r="AH172" s="828"/>
      <c r="AI172" s="828"/>
      <c r="AJ172" s="828"/>
      <c r="AK172" s="828"/>
      <c r="AL172" s="828"/>
      <c r="AM172" s="828"/>
      <c r="AN172" s="828"/>
      <c r="AO172" s="828"/>
      <c r="AP172" s="828"/>
      <c r="AQ172" s="828"/>
      <c r="AR172" s="828"/>
      <c r="AS172" s="828"/>
      <c r="AT172" s="828"/>
      <c r="AU172" s="828"/>
      <c r="AV172" s="828"/>
      <c r="AW172" s="828"/>
      <c r="AX172" s="828"/>
      <c r="AY172" s="828"/>
      <c r="BI172" s="828"/>
      <c r="BJ172" s="828"/>
      <c r="BK172" s="877"/>
      <c r="BL172" s="877"/>
      <c r="BM172" s="1097"/>
      <c r="BN172" s="1097"/>
      <c r="BO172" s="828"/>
      <c r="BP172" s="828"/>
      <c r="BQ172" s="828"/>
      <c r="BR172" s="828"/>
      <c r="BS172" s="828"/>
      <c r="BT172" s="828"/>
      <c r="BU172" s="828"/>
      <c r="BV172" s="828"/>
      <c r="BW172" s="828"/>
      <c r="BX172" s="828"/>
      <c r="BY172" s="828"/>
      <c r="BZ172" s="828"/>
      <c r="CA172" s="828"/>
      <c r="CB172" s="828"/>
      <c r="CC172" s="828"/>
      <c r="CD172" s="1332"/>
      <c r="CE172" s="1332"/>
      <c r="CF172" s="1332"/>
      <c r="CG172" s="1332"/>
      <c r="CH172" s="1332"/>
      <c r="CI172" s="1332"/>
      <c r="CJ172" s="1332"/>
      <c r="CK172" s="1143"/>
      <c r="CL172" s="830"/>
      <c r="CM172" s="832"/>
      <c r="CN172" s="832"/>
      <c r="CO172" s="832"/>
      <c r="CP172" s="832"/>
      <c r="CQ172" s="832"/>
      <c r="CR172" s="832"/>
      <c r="CS172" s="832"/>
      <c r="CT172" s="832"/>
      <c r="CU172" s="832"/>
      <c r="CV172" s="832"/>
      <c r="CW172" s="832"/>
    </row>
    <row r="173" spans="1:131" ht="15.5" x14ac:dyDescent="0.25">
      <c r="A173" s="832"/>
      <c r="B173" s="832"/>
      <c r="C173" s="832"/>
      <c r="D173" s="832"/>
      <c r="E173" s="832"/>
      <c r="F173" s="832"/>
      <c r="G173" s="832"/>
      <c r="H173" s="1143"/>
      <c r="I173" s="830" t="s">
        <v>237</v>
      </c>
      <c r="J173" s="832"/>
      <c r="K173" s="832"/>
      <c r="L173" s="828"/>
      <c r="M173" s="947"/>
      <c r="N173" s="1145"/>
      <c r="O173" s="1146"/>
      <c r="P173" s="947"/>
      <c r="Q173" s="832"/>
      <c r="R173" s="832"/>
      <c r="S173" s="1141"/>
      <c r="T173" s="1141"/>
      <c r="U173" s="1141"/>
      <c r="V173" s="1141"/>
      <c r="W173" s="1147"/>
      <c r="X173" s="1141"/>
      <c r="Y173" s="1141"/>
      <c r="Z173" s="828"/>
      <c r="AA173" s="107"/>
      <c r="AB173" s="828"/>
      <c r="AC173" s="828"/>
      <c r="AD173" s="828"/>
      <c r="AE173" s="828"/>
      <c r="AF173" s="828"/>
      <c r="AG173" s="828"/>
      <c r="AH173" s="828"/>
      <c r="AI173" s="828"/>
      <c r="AJ173" s="828"/>
      <c r="AK173" s="828"/>
      <c r="AL173" s="828"/>
      <c r="AM173" s="828"/>
      <c r="AN173" s="828"/>
      <c r="AO173" s="828"/>
      <c r="AP173" s="828"/>
      <c r="AQ173" s="828"/>
      <c r="AR173" s="828"/>
      <c r="AS173" s="828"/>
      <c r="AT173" s="828"/>
      <c r="AU173" s="828"/>
      <c r="AV173" s="828"/>
      <c r="AW173" s="828"/>
      <c r="AX173" s="828"/>
      <c r="AY173" s="828"/>
      <c r="BI173" s="828"/>
      <c r="BJ173" s="828"/>
      <c r="BK173" s="877"/>
      <c r="BL173" s="877"/>
      <c r="BM173" s="1097"/>
      <c r="BN173" s="1097"/>
      <c r="BO173" s="828"/>
      <c r="BP173" s="828"/>
      <c r="BQ173" s="828"/>
      <c r="BR173" s="828"/>
      <c r="BS173" s="828"/>
      <c r="BT173" s="828"/>
      <c r="BU173" s="828"/>
      <c r="BV173" s="828"/>
      <c r="BW173" s="828"/>
      <c r="BX173" s="828"/>
      <c r="BY173" s="828"/>
      <c r="BZ173" s="828"/>
      <c r="CA173" s="828"/>
      <c r="CB173" s="828"/>
      <c r="CC173" s="828"/>
      <c r="CD173" s="1332"/>
      <c r="CE173" s="1332"/>
      <c r="CF173" s="1332"/>
      <c r="CG173" s="1332"/>
      <c r="CH173" s="1332"/>
      <c r="CI173" s="1332"/>
      <c r="CJ173" s="1332"/>
      <c r="CK173" s="1143"/>
      <c r="CL173" s="830"/>
      <c r="CM173" s="832"/>
      <c r="CN173" s="832"/>
      <c r="CO173" s="828"/>
      <c r="CP173" s="828"/>
      <c r="CQ173" s="828"/>
      <c r="CR173" s="832"/>
      <c r="CS173" s="832"/>
      <c r="CT173" s="828"/>
      <c r="CU173" s="828"/>
      <c r="CV173" s="832"/>
      <c r="CW173" s="832"/>
    </row>
    <row r="174" spans="1:131" ht="14.5" x14ac:dyDescent="0.25">
      <c r="G174" s="830"/>
      <c r="H174" s="1143"/>
      <c r="I174" s="830"/>
      <c r="J174" s="832" t="s">
        <v>237</v>
      </c>
      <c r="K174" s="832" t="s">
        <v>237</v>
      </c>
      <c r="L174" s="828"/>
      <c r="M174" s="947"/>
      <c r="N174" s="1145"/>
      <c r="O174" s="1146"/>
      <c r="P174" s="947"/>
      <c r="Q174" s="832"/>
      <c r="R174" s="832"/>
      <c r="S174" s="1141"/>
      <c r="T174" s="1141"/>
      <c r="U174" s="1141"/>
      <c r="V174" s="1141"/>
      <c r="W174" s="1147"/>
      <c r="X174" s="1141"/>
      <c r="Y174" s="1141"/>
      <c r="Z174" s="828"/>
      <c r="AA174" s="107"/>
      <c r="AB174" s="828"/>
      <c r="AC174" s="828"/>
      <c r="AD174" s="828"/>
      <c r="AE174" s="828"/>
      <c r="AG174" s="828"/>
      <c r="AH174" s="828"/>
      <c r="AI174" s="828"/>
      <c r="AJ174" s="828"/>
      <c r="AK174" s="828"/>
      <c r="AL174" s="828"/>
      <c r="AM174" s="828"/>
      <c r="AN174" s="828"/>
      <c r="AO174" s="828"/>
      <c r="AP174" s="828"/>
      <c r="AQ174" s="828"/>
      <c r="AR174" s="828"/>
      <c r="AS174" s="828"/>
      <c r="AT174" s="828"/>
      <c r="AU174" s="828"/>
      <c r="AV174" s="828"/>
      <c r="AW174" s="828"/>
      <c r="AX174" s="828"/>
      <c r="AY174" s="828"/>
      <c r="BI174" s="828"/>
      <c r="BJ174" s="828"/>
      <c r="BK174" s="877"/>
      <c r="BL174" s="877"/>
      <c r="BM174" s="1097"/>
      <c r="BN174" s="1097"/>
      <c r="BO174" s="828"/>
      <c r="BP174" s="828"/>
      <c r="BQ174" s="828"/>
      <c r="BR174" s="828"/>
      <c r="BS174" s="828"/>
      <c r="BT174" s="828"/>
      <c r="BU174" s="828"/>
      <c r="BV174" s="828"/>
      <c r="BW174" s="828"/>
      <c r="BX174" s="828"/>
      <c r="BY174" s="828"/>
      <c r="BZ174" s="828"/>
      <c r="CA174" s="828"/>
      <c r="CB174" s="828"/>
      <c r="CC174" s="828"/>
      <c r="CJ174" s="830"/>
      <c r="CK174" s="1143"/>
      <c r="CL174" s="830"/>
      <c r="CM174" s="832"/>
      <c r="CN174" s="832"/>
      <c r="CO174" s="828"/>
      <c r="CP174" s="828"/>
      <c r="CQ174" s="828"/>
      <c r="CR174" s="832"/>
      <c r="CS174" s="832"/>
      <c r="CT174" s="828"/>
      <c r="CU174" s="828"/>
      <c r="CV174" s="832"/>
      <c r="CW174" s="877"/>
    </row>
    <row r="175" spans="1:131" x14ac:dyDescent="0.25">
      <c r="A175" s="828"/>
      <c r="B175" s="829"/>
      <c r="C175" s="828"/>
      <c r="D175" s="828"/>
      <c r="E175" s="830"/>
      <c r="F175" s="830"/>
      <c r="G175" s="830"/>
      <c r="H175" s="1143"/>
      <c r="I175" s="830"/>
      <c r="J175" s="832"/>
      <c r="K175" s="832"/>
      <c r="L175" s="828"/>
      <c r="M175" s="828"/>
      <c r="N175" s="1127"/>
      <c r="O175" s="1140"/>
      <c r="P175" s="828"/>
      <c r="Q175" s="832"/>
      <c r="R175" s="832"/>
      <c r="S175" s="1141"/>
      <c r="T175" s="1141"/>
      <c r="U175" s="1141"/>
      <c r="V175" s="1141"/>
      <c r="W175" s="1147"/>
      <c r="X175" s="1141"/>
      <c r="Y175" s="1141"/>
      <c r="Z175" s="828"/>
      <c r="AA175" s="107"/>
      <c r="AB175" s="828"/>
      <c r="AC175" s="828"/>
      <c r="AD175" s="828"/>
      <c r="AE175" s="828"/>
      <c r="AF175" s="829"/>
      <c r="AG175" s="828"/>
      <c r="AH175" s="828"/>
      <c r="AI175" s="828"/>
      <c r="AJ175" s="828"/>
      <c r="AK175" s="828"/>
      <c r="AL175" s="828"/>
      <c r="AM175" s="828"/>
      <c r="AN175" s="828"/>
      <c r="AO175" s="828"/>
      <c r="AP175" s="828"/>
      <c r="AQ175" s="828"/>
      <c r="AR175" s="828"/>
      <c r="AS175" s="828"/>
      <c r="AT175" s="828"/>
      <c r="AU175" s="828"/>
      <c r="AV175" s="828"/>
      <c r="AW175" s="828"/>
      <c r="AX175" s="828"/>
      <c r="AY175" s="828"/>
      <c r="BI175" s="828"/>
      <c r="BJ175" s="828"/>
      <c r="BK175" s="877"/>
      <c r="BL175" s="877"/>
      <c r="BM175" s="1097"/>
      <c r="BN175" s="1097"/>
      <c r="BO175" s="828"/>
      <c r="BP175" s="828"/>
      <c r="BQ175" s="828"/>
      <c r="BR175" s="828"/>
      <c r="BS175" s="828"/>
      <c r="BT175" s="828"/>
      <c r="BU175" s="828"/>
      <c r="BV175" s="828"/>
      <c r="BW175" s="828"/>
      <c r="BX175" s="828"/>
      <c r="BY175" s="828"/>
      <c r="BZ175" s="828"/>
      <c r="CA175" s="828"/>
      <c r="CB175" s="828"/>
      <c r="CC175" s="828"/>
      <c r="CD175" s="828"/>
      <c r="CE175" s="829"/>
      <c r="CF175" s="828"/>
      <c r="CG175" s="828"/>
      <c r="CH175" s="830"/>
      <c r="CI175" s="830"/>
      <c r="CJ175" s="830"/>
      <c r="CK175" s="1143"/>
      <c r="CL175" s="830"/>
      <c r="CM175" s="832"/>
      <c r="CN175" s="832"/>
      <c r="CO175" s="828"/>
      <c r="CP175" s="828"/>
      <c r="CQ175" s="828"/>
      <c r="CR175" s="832"/>
      <c r="CS175" s="832"/>
      <c r="CT175" s="828"/>
      <c r="CU175" s="828"/>
      <c r="CV175" s="828"/>
      <c r="CW175" s="877"/>
    </row>
    <row r="176" spans="1:131" x14ac:dyDescent="0.25">
      <c r="A176" s="828"/>
      <c r="B176" s="829"/>
      <c r="C176" s="828"/>
      <c r="D176" s="828"/>
      <c r="E176" s="830"/>
      <c r="F176" s="830"/>
      <c r="G176" s="830"/>
      <c r="H176" s="1143"/>
      <c r="I176" s="830"/>
      <c r="J176" s="832"/>
      <c r="K176" s="832"/>
      <c r="L176" s="828"/>
      <c r="M176" s="828"/>
      <c r="N176" s="1127"/>
      <c r="O176" s="1140"/>
      <c r="P176" s="828"/>
      <c r="S176" s="828"/>
      <c r="T176" s="828"/>
      <c r="U176" s="828"/>
      <c r="V176" s="108"/>
      <c r="W176" s="1127"/>
      <c r="X176" s="877"/>
      <c r="Y176" s="828"/>
      <c r="Z176" s="828"/>
      <c r="AA176" s="107"/>
      <c r="AB176" s="828"/>
      <c r="AC176" s="828"/>
      <c r="AD176" s="828"/>
      <c r="AE176" s="828"/>
      <c r="AF176" s="829"/>
      <c r="AG176" s="828"/>
      <c r="AH176" s="828"/>
      <c r="AI176" s="828"/>
      <c r="AJ176" s="828"/>
      <c r="AK176" s="828"/>
      <c r="AL176" s="828"/>
      <c r="AM176" s="828"/>
      <c r="AN176" s="828"/>
      <c r="AO176" s="828"/>
      <c r="AP176" s="828"/>
      <c r="AQ176" s="828"/>
      <c r="AR176" s="828"/>
      <c r="AS176" s="828"/>
      <c r="AT176" s="828"/>
      <c r="AU176" s="828"/>
      <c r="AV176" s="828"/>
      <c r="AW176" s="828"/>
      <c r="AX176" s="828"/>
      <c r="AY176" s="828"/>
      <c r="BI176" s="828"/>
      <c r="BJ176" s="828"/>
      <c r="BK176" s="877"/>
      <c r="BL176" s="877"/>
      <c r="BM176" s="1097"/>
      <c r="BN176" s="1097"/>
      <c r="BO176" s="828"/>
      <c r="BP176" s="828"/>
      <c r="BQ176" s="828"/>
      <c r="BR176" s="828"/>
      <c r="BS176" s="828"/>
      <c r="BT176" s="828"/>
      <c r="BU176" s="828"/>
      <c r="BV176" s="828"/>
      <c r="BW176" s="828"/>
      <c r="BX176" s="828"/>
      <c r="BY176" s="828"/>
      <c r="BZ176" s="828"/>
      <c r="CA176" s="828"/>
      <c r="CB176" s="828"/>
      <c r="CC176" s="828"/>
      <c r="CD176" s="828"/>
      <c r="CE176" s="829"/>
      <c r="CF176" s="828"/>
      <c r="CG176" s="828"/>
      <c r="CH176" s="830"/>
      <c r="CI176" s="830"/>
      <c r="CJ176" s="830"/>
      <c r="CK176" s="1143"/>
      <c r="CL176" s="830"/>
      <c r="CM176" s="832"/>
      <c r="CN176" s="832"/>
      <c r="CO176" s="828"/>
      <c r="CP176" s="828"/>
      <c r="CQ176" s="828"/>
      <c r="CT176" s="828"/>
      <c r="CU176" s="828"/>
      <c r="CV176" s="828"/>
      <c r="CW176" s="877"/>
    </row>
    <row r="177" spans="1:102" x14ac:dyDescent="0.25">
      <c r="A177" s="828"/>
      <c r="B177" s="829"/>
      <c r="C177" s="828"/>
      <c r="D177" s="828"/>
      <c r="E177" s="830"/>
      <c r="F177" s="830"/>
      <c r="G177" s="830"/>
      <c r="H177" s="1143"/>
      <c r="I177" s="830"/>
      <c r="J177" s="832"/>
      <c r="K177" s="832"/>
      <c r="L177" s="828"/>
      <c r="M177" s="828"/>
      <c r="N177" s="1127"/>
      <c r="O177" s="1140"/>
      <c r="P177" s="828"/>
      <c r="Q177" s="832"/>
      <c r="R177" s="832"/>
      <c r="S177" s="828"/>
      <c r="T177" s="828"/>
      <c r="U177" s="828"/>
      <c r="V177" s="108"/>
      <c r="W177" s="1127"/>
      <c r="X177" s="877"/>
      <c r="Y177" s="828"/>
      <c r="Z177" s="828"/>
      <c r="AA177" s="107"/>
      <c r="AB177" s="828"/>
      <c r="AC177" s="828"/>
      <c r="AD177" s="828"/>
      <c r="AE177" s="828"/>
      <c r="AF177" s="829"/>
      <c r="AG177" s="828"/>
      <c r="AH177" s="828"/>
      <c r="AI177" s="828"/>
      <c r="AJ177" s="828"/>
      <c r="AK177" s="828"/>
      <c r="AL177" s="828"/>
      <c r="AM177" s="828"/>
      <c r="AN177" s="828"/>
      <c r="AO177" s="828"/>
      <c r="AP177" s="828"/>
      <c r="AQ177" s="828"/>
      <c r="AR177" s="828"/>
      <c r="AS177" s="828"/>
      <c r="AT177" s="828"/>
      <c r="AU177" s="828"/>
      <c r="AV177" s="828"/>
      <c r="AW177" s="828"/>
      <c r="AX177" s="828"/>
      <c r="AY177" s="828"/>
      <c r="BI177" s="828"/>
      <c r="BJ177" s="828"/>
      <c r="BK177" s="877"/>
      <c r="BL177" s="877"/>
      <c r="BM177" s="1097"/>
      <c r="BN177" s="1097"/>
      <c r="BO177" s="828"/>
      <c r="BP177" s="828"/>
      <c r="BQ177" s="828"/>
      <c r="BR177" s="828"/>
      <c r="BS177" s="828"/>
      <c r="BT177" s="828"/>
      <c r="BU177" s="828"/>
      <c r="BV177" s="828"/>
      <c r="BW177" s="828"/>
      <c r="BX177" s="828"/>
      <c r="BY177" s="828"/>
      <c r="BZ177" s="828"/>
      <c r="CA177" s="828"/>
      <c r="CB177" s="828"/>
      <c r="CC177" s="828"/>
      <c r="CD177" s="828"/>
      <c r="CE177" s="829"/>
      <c r="CF177" s="828"/>
      <c r="CG177" s="828"/>
      <c r="CH177" s="830"/>
      <c r="CI177" s="830"/>
      <c r="CJ177" s="830"/>
      <c r="CK177" s="1143"/>
      <c r="CL177" s="830"/>
      <c r="CM177" s="832"/>
      <c r="CN177" s="832"/>
      <c r="CO177" s="828"/>
      <c r="CP177" s="828"/>
      <c r="CQ177" s="828"/>
      <c r="CR177" s="832"/>
      <c r="CS177" s="832"/>
      <c r="CT177" s="828"/>
      <c r="CV177" s="828"/>
      <c r="CW177" s="877"/>
    </row>
    <row r="178" spans="1:102" ht="20.25" customHeight="1" x14ac:dyDescent="0.25">
      <c r="A178" s="837"/>
      <c r="B178" s="2316" t="s">
        <v>405</v>
      </c>
      <c r="C178" s="2316"/>
      <c r="D178" s="2316"/>
      <c r="E178" s="2316"/>
      <c r="F178" s="2316"/>
      <c r="G178" s="2316"/>
      <c r="H178" s="2316"/>
      <c r="I178" s="2316"/>
      <c r="J178" s="2316"/>
      <c r="K178" s="832"/>
      <c r="L178" s="828"/>
      <c r="M178" s="837"/>
      <c r="N178" s="2317" t="str">
        <f>P104</f>
        <v>Month December-2022</v>
      </c>
      <c r="O178" s="2317"/>
      <c r="P178" s="2317"/>
      <c r="Q178" s="1341"/>
      <c r="R178" s="1341"/>
      <c r="S178" s="1342"/>
      <c r="T178" s="1342"/>
      <c r="U178" s="1342"/>
      <c r="V178" s="132"/>
      <c r="W178" s="1343"/>
      <c r="X178" s="1344"/>
      <c r="Y178" s="1342"/>
      <c r="Z178" s="1342"/>
      <c r="AA178" s="131"/>
      <c r="AB178" s="1342"/>
      <c r="AC178" s="1342"/>
      <c r="AD178" s="1342"/>
      <c r="AE178" s="1342"/>
      <c r="AF178" s="1107"/>
      <c r="AG178" s="1342"/>
      <c r="AH178" s="1342"/>
      <c r="AI178" s="1342"/>
      <c r="AJ178" s="1342"/>
      <c r="AK178" s="1342"/>
      <c r="AL178" s="1342"/>
      <c r="AM178" s="1342"/>
      <c r="AN178" s="1342"/>
      <c r="AO178" s="1342"/>
      <c r="AP178" s="1342"/>
      <c r="AQ178" s="1342"/>
      <c r="AR178" s="1342"/>
      <c r="AS178" s="1342"/>
      <c r="AT178" s="1342"/>
      <c r="AU178" s="1342"/>
      <c r="AV178" s="1342"/>
      <c r="AW178" s="1342"/>
      <c r="AX178" s="1342"/>
      <c r="AY178" s="1342"/>
      <c r="BB178" s="822" t="s">
        <v>406</v>
      </c>
      <c r="BI178" s="1342"/>
      <c r="BJ178" s="1342"/>
      <c r="BK178" s="1344"/>
      <c r="BL178" s="1344"/>
      <c r="BM178" s="1345"/>
      <c r="BN178" s="1345"/>
      <c r="BO178" s="1342"/>
      <c r="BP178" s="1342"/>
      <c r="BQ178" s="1342"/>
      <c r="BR178" s="1342"/>
      <c r="BS178" s="1342"/>
      <c r="BT178" s="1342"/>
      <c r="BU178" s="1342"/>
      <c r="BV178" s="1342"/>
      <c r="BW178" s="837"/>
      <c r="BX178" s="828"/>
      <c r="BY178" s="828"/>
      <c r="BZ178" s="828"/>
      <c r="CA178" s="828"/>
      <c r="CB178" s="828"/>
      <c r="CC178" s="828"/>
      <c r="CD178" s="837"/>
      <c r="CE178" s="1107"/>
      <c r="CF178" s="837"/>
      <c r="CG178" s="837"/>
      <c r="CH178" s="1108"/>
      <c r="CI178" s="2316" t="s">
        <v>405</v>
      </c>
      <c r="CJ178" s="2316"/>
      <c r="CK178" s="2316"/>
      <c r="CL178" s="2316"/>
      <c r="CM178" s="2316"/>
      <c r="CN178" s="832"/>
      <c r="CO178" s="828"/>
      <c r="CP178" s="837"/>
      <c r="CQ178" s="1144"/>
      <c r="CR178" s="1341"/>
      <c r="CS178" s="1341"/>
      <c r="CT178" s="1342"/>
      <c r="CU178" s="1342"/>
      <c r="CV178" s="1342"/>
      <c r="CW178" s="1344"/>
    </row>
    <row r="179" spans="1:102" x14ac:dyDescent="0.25">
      <c r="A179" s="2318"/>
      <c r="B179" s="2318"/>
      <c r="C179" s="2318"/>
      <c r="D179" s="2318"/>
      <c r="E179" s="2318"/>
      <c r="F179" s="2318"/>
      <c r="G179" s="2318"/>
      <c r="H179" s="2318"/>
      <c r="I179" s="2318"/>
      <c r="J179" s="2318"/>
      <c r="K179" s="2318"/>
      <c r="L179" s="2318"/>
      <c r="M179" s="2318"/>
      <c r="N179" s="2318"/>
      <c r="O179" s="2318"/>
      <c r="P179" s="828"/>
      <c r="Q179" s="836"/>
      <c r="R179" s="836"/>
      <c r="S179" s="837"/>
      <c r="T179" s="837"/>
      <c r="U179" s="837"/>
      <c r="V179" s="130"/>
      <c r="W179" s="838"/>
      <c r="X179" s="839"/>
      <c r="Y179" s="837"/>
      <c r="Z179" s="837"/>
      <c r="AA179" s="129"/>
      <c r="AB179" s="837"/>
      <c r="AC179" s="837"/>
      <c r="AD179" s="837"/>
      <c r="AE179" s="837"/>
      <c r="AF179" s="837"/>
      <c r="AG179" s="837"/>
      <c r="AH179" s="837"/>
      <c r="AI179" s="837"/>
      <c r="AJ179" s="837"/>
      <c r="AK179" s="837"/>
      <c r="AL179" s="837"/>
      <c r="AM179" s="837"/>
      <c r="AN179" s="837"/>
      <c r="AO179" s="837"/>
      <c r="AP179" s="837"/>
      <c r="AQ179" s="837"/>
      <c r="AR179" s="837"/>
      <c r="AS179" s="837"/>
      <c r="AT179" s="837"/>
      <c r="AU179" s="837"/>
      <c r="AV179" s="837"/>
      <c r="AW179" s="837"/>
      <c r="AX179" s="837"/>
      <c r="AY179" s="837"/>
      <c r="BI179" s="837"/>
      <c r="BJ179" s="837"/>
      <c r="BK179" s="839"/>
      <c r="BL179" s="839"/>
      <c r="BM179" s="840"/>
      <c r="BN179" s="840"/>
      <c r="BO179" s="837"/>
      <c r="BP179" s="837"/>
      <c r="BQ179" s="837"/>
      <c r="BR179" s="837"/>
      <c r="BS179" s="837"/>
      <c r="BT179" s="837"/>
      <c r="BU179" s="837"/>
      <c r="BV179" s="837"/>
      <c r="BW179" s="837"/>
      <c r="BX179" s="828"/>
      <c r="BY179" s="828"/>
      <c r="BZ179" s="828"/>
      <c r="CA179" s="828"/>
      <c r="CB179" s="828"/>
      <c r="CC179" s="828"/>
      <c r="CD179" s="2318"/>
      <c r="CE179" s="2318"/>
      <c r="CF179" s="2318"/>
      <c r="CG179" s="2318"/>
      <c r="CH179" s="2318"/>
      <c r="CI179" s="2318"/>
      <c r="CJ179" s="2318"/>
      <c r="CK179" s="2318"/>
      <c r="CL179" s="2318"/>
      <c r="CM179" s="2318"/>
      <c r="CN179" s="2318"/>
      <c r="CO179" s="2318"/>
      <c r="CP179" s="2318"/>
      <c r="CQ179" s="2318"/>
      <c r="CR179" s="836"/>
      <c r="CS179" s="836"/>
      <c r="CT179" s="837"/>
      <c r="CU179" s="837"/>
      <c r="CV179" s="837"/>
      <c r="CW179" s="839"/>
    </row>
    <row r="180" spans="1:102" ht="20.9" customHeight="1" x14ac:dyDescent="0.25">
      <c r="A180" s="2305" t="s">
        <v>397</v>
      </c>
      <c r="B180" s="2306"/>
      <c r="C180" s="2306"/>
      <c r="D180" s="2306"/>
      <c r="E180" s="2306"/>
      <c r="F180" s="2306"/>
      <c r="G180" s="2306"/>
      <c r="H180" s="2307"/>
      <c r="I180" s="2305" t="s">
        <v>396</v>
      </c>
      <c r="J180" s="2306"/>
      <c r="K180" s="2306"/>
      <c r="L180" s="2307"/>
      <c r="M180" s="2278" t="s">
        <v>395</v>
      </c>
      <c r="N180" s="2280"/>
      <c r="O180" s="2319" t="s">
        <v>404</v>
      </c>
      <c r="P180" s="2305" t="s">
        <v>403</v>
      </c>
      <c r="Q180" s="2306"/>
      <c r="R180" s="2306"/>
      <c r="S180" s="2306"/>
      <c r="T180" s="2306"/>
      <c r="U180" s="2306"/>
      <c r="V180" s="2306"/>
      <c r="W180" s="2306"/>
      <c r="X180" s="2306"/>
      <c r="Y180" s="2307"/>
      <c r="Z180" s="1346"/>
      <c r="AA180" s="128"/>
      <c r="AB180" s="910"/>
      <c r="AC180" s="2311" t="s">
        <v>402</v>
      </c>
      <c r="AD180" s="837"/>
      <c r="AE180" s="837"/>
      <c r="AF180" s="837"/>
      <c r="AG180" s="837"/>
      <c r="AH180" s="837"/>
      <c r="AI180" s="837"/>
      <c r="AJ180" s="837"/>
      <c r="AK180" s="837"/>
      <c r="AL180" s="837"/>
      <c r="AM180" s="837"/>
      <c r="AN180" s="837"/>
      <c r="AO180" s="837"/>
      <c r="AP180" s="837"/>
      <c r="AQ180" s="837"/>
      <c r="AR180" s="837"/>
      <c r="AS180" s="837"/>
      <c r="AT180" s="837"/>
      <c r="AU180" s="837"/>
      <c r="AV180" s="837"/>
      <c r="AW180" s="837"/>
      <c r="AX180" s="837"/>
      <c r="AY180" s="837"/>
      <c r="BA180" s="902"/>
      <c r="BB180" s="902" t="s">
        <v>401</v>
      </c>
      <c r="BC180" s="902" t="s">
        <v>14</v>
      </c>
      <c r="BD180" s="902" t="s">
        <v>400</v>
      </c>
      <c r="BI180" s="837"/>
      <c r="BJ180" s="837"/>
      <c r="BK180" s="839"/>
      <c r="BL180" s="877"/>
      <c r="BM180" s="2313" t="s">
        <v>398</v>
      </c>
      <c r="BN180" s="2314"/>
      <c r="BO180" s="2315" t="s">
        <v>399</v>
      </c>
      <c r="BP180" s="2274"/>
      <c r="BQ180" s="846" t="s">
        <v>398</v>
      </c>
      <c r="BR180" s="861"/>
      <c r="BS180" s="861"/>
      <c r="BT180" s="861"/>
      <c r="BU180" s="861"/>
      <c r="BV180" s="828"/>
      <c r="BW180" s="828"/>
      <c r="BX180" s="828"/>
      <c r="BY180" s="828"/>
      <c r="BZ180" s="828"/>
      <c r="CA180" s="828"/>
      <c r="CB180" s="828"/>
      <c r="CC180" s="828"/>
      <c r="CD180" s="2305" t="s">
        <v>397</v>
      </c>
      <c r="CE180" s="2306"/>
      <c r="CF180" s="2306"/>
      <c r="CG180" s="2306"/>
      <c r="CH180" s="2306"/>
      <c r="CI180" s="2306"/>
      <c r="CJ180" s="2306"/>
      <c r="CK180" s="2307"/>
      <c r="CL180" s="2305" t="s">
        <v>396</v>
      </c>
      <c r="CM180" s="2306"/>
      <c r="CN180" s="2306"/>
      <c r="CO180" s="2307"/>
      <c r="CP180" s="2278" t="s">
        <v>395</v>
      </c>
      <c r="CQ180" s="2280"/>
      <c r="CR180" s="2305" t="str">
        <f>CR105</f>
        <v>KVAR CALCULATION</v>
      </c>
      <c r="CS180" s="2306"/>
      <c r="CT180" s="2307"/>
      <c r="CU180" s="2278" t="s">
        <v>394</v>
      </c>
      <c r="CV180" s="2280"/>
      <c r="CW180" s="2308" t="s">
        <v>391</v>
      </c>
      <c r="CX180" s="2310" t="s">
        <v>393</v>
      </c>
    </row>
    <row r="181" spans="1:102" ht="42" x14ac:dyDescent="0.25">
      <c r="A181" s="843" t="s">
        <v>376</v>
      </c>
      <c r="B181" s="852" t="s">
        <v>375</v>
      </c>
      <c r="C181" s="843" t="s">
        <v>374</v>
      </c>
      <c r="D181" s="843" t="s">
        <v>373</v>
      </c>
      <c r="E181" s="853" t="s">
        <v>385</v>
      </c>
      <c r="F181" s="853" t="s">
        <v>384</v>
      </c>
      <c r="G181" s="853" t="s">
        <v>383</v>
      </c>
      <c r="H181" s="854" t="s">
        <v>3</v>
      </c>
      <c r="I181" s="855" t="s">
        <v>5</v>
      </c>
      <c r="J181" s="862" t="str">
        <f>J106</f>
        <v>Reading at 00.00hr 
01.11.2021</v>
      </c>
      <c r="K181" s="862" t="str">
        <f>K106</f>
        <v>Reading at 00.00hr 
01.11.2021</v>
      </c>
      <c r="L181" s="843" t="s">
        <v>381</v>
      </c>
      <c r="M181" s="843" t="s">
        <v>372</v>
      </c>
      <c r="N181" s="856" t="s">
        <v>380</v>
      </c>
      <c r="O181" s="2320"/>
      <c r="P181" s="843" t="s">
        <v>392</v>
      </c>
      <c r="Q181" s="862" t="str">
        <f>J181</f>
        <v>Reading at 00.00hr 
01.11.2021</v>
      </c>
      <c r="R181" s="862" t="str">
        <f>K181</f>
        <v>Reading at 00.00hr 
01.11.2021</v>
      </c>
      <c r="S181" s="843" t="s">
        <v>379</v>
      </c>
      <c r="T181" s="843" t="s">
        <v>378</v>
      </c>
      <c r="U181" s="843" t="s">
        <v>377</v>
      </c>
      <c r="V181" s="116"/>
      <c r="W181" s="856"/>
      <c r="X181" s="851" t="s">
        <v>391</v>
      </c>
      <c r="Y181" s="843" t="s">
        <v>390</v>
      </c>
      <c r="Z181" s="924"/>
      <c r="AA181" s="127"/>
      <c r="AB181" s="924"/>
      <c r="AC181" s="2312"/>
      <c r="AD181" s="924"/>
      <c r="AE181" s="924"/>
      <c r="AF181" s="852" t="s">
        <v>375</v>
      </c>
      <c r="AG181" s="837"/>
      <c r="AH181" s="837"/>
      <c r="AI181" s="837"/>
      <c r="AJ181" s="837"/>
      <c r="AK181" s="837"/>
      <c r="AL181" s="837"/>
      <c r="AM181" s="837"/>
      <c r="AN181" s="837"/>
      <c r="AO181" s="837"/>
      <c r="AP181" s="837"/>
      <c r="AQ181" s="837"/>
      <c r="AR181" s="837"/>
      <c r="AS181" s="837"/>
      <c r="AT181" s="837"/>
      <c r="AU181" s="837"/>
      <c r="AV181" s="837"/>
      <c r="AW181" s="837"/>
      <c r="AX181" s="837"/>
      <c r="AY181" s="837"/>
      <c r="BA181" s="902" t="s">
        <v>389</v>
      </c>
      <c r="BB181" s="902"/>
      <c r="BC181" s="902">
        <v>962.34</v>
      </c>
      <c r="BD181" s="902">
        <v>265.23</v>
      </c>
      <c r="BI181" s="837"/>
      <c r="BJ181" s="837"/>
      <c r="BK181" s="839"/>
      <c r="BL181" s="877"/>
      <c r="BM181" s="860" t="s">
        <v>372</v>
      </c>
      <c r="BN181" s="860" t="s">
        <v>380</v>
      </c>
      <c r="BO181" s="861" t="s">
        <v>372</v>
      </c>
      <c r="BP181" s="861" t="s">
        <v>380</v>
      </c>
      <c r="BQ181" s="861" t="s">
        <v>388</v>
      </c>
      <c r="BR181" s="861"/>
      <c r="BS181" s="861"/>
      <c r="BT181" s="861"/>
      <c r="BU181" s="861"/>
      <c r="BV181" s="828"/>
      <c r="BW181" s="828"/>
      <c r="BX181" s="2278" t="s">
        <v>387</v>
      </c>
      <c r="BY181" s="2279"/>
      <c r="BZ181" s="2279"/>
      <c r="CA181" s="2280"/>
      <c r="CB181" s="1009" t="s">
        <v>386</v>
      </c>
      <c r="CC181" s="828"/>
      <c r="CD181" s="1009"/>
      <c r="CE181" s="852" t="s">
        <v>375</v>
      </c>
      <c r="CF181" s="843" t="s">
        <v>374</v>
      </c>
      <c r="CG181" s="1347" t="s">
        <v>373</v>
      </c>
      <c r="CH181" s="853" t="s">
        <v>385</v>
      </c>
      <c r="CI181" s="853" t="s">
        <v>384</v>
      </c>
      <c r="CJ181" s="853" t="s">
        <v>383</v>
      </c>
      <c r="CK181" s="854" t="s">
        <v>382</v>
      </c>
      <c r="CL181" s="855" t="s">
        <v>5</v>
      </c>
      <c r="CM181" s="862" t="str">
        <f>CM106</f>
        <v>Reading at 00.00hr 
01.01.18</v>
      </c>
      <c r="CN181" s="862" t="str">
        <f>CN106</f>
        <v>Reading at 00.00hr 
01.02.18</v>
      </c>
      <c r="CO181" s="843" t="s">
        <v>381</v>
      </c>
      <c r="CP181" s="843" t="s">
        <v>372</v>
      </c>
      <c r="CQ181" s="843" t="s">
        <v>380</v>
      </c>
      <c r="CR181" s="862" t="str">
        <f>CM181</f>
        <v>Reading at 00.00hr 
01.01.18</v>
      </c>
      <c r="CS181" s="862" t="str">
        <f>CN181</f>
        <v>Reading at 00.00hr 
01.02.18</v>
      </c>
      <c r="CT181" s="843" t="s">
        <v>379</v>
      </c>
      <c r="CU181" s="843" t="s">
        <v>378</v>
      </c>
      <c r="CV181" s="843" t="s">
        <v>377</v>
      </c>
      <c r="CW181" s="2309"/>
      <c r="CX181" s="2310"/>
    </row>
    <row r="182" spans="1:102" ht="20" x14ac:dyDescent="0.25">
      <c r="A182" s="843">
        <v>1</v>
      </c>
      <c r="B182" s="852">
        <v>2</v>
      </c>
      <c r="C182" s="843">
        <v>3</v>
      </c>
      <c r="D182" s="843">
        <v>4</v>
      </c>
      <c r="E182" s="853">
        <v>5</v>
      </c>
      <c r="F182" s="853">
        <v>6</v>
      </c>
      <c r="G182" s="853">
        <v>7</v>
      </c>
      <c r="H182" s="854">
        <v>8</v>
      </c>
      <c r="I182" s="853">
        <v>9</v>
      </c>
      <c r="J182" s="853">
        <v>11</v>
      </c>
      <c r="K182" s="853">
        <v>11</v>
      </c>
      <c r="L182" s="854">
        <v>12</v>
      </c>
      <c r="M182" s="853">
        <v>13</v>
      </c>
      <c r="N182" s="1348">
        <v>14</v>
      </c>
      <c r="O182" s="844">
        <v>15</v>
      </c>
      <c r="P182" s="854">
        <v>16</v>
      </c>
      <c r="Q182" s="854">
        <v>18</v>
      </c>
      <c r="R182" s="854">
        <v>18</v>
      </c>
      <c r="S182" s="853">
        <v>19</v>
      </c>
      <c r="T182" s="854">
        <v>20</v>
      </c>
      <c r="U182" s="853">
        <v>21</v>
      </c>
      <c r="V182" s="126"/>
      <c r="W182" s="1349"/>
      <c r="X182" s="1350">
        <v>22</v>
      </c>
      <c r="Y182" s="853">
        <v>23</v>
      </c>
      <c r="Z182" s="853"/>
      <c r="AA182" s="125"/>
      <c r="AB182" s="853"/>
      <c r="AC182" s="854">
        <v>26</v>
      </c>
      <c r="AD182" s="854"/>
      <c r="AE182" s="854"/>
      <c r="AF182" s="852">
        <v>2</v>
      </c>
      <c r="AG182" s="1351"/>
      <c r="AH182" s="1351"/>
      <c r="AI182" s="1351"/>
      <c r="AJ182" s="1351"/>
      <c r="AK182" s="1351"/>
      <c r="AL182" s="1351"/>
      <c r="AM182" s="1351"/>
      <c r="AN182" s="1351"/>
      <c r="AO182" s="1351"/>
      <c r="AP182" s="1351"/>
      <c r="AQ182" s="1351"/>
      <c r="AR182" s="1351"/>
      <c r="AS182" s="1351"/>
      <c r="AT182" s="1351"/>
      <c r="AU182" s="1351"/>
      <c r="AV182" s="1351"/>
      <c r="AW182" s="1351"/>
      <c r="AX182" s="1351"/>
      <c r="AY182" s="1351"/>
      <c r="BA182" s="902" t="s">
        <v>328</v>
      </c>
      <c r="BB182" s="902"/>
      <c r="BC182" s="902">
        <v>431.17</v>
      </c>
      <c r="BD182" s="902">
        <v>56.22</v>
      </c>
      <c r="BI182" s="1351"/>
      <c r="BJ182" s="1351"/>
      <c r="BK182" s="839"/>
      <c r="BL182" s="877"/>
      <c r="BM182" s="860">
        <f t="shared" ref="BM182:BN190" si="75">M182</f>
        <v>13</v>
      </c>
      <c r="BN182" s="860">
        <f t="shared" si="75"/>
        <v>14</v>
      </c>
      <c r="BO182" s="861"/>
      <c r="BP182" s="861"/>
      <c r="BQ182" s="879"/>
      <c r="BV182" s="828"/>
      <c r="BW182" s="828"/>
      <c r="BX182" s="861" t="s">
        <v>376</v>
      </c>
      <c r="BY182" s="861" t="s">
        <v>375</v>
      </c>
      <c r="BZ182" s="861" t="s">
        <v>374</v>
      </c>
      <c r="CA182" s="861" t="s">
        <v>373</v>
      </c>
      <c r="CB182" s="861" t="s">
        <v>372</v>
      </c>
      <c r="CC182" s="828"/>
      <c r="CD182" s="843">
        <v>1</v>
      </c>
      <c r="CE182" s="843">
        <v>2</v>
      </c>
      <c r="CF182" s="843">
        <v>3</v>
      </c>
      <c r="CG182" s="843">
        <v>4</v>
      </c>
      <c r="CH182" s="843">
        <v>5</v>
      </c>
      <c r="CI182" s="843">
        <v>6</v>
      </c>
      <c r="CJ182" s="843">
        <v>7</v>
      </c>
      <c r="CK182" s="843">
        <v>8</v>
      </c>
      <c r="CL182" s="843">
        <v>9</v>
      </c>
      <c r="CM182" s="843">
        <v>10</v>
      </c>
      <c r="CN182" s="843">
        <v>11</v>
      </c>
      <c r="CO182" s="843">
        <v>12</v>
      </c>
      <c r="CP182" s="843">
        <v>13</v>
      </c>
      <c r="CQ182" s="843">
        <v>14</v>
      </c>
      <c r="CR182" s="843">
        <v>15</v>
      </c>
      <c r="CS182" s="843">
        <v>16</v>
      </c>
      <c r="CT182" s="843">
        <v>17</v>
      </c>
      <c r="CU182" s="843">
        <v>18</v>
      </c>
      <c r="CV182" s="843">
        <v>19</v>
      </c>
      <c r="CW182" s="843">
        <v>20</v>
      </c>
      <c r="CX182" s="843">
        <v>21</v>
      </c>
    </row>
    <row r="183" spans="1:102" ht="12.75" customHeight="1" x14ac:dyDescent="0.25">
      <c r="A183" s="2278" t="s">
        <v>369</v>
      </c>
      <c r="B183" s="2279"/>
      <c r="C183" s="2279"/>
      <c r="D183" s="2279"/>
      <c r="E183" s="2279"/>
      <c r="F183" s="2280"/>
      <c r="G183" s="855"/>
      <c r="H183" s="932"/>
      <c r="I183" s="855"/>
      <c r="J183" s="867"/>
      <c r="K183" s="867"/>
      <c r="L183" s="861"/>
      <c r="M183" s="861"/>
      <c r="N183" s="868"/>
      <c r="O183" s="869"/>
      <c r="P183" s="861"/>
      <c r="Q183" s="1306"/>
      <c r="R183" s="1306"/>
      <c r="S183" s="879"/>
      <c r="T183" s="879"/>
      <c r="U183" s="879"/>
      <c r="V183" s="124"/>
      <c r="W183" s="1038"/>
      <c r="X183" s="957"/>
      <c r="Y183" s="879"/>
      <c r="Z183" s="879"/>
      <c r="AA183" s="123"/>
      <c r="AB183" s="879"/>
      <c r="AC183" s="879"/>
      <c r="AF183" s="820"/>
      <c r="BA183" s="902" t="s">
        <v>371</v>
      </c>
      <c r="BB183" s="902"/>
      <c r="BC183" s="902">
        <v>8700.85</v>
      </c>
      <c r="BD183" s="902">
        <v>3294.12</v>
      </c>
      <c r="BL183" s="877"/>
      <c r="BM183" s="860">
        <f t="shared" si="75"/>
        <v>0</v>
      </c>
      <c r="BN183" s="860">
        <f t="shared" si="75"/>
        <v>0</v>
      </c>
      <c r="BO183" s="861">
        <v>0</v>
      </c>
      <c r="BP183" s="861">
        <v>0</v>
      </c>
      <c r="BQ183" s="879"/>
      <c r="BV183" s="828"/>
      <c r="BW183" s="828"/>
      <c r="BX183" s="861">
        <v>1</v>
      </c>
      <c r="BY183" s="861">
        <v>2</v>
      </c>
      <c r="BZ183" s="861">
        <v>3</v>
      </c>
      <c r="CA183" s="861">
        <v>4</v>
      </c>
      <c r="CB183" s="861">
        <v>14</v>
      </c>
      <c r="CC183" s="828"/>
      <c r="CD183" s="2278" t="s">
        <v>369</v>
      </c>
      <c r="CE183" s="2279"/>
      <c r="CF183" s="2279"/>
      <c r="CG183" s="2279"/>
      <c r="CH183" s="2279"/>
      <c r="CI183" s="2280"/>
      <c r="CJ183" s="855"/>
      <c r="CK183" s="932"/>
      <c r="CL183" s="855"/>
      <c r="CM183" s="867"/>
      <c r="CN183" s="867"/>
      <c r="CO183" s="861"/>
      <c r="CP183" s="861"/>
      <c r="CQ183" s="861"/>
      <c r="CR183" s="1306"/>
      <c r="CS183" s="1306"/>
      <c r="CT183" s="879"/>
      <c r="CU183" s="879"/>
      <c r="CV183" s="879"/>
      <c r="CW183" s="957"/>
      <c r="CX183" s="879"/>
    </row>
    <row r="184" spans="1:102" ht="22.5" customHeight="1" x14ac:dyDescent="0.25">
      <c r="A184" s="861"/>
      <c r="B184" s="861" t="s">
        <v>367</v>
      </c>
      <c r="C184" s="2299" t="s">
        <v>366</v>
      </c>
      <c r="D184" s="843">
        <v>11</v>
      </c>
      <c r="E184" s="855" t="s">
        <v>326</v>
      </c>
      <c r="F184" s="855">
        <v>14957</v>
      </c>
      <c r="G184" s="855" t="s">
        <v>329</v>
      </c>
      <c r="H184" s="932" t="s">
        <v>324</v>
      </c>
      <c r="I184" s="855">
        <v>40000</v>
      </c>
      <c r="J184" s="1352">
        <v>1915.47</v>
      </c>
      <c r="K184" s="1352">
        <v>1915.47</v>
      </c>
      <c r="L184" s="861">
        <f t="shared" ref="L184:L190" si="76">K184-J184</f>
        <v>0</v>
      </c>
      <c r="M184" s="861"/>
      <c r="N184" s="868">
        <f t="shared" ref="N184:N190" si="77">L184*I184</f>
        <v>0</v>
      </c>
      <c r="O184" s="869"/>
      <c r="P184" s="2299" t="s">
        <v>354</v>
      </c>
      <c r="Q184" s="1306">
        <v>6270.8</v>
      </c>
      <c r="R184" s="1306">
        <v>6270.8</v>
      </c>
      <c r="S184" s="861">
        <f t="shared" ref="S184:S190" si="78">R184-Q184</f>
        <v>0</v>
      </c>
      <c r="T184" s="861"/>
      <c r="U184" s="861">
        <f t="shared" ref="U184:U190" si="79">S184*I184</f>
        <v>0</v>
      </c>
      <c r="V184" s="122"/>
      <c r="W184" s="868"/>
      <c r="X184" s="870" t="str">
        <f t="shared" ref="X184:X190" si="80">IF(S184&lt;0.00001,"0",COS(ATAN(S184/L184)))</f>
        <v>0</v>
      </c>
      <c r="Y184" s="1179" t="str">
        <f t="shared" ref="Y184:Y190" si="81">IF(X184&gt;0.9,"1",0.9/X184)</f>
        <v>1</v>
      </c>
      <c r="Z184" s="1179"/>
      <c r="AA184" s="121"/>
      <c r="AB184" s="890"/>
      <c r="AC184" s="861"/>
      <c r="AD184" s="861"/>
      <c r="AE184" s="861"/>
      <c r="AF184" s="861" t="s">
        <v>367</v>
      </c>
      <c r="AG184" s="828"/>
      <c r="AH184" s="828"/>
      <c r="AI184" s="828"/>
      <c r="AJ184" s="828"/>
      <c r="AK184" s="828"/>
      <c r="AL184" s="828"/>
      <c r="AM184" s="828"/>
      <c r="AN184" s="828"/>
      <c r="AO184" s="828"/>
      <c r="AP184" s="828"/>
      <c r="AQ184" s="828"/>
      <c r="AR184" s="828"/>
      <c r="AS184" s="828"/>
      <c r="AT184" s="828"/>
      <c r="AU184" s="828"/>
      <c r="AV184" s="828"/>
      <c r="AW184" s="828"/>
      <c r="AX184" s="828"/>
      <c r="AY184" s="828"/>
      <c r="BA184" s="902" t="s">
        <v>370</v>
      </c>
      <c r="BB184" s="902"/>
      <c r="BC184" s="902">
        <v>3602.65</v>
      </c>
      <c r="BD184" s="902">
        <v>1739.62</v>
      </c>
      <c r="BI184" s="828"/>
      <c r="BJ184" s="828"/>
      <c r="BK184" s="877"/>
      <c r="BL184" s="877" t="e">
        <f>#REF!*1.025</f>
        <v>#REF!</v>
      </c>
      <c r="BM184" s="860">
        <f t="shared" si="75"/>
        <v>0</v>
      </c>
      <c r="BN184" s="860">
        <f t="shared" si="75"/>
        <v>0</v>
      </c>
      <c r="BO184" s="861">
        <v>0</v>
      </c>
      <c r="BP184" s="861">
        <v>1770400</v>
      </c>
      <c r="BQ184" s="861">
        <f t="shared" ref="BQ184:BQ190" si="82">BO184-BM184</f>
        <v>0</v>
      </c>
      <c r="BR184" s="828"/>
      <c r="BS184" s="828"/>
      <c r="BT184" s="828"/>
      <c r="BU184" s="828"/>
      <c r="BV184" s="828"/>
      <c r="BW184" s="828"/>
      <c r="BX184" s="2283" t="s">
        <v>369</v>
      </c>
      <c r="BY184" s="2283"/>
      <c r="BZ184" s="2283"/>
      <c r="CA184" s="2283"/>
      <c r="CB184" s="861"/>
      <c r="CC184" s="828"/>
      <c r="CD184" s="843">
        <v>1</v>
      </c>
      <c r="CE184" s="861" t="s">
        <v>367</v>
      </c>
      <c r="CF184" s="2302" t="s">
        <v>366</v>
      </c>
      <c r="CG184" s="843">
        <v>11</v>
      </c>
      <c r="CH184" s="855" t="s">
        <v>326</v>
      </c>
      <c r="CI184" s="855">
        <v>14957</v>
      </c>
      <c r="CJ184" s="855" t="s">
        <v>329</v>
      </c>
      <c r="CK184" s="932" t="s">
        <v>324</v>
      </c>
      <c r="CL184" s="855">
        <v>40000</v>
      </c>
      <c r="CM184" s="1352">
        <f t="shared" ref="CM184:CN190" si="83">J184</f>
        <v>1915.47</v>
      </c>
      <c r="CN184" s="1352">
        <f t="shared" si="83"/>
        <v>1915.47</v>
      </c>
      <c r="CO184" s="861">
        <f t="shared" ref="CO184:CO190" si="84">CN184-CM184</f>
        <v>0</v>
      </c>
      <c r="CP184" s="861"/>
      <c r="CQ184" s="861">
        <f t="shared" ref="CQ184:CQ190" si="85">CO184*CL184</f>
        <v>0</v>
      </c>
      <c r="CR184" s="1353">
        <f t="shared" ref="CR184:CS199" si="86">Q184</f>
        <v>6270.8</v>
      </c>
      <c r="CS184" s="1353">
        <f t="shared" si="86"/>
        <v>6270.8</v>
      </c>
      <c r="CT184" s="861">
        <f t="shared" ref="CT184:CT190" si="87">CS184-CR184</f>
        <v>0</v>
      </c>
      <c r="CU184" s="861"/>
      <c r="CV184" s="861">
        <f t="shared" ref="CV184:CV190" si="88">CT184*CL184</f>
        <v>0</v>
      </c>
      <c r="CW184" s="870" t="str">
        <f t="shared" ref="CW184:CW190" si="89">IF(CT184&lt;0.00001,"0",COS(ATAN(CT184/CO184)))</f>
        <v>0</v>
      </c>
      <c r="CX184" s="879"/>
    </row>
    <row r="185" spans="1:102" ht="20" x14ac:dyDescent="0.25">
      <c r="A185" s="861"/>
      <c r="B185" s="861" t="s">
        <v>365</v>
      </c>
      <c r="C185" s="2300"/>
      <c r="D185" s="843">
        <v>11</v>
      </c>
      <c r="E185" s="855" t="s">
        <v>326</v>
      </c>
      <c r="F185" s="855">
        <v>77816681</v>
      </c>
      <c r="G185" s="855" t="s">
        <v>327</v>
      </c>
      <c r="H185" s="932" t="s">
        <v>324</v>
      </c>
      <c r="I185" s="855">
        <v>8000</v>
      </c>
      <c r="J185" s="1352">
        <v>40126.43</v>
      </c>
      <c r="K185" s="1352">
        <v>40126.43</v>
      </c>
      <c r="L185" s="861">
        <f t="shared" si="76"/>
        <v>0</v>
      </c>
      <c r="M185" s="861"/>
      <c r="N185" s="868">
        <f t="shared" si="77"/>
        <v>0</v>
      </c>
      <c r="O185" s="869"/>
      <c r="P185" s="2300"/>
      <c r="Q185" s="1306">
        <v>20599.05</v>
      </c>
      <c r="R185" s="1306">
        <v>20599.05</v>
      </c>
      <c r="S185" s="861">
        <f t="shared" si="78"/>
        <v>0</v>
      </c>
      <c r="T185" s="861"/>
      <c r="U185" s="861">
        <f t="shared" si="79"/>
        <v>0</v>
      </c>
      <c r="V185" s="122"/>
      <c r="W185" s="868"/>
      <c r="X185" s="870" t="str">
        <f t="shared" si="80"/>
        <v>0</v>
      </c>
      <c r="Y185" s="1179" t="str">
        <f t="shared" si="81"/>
        <v>1</v>
      </c>
      <c r="Z185" s="1179"/>
      <c r="AA185" s="121"/>
      <c r="AB185" s="890"/>
      <c r="AC185" s="861"/>
      <c r="AD185" s="861"/>
      <c r="AE185" s="861"/>
      <c r="AF185" s="861" t="s">
        <v>365</v>
      </c>
      <c r="AG185" s="828"/>
      <c r="AH185" s="828"/>
      <c r="AI185" s="828"/>
      <c r="AJ185" s="828"/>
      <c r="AK185" s="828"/>
      <c r="AL185" s="828"/>
      <c r="AM185" s="828"/>
      <c r="AN185" s="828"/>
      <c r="AO185" s="828"/>
      <c r="AP185" s="828"/>
      <c r="AQ185" s="828"/>
      <c r="AR185" s="828"/>
      <c r="AS185" s="828"/>
      <c r="AT185" s="828"/>
      <c r="AU185" s="828"/>
      <c r="AV185" s="828"/>
      <c r="AW185" s="828"/>
      <c r="AX185" s="828"/>
      <c r="AY185" s="828"/>
      <c r="BA185" s="902" t="s">
        <v>368</v>
      </c>
      <c r="BB185" s="902"/>
      <c r="BC185" s="902">
        <v>2963</v>
      </c>
      <c r="BD185" s="902">
        <v>1326</v>
      </c>
      <c r="BI185" s="828"/>
      <c r="BJ185" s="828"/>
      <c r="BK185" s="877"/>
      <c r="BL185" s="877"/>
      <c r="BM185" s="860">
        <f t="shared" si="75"/>
        <v>0</v>
      </c>
      <c r="BN185" s="860">
        <f t="shared" si="75"/>
        <v>0</v>
      </c>
      <c r="BO185" s="861">
        <v>0</v>
      </c>
      <c r="BP185" s="861">
        <v>2723600</v>
      </c>
      <c r="BQ185" s="861">
        <f t="shared" si="82"/>
        <v>0</v>
      </c>
      <c r="BR185" s="828"/>
      <c r="BS185" s="828"/>
      <c r="BT185" s="828"/>
      <c r="BU185" s="828"/>
      <c r="BV185" s="828"/>
      <c r="BW185" s="828"/>
      <c r="BX185" s="861">
        <v>1</v>
      </c>
      <c r="BY185" s="861" t="s">
        <v>367</v>
      </c>
      <c r="BZ185" s="2299" t="s">
        <v>366</v>
      </c>
      <c r="CA185" s="861">
        <v>11</v>
      </c>
      <c r="CB185" s="861"/>
      <c r="CC185" s="828"/>
      <c r="CD185" s="843">
        <v>2</v>
      </c>
      <c r="CE185" s="861" t="s">
        <v>365</v>
      </c>
      <c r="CF185" s="2303"/>
      <c r="CG185" s="843">
        <v>11</v>
      </c>
      <c r="CH185" s="855" t="s">
        <v>326</v>
      </c>
      <c r="CI185" s="855">
        <v>77816681</v>
      </c>
      <c r="CJ185" s="855" t="s">
        <v>327</v>
      </c>
      <c r="CK185" s="932" t="s">
        <v>324</v>
      </c>
      <c r="CL185" s="855">
        <v>8000</v>
      </c>
      <c r="CM185" s="1352">
        <f t="shared" si="83"/>
        <v>40126.43</v>
      </c>
      <c r="CN185" s="1352">
        <f t="shared" si="83"/>
        <v>40126.43</v>
      </c>
      <c r="CO185" s="861">
        <f t="shared" si="84"/>
        <v>0</v>
      </c>
      <c r="CP185" s="861"/>
      <c r="CQ185" s="861">
        <f t="shared" si="85"/>
        <v>0</v>
      </c>
      <c r="CR185" s="1353">
        <f t="shared" si="86"/>
        <v>20599.05</v>
      </c>
      <c r="CS185" s="1353">
        <f t="shared" si="86"/>
        <v>20599.05</v>
      </c>
      <c r="CT185" s="861">
        <f t="shared" si="87"/>
        <v>0</v>
      </c>
      <c r="CU185" s="861"/>
      <c r="CV185" s="861">
        <f t="shared" si="88"/>
        <v>0</v>
      </c>
      <c r="CW185" s="870" t="str">
        <f t="shared" si="89"/>
        <v>0</v>
      </c>
      <c r="CX185" s="879"/>
    </row>
    <row r="186" spans="1:102" ht="20" x14ac:dyDescent="0.25">
      <c r="A186" s="861"/>
      <c r="B186" s="861" t="s">
        <v>363</v>
      </c>
      <c r="C186" s="2300"/>
      <c r="D186" s="843">
        <v>11</v>
      </c>
      <c r="E186" s="855" t="s">
        <v>326</v>
      </c>
      <c r="F186" s="855">
        <v>14960</v>
      </c>
      <c r="G186" s="855" t="s">
        <v>329</v>
      </c>
      <c r="H186" s="932" t="s">
        <v>324</v>
      </c>
      <c r="I186" s="855">
        <v>40000</v>
      </c>
      <c r="J186" s="1352">
        <v>9317.2800000000007</v>
      </c>
      <c r="K186" s="1352">
        <v>9317.2800000000007</v>
      </c>
      <c r="L186" s="861">
        <f t="shared" si="76"/>
        <v>0</v>
      </c>
      <c r="M186" s="861"/>
      <c r="N186" s="868">
        <f t="shared" si="77"/>
        <v>0</v>
      </c>
      <c r="O186" s="869"/>
      <c r="P186" s="2300"/>
      <c r="Q186" s="1306">
        <v>3844.13</v>
      </c>
      <c r="R186" s="1306">
        <v>3844.13</v>
      </c>
      <c r="S186" s="861">
        <f t="shared" si="78"/>
        <v>0</v>
      </c>
      <c r="T186" s="861"/>
      <c r="U186" s="861">
        <f t="shared" si="79"/>
        <v>0</v>
      </c>
      <c r="V186" s="122"/>
      <c r="W186" s="868"/>
      <c r="X186" s="870" t="str">
        <f t="shared" si="80"/>
        <v>0</v>
      </c>
      <c r="Y186" s="1179" t="str">
        <f t="shared" si="81"/>
        <v>1</v>
      </c>
      <c r="Z186" s="1179"/>
      <c r="AA186" s="121"/>
      <c r="AB186" s="890"/>
      <c r="AC186" s="861"/>
      <c r="AD186" s="861"/>
      <c r="AE186" s="861"/>
      <c r="AF186" s="861" t="s">
        <v>363</v>
      </c>
      <c r="AG186" s="828"/>
      <c r="AH186" s="828"/>
      <c r="AI186" s="828"/>
      <c r="AJ186" s="828"/>
      <c r="AK186" s="828"/>
      <c r="AL186" s="828"/>
      <c r="AM186" s="828"/>
      <c r="AN186" s="828"/>
      <c r="AO186" s="828"/>
      <c r="AP186" s="828"/>
      <c r="AQ186" s="828"/>
      <c r="AR186" s="828"/>
      <c r="AS186" s="828"/>
      <c r="AT186" s="828"/>
      <c r="AU186" s="828"/>
      <c r="AV186" s="828"/>
      <c r="AW186" s="828"/>
      <c r="AX186" s="828"/>
      <c r="AY186" s="828"/>
      <c r="BA186" s="902"/>
      <c r="BB186" s="902"/>
      <c r="BC186" s="902"/>
      <c r="BD186" s="902"/>
      <c r="BI186" s="828"/>
      <c r="BJ186" s="828"/>
      <c r="BK186" s="877"/>
      <c r="BL186" s="877"/>
      <c r="BM186" s="860">
        <f t="shared" si="75"/>
        <v>0</v>
      </c>
      <c r="BN186" s="860">
        <f t="shared" si="75"/>
        <v>0</v>
      </c>
      <c r="BO186" s="861">
        <v>0</v>
      </c>
      <c r="BP186" s="861">
        <v>2425600</v>
      </c>
      <c r="BQ186" s="861">
        <f t="shared" si="82"/>
        <v>0</v>
      </c>
      <c r="BR186" s="828"/>
      <c r="BS186" s="828"/>
      <c r="BT186" s="828"/>
      <c r="BU186" s="828"/>
      <c r="BV186" s="828"/>
      <c r="BW186" s="828"/>
      <c r="BX186" s="861">
        <v>2</v>
      </c>
      <c r="BY186" s="861" t="s">
        <v>365</v>
      </c>
      <c r="BZ186" s="2300"/>
      <c r="CA186" s="861">
        <v>11</v>
      </c>
      <c r="CB186" s="861"/>
      <c r="CC186" s="828"/>
      <c r="CD186" s="843">
        <v>3</v>
      </c>
      <c r="CE186" s="861" t="s">
        <v>363</v>
      </c>
      <c r="CF186" s="2303"/>
      <c r="CG186" s="843">
        <v>11</v>
      </c>
      <c r="CH186" s="855" t="s">
        <v>326</v>
      </c>
      <c r="CI186" s="855">
        <v>14960</v>
      </c>
      <c r="CJ186" s="855" t="s">
        <v>329</v>
      </c>
      <c r="CK186" s="932" t="s">
        <v>324</v>
      </c>
      <c r="CL186" s="855">
        <v>40000</v>
      </c>
      <c r="CM186" s="1352">
        <f t="shared" si="83"/>
        <v>9317.2800000000007</v>
      </c>
      <c r="CN186" s="1352">
        <f t="shared" si="83"/>
        <v>9317.2800000000007</v>
      </c>
      <c r="CO186" s="861">
        <f t="shared" si="84"/>
        <v>0</v>
      </c>
      <c r="CP186" s="861"/>
      <c r="CQ186" s="861">
        <f t="shared" si="85"/>
        <v>0</v>
      </c>
      <c r="CR186" s="1353">
        <f t="shared" si="86"/>
        <v>3844.13</v>
      </c>
      <c r="CS186" s="1353">
        <f t="shared" si="86"/>
        <v>3844.13</v>
      </c>
      <c r="CT186" s="861">
        <f t="shared" si="87"/>
        <v>0</v>
      </c>
      <c r="CU186" s="861"/>
      <c r="CV186" s="861">
        <f t="shared" si="88"/>
        <v>0</v>
      </c>
      <c r="CW186" s="870" t="str">
        <f t="shared" si="89"/>
        <v>0</v>
      </c>
      <c r="CX186" s="879"/>
    </row>
    <row r="187" spans="1:102" ht="20" x14ac:dyDescent="0.25">
      <c r="A187" s="861"/>
      <c r="B187" s="861" t="s">
        <v>362</v>
      </c>
      <c r="C187" s="2300"/>
      <c r="D187" s="843">
        <v>11</v>
      </c>
      <c r="E187" s="855" t="s">
        <v>326</v>
      </c>
      <c r="F187" s="855">
        <v>14959</v>
      </c>
      <c r="G187" s="855" t="s">
        <v>329</v>
      </c>
      <c r="H187" s="932" t="s">
        <v>324</v>
      </c>
      <c r="I187" s="855">
        <v>40000</v>
      </c>
      <c r="J187" s="1352">
        <v>782.24</v>
      </c>
      <c r="K187" s="1352">
        <v>782.24</v>
      </c>
      <c r="L187" s="861">
        <f t="shared" si="76"/>
        <v>0</v>
      </c>
      <c r="M187" s="861"/>
      <c r="N187" s="868">
        <f t="shared" si="77"/>
        <v>0</v>
      </c>
      <c r="O187" s="869"/>
      <c r="P187" s="2300"/>
      <c r="Q187" s="1306">
        <v>4541.95</v>
      </c>
      <c r="R187" s="1306">
        <v>4541.95</v>
      </c>
      <c r="S187" s="861">
        <f t="shared" si="78"/>
        <v>0</v>
      </c>
      <c r="T187" s="861"/>
      <c r="U187" s="861">
        <f t="shared" si="79"/>
        <v>0</v>
      </c>
      <c r="V187" s="122"/>
      <c r="W187" s="868"/>
      <c r="X187" s="870" t="str">
        <f t="shared" si="80"/>
        <v>0</v>
      </c>
      <c r="Y187" s="1179" t="str">
        <f t="shared" si="81"/>
        <v>1</v>
      </c>
      <c r="Z187" s="1179"/>
      <c r="AA187" s="121"/>
      <c r="AB187" s="890"/>
      <c r="AC187" s="861"/>
      <c r="AD187" s="861"/>
      <c r="AE187" s="861"/>
      <c r="AF187" s="861" t="s">
        <v>362</v>
      </c>
      <c r="AG187" s="828"/>
      <c r="AH187" s="828"/>
      <c r="AI187" s="828"/>
      <c r="AJ187" s="828"/>
      <c r="AK187" s="828"/>
      <c r="AL187" s="828"/>
      <c r="AM187" s="828"/>
      <c r="AN187" s="828"/>
      <c r="AO187" s="828"/>
      <c r="AP187" s="828"/>
      <c r="AQ187" s="828"/>
      <c r="AR187" s="828"/>
      <c r="AS187" s="828"/>
      <c r="AT187" s="828"/>
      <c r="AU187" s="828"/>
      <c r="AV187" s="828"/>
      <c r="AW187" s="828"/>
      <c r="AX187" s="828"/>
      <c r="AY187" s="828"/>
      <c r="BA187" s="902" t="s">
        <v>364</v>
      </c>
      <c r="BB187" s="902"/>
      <c r="BC187" s="902">
        <v>3335.92</v>
      </c>
      <c r="BD187" s="902">
        <v>1118.77</v>
      </c>
      <c r="BI187" s="828"/>
      <c r="BJ187" s="828"/>
      <c r="BK187" s="877"/>
      <c r="BL187" s="877"/>
      <c r="BM187" s="860">
        <f t="shared" si="75"/>
        <v>0</v>
      </c>
      <c r="BN187" s="860">
        <f t="shared" si="75"/>
        <v>0</v>
      </c>
      <c r="BO187" s="861">
        <v>0</v>
      </c>
      <c r="BP187" s="861">
        <v>2718800</v>
      </c>
      <c r="BQ187" s="861">
        <f t="shared" si="82"/>
        <v>0</v>
      </c>
      <c r="BR187" s="828"/>
      <c r="BS187" s="828"/>
      <c r="BT187" s="828"/>
      <c r="BU187" s="828"/>
      <c r="BV187" s="828"/>
      <c r="BW187" s="828"/>
      <c r="BX187" s="861">
        <v>3</v>
      </c>
      <c r="BY187" s="861" t="s">
        <v>363</v>
      </c>
      <c r="BZ187" s="2300"/>
      <c r="CA187" s="861">
        <v>11</v>
      </c>
      <c r="CB187" s="861"/>
      <c r="CC187" s="828"/>
      <c r="CD187" s="843">
        <v>4</v>
      </c>
      <c r="CE187" s="861" t="s">
        <v>362</v>
      </c>
      <c r="CF187" s="2303"/>
      <c r="CG187" s="843">
        <v>11</v>
      </c>
      <c r="CH187" s="855" t="s">
        <v>326</v>
      </c>
      <c r="CI187" s="855">
        <v>14959</v>
      </c>
      <c r="CJ187" s="855" t="s">
        <v>329</v>
      </c>
      <c r="CK187" s="932" t="s">
        <v>324</v>
      </c>
      <c r="CL187" s="855">
        <v>40000</v>
      </c>
      <c r="CM187" s="1352">
        <f t="shared" si="83"/>
        <v>782.24</v>
      </c>
      <c r="CN187" s="1352">
        <f t="shared" si="83"/>
        <v>782.24</v>
      </c>
      <c r="CO187" s="861">
        <f t="shared" si="84"/>
        <v>0</v>
      </c>
      <c r="CP187" s="861"/>
      <c r="CQ187" s="861">
        <f t="shared" si="85"/>
        <v>0</v>
      </c>
      <c r="CR187" s="1353">
        <f t="shared" si="86"/>
        <v>4541.95</v>
      </c>
      <c r="CS187" s="1353">
        <f t="shared" si="86"/>
        <v>4541.95</v>
      </c>
      <c r="CT187" s="861">
        <f t="shared" si="87"/>
        <v>0</v>
      </c>
      <c r="CU187" s="861"/>
      <c r="CV187" s="861">
        <f t="shared" si="88"/>
        <v>0</v>
      </c>
      <c r="CW187" s="870" t="str">
        <f t="shared" si="89"/>
        <v>0</v>
      </c>
      <c r="CX187" s="879"/>
    </row>
    <row r="188" spans="1:102" ht="20" x14ac:dyDescent="0.25">
      <c r="A188" s="861"/>
      <c r="B188" s="861" t="s">
        <v>361</v>
      </c>
      <c r="C188" s="2300"/>
      <c r="D188" s="843">
        <v>11</v>
      </c>
      <c r="E188" s="855" t="s">
        <v>326</v>
      </c>
      <c r="F188" s="855">
        <v>77816675</v>
      </c>
      <c r="G188" s="855" t="s">
        <v>327</v>
      </c>
      <c r="H188" s="932" t="s">
        <v>324</v>
      </c>
      <c r="I188" s="855">
        <v>8000</v>
      </c>
      <c r="J188" s="1352">
        <v>34050.589999999997</v>
      </c>
      <c r="K188" s="1352">
        <v>34050.589999999997</v>
      </c>
      <c r="L188" s="861">
        <f t="shared" si="76"/>
        <v>0</v>
      </c>
      <c r="M188" s="861"/>
      <c r="N188" s="868">
        <f t="shared" si="77"/>
        <v>0</v>
      </c>
      <c r="O188" s="869"/>
      <c r="P188" s="2300"/>
      <c r="Q188" s="1306">
        <v>17224.86</v>
      </c>
      <c r="R188" s="1306">
        <v>17224.86</v>
      </c>
      <c r="S188" s="861">
        <f t="shared" si="78"/>
        <v>0</v>
      </c>
      <c r="T188" s="861"/>
      <c r="U188" s="861">
        <f t="shared" si="79"/>
        <v>0</v>
      </c>
      <c r="V188" s="122"/>
      <c r="W188" s="868"/>
      <c r="X188" s="870" t="str">
        <f t="shared" si="80"/>
        <v>0</v>
      </c>
      <c r="Y188" s="1179" t="str">
        <f t="shared" si="81"/>
        <v>1</v>
      </c>
      <c r="Z188" s="1179"/>
      <c r="AA188" s="121"/>
      <c r="AB188" s="890"/>
      <c r="AC188" s="861"/>
      <c r="AD188" s="861"/>
      <c r="AE188" s="861"/>
      <c r="AF188" s="861" t="s">
        <v>361</v>
      </c>
      <c r="AG188" s="828"/>
      <c r="AH188" s="828"/>
      <c r="AI188" s="828"/>
      <c r="AJ188" s="828"/>
      <c r="AK188" s="828"/>
      <c r="AL188" s="828"/>
      <c r="AM188" s="828"/>
      <c r="AN188" s="828"/>
      <c r="AO188" s="828"/>
      <c r="AP188" s="828"/>
      <c r="AQ188" s="828"/>
      <c r="AR188" s="828"/>
      <c r="AS188" s="828"/>
      <c r="AT188" s="828"/>
      <c r="AU188" s="828"/>
      <c r="AV188" s="828"/>
      <c r="AW188" s="828"/>
      <c r="AX188" s="828"/>
      <c r="AY188" s="828"/>
      <c r="BA188" s="902"/>
      <c r="BB188" s="902"/>
      <c r="BC188" s="902"/>
      <c r="BD188" s="902"/>
      <c r="BI188" s="828"/>
      <c r="BJ188" s="828"/>
      <c r="BK188" s="877"/>
      <c r="BL188" s="877" t="e">
        <f>#REF!*1.025</f>
        <v>#REF!</v>
      </c>
      <c r="BM188" s="860">
        <f t="shared" si="75"/>
        <v>0</v>
      </c>
      <c r="BN188" s="860">
        <f t="shared" si="75"/>
        <v>0</v>
      </c>
      <c r="BO188" s="861">
        <v>0</v>
      </c>
      <c r="BP188" s="861">
        <v>2162240</v>
      </c>
      <c r="BQ188" s="861">
        <f t="shared" si="82"/>
        <v>0</v>
      </c>
      <c r="BR188" s="828"/>
      <c r="BS188" s="828"/>
      <c r="BT188" s="828"/>
      <c r="BU188" s="828"/>
      <c r="BV188" s="828"/>
      <c r="BW188" s="828"/>
      <c r="BX188" s="861">
        <v>4</v>
      </c>
      <c r="BY188" s="861" t="s">
        <v>362</v>
      </c>
      <c r="BZ188" s="2300"/>
      <c r="CA188" s="861">
        <v>11</v>
      </c>
      <c r="CB188" s="861"/>
      <c r="CC188" s="828"/>
      <c r="CD188" s="843">
        <v>5</v>
      </c>
      <c r="CE188" s="861" t="s">
        <v>361</v>
      </c>
      <c r="CF188" s="2303"/>
      <c r="CG188" s="843">
        <v>11</v>
      </c>
      <c r="CH188" s="855" t="s">
        <v>326</v>
      </c>
      <c r="CI188" s="855">
        <v>77816675</v>
      </c>
      <c r="CJ188" s="855" t="s">
        <v>327</v>
      </c>
      <c r="CK188" s="932" t="s">
        <v>324</v>
      </c>
      <c r="CL188" s="855">
        <v>8000</v>
      </c>
      <c r="CM188" s="1352">
        <f t="shared" si="83"/>
        <v>34050.589999999997</v>
      </c>
      <c r="CN188" s="1352">
        <f t="shared" si="83"/>
        <v>34050.589999999997</v>
      </c>
      <c r="CO188" s="861">
        <f t="shared" si="84"/>
        <v>0</v>
      </c>
      <c r="CP188" s="861"/>
      <c r="CQ188" s="861">
        <f t="shared" si="85"/>
        <v>0</v>
      </c>
      <c r="CR188" s="1353">
        <f t="shared" si="86"/>
        <v>17224.86</v>
      </c>
      <c r="CS188" s="1353">
        <f t="shared" si="86"/>
        <v>17224.86</v>
      </c>
      <c r="CT188" s="861">
        <f t="shared" si="87"/>
        <v>0</v>
      </c>
      <c r="CU188" s="861"/>
      <c r="CV188" s="861">
        <f t="shared" si="88"/>
        <v>0</v>
      </c>
      <c r="CW188" s="870" t="str">
        <f t="shared" si="89"/>
        <v>0</v>
      </c>
      <c r="CX188" s="879"/>
    </row>
    <row r="189" spans="1:102" ht="18" x14ac:dyDescent="0.25">
      <c r="A189" s="861"/>
      <c r="B189" s="861" t="s">
        <v>358</v>
      </c>
      <c r="C189" s="2300"/>
      <c r="D189" s="843">
        <v>11</v>
      </c>
      <c r="E189" s="855" t="s">
        <v>326</v>
      </c>
      <c r="F189" s="855">
        <v>14997</v>
      </c>
      <c r="G189" s="855" t="s">
        <v>329</v>
      </c>
      <c r="H189" s="932" t="s">
        <v>324</v>
      </c>
      <c r="I189" s="855">
        <v>40000</v>
      </c>
      <c r="J189" s="1352">
        <v>994.03</v>
      </c>
      <c r="K189" s="1352">
        <v>994.03</v>
      </c>
      <c r="L189" s="861">
        <f t="shared" si="76"/>
        <v>0</v>
      </c>
      <c r="M189" s="861"/>
      <c r="N189" s="868">
        <f t="shared" si="77"/>
        <v>0</v>
      </c>
      <c r="O189" s="869"/>
      <c r="P189" s="2300"/>
      <c r="Q189" s="1306">
        <v>211.73</v>
      </c>
      <c r="R189" s="1306">
        <v>211.73</v>
      </c>
      <c r="S189" s="861">
        <f t="shared" si="78"/>
        <v>0</v>
      </c>
      <c r="T189" s="861"/>
      <c r="U189" s="861">
        <f t="shared" si="79"/>
        <v>0</v>
      </c>
      <c r="V189" s="122"/>
      <c r="W189" s="868"/>
      <c r="X189" s="870" t="str">
        <f t="shared" si="80"/>
        <v>0</v>
      </c>
      <c r="Y189" s="1179" t="str">
        <f t="shared" si="81"/>
        <v>1</v>
      </c>
      <c r="Z189" s="1179"/>
      <c r="AA189" s="121"/>
      <c r="AB189" s="890"/>
      <c r="AC189" s="861"/>
      <c r="AD189" s="861"/>
      <c r="AE189" s="861"/>
      <c r="AF189" s="861" t="s">
        <v>358</v>
      </c>
      <c r="AG189" s="828"/>
      <c r="AH189" s="828"/>
      <c r="AI189" s="828"/>
      <c r="AJ189" s="828"/>
      <c r="AK189" s="828"/>
      <c r="AL189" s="828"/>
      <c r="AM189" s="828"/>
      <c r="AN189" s="828"/>
      <c r="AO189" s="828"/>
      <c r="AP189" s="828"/>
      <c r="AQ189" s="828"/>
      <c r="AR189" s="828"/>
      <c r="AS189" s="828"/>
      <c r="AT189" s="828"/>
      <c r="AU189" s="828"/>
      <c r="AV189" s="828"/>
      <c r="AW189" s="828"/>
      <c r="AX189" s="828"/>
      <c r="AY189" s="828"/>
      <c r="BA189" s="902" t="s">
        <v>347</v>
      </c>
      <c r="BB189" s="902"/>
      <c r="BC189" s="902">
        <v>2961</v>
      </c>
      <c r="BD189" s="902">
        <v>799</v>
      </c>
      <c r="BI189" s="828"/>
      <c r="BJ189" s="828"/>
      <c r="BK189" s="877"/>
      <c r="BL189" s="877"/>
      <c r="BM189" s="860">
        <f t="shared" si="75"/>
        <v>0</v>
      </c>
      <c r="BN189" s="860">
        <f t="shared" si="75"/>
        <v>0</v>
      </c>
      <c r="BO189" s="861">
        <v>0</v>
      </c>
      <c r="BP189" s="861">
        <v>203200</v>
      </c>
      <c r="BQ189" s="861">
        <f t="shared" si="82"/>
        <v>0</v>
      </c>
      <c r="BR189" s="828"/>
      <c r="BS189" s="828"/>
      <c r="BT189" s="828"/>
      <c r="BU189" s="828"/>
      <c r="BV189" s="828"/>
      <c r="BW189" s="828"/>
      <c r="BX189" s="861">
        <v>5</v>
      </c>
      <c r="BY189" s="861" t="s">
        <v>361</v>
      </c>
      <c r="BZ189" s="2300"/>
      <c r="CA189" s="861">
        <v>11</v>
      </c>
      <c r="CB189" s="861"/>
      <c r="CC189" s="828"/>
      <c r="CD189" s="843">
        <v>6</v>
      </c>
      <c r="CE189" s="861" t="s">
        <v>358</v>
      </c>
      <c r="CF189" s="2303"/>
      <c r="CG189" s="843">
        <v>11</v>
      </c>
      <c r="CH189" s="855" t="s">
        <v>326</v>
      </c>
      <c r="CI189" s="855">
        <v>14997</v>
      </c>
      <c r="CJ189" s="855" t="s">
        <v>329</v>
      </c>
      <c r="CK189" s="932" t="s">
        <v>324</v>
      </c>
      <c r="CL189" s="855">
        <v>40000</v>
      </c>
      <c r="CM189" s="1352">
        <f t="shared" si="83"/>
        <v>994.03</v>
      </c>
      <c r="CN189" s="1352">
        <f t="shared" si="83"/>
        <v>994.03</v>
      </c>
      <c r="CO189" s="861">
        <f t="shared" si="84"/>
        <v>0</v>
      </c>
      <c r="CP189" s="861"/>
      <c r="CQ189" s="861">
        <f t="shared" si="85"/>
        <v>0</v>
      </c>
      <c r="CR189" s="1353">
        <f t="shared" si="86"/>
        <v>211.73</v>
      </c>
      <c r="CS189" s="1353">
        <f t="shared" si="86"/>
        <v>211.73</v>
      </c>
      <c r="CT189" s="861">
        <f t="shared" si="87"/>
        <v>0</v>
      </c>
      <c r="CU189" s="861"/>
      <c r="CV189" s="861">
        <f t="shared" si="88"/>
        <v>0</v>
      </c>
      <c r="CW189" s="870" t="str">
        <f t="shared" si="89"/>
        <v>0</v>
      </c>
      <c r="CX189" s="879"/>
    </row>
    <row r="190" spans="1:102" ht="22.5" customHeight="1" x14ac:dyDescent="0.25">
      <c r="A190" s="861"/>
      <c r="B190" s="861" t="s">
        <v>355</v>
      </c>
      <c r="C190" s="2301"/>
      <c r="D190" s="843">
        <v>11</v>
      </c>
      <c r="E190" s="855" t="s">
        <v>326</v>
      </c>
      <c r="F190" s="855" t="s">
        <v>357</v>
      </c>
      <c r="G190" s="855" t="s">
        <v>329</v>
      </c>
      <c r="H190" s="932" t="s">
        <v>324</v>
      </c>
      <c r="I190" s="855">
        <v>40000</v>
      </c>
      <c r="J190" s="1352">
        <v>5335.08</v>
      </c>
      <c r="K190" s="1352">
        <v>5335.08</v>
      </c>
      <c r="L190" s="861">
        <f t="shared" si="76"/>
        <v>0</v>
      </c>
      <c r="M190" s="861" t="s">
        <v>360</v>
      </c>
      <c r="N190" s="868">
        <f t="shared" si="77"/>
        <v>0</v>
      </c>
      <c r="O190" s="869"/>
      <c r="P190" s="2301"/>
      <c r="Q190" s="867">
        <v>2356.4299999999998</v>
      </c>
      <c r="R190" s="867">
        <v>2356.4299999999998</v>
      </c>
      <c r="S190" s="861">
        <f t="shared" si="78"/>
        <v>0</v>
      </c>
      <c r="T190" s="861"/>
      <c r="U190" s="861">
        <f t="shared" si="79"/>
        <v>0</v>
      </c>
      <c r="V190" s="122"/>
      <c r="W190" s="868"/>
      <c r="X190" s="870" t="str">
        <f t="shared" si="80"/>
        <v>0</v>
      </c>
      <c r="Y190" s="1179" t="str">
        <f t="shared" si="81"/>
        <v>1</v>
      </c>
      <c r="Z190" s="1179"/>
      <c r="AA190" s="121"/>
      <c r="AB190" s="890"/>
      <c r="AC190" s="861"/>
      <c r="AD190" s="861"/>
      <c r="AE190" s="861"/>
      <c r="AF190" s="861" t="s">
        <v>355</v>
      </c>
      <c r="AG190" s="828"/>
      <c r="AH190" s="828"/>
      <c r="AI190" s="828"/>
      <c r="AJ190" s="828"/>
      <c r="AK190" s="828"/>
      <c r="AL190" s="828"/>
      <c r="AM190" s="828"/>
      <c r="AN190" s="828"/>
      <c r="AO190" s="828"/>
      <c r="AP190" s="828"/>
      <c r="AQ190" s="828"/>
      <c r="AR190" s="828"/>
      <c r="AS190" s="828"/>
      <c r="AT190" s="828"/>
      <c r="AU190" s="828"/>
      <c r="AV190" s="828"/>
      <c r="AW190" s="828"/>
      <c r="AX190" s="828"/>
      <c r="AY190" s="828"/>
      <c r="BA190" s="902" t="s">
        <v>359</v>
      </c>
      <c r="BB190" s="902"/>
      <c r="BC190" s="902">
        <v>2075</v>
      </c>
      <c r="BD190" s="902">
        <v>509</v>
      </c>
      <c r="BI190" s="828"/>
      <c r="BJ190" s="828"/>
      <c r="BK190" s="877"/>
      <c r="BL190" s="877" t="e">
        <f>#REF!*1.025</f>
        <v>#REF!</v>
      </c>
      <c r="BM190" s="860" t="str">
        <f t="shared" si="75"/>
        <v>`</v>
      </c>
      <c r="BN190" s="860">
        <f t="shared" si="75"/>
        <v>0</v>
      </c>
      <c r="BO190" s="861">
        <v>0</v>
      </c>
      <c r="BP190" s="861">
        <v>1652000</v>
      </c>
      <c r="BQ190" s="861" t="e">
        <f t="shared" si="82"/>
        <v>#VALUE!</v>
      </c>
      <c r="BR190" s="828"/>
      <c r="BS190" s="828"/>
      <c r="BT190" s="828"/>
      <c r="BU190" s="828"/>
      <c r="BV190" s="828"/>
      <c r="BW190" s="828"/>
      <c r="BX190" s="861">
        <v>6</v>
      </c>
      <c r="BY190" s="861" t="s">
        <v>358</v>
      </c>
      <c r="BZ190" s="2300"/>
      <c r="CA190" s="861">
        <v>11</v>
      </c>
      <c r="CB190" s="861"/>
      <c r="CC190" s="828"/>
      <c r="CD190" s="861"/>
      <c r="CE190" s="861" t="s">
        <v>355</v>
      </c>
      <c r="CF190" s="2304"/>
      <c r="CG190" s="843">
        <v>11</v>
      </c>
      <c r="CH190" s="855" t="s">
        <v>326</v>
      </c>
      <c r="CI190" s="855" t="s">
        <v>357</v>
      </c>
      <c r="CJ190" s="855" t="s">
        <v>329</v>
      </c>
      <c r="CK190" s="932" t="s">
        <v>324</v>
      </c>
      <c r="CL190" s="855">
        <v>40000</v>
      </c>
      <c r="CM190" s="1352">
        <f t="shared" si="83"/>
        <v>5335.08</v>
      </c>
      <c r="CN190" s="1352">
        <f t="shared" si="83"/>
        <v>5335.08</v>
      </c>
      <c r="CO190" s="861">
        <f t="shared" si="84"/>
        <v>0</v>
      </c>
      <c r="CP190" s="861"/>
      <c r="CQ190" s="861">
        <f t="shared" si="85"/>
        <v>0</v>
      </c>
      <c r="CR190" s="1353">
        <f t="shared" si="86"/>
        <v>2356.4299999999998</v>
      </c>
      <c r="CS190" s="1353">
        <f t="shared" si="86"/>
        <v>2356.4299999999998</v>
      </c>
      <c r="CT190" s="861">
        <f t="shared" si="87"/>
        <v>0</v>
      </c>
      <c r="CU190" s="861"/>
      <c r="CV190" s="861">
        <f t="shared" si="88"/>
        <v>0</v>
      </c>
      <c r="CW190" s="870" t="str">
        <f t="shared" si="89"/>
        <v>0</v>
      </c>
      <c r="CX190" s="879"/>
    </row>
    <row r="191" spans="1:102" ht="22.5" customHeight="1" x14ac:dyDescent="0.25">
      <c r="A191" s="2278" t="s">
        <v>353</v>
      </c>
      <c r="B191" s="2279"/>
      <c r="C191" s="2279"/>
      <c r="D191" s="2279"/>
      <c r="E191" s="2279"/>
      <c r="F191" s="2280"/>
      <c r="G191" s="855"/>
      <c r="H191" s="932"/>
      <c r="I191" s="855"/>
      <c r="J191" s="1352"/>
      <c r="K191" s="1352"/>
      <c r="L191" s="837" t="s">
        <v>323</v>
      </c>
      <c r="M191" s="843"/>
      <c r="N191" s="856">
        <f>SUM(N184:N190)</f>
        <v>0</v>
      </c>
      <c r="O191" s="863">
        <f>N191*1.025</f>
        <v>0</v>
      </c>
      <c r="P191" s="861"/>
      <c r="Q191" s="867"/>
      <c r="R191" s="867"/>
      <c r="S191" s="879"/>
      <c r="T191" s="879"/>
      <c r="U191" s="843">
        <f>SUM(U184:U190)</f>
        <v>0</v>
      </c>
      <c r="V191" s="155"/>
      <c r="W191" s="856"/>
      <c r="X191" s="957"/>
      <c r="Y191" s="1179"/>
      <c r="Z191" s="1179"/>
      <c r="AA191" s="113"/>
      <c r="AB191" s="991"/>
      <c r="AC191" s="879"/>
      <c r="AF191" s="820"/>
      <c r="BA191" s="902" t="s">
        <v>356</v>
      </c>
      <c r="BB191" s="902"/>
      <c r="BC191" s="902">
        <v>13570</v>
      </c>
      <c r="BD191" s="902">
        <v>6541</v>
      </c>
      <c r="BL191" s="877" t="e">
        <f>SUM(BL184:BL190)</f>
        <v>#REF!</v>
      </c>
      <c r="BM191" s="860"/>
      <c r="BN191" s="860">
        <f>SUM(BN183:BN190)</f>
        <v>0</v>
      </c>
      <c r="BO191" s="861"/>
      <c r="BP191" s="861">
        <f>SUM(BP183:BP190)</f>
        <v>13655840</v>
      </c>
      <c r="BQ191" s="861"/>
      <c r="BR191" s="828"/>
      <c r="BS191" s="828"/>
      <c r="BT191" s="828"/>
      <c r="BU191" s="828"/>
      <c r="BV191" s="828"/>
      <c r="BW191" s="828"/>
      <c r="BX191" s="861">
        <v>7</v>
      </c>
      <c r="BY191" s="861" t="s">
        <v>355</v>
      </c>
      <c r="BZ191" s="2301"/>
      <c r="CA191" s="861">
        <v>11</v>
      </c>
      <c r="CB191" s="861"/>
      <c r="CC191" s="828"/>
      <c r="CD191" s="2278" t="s">
        <v>353</v>
      </c>
      <c r="CE191" s="2279"/>
      <c r="CF191" s="2279"/>
      <c r="CG191" s="2279"/>
      <c r="CH191" s="2279"/>
      <c r="CI191" s="2280"/>
      <c r="CJ191" s="855"/>
      <c r="CK191" s="932"/>
      <c r="CL191" s="855"/>
      <c r="CM191" s="1352"/>
      <c r="CN191" s="1352"/>
      <c r="CO191" s="837" t="s">
        <v>323</v>
      </c>
      <c r="CP191" s="843"/>
      <c r="CQ191" s="843">
        <f>SUM(CQ184:CQ190)</f>
        <v>0</v>
      </c>
      <c r="CR191" s="1353"/>
      <c r="CS191" s="1353">
        <f t="shared" si="86"/>
        <v>0</v>
      </c>
      <c r="CT191" s="879"/>
      <c r="CU191" s="879"/>
      <c r="CV191" s="843">
        <f>SUM(CV184:CV190)</f>
        <v>0</v>
      </c>
      <c r="CW191" s="957"/>
      <c r="CX191" s="879"/>
    </row>
    <row r="192" spans="1:102" s="1374" customFormat="1" ht="22.5" customHeight="1" x14ac:dyDescent="0.35">
      <c r="A192" s="1354">
        <v>1</v>
      </c>
      <c r="B192" s="1354" t="s">
        <v>350</v>
      </c>
      <c r="C192" s="2288" t="s">
        <v>349</v>
      </c>
      <c r="D192" s="1356">
        <v>11</v>
      </c>
      <c r="E192" s="1357" t="s">
        <v>326</v>
      </c>
      <c r="F192" s="1357">
        <v>15026</v>
      </c>
      <c r="G192" s="1357" t="s">
        <v>329</v>
      </c>
      <c r="H192" s="1358" t="s">
        <v>324</v>
      </c>
      <c r="I192" s="1357">
        <v>40000</v>
      </c>
      <c r="J192" s="1359">
        <v>9097.94</v>
      </c>
      <c r="K192" s="1359">
        <v>9104.89</v>
      </c>
      <c r="L192" s="1359">
        <f t="shared" ref="L192:L203" si="90">K192-J192</f>
        <v>6.9499999999989086</v>
      </c>
      <c r="M192" s="1356"/>
      <c r="N192" s="1360">
        <f>L192*I192</f>
        <v>277999.99999995634</v>
      </c>
      <c r="O192" s="1361">
        <f>N192*2.5%+N192</f>
        <v>284949.99999995524</v>
      </c>
      <c r="P192" s="2291" t="s">
        <v>354</v>
      </c>
      <c r="Q192" s="1359">
        <v>3432.97</v>
      </c>
      <c r="R192" s="1359">
        <v>3435.76</v>
      </c>
      <c r="S192" s="1359">
        <f t="shared" ref="S192:S203" si="91">R192-Q192</f>
        <v>2.7900000000004184</v>
      </c>
      <c r="T192" s="1354"/>
      <c r="U192" s="1354">
        <f>S192*I192</f>
        <v>111600.00000001673</v>
      </c>
      <c r="V192" s="1361">
        <f>U192*2.5%+U192</f>
        <v>114390.00000001716</v>
      </c>
      <c r="W192" s="1362"/>
      <c r="X192" s="1363">
        <f t="shared" ref="X192:X202" si="92">IF(S192&lt;0.00001,"0",COS(ATAN(S192/L192)))</f>
        <v>0.92801553797185743</v>
      </c>
      <c r="Y192" s="1364" t="str">
        <f t="shared" ref="Y192:Y202" si="93">IF(X192&gt;0.9,"1",0.9/X192)</f>
        <v>1</v>
      </c>
      <c r="Z192" s="1364"/>
      <c r="AA192" s="117"/>
      <c r="AB192" s="1365"/>
      <c r="AC192" s="1354"/>
      <c r="AD192" s="1354"/>
      <c r="AE192" s="1354"/>
      <c r="AF192" s="1354" t="s">
        <v>350</v>
      </c>
      <c r="AG192" s="1366"/>
      <c r="AH192" s="1366"/>
      <c r="AI192" s="1366"/>
      <c r="AJ192" s="1366"/>
      <c r="AK192" s="1366"/>
      <c r="AL192" s="1366"/>
      <c r="AM192" s="1366"/>
      <c r="AN192" s="1366"/>
      <c r="AO192" s="1366"/>
      <c r="AP192" s="1366"/>
      <c r="AQ192" s="1366"/>
      <c r="AR192" s="1366"/>
      <c r="AS192" s="1366"/>
      <c r="AT192" s="1366"/>
      <c r="AU192" s="1366"/>
      <c r="AV192" s="1366"/>
      <c r="AW192" s="1366"/>
      <c r="AX192" s="1366"/>
      <c r="AY192" s="1366"/>
      <c r="AZ192" s="1367"/>
      <c r="BA192" s="1368"/>
      <c r="BB192" s="1368"/>
      <c r="BC192" s="1368"/>
      <c r="BD192" s="1368"/>
      <c r="BE192" s="1367"/>
      <c r="BF192" s="1367"/>
      <c r="BG192" s="1367"/>
      <c r="BH192" s="1367"/>
      <c r="BI192" s="1366"/>
      <c r="BJ192" s="1366"/>
      <c r="BK192" s="1369"/>
      <c r="BL192" s="1369" t="e">
        <f>BL191*1.025</f>
        <v>#REF!</v>
      </c>
      <c r="BM192" s="1370">
        <f>M192</f>
        <v>0</v>
      </c>
      <c r="BN192" s="1370">
        <f>N192</f>
        <v>277999.99999995634</v>
      </c>
      <c r="BO192" s="1354">
        <v>0</v>
      </c>
      <c r="BP192" s="1354">
        <v>2340400</v>
      </c>
      <c r="BQ192" s="1354">
        <f t="shared" ref="BQ192:BQ202" si="94">BO192-BM192</f>
        <v>0</v>
      </c>
      <c r="BR192" s="1366"/>
      <c r="BS192" s="1366"/>
      <c r="BT192" s="1366"/>
      <c r="BU192" s="1366"/>
      <c r="BV192" s="1366"/>
      <c r="BW192" s="1366"/>
      <c r="BX192" s="2291" t="s">
        <v>353</v>
      </c>
      <c r="BY192" s="2291"/>
      <c r="BZ192" s="2291"/>
      <c r="CA192" s="2291"/>
      <c r="CB192" s="1356"/>
      <c r="CC192" s="1366"/>
      <c r="CD192" s="1356">
        <v>7</v>
      </c>
      <c r="CE192" s="1354" t="s">
        <v>350</v>
      </c>
      <c r="CF192" s="2292" t="s">
        <v>349</v>
      </c>
      <c r="CG192" s="1356">
        <v>11</v>
      </c>
      <c r="CH192" s="1357" t="s">
        <v>326</v>
      </c>
      <c r="CI192" s="1357">
        <v>15026</v>
      </c>
      <c r="CJ192" s="1357" t="s">
        <v>329</v>
      </c>
      <c r="CK192" s="1358" t="s">
        <v>324</v>
      </c>
      <c r="CL192" s="1357">
        <v>40000</v>
      </c>
      <c r="CM192" s="1371">
        <f t="shared" ref="CM192:CN202" si="95">J192</f>
        <v>9097.94</v>
      </c>
      <c r="CN192" s="1371">
        <f t="shared" si="95"/>
        <v>9104.89</v>
      </c>
      <c r="CO192" s="1354">
        <f t="shared" ref="CO192:CO202" si="96">CN192-CM192</f>
        <v>6.9499999999989086</v>
      </c>
      <c r="CP192" s="1354"/>
      <c r="CQ192" s="1354">
        <f t="shared" ref="CQ192:CQ202" si="97">CO192*CL192</f>
        <v>277999.99999995634</v>
      </c>
      <c r="CR192" s="1372">
        <f t="shared" ref="CR192:CS202" si="98">Q192</f>
        <v>3432.97</v>
      </c>
      <c r="CS192" s="1372">
        <f t="shared" si="86"/>
        <v>3435.76</v>
      </c>
      <c r="CT192" s="1354">
        <f t="shared" ref="CT192:CT202" si="99">CS192-CR192</f>
        <v>2.7900000000004184</v>
      </c>
      <c r="CU192" s="1354"/>
      <c r="CV192" s="1354">
        <f t="shared" ref="CV192:CV202" si="100">CT192*CL192</f>
        <v>111600.00000001673</v>
      </c>
      <c r="CW192" s="1363">
        <f t="shared" ref="CW192:CW202" si="101">IF(CT192&lt;0.00001,"0",COS(ATAN(CT192/CO192)))</f>
        <v>0.92801553797185743</v>
      </c>
      <c r="CX192" s="1373"/>
    </row>
    <row r="193" spans="1:102" s="1374" customFormat="1" ht="29.15" customHeight="1" x14ac:dyDescent="0.35">
      <c r="A193" s="1354">
        <v>2</v>
      </c>
      <c r="B193" s="1354" t="s">
        <v>335</v>
      </c>
      <c r="C193" s="2289"/>
      <c r="D193" s="1356">
        <v>11</v>
      </c>
      <c r="E193" s="1357" t="s">
        <v>326</v>
      </c>
      <c r="F193" s="1357">
        <v>15027</v>
      </c>
      <c r="G193" s="1357" t="s">
        <v>329</v>
      </c>
      <c r="H193" s="1358" t="s">
        <v>324</v>
      </c>
      <c r="I193" s="1357">
        <v>40000</v>
      </c>
      <c r="J193" s="1359">
        <v>3784.87</v>
      </c>
      <c r="K193" s="1359">
        <v>3794.76</v>
      </c>
      <c r="L193" s="1359">
        <f t="shared" si="90"/>
        <v>9.8900000000003274</v>
      </c>
      <c r="M193" s="1356"/>
      <c r="N193" s="1360">
        <f>L193*I193</f>
        <v>395600.0000000131</v>
      </c>
      <c r="O193" s="1361">
        <f>N193*2.5%+N193</f>
        <v>405490.00000001345</v>
      </c>
      <c r="P193" s="2291"/>
      <c r="Q193" s="1359">
        <v>1247.47</v>
      </c>
      <c r="R193" s="1359">
        <v>1249.82</v>
      </c>
      <c r="S193" s="1359">
        <f t="shared" si="91"/>
        <v>2.3499999999999091</v>
      </c>
      <c r="T193" s="1354"/>
      <c r="U193" s="1354">
        <f>S193*I193</f>
        <v>93999.999999996362</v>
      </c>
      <c r="V193" s="1361">
        <f>U193*2.5%+U193</f>
        <v>96349.999999996275</v>
      </c>
      <c r="W193" s="1362"/>
      <c r="X193" s="1363">
        <f t="shared" si="92"/>
        <v>0.97291166439679622</v>
      </c>
      <c r="Y193" s="1364" t="str">
        <f t="shared" si="93"/>
        <v>1</v>
      </c>
      <c r="Z193" s="1364"/>
      <c r="AA193" s="117"/>
      <c r="AB193" s="1375">
        <f>(N193-M205)/N193*(S193*I193)</f>
        <v>22478.260869566715</v>
      </c>
      <c r="AC193" s="1365" t="s">
        <v>352</v>
      </c>
      <c r="AD193" s="1354"/>
      <c r="AE193" s="1354"/>
      <c r="AF193" s="1354" t="s">
        <v>335</v>
      </c>
      <c r="AG193" s="1366"/>
      <c r="AH193" s="1366"/>
      <c r="AI193" s="1366"/>
      <c r="AJ193" s="1366"/>
      <c r="AK193" s="1366"/>
      <c r="AL193" s="1366"/>
      <c r="AM193" s="1366"/>
      <c r="AN193" s="1366"/>
      <c r="AO193" s="1366"/>
      <c r="AP193" s="1366"/>
      <c r="AQ193" s="1366"/>
      <c r="AR193" s="1366"/>
      <c r="AS193" s="1366"/>
      <c r="AT193" s="1366"/>
      <c r="AU193" s="1366"/>
      <c r="AV193" s="1366"/>
      <c r="AW193" s="1366"/>
      <c r="AX193" s="1366"/>
      <c r="AY193" s="1366"/>
      <c r="AZ193" s="1367"/>
      <c r="BA193" s="1368" t="s">
        <v>351</v>
      </c>
      <c r="BB193" s="1368"/>
      <c r="BC193" s="1368">
        <v>1568.4</v>
      </c>
      <c r="BD193" s="1368">
        <v>6107.4</v>
      </c>
      <c r="BE193" s="1367"/>
      <c r="BF193" s="1367"/>
      <c r="BG193" s="1367"/>
      <c r="BH193" s="1367"/>
      <c r="BI193" s="1366"/>
      <c r="BJ193" s="1366"/>
      <c r="BK193" s="1369"/>
      <c r="BL193" s="1369" t="e">
        <f>#REF!*1.05</f>
        <v>#REF!</v>
      </c>
      <c r="BM193" s="1370">
        <f>M193</f>
        <v>0</v>
      </c>
      <c r="BN193" s="1370">
        <f>N193</f>
        <v>395600.0000000131</v>
      </c>
      <c r="BO193" s="1354">
        <v>0</v>
      </c>
      <c r="BP193" s="1354">
        <v>906000</v>
      </c>
      <c r="BQ193" s="1354">
        <f t="shared" si="94"/>
        <v>0</v>
      </c>
      <c r="BR193" s="1366"/>
      <c r="BS193" s="1366"/>
      <c r="BT193" s="1366"/>
      <c r="BU193" s="1366"/>
      <c r="BV193" s="1366"/>
      <c r="BW193" s="1366"/>
      <c r="BX193" s="1354">
        <v>7</v>
      </c>
      <c r="BY193" s="1354" t="s">
        <v>350</v>
      </c>
      <c r="BZ193" s="2295" t="s">
        <v>349</v>
      </c>
      <c r="CA193" s="1354">
        <v>11</v>
      </c>
      <c r="CB193" s="1354"/>
      <c r="CC193" s="1366"/>
      <c r="CD193" s="1356">
        <v>8</v>
      </c>
      <c r="CE193" s="1354" t="s">
        <v>335</v>
      </c>
      <c r="CF193" s="2293"/>
      <c r="CG193" s="1356">
        <v>11</v>
      </c>
      <c r="CH193" s="1357" t="s">
        <v>326</v>
      </c>
      <c r="CI193" s="1357">
        <v>15027</v>
      </c>
      <c r="CJ193" s="1357" t="s">
        <v>329</v>
      </c>
      <c r="CK193" s="1358" t="s">
        <v>324</v>
      </c>
      <c r="CL193" s="1357">
        <v>40000</v>
      </c>
      <c r="CM193" s="1371">
        <f t="shared" si="95"/>
        <v>3784.87</v>
      </c>
      <c r="CN193" s="1371">
        <f t="shared" si="95"/>
        <v>3794.76</v>
      </c>
      <c r="CO193" s="1354">
        <f t="shared" si="96"/>
        <v>9.8900000000003274</v>
      </c>
      <c r="CP193" s="1354"/>
      <c r="CQ193" s="1354">
        <f t="shared" si="97"/>
        <v>395600.0000000131</v>
      </c>
      <c r="CR193" s="1372">
        <f t="shared" si="98"/>
        <v>1247.47</v>
      </c>
      <c r="CS193" s="1372">
        <f t="shared" si="86"/>
        <v>1249.82</v>
      </c>
      <c r="CT193" s="1354">
        <f t="shared" si="99"/>
        <v>2.3499999999999091</v>
      </c>
      <c r="CU193" s="1354"/>
      <c r="CV193" s="1354">
        <f t="shared" si="100"/>
        <v>93999.999999996362</v>
      </c>
      <c r="CW193" s="1363">
        <f t="shared" si="101"/>
        <v>0.97291166439679622</v>
      </c>
      <c r="CX193" s="1373"/>
    </row>
    <row r="194" spans="1:102" s="1374" customFormat="1" ht="22.5" customHeight="1" x14ac:dyDescent="0.35">
      <c r="A194" s="1354" t="s">
        <v>348</v>
      </c>
      <c r="B194" s="1354" t="s">
        <v>347</v>
      </c>
      <c r="C194" s="2289"/>
      <c r="D194" s="1356">
        <v>11</v>
      </c>
      <c r="E194" s="1357" t="s">
        <v>339</v>
      </c>
      <c r="F194" s="1357">
        <v>2612100427</v>
      </c>
      <c r="G194" s="1357"/>
      <c r="H194" s="1358" t="s">
        <v>324</v>
      </c>
      <c r="I194" s="1357">
        <v>600</v>
      </c>
      <c r="J194" s="1359">
        <v>8187</v>
      </c>
      <c r="K194" s="1359">
        <v>8288</v>
      </c>
      <c r="L194" s="1359">
        <f t="shared" si="90"/>
        <v>101</v>
      </c>
      <c r="M194" s="1356">
        <f>L194*I194</f>
        <v>60600</v>
      </c>
      <c r="N194" s="1360"/>
      <c r="O194" s="1361">
        <f>M194*2.5%+M194</f>
        <v>62115</v>
      </c>
      <c r="P194" s="2291"/>
      <c r="Q194" s="1359">
        <v>2861</v>
      </c>
      <c r="R194" s="1359">
        <v>2862</v>
      </c>
      <c r="S194" s="1359">
        <f t="shared" si="91"/>
        <v>1</v>
      </c>
      <c r="T194" s="1354">
        <f>S194*I194</f>
        <v>600</v>
      </c>
      <c r="U194" s="118"/>
      <c r="V194" s="1361">
        <f>T194*2.5%+T194</f>
        <v>615</v>
      </c>
      <c r="W194" s="1362"/>
      <c r="X194" s="1363">
        <f t="shared" si="92"/>
        <v>0.9999509888009116</v>
      </c>
      <c r="Y194" s="1364" t="str">
        <f t="shared" si="93"/>
        <v>1</v>
      </c>
      <c r="Z194" s="1364"/>
      <c r="AA194" s="117"/>
      <c r="AB194" s="1365"/>
      <c r="AC194" s="1354"/>
      <c r="AD194" s="1354"/>
      <c r="AE194" s="1354"/>
      <c r="AF194" s="1354"/>
      <c r="AG194" s="1366"/>
      <c r="AH194" s="1366"/>
      <c r="AI194" s="1366"/>
      <c r="AJ194" s="1366"/>
      <c r="AK194" s="1366"/>
      <c r="AL194" s="1366"/>
      <c r="AM194" s="1366"/>
      <c r="AN194" s="1366"/>
      <c r="AO194" s="1366"/>
      <c r="AP194" s="1366"/>
      <c r="AQ194" s="1366"/>
      <c r="AR194" s="1366"/>
      <c r="AS194" s="1366"/>
      <c r="AT194" s="1366"/>
      <c r="AU194" s="1366"/>
      <c r="AV194" s="1366"/>
      <c r="AW194" s="1366"/>
      <c r="AX194" s="1366"/>
      <c r="AY194" s="1366"/>
      <c r="AZ194" s="1367"/>
      <c r="BA194" s="1368" t="s">
        <v>346</v>
      </c>
      <c r="BB194" s="1368"/>
      <c r="BC194" s="1368">
        <v>9192.76</v>
      </c>
      <c r="BD194" s="1368">
        <v>3796.33</v>
      </c>
      <c r="BE194" s="1367"/>
      <c r="BF194" s="1367"/>
      <c r="BG194" s="1367"/>
      <c r="BH194" s="1367"/>
      <c r="BI194" s="1366"/>
      <c r="BJ194" s="1366"/>
      <c r="BK194" s="1369"/>
      <c r="BL194" s="1369"/>
      <c r="BM194" s="1370"/>
      <c r="BN194" s="1370">
        <f t="shared" ref="BN194:BN202" si="102">N194</f>
        <v>0</v>
      </c>
      <c r="BO194" s="1354"/>
      <c r="BP194" s="1354"/>
      <c r="BQ194" s="1354"/>
      <c r="BR194" s="1366"/>
      <c r="BS194" s="1366"/>
      <c r="BT194" s="1366"/>
      <c r="BU194" s="1366"/>
      <c r="BV194" s="1366"/>
      <c r="BW194" s="1366"/>
      <c r="BX194" s="1354"/>
      <c r="BY194" s="1354"/>
      <c r="BZ194" s="2295"/>
      <c r="CA194" s="1354"/>
      <c r="CB194" s="1354"/>
      <c r="CC194" s="1366"/>
      <c r="CD194" s="1356"/>
      <c r="CE194" s="1354"/>
      <c r="CF194" s="2293"/>
      <c r="CG194" s="1356"/>
      <c r="CH194" s="1357"/>
      <c r="CI194" s="1357"/>
      <c r="CJ194" s="1357"/>
      <c r="CK194" s="1358"/>
      <c r="CL194" s="1357"/>
      <c r="CM194" s="1371">
        <f t="shared" si="95"/>
        <v>8187</v>
      </c>
      <c r="CN194" s="1371">
        <f t="shared" si="95"/>
        <v>8288</v>
      </c>
      <c r="CO194" s="1354">
        <f t="shared" si="96"/>
        <v>101</v>
      </c>
      <c r="CP194" s="1354"/>
      <c r="CQ194" s="1354"/>
      <c r="CR194" s="1372">
        <f t="shared" si="98"/>
        <v>2861</v>
      </c>
      <c r="CS194" s="1372">
        <f t="shared" si="86"/>
        <v>2862</v>
      </c>
      <c r="CT194" s="1354">
        <f t="shared" si="99"/>
        <v>1</v>
      </c>
      <c r="CU194" s="1354"/>
      <c r="CV194" s="1354"/>
      <c r="CW194" s="1363">
        <f t="shared" si="101"/>
        <v>0.9999509888009116</v>
      </c>
      <c r="CX194" s="1373"/>
    </row>
    <row r="195" spans="1:102" s="1374" customFormat="1" ht="22.5" customHeight="1" x14ac:dyDescent="0.35">
      <c r="A195" s="1354" t="s">
        <v>345</v>
      </c>
      <c r="B195" s="1376" t="s">
        <v>342</v>
      </c>
      <c r="C195" s="2289"/>
      <c r="D195" s="1377">
        <v>11</v>
      </c>
      <c r="E195" s="1378" t="s">
        <v>339</v>
      </c>
      <c r="F195" s="1378">
        <v>2612100517</v>
      </c>
      <c r="G195" s="1378"/>
      <c r="H195" s="1379" t="s">
        <v>324</v>
      </c>
      <c r="I195" s="1378">
        <v>1800</v>
      </c>
      <c r="J195" s="1380">
        <v>2444.4299999999998</v>
      </c>
      <c r="K195" s="1380">
        <v>2444.4299999999998</v>
      </c>
      <c r="L195" s="1376">
        <f t="shared" si="90"/>
        <v>0</v>
      </c>
      <c r="M195" s="1377">
        <f>L195*I195</f>
        <v>0</v>
      </c>
      <c r="N195" s="1360"/>
      <c r="O195" s="119">
        <f>M195*2.5%+M195</f>
        <v>0</v>
      </c>
      <c r="P195" s="2291"/>
      <c r="Q195" s="1381">
        <v>572</v>
      </c>
      <c r="R195" s="1381">
        <v>572</v>
      </c>
      <c r="S195" s="1376">
        <f t="shared" si="91"/>
        <v>0</v>
      </c>
      <c r="T195" s="1376">
        <f>S195*I195</f>
        <v>0</v>
      </c>
      <c r="U195" s="118"/>
      <c r="V195" s="119">
        <f>T195*2.5%+T195</f>
        <v>0</v>
      </c>
      <c r="W195" s="1362"/>
      <c r="X195" s="1363" t="str">
        <f t="shared" si="92"/>
        <v>0</v>
      </c>
      <c r="Y195" s="1364" t="str">
        <f t="shared" si="93"/>
        <v>1</v>
      </c>
      <c r="Z195" s="1364"/>
      <c r="AA195" s="117"/>
      <c r="AB195" s="1365"/>
      <c r="AC195" s="1354"/>
      <c r="AD195" s="1354"/>
      <c r="AE195" s="1354"/>
      <c r="AF195" s="1354"/>
      <c r="AG195" s="1366"/>
      <c r="AH195" s="1366"/>
      <c r="AI195" s="1366"/>
      <c r="AJ195" s="1366"/>
      <c r="AK195" s="1366"/>
      <c r="AL195" s="1366"/>
      <c r="AM195" s="1366"/>
      <c r="AN195" s="1366"/>
      <c r="AO195" s="1366"/>
      <c r="AP195" s="1366"/>
      <c r="AQ195" s="1366"/>
      <c r="AR195" s="1366"/>
      <c r="AS195" s="1366"/>
      <c r="AT195" s="1366"/>
      <c r="AU195" s="1366"/>
      <c r="AV195" s="1366"/>
      <c r="AW195" s="1366"/>
      <c r="AX195" s="1366"/>
      <c r="AY195" s="1366"/>
      <c r="AZ195" s="1367"/>
      <c r="BA195" s="1368" t="s">
        <v>344</v>
      </c>
      <c r="BB195" s="1368"/>
      <c r="BC195" s="1368">
        <v>32749.69</v>
      </c>
      <c r="BD195" s="1368">
        <v>16758.169999999998</v>
      </c>
      <c r="BE195" s="1367"/>
      <c r="BF195" s="1367"/>
      <c r="BG195" s="1367"/>
      <c r="BH195" s="1367"/>
      <c r="BI195" s="1366"/>
      <c r="BJ195" s="1366"/>
      <c r="BK195" s="1369"/>
      <c r="BL195" s="1369"/>
      <c r="BM195" s="1370"/>
      <c r="BN195" s="1370">
        <f t="shared" si="102"/>
        <v>0</v>
      </c>
      <c r="BO195" s="1354"/>
      <c r="BP195" s="1354"/>
      <c r="BQ195" s="1354"/>
      <c r="BR195" s="1366"/>
      <c r="BS195" s="1366"/>
      <c r="BT195" s="1366"/>
      <c r="BU195" s="1366"/>
      <c r="BV195" s="1366"/>
      <c r="BW195" s="1366"/>
      <c r="BX195" s="1354"/>
      <c r="BY195" s="1354"/>
      <c r="BZ195" s="2295"/>
      <c r="CA195" s="1354"/>
      <c r="CB195" s="1354"/>
      <c r="CC195" s="1366"/>
      <c r="CD195" s="1356"/>
      <c r="CE195" s="1354"/>
      <c r="CF195" s="2293"/>
      <c r="CG195" s="1356"/>
      <c r="CH195" s="1357"/>
      <c r="CI195" s="1357"/>
      <c r="CJ195" s="1357"/>
      <c r="CK195" s="1358"/>
      <c r="CL195" s="1357"/>
      <c r="CM195" s="1371">
        <f t="shared" si="95"/>
        <v>2444.4299999999998</v>
      </c>
      <c r="CN195" s="1371">
        <f t="shared" si="95"/>
        <v>2444.4299999999998</v>
      </c>
      <c r="CO195" s="1354">
        <f t="shared" si="96"/>
        <v>0</v>
      </c>
      <c r="CP195" s="1354"/>
      <c r="CQ195" s="1354"/>
      <c r="CR195" s="1372">
        <f t="shared" si="98"/>
        <v>572</v>
      </c>
      <c r="CS195" s="1372">
        <f t="shared" si="86"/>
        <v>572</v>
      </c>
      <c r="CT195" s="1354">
        <f t="shared" si="99"/>
        <v>0</v>
      </c>
      <c r="CU195" s="1354"/>
      <c r="CV195" s="1354"/>
      <c r="CW195" s="1363" t="str">
        <f t="shared" si="101"/>
        <v>0</v>
      </c>
      <c r="CX195" s="1373"/>
    </row>
    <row r="196" spans="1:102" s="1374" customFormat="1" ht="22.5" customHeight="1" x14ac:dyDescent="0.35">
      <c r="A196" s="1354" t="s">
        <v>345</v>
      </c>
      <c r="B196" s="1376" t="s">
        <v>342</v>
      </c>
      <c r="C196" s="2289"/>
      <c r="D196" s="1377">
        <v>11</v>
      </c>
      <c r="E196" s="1378" t="s">
        <v>339</v>
      </c>
      <c r="F196" s="1378">
        <v>645015020085</v>
      </c>
      <c r="G196" s="1378"/>
      <c r="H196" s="1379" t="s">
        <v>324</v>
      </c>
      <c r="I196" s="1378">
        <v>300</v>
      </c>
      <c r="J196" s="1382">
        <v>1398</v>
      </c>
      <c r="K196" s="1382">
        <v>1398</v>
      </c>
      <c r="L196" s="1382">
        <f t="shared" si="90"/>
        <v>0</v>
      </c>
      <c r="M196" s="1377">
        <f>L196*I196</f>
        <v>0</v>
      </c>
      <c r="N196" s="1383"/>
      <c r="O196" s="119">
        <f>M196*2.5%+M196</f>
        <v>0</v>
      </c>
      <c r="P196" s="2291"/>
      <c r="Q196" s="1382">
        <v>494</v>
      </c>
      <c r="R196" s="1382">
        <v>494</v>
      </c>
      <c r="S196" s="1382">
        <f t="shared" si="91"/>
        <v>0</v>
      </c>
      <c r="T196" s="1376">
        <f>S196*I196</f>
        <v>0</v>
      </c>
      <c r="U196" s="118"/>
      <c r="V196" s="119">
        <f>T196*2.5%+T196</f>
        <v>0</v>
      </c>
      <c r="W196" s="1362"/>
      <c r="X196" s="1363" t="str">
        <f t="shared" si="92"/>
        <v>0</v>
      </c>
      <c r="Y196" s="1364" t="str">
        <f t="shared" si="93"/>
        <v>1</v>
      </c>
      <c r="Z196" s="1364"/>
      <c r="AA196" s="117"/>
      <c r="AB196" s="1365"/>
      <c r="AC196" s="1354"/>
      <c r="AD196" s="1354"/>
      <c r="AE196" s="1354"/>
      <c r="AF196" s="1354"/>
      <c r="AG196" s="1366"/>
      <c r="AH196" s="1366"/>
      <c r="AI196" s="1366"/>
      <c r="AJ196" s="1366"/>
      <c r="AK196" s="1366"/>
      <c r="AL196" s="1366"/>
      <c r="AM196" s="1366"/>
      <c r="AN196" s="1366"/>
      <c r="AO196" s="1366"/>
      <c r="AP196" s="1366"/>
      <c r="AQ196" s="1366"/>
      <c r="AR196" s="1366"/>
      <c r="AS196" s="1366"/>
      <c r="AT196" s="1366"/>
      <c r="AU196" s="1366"/>
      <c r="AV196" s="1366"/>
      <c r="AW196" s="1366"/>
      <c r="AX196" s="1366"/>
      <c r="AY196" s="1366"/>
      <c r="AZ196" s="1367"/>
      <c r="BA196" s="1368"/>
      <c r="BB196" s="1368"/>
      <c r="BC196" s="1368"/>
      <c r="BD196" s="1368"/>
      <c r="BE196" s="1367"/>
      <c r="BF196" s="1367"/>
      <c r="BG196" s="1367"/>
      <c r="BH196" s="1367"/>
      <c r="BI196" s="1366"/>
      <c r="BJ196" s="1366"/>
      <c r="BK196" s="1369"/>
      <c r="BL196" s="1369"/>
      <c r="BM196" s="1370"/>
      <c r="BN196" s="1370"/>
      <c r="BO196" s="1354"/>
      <c r="BP196" s="1354"/>
      <c r="BQ196" s="1354"/>
      <c r="BR196" s="1366"/>
      <c r="BS196" s="1366"/>
      <c r="BT196" s="1366"/>
      <c r="BU196" s="1366"/>
      <c r="BV196" s="1366"/>
      <c r="BW196" s="1366"/>
      <c r="BX196" s="1354"/>
      <c r="BY196" s="1354"/>
      <c r="BZ196" s="2295"/>
      <c r="CA196" s="1354"/>
      <c r="CB196" s="1354"/>
      <c r="CC196" s="1366"/>
      <c r="CD196" s="1356"/>
      <c r="CE196" s="1354"/>
      <c r="CF196" s="2293"/>
      <c r="CG196" s="1356"/>
      <c r="CH196" s="1357"/>
      <c r="CI196" s="1357"/>
      <c r="CJ196" s="1357"/>
      <c r="CK196" s="1358"/>
      <c r="CL196" s="1357"/>
      <c r="CM196" s="1371">
        <f t="shared" si="95"/>
        <v>1398</v>
      </c>
      <c r="CN196" s="1371">
        <f t="shared" si="95"/>
        <v>1398</v>
      </c>
      <c r="CO196" s="1354">
        <f t="shared" si="96"/>
        <v>0</v>
      </c>
      <c r="CP196" s="1354"/>
      <c r="CQ196" s="1354"/>
      <c r="CR196" s="1372">
        <f t="shared" si="98"/>
        <v>494</v>
      </c>
      <c r="CS196" s="1372">
        <f t="shared" si="86"/>
        <v>494</v>
      </c>
      <c r="CT196" s="1354">
        <f t="shared" si="99"/>
        <v>0</v>
      </c>
      <c r="CU196" s="1354"/>
      <c r="CV196" s="1354"/>
      <c r="CW196" s="1363" t="str">
        <f t="shared" si="101"/>
        <v>0</v>
      </c>
      <c r="CX196" s="1373"/>
    </row>
    <row r="197" spans="1:102" s="1374" customFormat="1" ht="22.5" customHeight="1" x14ac:dyDescent="0.35">
      <c r="A197" s="1354" t="s">
        <v>307</v>
      </c>
      <c r="B197" s="1354" t="s">
        <v>342</v>
      </c>
      <c r="C197" s="2289"/>
      <c r="D197" s="1356">
        <v>11</v>
      </c>
      <c r="E197" s="1357" t="s">
        <v>339</v>
      </c>
      <c r="F197" s="1357">
        <v>645015020085</v>
      </c>
      <c r="G197" s="1357"/>
      <c r="H197" s="1358"/>
      <c r="I197" s="1357">
        <v>300</v>
      </c>
      <c r="J197" s="1359">
        <v>244</v>
      </c>
      <c r="K197" s="1359">
        <v>322</v>
      </c>
      <c r="L197" s="1359">
        <f t="shared" si="90"/>
        <v>78</v>
      </c>
      <c r="M197" s="1356">
        <f>L197*I197</f>
        <v>23400</v>
      </c>
      <c r="N197" s="1383"/>
      <c r="O197" s="1361">
        <f>M197*2.5%+M197</f>
        <v>23985</v>
      </c>
      <c r="P197" s="2291"/>
      <c r="Q197" s="1359">
        <v>72</v>
      </c>
      <c r="R197" s="1359">
        <v>80</v>
      </c>
      <c r="S197" s="1359">
        <f t="shared" si="91"/>
        <v>8</v>
      </c>
      <c r="T197" s="1354">
        <f>S197*I197</f>
        <v>2400</v>
      </c>
      <c r="U197" s="118"/>
      <c r="V197" s="1361">
        <f>T197*2.5%+T197</f>
        <v>2460</v>
      </c>
      <c r="W197" s="1362"/>
      <c r="X197" s="1363">
        <f t="shared" si="92"/>
        <v>0.99478143861105228</v>
      </c>
      <c r="Y197" s="1364" t="str">
        <f t="shared" si="93"/>
        <v>1</v>
      </c>
      <c r="Z197" s="1364"/>
      <c r="AA197" s="117"/>
      <c r="AB197" s="1365" t="s">
        <v>341</v>
      </c>
      <c r="AC197" s="1354"/>
      <c r="AD197" s="1354"/>
      <c r="AE197" s="1354"/>
      <c r="AF197" s="1354"/>
      <c r="AG197" s="1366"/>
      <c r="AH197" s="1366"/>
      <c r="AI197" s="1366"/>
      <c r="AJ197" s="1366"/>
      <c r="AK197" s="1366"/>
      <c r="AL197" s="1366"/>
      <c r="AM197" s="1366"/>
      <c r="AN197" s="1366"/>
      <c r="AO197" s="1366"/>
      <c r="AP197" s="1366"/>
      <c r="AQ197" s="1366"/>
      <c r="AR197" s="1366"/>
      <c r="AS197" s="1366"/>
      <c r="AT197" s="1366"/>
      <c r="AU197" s="1366"/>
      <c r="AV197" s="1366"/>
      <c r="AW197" s="1366"/>
      <c r="AX197" s="1366"/>
      <c r="AY197" s="1366"/>
      <c r="AZ197" s="1367"/>
      <c r="BA197" s="1368"/>
      <c r="BB197" s="1368"/>
      <c r="BC197" s="1368"/>
      <c r="BD197" s="1368"/>
      <c r="BE197" s="1367"/>
      <c r="BF197" s="1367"/>
      <c r="BG197" s="1367"/>
      <c r="BH197" s="1367"/>
      <c r="BI197" s="1366"/>
      <c r="BJ197" s="1366"/>
      <c r="BK197" s="1369"/>
      <c r="BL197" s="1369"/>
      <c r="BM197" s="1370"/>
      <c r="BN197" s="1370"/>
      <c r="BO197" s="1354"/>
      <c r="BP197" s="1354"/>
      <c r="BQ197" s="1354"/>
      <c r="BR197" s="1366"/>
      <c r="BS197" s="1366"/>
      <c r="BT197" s="1366"/>
      <c r="BU197" s="1366"/>
      <c r="BV197" s="1366"/>
      <c r="BW197" s="1366"/>
      <c r="BX197" s="1354"/>
      <c r="BY197" s="1354"/>
      <c r="BZ197" s="2295"/>
      <c r="CA197" s="1354"/>
      <c r="CB197" s="1354"/>
      <c r="CC197" s="1366"/>
      <c r="CD197" s="1356"/>
      <c r="CE197" s="1354"/>
      <c r="CF197" s="2293"/>
      <c r="CG197" s="1356"/>
      <c r="CH197" s="1357"/>
      <c r="CI197" s="1357"/>
      <c r="CJ197" s="1357"/>
      <c r="CK197" s="1358"/>
      <c r="CL197" s="1357"/>
      <c r="CM197" s="1371">
        <f t="shared" si="95"/>
        <v>244</v>
      </c>
      <c r="CN197" s="1371">
        <f t="shared" si="95"/>
        <v>322</v>
      </c>
      <c r="CO197" s="1354">
        <f t="shared" si="96"/>
        <v>78</v>
      </c>
      <c r="CP197" s="1354"/>
      <c r="CQ197" s="1354"/>
      <c r="CR197" s="1372">
        <f t="shared" si="98"/>
        <v>72</v>
      </c>
      <c r="CS197" s="1372">
        <f t="shared" si="86"/>
        <v>80</v>
      </c>
      <c r="CT197" s="1354">
        <f t="shared" si="99"/>
        <v>8</v>
      </c>
      <c r="CU197" s="1354"/>
      <c r="CV197" s="1354"/>
      <c r="CW197" s="1363">
        <f t="shared" si="101"/>
        <v>0.99478143861105228</v>
      </c>
      <c r="CX197" s="1373"/>
    </row>
    <row r="198" spans="1:102" s="1374" customFormat="1" ht="22.5" customHeight="1" x14ac:dyDescent="0.35">
      <c r="A198" s="1354" t="s">
        <v>343</v>
      </c>
      <c r="B198" s="1354" t="s">
        <v>340</v>
      </c>
      <c r="C198" s="2289"/>
      <c r="D198" s="1356">
        <v>11</v>
      </c>
      <c r="E198" s="1357" t="s">
        <v>339</v>
      </c>
      <c r="F198" s="1357" t="s">
        <v>338</v>
      </c>
      <c r="G198" s="1357"/>
      <c r="H198" s="1358" t="s">
        <v>324</v>
      </c>
      <c r="I198" s="1357">
        <v>1000</v>
      </c>
      <c r="J198" s="1359">
        <v>25337</v>
      </c>
      <c r="K198" s="1359">
        <v>25554</v>
      </c>
      <c r="L198" s="1359">
        <f t="shared" si="90"/>
        <v>217</v>
      </c>
      <c r="M198" s="1356">
        <f>L198*I198</f>
        <v>217000</v>
      </c>
      <c r="N198" s="1360"/>
      <c r="O198" s="1361">
        <f>M198*2.5%+M198</f>
        <v>222425</v>
      </c>
      <c r="P198" s="2291"/>
      <c r="Q198" s="1359">
        <v>11101</v>
      </c>
      <c r="R198" s="1359">
        <v>11184</v>
      </c>
      <c r="S198" s="1359">
        <f t="shared" si="91"/>
        <v>83</v>
      </c>
      <c r="T198" s="1354">
        <f>S198*I198</f>
        <v>83000</v>
      </c>
      <c r="U198" s="118"/>
      <c r="V198" s="1361">
        <f>T198*2.5%+T198</f>
        <v>85075</v>
      </c>
      <c r="W198" s="1362"/>
      <c r="X198" s="1363">
        <f t="shared" si="92"/>
        <v>0.93400959851581733</v>
      </c>
      <c r="Y198" s="1364" t="str">
        <f t="shared" si="93"/>
        <v>1</v>
      </c>
      <c r="Z198" s="1364"/>
      <c r="AA198" s="117"/>
      <c r="AB198" s="1365"/>
      <c r="AC198" s="1354"/>
      <c r="AD198" s="1354"/>
      <c r="AE198" s="1354"/>
      <c r="AF198" s="1354"/>
      <c r="AG198" s="1366"/>
      <c r="AH198" s="1366"/>
      <c r="AI198" s="1366"/>
      <c r="AJ198" s="1366"/>
      <c r="AK198" s="1366"/>
      <c r="AL198" s="1366"/>
      <c r="AM198" s="1366"/>
      <c r="AN198" s="1366"/>
      <c r="AO198" s="1366"/>
      <c r="AP198" s="1366"/>
      <c r="AQ198" s="1366"/>
      <c r="AR198" s="1366"/>
      <c r="AS198" s="1366"/>
      <c r="AT198" s="1366"/>
      <c r="AU198" s="1366"/>
      <c r="AV198" s="1366"/>
      <c r="AW198" s="1366"/>
      <c r="AX198" s="1366"/>
      <c r="AY198" s="1366"/>
      <c r="AZ198" s="1367"/>
      <c r="BA198" s="1368" t="s">
        <v>337</v>
      </c>
      <c r="BB198" s="1368"/>
      <c r="BC198" s="1368">
        <v>480.82</v>
      </c>
      <c r="BD198" s="1368">
        <v>4422.6400000000003</v>
      </c>
      <c r="BE198" s="1367"/>
      <c r="BF198" s="1367"/>
      <c r="BG198" s="1367"/>
      <c r="BH198" s="1367"/>
      <c r="BI198" s="1366"/>
      <c r="BJ198" s="1366"/>
      <c r="BK198" s="1369"/>
      <c r="BL198" s="1369"/>
      <c r="BM198" s="1370"/>
      <c r="BN198" s="1370">
        <f t="shared" si="102"/>
        <v>0</v>
      </c>
      <c r="BO198" s="1354"/>
      <c r="BP198" s="1354"/>
      <c r="BQ198" s="1354"/>
      <c r="BR198" s="1366"/>
      <c r="BS198" s="1366"/>
      <c r="BT198" s="1366"/>
      <c r="BU198" s="1366"/>
      <c r="BV198" s="1366"/>
      <c r="BW198" s="1366"/>
      <c r="BX198" s="1354"/>
      <c r="BY198" s="1354"/>
      <c r="BZ198" s="2295"/>
      <c r="CA198" s="1354"/>
      <c r="CB198" s="1354"/>
      <c r="CC198" s="1366"/>
      <c r="CD198" s="1356"/>
      <c r="CE198" s="1354"/>
      <c r="CF198" s="2293"/>
      <c r="CG198" s="1356"/>
      <c r="CH198" s="1357"/>
      <c r="CI198" s="1357"/>
      <c r="CJ198" s="1357"/>
      <c r="CK198" s="1358"/>
      <c r="CL198" s="1357"/>
      <c r="CM198" s="1371">
        <f t="shared" si="95"/>
        <v>25337</v>
      </c>
      <c r="CN198" s="1371">
        <f t="shared" si="95"/>
        <v>25554</v>
      </c>
      <c r="CO198" s="1354">
        <f t="shared" si="96"/>
        <v>217</v>
      </c>
      <c r="CP198" s="1354"/>
      <c r="CQ198" s="1354"/>
      <c r="CR198" s="1372">
        <f t="shared" si="98"/>
        <v>11101</v>
      </c>
      <c r="CS198" s="1372">
        <f t="shared" si="86"/>
        <v>11184</v>
      </c>
      <c r="CT198" s="1354">
        <f t="shared" si="99"/>
        <v>83</v>
      </c>
      <c r="CU198" s="1354"/>
      <c r="CV198" s="1354"/>
      <c r="CW198" s="1363">
        <f t="shared" si="101"/>
        <v>0.93400959851581733</v>
      </c>
      <c r="CX198" s="1373"/>
    </row>
    <row r="199" spans="1:102" s="1374" customFormat="1" ht="22.5" customHeight="1" x14ac:dyDescent="0.35">
      <c r="A199" s="1354">
        <v>4</v>
      </c>
      <c r="B199" s="1354" t="s">
        <v>334</v>
      </c>
      <c r="C199" s="2289"/>
      <c r="D199" s="1356">
        <v>11</v>
      </c>
      <c r="E199" s="1357" t="s">
        <v>326</v>
      </c>
      <c r="F199" s="1357">
        <v>15025</v>
      </c>
      <c r="G199" s="1357" t="s">
        <v>329</v>
      </c>
      <c r="H199" s="1358" t="s">
        <v>324</v>
      </c>
      <c r="I199" s="1357">
        <v>40000</v>
      </c>
      <c r="J199" s="1359">
        <v>3969.54</v>
      </c>
      <c r="K199" s="1359">
        <v>3970.4</v>
      </c>
      <c r="L199" s="1359">
        <f t="shared" si="90"/>
        <v>0.86000000000012733</v>
      </c>
      <c r="M199" s="1356"/>
      <c r="N199" s="1360">
        <f>L199*I199</f>
        <v>34400.000000005093</v>
      </c>
      <c r="O199" s="1361">
        <f>N199*2.5%+N199</f>
        <v>35260.000000005224</v>
      </c>
      <c r="P199" s="2291"/>
      <c r="Q199" s="1359">
        <v>1882</v>
      </c>
      <c r="R199" s="1359">
        <v>1882.63</v>
      </c>
      <c r="S199" s="1359">
        <f t="shared" si="91"/>
        <v>0.63000000000010914</v>
      </c>
      <c r="T199" s="1354"/>
      <c r="U199" s="1354">
        <f>S199*I199</f>
        <v>25200.000000004366</v>
      </c>
      <c r="V199" s="1361">
        <f>U199*2.5%+U199</f>
        <v>25830.000000004475</v>
      </c>
      <c r="W199" s="1362"/>
      <c r="X199" s="1363">
        <f t="shared" si="92"/>
        <v>0.80670310995500394</v>
      </c>
      <c r="Y199" s="1371">
        <f t="shared" si="93"/>
        <v>1.1156520768219178</v>
      </c>
      <c r="Z199" s="1371"/>
      <c r="AA199" s="117"/>
      <c r="AB199" s="1365"/>
      <c r="AC199" s="1354"/>
      <c r="AD199" s="1354"/>
      <c r="AE199" s="1354"/>
      <c r="AF199" s="1354" t="s">
        <v>334</v>
      </c>
      <c r="AG199" s="1366"/>
      <c r="AH199" s="1366"/>
      <c r="AI199" s="1366"/>
      <c r="AJ199" s="1366"/>
      <c r="AK199" s="1366"/>
      <c r="AL199" s="1366"/>
      <c r="AM199" s="1366"/>
      <c r="AN199" s="1366"/>
      <c r="AO199" s="1366"/>
      <c r="AP199" s="1366"/>
      <c r="AQ199" s="1366"/>
      <c r="AR199" s="1366"/>
      <c r="AS199" s="1366"/>
      <c r="AT199" s="1366"/>
      <c r="AU199" s="1366"/>
      <c r="AV199" s="1366"/>
      <c r="AW199" s="1366"/>
      <c r="AX199" s="1366"/>
      <c r="AY199" s="1366"/>
      <c r="AZ199" s="1367"/>
      <c r="BA199" s="1368" t="s">
        <v>336</v>
      </c>
      <c r="BB199" s="1368"/>
      <c r="BC199" s="1368">
        <v>993.85</v>
      </c>
      <c r="BD199" s="1368">
        <v>211.73</v>
      </c>
      <c r="BE199" s="1367"/>
      <c r="BF199" s="1367"/>
      <c r="BG199" s="1367"/>
      <c r="BH199" s="1367"/>
      <c r="BI199" s="1366"/>
      <c r="BJ199" s="1366"/>
      <c r="BK199" s="1369"/>
      <c r="BL199" s="1369" t="e">
        <f>BL191+BL147</f>
        <v>#REF!</v>
      </c>
      <c r="BM199" s="1370">
        <f>M199</f>
        <v>0</v>
      </c>
      <c r="BN199" s="1370">
        <f t="shared" si="102"/>
        <v>34400.000000005093</v>
      </c>
      <c r="BO199" s="1354">
        <v>0</v>
      </c>
      <c r="BP199" s="1354">
        <v>443600</v>
      </c>
      <c r="BQ199" s="1354">
        <f t="shared" si="94"/>
        <v>0</v>
      </c>
      <c r="BR199" s="1366"/>
      <c r="BS199" s="1366"/>
      <c r="BT199" s="1366"/>
      <c r="BU199" s="1366"/>
      <c r="BV199" s="1366"/>
      <c r="BW199" s="1366"/>
      <c r="BX199" s="1354">
        <v>8</v>
      </c>
      <c r="BY199" s="1354" t="s">
        <v>335</v>
      </c>
      <c r="BZ199" s="2295"/>
      <c r="CA199" s="1354">
        <v>11</v>
      </c>
      <c r="CB199" s="1354"/>
      <c r="CC199" s="1366"/>
      <c r="CD199" s="1356">
        <v>9</v>
      </c>
      <c r="CE199" s="1354" t="s">
        <v>334</v>
      </c>
      <c r="CF199" s="2293"/>
      <c r="CG199" s="1356">
        <v>11</v>
      </c>
      <c r="CH199" s="1357" t="s">
        <v>326</v>
      </c>
      <c r="CI199" s="1357">
        <v>15025</v>
      </c>
      <c r="CJ199" s="1357" t="s">
        <v>329</v>
      </c>
      <c r="CK199" s="1358" t="s">
        <v>324</v>
      </c>
      <c r="CL199" s="1357">
        <v>40000</v>
      </c>
      <c r="CM199" s="1371">
        <f t="shared" si="95"/>
        <v>3969.54</v>
      </c>
      <c r="CN199" s="1371">
        <f t="shared" si="95"/>
        <v>3970.4</v>
      </c>
      <c r="CO199" s="1354">
        <f t="shared" si="96"/>
        <v>0.86000000000012733</v>
      </c>
      <c r="CP199" s="1354"/>
      <c r="CQ199" s="1354">
        <f t="shared" si="97"/>
        <v>34400.000000005093</v>
      </c>
      <c r="CR199" s="1372">
        <f t="shared" si="98"/>
        <v>1882</v>
      </c>
      <c r="CS199" s="1372">
        <f t="shared" si="86"/>
        <v>1882.63</v>
      </c>
      <c r="CT199" s="1354">
        <f t="shared" si="99"/>
        <v>0.63000000000010914</v>
      </c>
      <c r="CU199" s="1354"/>
      <c r="CV199" s="1354">
        <f t="shared" si="100"/>
        <v>25200.000000004366</v>
      </c>
      <c r="CW199" s="1384">
        <f t="shared" si="101"/>
        <v>0.80670310995500394</v>
      </c>
      <c r="CX199" s="1373"/>
    </row>
    <row r="200" spans="1:102" s="1374" customFormat="1" ht="22.5" customHeight="1" x14ac:dyDescent="0.35">
      <c r="A200" s="1354">
        <v>5</v>
      </c>
      <c r="B200" s="1354" t="s">
        <v>331</v>
      </c>
      <c r="C200" s="2289"/>
      <c r="D200" s="1356">
        <v>11</v>
      </c>
      <c r="E200" s="1357" t="s">
        <v>326</v>
      </c>
      <c r="F200" s="1357">
        <v>15024</v>
      </c>
      <c r="G200" s="1357" t="s">
        <v>329</v>
      </c>
      <c r="H200" s="1358" t="s">
        <v>324</v>
      </c>
      <c r="I200" s="1357">
        <v>40000</v>
      </c>
      <c r="J200" s="1359">
        <v>1038.0999999999999</v>
      </c>
      <c r="K200" s="1359">
        <v>1038.0999999999999</v>
      </c>
      <c r="L200" s="1359">
        <f t="shared" si="90"/>
        <v>0</v>
      </c>
      <c r="M200" s="1356"/>
      <c r="N200" s="1360">
        <f>L200*I200</f>
        <v>0</v>
      </c>
      <c r="O200" s="1361">
        <f>N200*2.5%+N200</f>
        <v>0</v>
      </c>
      <c r="P200" s="2291"/>
      <c r="Q200" s="1359">
        <v>297.32</v>
      </c>
      <c r="R200" s="1359">
        <v>297.32</v>
      </c>
      <c r="S200" s="1359">
        <f t="shared" si="91"/>
        <v>0</v>
      </c>
      <c r="T200" s="1354"/>
      <c r="U200" s="1354">
        <f>S200*I200</f>
        <v>0</v>
      </c>
      <c r="V200" s="1361">
        <f>U200*2.5%+U200</f>
        <v>0</v>
      </c>
      <c r="W200" s="1362"/>
      <c r="X200" s="1363" t="str">
        <f t="shared" si="92"/>
        <v>0</v>
      </c>
      <c r="Y200" s="1364" t="str">
        <f t="shared" si="93"/>
        <v>1</v>
      </c>
      <c r="Z200" s="1364"/>
      <c r="AA200" s="117"/>
      <c r="AB200" s="1365"/>
      <c r="AC200" s="1354"/>
      <c r="AD200" s="1354"/>
      <c r="AE200" s="1354"/>
      <c r="AF200" s="1354" t="s">
        <v>331</v>
      </c>
      <c r="AG200" s="1366"/>
      <c r="AH200" s="1366"/>
      <c r="AI200" s="1366"/>
      <c r="AJ200" s="1366"/>
      <c r="AK200" s="1366"/>
      <c r="AL200" s="1366"/>
      <c r="AM200" s="1366"/>
      <c r="AN200" s="1366"/>
      <c r="AO200" s="1366"/>
      <c r="AP200" s="1366"/>
      <c r="AQ200" s="1366"/>
      <c r="AR200" s="1366"/>
      <c r="AS200" s="1366"/>
      <c r="AT200" s="1366"/>
      <c r="AU200" s="1366"/>
      <c r="AV200" s="1366"/>
      <c r="AW200" s="1366"/>
      <c r="AX200" s="1366"/>
      <c r="AY200" s="1366"/>
      <c r="AZ200" s="1367"/>
      <c r="BA200" s="1368" t="s">
        <v>333</v>
      </c>
      <c r="BB200" s="1368"/>
      <c r="BC200" s="1368">
        <v>38635.519999999997</v>
      </c>
      <c r="BD200" s="1368">
        <v>19957.599999999999</v>
      </c>
      <c r="BE200" s="1367"/>
      <c r="BF200" s="1367"/>
      <c r="BG200" s="1367"/>
      <c r="BH200" s="1367"/>
      <c r="BI200" s="1366"/>
      <c r="BJ200" s="1366"/>
      <c r="BK200" s="1369"/>
      <c r="BL200" s="1369" t="e">
        <f>BL199*1.025</f>
        <v>#REF!</v>
      </c>
      <c r="BM200" s="1370">
        <f>M200</f>
        <v>0</v>
      </c>
      <c r="BN200" s="1370">
        <f t="shared" si="102"/>
        <v>0</v>
      </c>
      <c r="BO200" s="1354">
        <v>0</v>
      </c>
      <c r="BP200" s="1354">
        <v>322800</v>
      </c>
      <c r="BQ200" s="1354">
        <f t="shared" si="94"/>
        <v>0</v>
      </c>
      <c r="BR200" s="1366"/>
      <c r="BS200" s="1366"/>
      <c r="BT200" s="1366"/>
      <c r="BU200" s="1366"/>
      <c r="BV200" s="1366"/>
      <c r="BW200" s="1366"/>
      <c r="BX200" s="1354">
        <v>9</v>
      </c>
      <c r="BY200" s="1354" t="s">
        <v>332</v>
      </c>
      <c r="BZ200" s="2295"/>
      <c r="CA200" s="1354">
        <v>11</v>
      </c>
      <c r="CB200" s="1354"/>
      <c r="CC200" s="1366"/>
      <c r="CD200" s="1356">
        <v>10</v>
      </c>
      <c r="CE200" s="1354" t="s">
        <v>331</v>
      </c>
      <c r="CF200" s="2293"/>
      <c r="CG200" s="1356">
        <v>11</v>
      </c>
      <c r="CH200" s="1357" t="s">
        <v>326</v>
      </c>
      <c r="CI200" s="1357">
        <v>15024</v>
      </c>
      <c r="CJ200" s="1357" t="s">
        <v>329</v>
      </c>
      <c r="CK200" s="1358" t="s">
        <v>324</v>
      </c>
      <c r="CL200" s="1357">
        <v>40000</v>
      </c>
      <c r="CM200" s="1371">
        <f t="shared" si="95"/>
        <v>1038.0999999999999</v>
      </c>
      <c r="CN200" s="1371">
        <f t="shared" si="95"/>
        <v>1038.0999999999999</v>
      </c>
      <c r="CO200" s="1354">
        <f t="shared" si="96"/>
        <v>0</v>
      </c>
      <c r="CP200" s="1354"/>
      <c r="CQ200" s="1354">
        <f t="shared" si="97"/>
        <v>0</v>
      </c>
      <c r="CR200" s="1372">
        <f t="shared" si="98"/>
        <v>297.32</v>
      </c>
      <c r="CS200" s="1372">
        <f t="shared" si="98"/>
        <v>297.32</v>
      </c>
      <c r="CT200" s="1354">
        <f t="shared" si="99"/>
        <v>0</v>
      </c>
      <c r="CU200" s="1354"/>
      <c r="CV200" s="1354">
        <f t="shared" si="100"/>
        <v>0</v>
      </c>
      <c r="CW200" s="1363" t="str">
        <f t="shared" si="101"/>
        <v>0</v>
      </c>
      <c r="CX200" s="1373"/>
    </row>
    <row r="201" spans="1:102" s="1374" customFormat="1" ht="22.5" customHeight="1" x14ac:dyDescent="0.35">
      <c r="A201" s="1354">
        <v>6</v>
      </c>
      <c r="B201" s="1354" t="s">
        <v>328</v>
      </c>
      <c r="C201" s="2289"/>
      <c r="D201" s="1356">
        <v>11</v>
      </c>
      <c r="E201" s="1357" t="s">
        <v>326</v>
      </c>
      <c r="F201" s="1357">
        <v>15023</v>
      </c>
      <c r="G201" s="1357" t="s">
        <v>329</v>
      </c>
      <c r="H201" s="1358" t="s">
        <v>324</v>
      </c>
      <c r="I201" s="1357">
        <v>40000</v>
      </c>
      <c r="J201" s="1359">
        <v>431.56</v>
      </c>
      <c r="K201" s="1359">
        <v>431.56</v>
      </c>
      <c r="L201" s="1359">
        <f t="shared" si="90"/>
        <v>0</v>
      </c>
      <c r="M201" s="1385"/>
      <c r="N201" s="1360">
        <f>L201*I201</f>
        <v>0</v>
      </c>
      <c r="O201" s="1361">
        <f>N201*2.5%+N201</f>
        <v>0</v>
      </c>
      <c r="P201" s="2291"/>
      <c r="Q201" s="1359">
        <v>56.29</v>
      </c>
      <c r="R201" s="1359">
        <v>56.29</v>
      </c>
      <c r="S201" s="1359">
        <f t="shared" si="91"/>
        <v>0</v>
      </c>
      <c r="T201" s="1354"/>
      <c r="U201" s="1354">
        <f>S201*I201</f>
        <v>0</v>
      </c>
      <c r="V201" s="1361">
        <f>U201*2.5%+U201</f>
        <v>0</v>
      </c>
      <c r="W201" s="1362"/>
      <c r="X201" s="1363" t="str">
        <f t="shared" si="92"/>
        <v>0</v>
      </c>
      <c r="Y201" s="1364" t="str">
        <f t="shared" si="93"/>
        <v>1</v>
      </c>
      <c r="Z201" s="1364"/>
      <c r="AA201" s="117"/>
      <c r="AB201" s="1365"/>
      <c r="AC201" s="1354"/>
      <c r="AD201" s="1354"/>
      <c r="AE201" s="1354"/>
      <c r="AF201" s="1354" t="s">
        <v>328</v>
      </c>
      <c r="AG201" s="1366"/>
      <c r="AH201" s="1366"/>
      <c r="AI201" s="1366"/>
      <c r="AJ201" s="1366"/>
      <c r="AK201" s="1366"/>
      <c r="AL201" s="1366"/>
      <c r="AM201" s="1366"/>
      <c r="AN201" s="1366"/>
      <c r="AO201" s="1366"/>
      <c r="AP201" s="1366"/>
      <c r="AQ201" s="1366"/>
      <c r="AR201" s="1366"/>
      <c r="AS201" s="1366"/>
      <c r="AT201" s="1366"/>
      <c r="AU201" s="1366"/>
      <c r="AV201" s="1366"/>
      <c r="AW201" s="1366"/>
      <c r="AX201" s="1366"/>
      <c r="AY201" s="1366"/>
      <c r="AZ201" s="1367"/>
      <c r="BA201" s="1367"/>
      <c r="BB201" s="1367"/>
      <c r="BC201" s="1367"/>
      <c r="BD201" s="1367"/>
      <c r="BE201" s="1367"/>
      <c r="BF201" s="1367"/>
      <c r="BG201" s="1367"/>
      <c r="BH201" s="1367"/>
      <c r="BI201" s="1366"/>
      <c r="BJ201" s="1366"/>
      <c r="BK201" s="1369"/>
      <c r="BL201" s="1369"/>
      <c r="BM201" s="1370">
        <f>M201</f>
        <v>0</v>
      </c>
      <c r="BN201" s="1370">
        <f t="shared" si="102"/>
        <v>0</v>
      </c>
      <c r="BO201" s="1354">
        <v>0</v>
      </c>
      <c r="BP201" s="1354">
        <v>115200</v>
      </c>
      <c r="BQ201" s="1354">
        <f t="shared" si="94"/>
        <v>0</v>
      </c>
      <c r="BR201" s="1366"/>
      <c r="BS201" s="1366"/>
      <c r="BT201" s="1366"/>
      <c r="BU201" s="1366"/>
      <c r="BV201" s="1366"/>
      <c r="BW201" s="1366"/>
      <c r="BX201" s="1354">
        <v>10</v>
      </c>
      <c r="BY201" s="1354" t="s">
        <v>330</v>
      </c>
      <c r="BZ201" s="2295"/>
      <c r="CA201" s="1354">
        <v>11</v>
      </c>
      <c r="CB201" s="1354"/>
      <c r="CC201" s="1366"/>
      <c r="CD201" s="1356">
        <v>11</v>
      </c>
      <c r="CE201" s="1354" t="s">
        <v>328</v>
      </c>
      <c r="CF201" s="2293"/>
      <c r="CG201" s="1356">
        <v>11</v>
      </c>
      <c r="CH201" s="1357" t="s">
        <v>326</v>
      </c>
      <c r="CI201" s="1357">
        <v>15023</v>
      </c>
      <c r="CJ201" s="1357" t="s">
        <v>329</v>
      </c>
      <c r="CK201" s="1358" t="s">
        <v>324</v>
      </c>
      <c r="CL201" s="1357">
        <v>40000</v>
      </c>
      <c r="CM201" s="1371">
        <f t="shared" si="95"/>
        <v>431.56</v>
      </c>
      <c r="CN201" s="1371">
        <f t="shared" si="95"/>
        <v>431.56</v>
      </c>
      <c r="CO201" s="1354">
        <f t="shared" si="96"/>
        <v>0</v>
      </c>
      <c r="CP201" s="1371"/>
      <c r="CQ201" s="1354">
        <f t="shared" si="97"/>
        <v>0</v>
      </c>
      <c r="CR201" s="1372">
        <f t="shared" si="98"/>
        <v>56.29</v>
      </c>
      <c r="CS201" s="1372">
        <f t="shared" si="98"/>
        <v>56.29</v>
      </c>
      <c r="CT201" s="1354">
        <f t="shared" si="99"/>
        <v>0</v>
      </c>
      <c r="CU201" s="1354"/>
      <c r="CV201" s="1354">
        <f t="shared" si="100"/>
        <v>0</v>
      </c>
      <c r="CW201" s="1363" t="str">
        <f t="shared" si="101"/>
        <v>0</v>
      </c>
      <c r="CX201" s="1373"/>
    </row>
    <row r="202" spans="1:102" s="1374" customFormat="1" ht="22.5" customHeight="1" x14ac:dyDescent="0.35">
      <c r="A202" s="2296">
        <v>7</v>
      </c>
      <c r="B202" s="1376" t="s">
        <v>322</v>
      </c>
      <c r="C202" s="2290"/>
      <c r="D202" s="1377">
        <v>11</v>
      </c>
      <c r="E202" s="1378" t="s">
        <v>326</v>
      </c>
      <c r="F202" s="1378">
        <v>76026327</v>
      </c>
      <c r="G202" s="1378" t="s">
        <v>327</v>
      </c>
      <c r="H202" s="1379" t="s">
        <v>324</v>
      </c>
      <c r="I202" s="1378">
        <v>40000</v>
      </c>
      <c r="J202" s="1381">
        <v>3357</v>
      </c>
      <c r="K202" s="1381">
        <v>3357</v>
      </c>
      <c r="L202" s="1376">
        <f t="shared" si="90"/>
        <v>0</v>
      </c>
      <c r="M202" s="1356"/>
      <c r="N202" s="1360">
        <f>L202*I202</f>
        <v>0</v>
      </c>
      <c r="O202" s="119">
        <f>N202*2.5%+N202</f>
        <v>0</v>
      </c>
      <c r="P202" s="2291"/>
      <c r="Q202" s="1381">
        <v>1465</v>
      </c>
      <c r="R202" s="1381">
        <v>1465</v>
      </c>
      <c r="S202" s="1376">
        <f t="shared" si="91"/>
        <v>0</v>
      </c>
      <c r="T202" s="1376"/>
      <c r="U202" s="1376">
        <f>S202*I202</f>
        <v>0</v>
      </c>
      <c r="V202" s="119">
        <f>U202*2.5%+U202</f>
        <v>0</v>
      </c>
      <c r="W202" s="1362"/>
      <c r="X202" s="1363" t="str">
        <f t="shared" si="92"/>
        <v>0</v>
      </c>
      <c r="Y202" s="1364" t="str">
        <f t="shared" si="93"/>
        <v>1</v>
      </c>
      <c r="Z202" s="1364"/>
      <c r="AA202" s="117"/>
      <c r="AB202" s="1365"/>
      <c r="AC202" s="1354"/>
      <c r="AD202" s="1354"/>
      <c r="AE202" s="1354"/>
      <c r="AF202" s="1354" t="s">
        <v>322</v>
      </c>
      <c r="AG202" s="1366"/>
      <c r="AH202" s="1366"/>
      <c r="AI202" s="1366"/>
      <c r="AJ202" s="1366"/>
      <c r="AK202" s="1366"/>
      <c r="AL202" s="1366"/>
      <c r="AM202" s="1366"/>
      <c r="AN202" s="1366"/>
      <c r="AO202" s="1366"/>
      <c r="AP202" s="1366"/>
      <c r="AQ202" s="1366"/>
      <c r="AR202" s="1366"/>
      <c r="AS202" s="1366"/>
      <c r="AT202" s="1366"/>
      <c r="AU202" s="1366"/>
      <c r="AV202" s="1366"/>
      <c r="AW202" s="1366"/>
      <c r="AX202" s="1366"/>
      <c r="AY202" s="1366"/>
      <c r="AZ202" s="1367"/>
      <c r="BA202" s="1367"/>
      <c r="BB202" s="1367"/>
      <c r="BC202" s="1367"/>
      <c r="BD202" s="1367"/>
      <c r="BE202" s="1367"/>
      <c r="BF202" s="1367"/>
      <c r="BG202" s="1367"/>
      <c r="BH202" s="1367"/>
      <c r="BI202" s="1366"/>
      <c r="BJ202" s="1366"/>
      <c r="BK202" s="1369"/>
      <c r="BL202" s="1369"/>
      <c r="BM202" s="1370">
        <f>M202</f>
        <v>0</v>
      </c>
      <c r="BN202" s="1370">
        <f t="shared" si="102"/>
        <v>0</v>
      </c>
      <c r="BO202" s="1354">
        <v>0</v>
      </c>
      <c r="BP202" s="1354">
        <v>900000</v>
      </c>
      <c r="BQ202" s="1354">
        <f t="shared" si="94"/>
        <v>0</v>
      </c>
      <c r="BR202" s="1366"/>
      <c r="BS202" s="1366"/>
      <c r="BT202" s="1366"/>
      <c r="BU202" s="1366"/>
      <c r="BV202" s="1366"/>
      <c r="BW202" s="1366"/>
      <c r="BX202" s="1354">
        <v>11</v>
      </c>
      <c r="BY202" s="1354" t="s">
        <v>328</v>
      </c>
      <c r="BZ202" s="2295"/>
      <c r="CA202" s="1354">
        <v>11</v>
      </c>
      <c r="CB202" s="1354"/>
      <c r="CC202" s="1366"/>
      <c r="CD202" s="1356">
        <v>12</v>
      </c>
      <c r="CE202" s="1354" t="s">
        <v>322</v>
      </c>
      <c r="CF202" s="2294"/>
      <c r="CG202" s="1356">
        <v>11</v>
      </c>
      <c r="CH202" s="1357" t="s">
        <v>326</v>
      </c>
      <c r="CI202" s="1357">
        <v>76026327</v>
      </c>
      <c r="CJ202" s="1357" t="s">
        <v>327</v>
      </c>
      <c r="CK202" s="1358" t="s">
        <v>324</v>
      </c>
      <c r="CL202" s="1357">
        <v>40000</v>
      </c>
      <c r="CM202" s="1371">
        <f t="shared" si="95"/>
        <v>3357</v>
      </c>
      <c r="CN202" s="1371">
        <f t="shared" si="95"/>
        <v>3357</v>
      </c>
      <c r="CO202" s="1354">
        <f t="shared" si="96"/>
        <v>0</v>
      </c>
      <c r="CP202" s="1354"/>
      <c r="CQ202" s="1354">
        <f t="shared" si="97"/>
        <v>0</v>
      </c>
      <c r="CR202" s="1372">
        <f t="shared" si="98"/>
        <v>1465</v>
      </c>
      <c r="CS202" s="1372">
        <f t="shared" si="98"/>
        <v>1465</v>
      </c>
      <c r="CT202" s="1354">
        <f t="shared" si="99"/>
        <v>0</v>
      </c>
      <c r="CU202" s="1354"/>
      <c r="CV202" s="1354">
        <f t="shared" si="100"/>
        <v>0</v>
      </c>
      <c r="CW202" s="1386" t="str">
        <f t="shared" si="101"/>
        <v>0</v>
      </c>
      <c r="CX202" s="1373"/>
    </row>
    <row r="203" spans="1:102" s="1374" customFormat="1" ht="22.5" customHeight="1" x14ac:dyDescent="0.35">
      <c r="A203" s="2296"/>
      <c r="B203" s="1354" t="s">
        <v>322</v>
      </c>
      <c r="C203" s="1354" t="s">
        <v>307</v>
      </c>
      <c r="D203" s="1356">
        <v>11</v>
      </c>
      <c r="E203" s="1357" t="s">
        <v>326</v>
      </c>
      <c r="F203" s="1387" t="s">
        <v>325</v>
      </c>
      <c r="G203" s="1388"/>
      <c r="H203" s="1358" t="s">
        <v>324</v>
      </c>
      <c r="I203" s="1357">
        <v>40000</v>
      </c>
      <c r="J203" s="1359">
        <v>175.92</v>
      </c>
      <c r="K203" s="1359">
        <v>175.92</v>
      </c>
      <c r="L203" s="1359">
        <f t="shared" si="90"/>
        <v>0</v>
      </c>
      <c r="M203" s="1356"/>
      <c r="N203" s="1360">
        <f>L203*I203</f>
        <v>0</v>
      </c>
      <c r="O203" s="119">
        <f>N203*2.5%+N203</f>
        <v>0</v>
      </c>
      <c r="P203" s="1356"/>
      <c r="Q203" s="1359">
        <v>57.975000000000001</v>
      </c>
      <c r="R203" s="1359">
        <v>57.975000000000001</v>
      </c>
      <c r="S203" s="1359">
        <f t="shared" si="91"/>
        <v>0</v>
      </c>
      <c r="T203" s="1354"/>
      <c r="U203" s="1354">
        <f>S203*I203</f>
        <v>0</v>
      </c>
      <c r="V203" s="1361">
        <f>U203*2.5%+U203</f>
        <v>0</v>
      </c>
      <c r="W203" s="1362"/>
      <c r="X203" s="1363"/>
      <c r="Y203" s="1364"/>
      <c r="Z203" s="1364"/>
      <c r="AA203" s="117"/>
      <c r="AB203" s="1365"/>
      <c r="AC203" s="1354"/>
      <c r="AD203" s="1366"/>
      <c r="AE203" s="1366"/>
      <c r="AF203" s="1366"/>
      <c r="AG203" s="1366"/>
      <c r="AH203" s="1366"/>
      <c r="AI203" s="1366"/>
      <c r="AJ203" s="1366"/>
      <c r="AK203" s="1366"/>
      <c r="AL203" s="1366"/>
      <c r="AM203" s="1366"/>
      <c r="AN203" s="1366"/>
      <c r="AO203" s="1366"/>
      <c r="AP203" s="1366"/>
      <c r="AQ203" s="1366"/>
      <c r="AR203" s="1366"/>
      <c r="AS203" s="1366"/>
      <c r="AT203" s="1366"/>
      <c r="AU203" s="1366"/>
      <c r="AV203" s="1366"/>
      <c r="AW203" s="1366"/>
      <c r="AX203" s="1366"/>
      <c r="AY203" s="1366"/>
      <c r="AZ203" s="1367"/>
      <c r="BA203" s="1367"/>
      <c r="BB203" s="1367"/>
      <c r="BC203" s="1367"/>
      <c r="BD203" s="1367"/>
      <c r="BE203" s="1367"/>
      <c r="BF203" s="1367"/>
      <c r="BG203" s="1367"/>
      <c r="BH203" s="1367"/>
      <c r="BI203" s="1366"/>
      <c r="BJ203" s="1366"/>
      <c r="BK203" s="1369"/>
      <c r="BL203" s="1369"/>
      <c r="BM203" s="1370"/>
      <c r="BN203" s="1370"/>
      <c r="BO203" s="1354"/>
      <c r="BP203" s="1354"/>
      <c r="BQ203" s="1354"/>
      <c r="BR203" s="1366"/>
      <c r="BS203" s="1366"/>
      <c r="BT203" s="1366"/>
      <c r="BU203" s="1366"/>
      <c r="BV203" s="1366"/>
      <c r="BW203" s="1366"/>
      <c r="BX203" s="1354"/>
      <c r="BY203" s="1354"/>
      <c r="BZ203" s="2295"/>
      <c r="CA203" s="1354"/>
      <c r="CB203" s="1354"/>
      <c r="CC203" s="1366"/>
      <c r="CD203" s="1389"/>
      <c r="CE203" s="1390"/>
      <c r="CF203" s="1391"/>
      <c r="CG203" s="1392"/>
      <c r="CH203" s="1393"/>
      <c r="CI203" s="1393"/>
      <c r="CJ203" s="1394"/>
      <c r="CK203" s="1395"/>
      <c r="CL203" s="1396"/>
      <c r="CM203" s="1397"/>
      <c r="CN203" s="1397"/>
      <c r="CO203" s="1366"/>
      <c r="CP203" s="1355"/>
      <c r="CQ203" s="1354"/>
      <c r="CR203" s="1398"/>
      <c r="CS203" s="1398"/>
      <c r="CT203" s="1355"/>
      <c r="CU203" s="1355"/>
      <c r="CV203" s="1399"/>
      <c r="CW203" s="1386"/>
      <c r="CX203" s="1400"/>
    </row>
    <row r="204" spans="1:102" ht="25.5" customHeight="1" x14ac:dyDescent="0.25">
      <c r="A204" s="2278" t="s">
        <v>321</v>
      </c>
      <c r="B204" s="2279"/>
      <c r="C204" s="2279"/>
      <c r="D204" s="2279"/>
      <c r="E204" s="2279"/>
      <c r="F204" s="2279"/>
      <c r="G204" s="2280"/>
      <c r="H204" s="932"/>
      <c r="I204" s="855"/>
      <c r="J204" s="1352"/>
      <c r="K204" s="1352"/>
      <c r="L204" s="837" t="s">
        <v>323</v>
      </c>
      <c r="M204" s="861"/>
      <c r="N204" s="856">
        <f>SUM(N192:N203)</f>
        <v>707999.99999997462</v>
      </c>
      <c r="O204" s="863">
        <f>N204*1.025</f>
        <v>725699.99999997392</v>
      </c>
      <c r="P204" s="861"/>
      <c r="Q204" s="1368"/>
      <c r="R204" s="1368"/>
      <c r="S204" s="879"/>
      <c r="T204" s="879">
        <f>T194+T195+T198+T196+T197</f>
        <v>86000</v>
      </c>
      <c r="U204" s="991">
        <f>SUM(U192:U203)</f>
        <v>230800.00000001746</v>
      </c>
      <c r="V204" s="1401"/>
      <c r="W204" s="856"/>
      <c r="X204" s="957"/>
      <c r="Y204" s="1179"/>
      <c r="Z204" s="1179"/>
      <c r="AA204" s="113"/>
      <c r="AB204" s="991"/>
      <c r="AC204" s="879"/>
      <c r="AF204" s="820"/>
      <c r="BL204" s="877"/>
      <c r="BM204" s="860"/>
      <c r="BN204" s="860"/>
      <c r="BO204" s="861"/>
      <c r="BP204" s="861"/>
      <c r="BQ204" s="861"/>
      <c r="BR204" s="828"/>
      <c r="BS204" s="828"/>
      <c r="BT204" s="828"/>
      <c r="BU204" s="828"/>
      <c r="BV204" s="828"/>
      <c r="BW204" s="828"/>
      <c r="BX204" s="861">
        <v>12</v>
      </c>
      <c r="BY204" s="861" t="s">
        <v>322</v>
      </c>
      <c r="BZ204" s="2295"/>
      <c r="CA204" s="861">
        <v>11</v>
      </c>
      <c r="CB204" s="861"/>
      <c r="CC204" s="828"/>
      <c r="CD204" s="2278" t="s">
        <v>321</v>
      </c>
      <c r="CE204" s="2279"/>
      <c r="CF204" s="2297"/>
      <c r="CG204" s="2297"/>
      <c r="CH204" s="2297"/>
      <c r="CI204" s="2297"/>
      <c r="CJ204" s="2298"/>
      <c r="CK204" s="912"/>
      <c r="CL204" s="908"/>
      <c r="CM204" s="1402"/>
      <c r="CN204" s="1402"/>
      <c r="CO204" s="837" t="s">
        <v>320</v>
      </c>
      <c r="CP204" s="1018"/>
      <c r="CQ204" s="843">
        <f>SUM(CQ192:CQ202)</f>
        <v>707999.99999997462</v>
      </c>
      <c r="CR204" s="1403"/>
      <c r="CS204" s="1403"/>
      <c r="CT204" s="1237"/>
      <c r="CU204" s="1237"/>
      <c r="CV204" s="849">
        <f>SUM(CV192:CV202)</f>
        <v>230800.00000001746</v>
      </c>
      <c r="CW204" s="1404"/>
      <c r="CX204" s="2275"/>
    </row>
    <row r="205" spans="1:102" ht="22.5" customHeight="1" x14ac:dyDescent="0.25">
      <c r="A205" s="2278" t="s">
        <v>319</v>
      </c>
      <c r="B205" s="2279"/>
      <c r="C205" s="2279"/>
      <c r="D205" s="2279"/>
      <c r="E205" s="2279"/>
      <c r="F205" s="2279"/>
      <c r="G205" s="2279"/>
      <c r="H205" s="2279"/>
      <c r="I205" s="2279"/>
      <c r="J205" s="2279"/>
      <c r="K205" s="2279"/>
      <c r="L205" s="2280"/>
      <c r="M205" s="991">
        <f>SUM(M192:M204)</f>
        <v>301000</v>
      </c>
      <c r="N205" s="856">
        <f>N204+N191</f>
        <v>707999.99999997462</v>
      </c>
      <c r="O205" s="869"/>
      <c r="P205" s="861"/>
      <c r="Q205" s="1368" t="s">
        <v>237</v>
      </c>
      <c r="R205" s="1368" t="s">
        <v>237</v>
      </c>
      <c r="S205" s="1271"/>
      <c r="T205" s="843">
        <f>T204</f>
        <v>86000</v>
      </c>
      <c r="U205" s="991">
        <f>U204+U191</f>
        <v>230800.00000001746</v>
      </c>
      <c r="V205" s="114"/>
      <c r="W205" s="1405"/>
      <c r="X205" s="1406"/>
      <c r="Y205" s="1276"/>
      <c r="Z205" s="1276"/>
      <c r="AA205" s="113"/>
      <c r="AB205" s="991"/>
      <c r="AC205" s="861"/>
      <c r="AD205" s="828"/>
      <c r="AE205" s="828"/>
      <c r="AF205" s="828"/>
      <c r="AG205" s="828"/>
      <c r="AH205" s="828"/>
      <c r="AI205" s="828"/>
      <c r="AJ205" s="828"/>
      <c r="AK205" s="828"/>
      <c r="AL205" s="828"/>
      <c r="AM205" s="828"/>
      <c r="AN205" s="828"/>
      <c r="AO205" s="828"/>
      <c r="AP205" s="828"/>
      <c r="AQ205" s="828"/>
      <c r="AR205" s="828"/>
      <c r="AS205" s="828"/>
      <c r="AT205" s="828"/>
      <c r="AU205" s="828"/>
      <c r="AV205" s="828"/>
      <c r="AW205" s="828"/>
      <c r="AX205" s="828"/>
      <c r="AY205" s="828"/>
      <c r="BI205" s="828"/>
      <c r="BJ205" s="828"/>
      <c r="BK205" s="877"/>
      <c r="BL205" s="877" t="s">
        <v>318</v>
      </c>
      <c r="BM205" s="860" t="e">
        <f>#REF!</f>
        <v>#REF!</v>
      </c>
      <c r="BN205" s="860">
        <f>BN202+BN201+BN200+BN199+BN193+BN192+BN190+BN189+BN188+BN187+BN186+BN185+BN184</f>
        <v>707999.99999997451</v>
      </c>
      <c r="BO205" s="861">
        <v>118200</v>
      </c>
      <c r="BP205" s="861">
        <f>BP202+BP201+BP200+BP199+BP193+BP192+BP190+BP189+BP188+BP187+BP186+BP185+BP184</f>
        <v>18683840</v>
      </c>
      <c r="BQ205" s="861"/>
      <c r="BR205" s="828"/>
      <c r="BS205" s="828"/>
      <c r="BT205" s="828"/>
      <c r="BU205" s="828"/>
      <c r="BV205" s="898"/>
      <c r="BW205" s="828"/>
      <c r="BX205" s="861">
        <v>4</v>
      </c>
      <c r="BY205" s="861" t="s">
        <v>317</v>
      </c>
      <c r="BZ205" s="861" t="s">
        <v>316</v>
      </c>
      <c r="CA205" s="861">
        <v>0.4</v>
      </c>
      <c r="CB205" s="870" t="e">
        <f>#REF!*#REF!*1.075</f>
        <v>#REF!</v>
      </c>
      <c r="CC205" s="828"/>
      <c r="CE205" s="829"/>
      <c r="CF205" s="2281" t="s">
        <v>315</v>
      </c>
      <c r="CG205" s="2282"/>
      <c r="CH205" s="2282"/>
      <c r="CI205" s="2282"/>
      <c r="CJ205" s="2282"/>
      <c r="CK205" s="2282"/>
      <c r="CL205" s="2282"/>
      <c r="CM205" s="2282"/>
      <c r="CN205" s="2282"/>
      <c r="CO205" s="2282"/>
      <c r="CP205" s="1330"/>
      <c r="CQ205" s="1329">
        <f>CQ204+CQ191</f>
        <v>707999.99999997462</v>
      </c>
      <c r="CR205" s="1302"/>
      <c r="CS205" s="1303"/>
      <c r="CT205" s="1271"/>
      <c r="CU205" s="850"/>
      <c r="CV205" s="1329">
        <f>CV204+CV191</f>
        <v>230800.00000001746</v>
      </c>
      <c r="CW205" s="1407"/>
      <c r="CX205" s="2276"/>
    </row>
    <row r="206" spans="1:102" ht="12.75" customHeight="1" x14ac:dyDescent="0.25">
      <c r="A206" s="2278" t="s">
        <v>314</v>
      </c>
      <c r="B206" s="2279"/>
      <c r="C206" s="2279"/>
      <c r="D206" s="2279"/>
      <c r="E206" s="2279"/>
      <c r="F206" s="2279"/>
      <c r="G206" s="2279"/>
      <c r="H206" s="2279"/>
      <c r="I206" s="2279"/>
      <c r="J206" s="2279"/>
      <c r="K206" s="2279"/>
      <c r="L206" s="2280"/>
      <c r="M206" s="843"/>
      <c r="N206" s="856">
        <f>N205-M205</f>
        <v>406999.99999997462</v>
      </c>
      <c r="O206" s="869"/>
      <c r="P206" s="861"/>
      <c r="Q206" s="1303"/>
      <c r="R206" s="1303"/>
      <c r="S206" s="1316"/>
      <c r="T206" s="1316"/>
      <c r="U206" s="997">
        <f>U205-T205</f>
        <v>144800.00000001746</v>
      </c>
      <c r="V206" s="115"/>
      <c r="W206" s="1408"/>
      <c r="X206" s="1409"/>
      <c r="Y206" s="1410"/>
      <c r="Z206" s="1410"/>
      <c r="AA206" s="113"/>
      <c r="AB206" s="991"/>
      <c r="AC206" s="870">
        <f>COS(ATAN(U206/N206))</f>
        <v>0.9421497224144626</v>
      </c>
      <c r="AD206" s="877"/>
      <c r="AE206" s="877"/>
      <c r="AF206" s="877"/>
      <c r="AG206" s="877"/>
      <c r="AH206" s="877"/>
      <c r="AI206" s="877"/>
      <c r="AJ206" s="877"/>
      <c r="AK206" s="877"/>
      <c r="AL206" s="877"/>
      <c r="AM206" s="877"/>
      <c r="AN206" s="877"/>
      <c r="AO206" s="877"/>
      <c r="AP206" s="877"/>
      <c r="AQ206" s="877"/>
      <c r="AR206" s="877"/>
      <c r="AS206" s="877"/>
      <c r="AT206" s="877"/>
      <c r="AU206" s="877"/>
      <c r="AV206" s="877"/>
      <c r="AW206" s="877"/>
      <c r="AX206" s="877"/>
      <c r="AY206" s="877"/>
      <c r="BI206" s="877"/>
      <c r="BJ206" s="877"/>
      <c r="BK206" s="877"/>
      <c r="BL206" s="877"/>
      <c r="BM206" s="860"/>
      <c r="BN206" s="860"/>
      <c r="BO206" s="861"/>
      <c r="BP206" s="861"/>
      <c r="BQ206" s="861"/>
      <c r="BR206" s="828"/>
      <c r="BS206" s="828"/>
      <c r="BT206" s="828"/>
      <c r="BU206" s="828"/>
      <c r="BV206" s="828"/>
      <c r="BW206" s="828"/>
      <c r="BX206" s="2283" t="s">
        <v>313</v>
      </c>
      <c r="BY206" s="2283"/>
      <c r="BZ206" s="2283"/>
      <c r="CA206" s="2283"/>
      <c r="CB206" s="991" t="e">
        <f>SUM(CB205:CB205)</f>
        <v>#REF!</v>
      </c>
      <c r="CC206" s="828"/>
      <c r="CE206" s="829"/>
      <c r="CF206" s="2284" t="s">
        <v>312</v>
      </c>
      <c r="CG206" s="2285"/>
      <c r="CH206" s="2285"/>
      <c r="CI206" s="2285"/>
      <c r="CJ206" s="2285"/>
      <c r="CK206" s="2285"/>
      <c r="CL206" s="2285"/>
      <c r="CM206" s="2285"/>
      <c r="CN206" s="2285"/>
      <c r="CO206" s="2285"/>
      <c r="CP206" s="1411"/>
      <c r="CQ206" s="1330">
        <f>CQ205-CP205</f>
        <v>707999.99999997462</v>
      </c>
      <c r="CR206" s="1412"/>
      <c r="CS206" s="1412"/>
      <c r="CT206" s="1413"/>
      <c r="CU206" s="1413"/>
      <c r="CV206" s="1414">
        <f>CV205-CU205</f>
        <v>230800.00000001746</v>
      </c>
      <c r="CW206" s="1415"/>
      <c r="CX206" s="2276"/>
    </row>
    <row r="207" spans="1:102" ht="12.75" customHeight="1" x14ac:dyDescent="0.25">
      <c r="A207" s="2278" t="s">
        <v>311</v>
      </c>
      <c r="B207" s="2279"/>
      <c r="C207" s="2279"/>
      <c r="D207" s="2279"/>
      <c r="E207" s="2279"/>
      <c r="F207" s="2279"/>
      <c r="G207" s="2279"/>
      <c r="H207" s="2279"/>
      <c r="I207" s="2279"/>
      <c r="J207" s="2279"/>
      <c r="K207" s="2279"/>
      <c r="L207" s="2280"/>
      <c r="M207" s="879"/>
      <c r="N207" s="1118">
        <f>N206*1.025</f>
        <v>417174.99999997392</v>
      </c>
      <c r="O207" s="869"/>
      <c r="P207" s="846"/>
      <c r="Q207" s="1303"/>
      <c r="R207" s="1303"/>
      <c r="S207" s="1240"/>
      <c r="T207" s="1240"/>
      <c r="U207" s="1317">
        <f>U206*1.025</f>
        <v>148420.0000000179</v>
      </c>
      <c r="V207" s="114"/>
      <c r="W207" s="1405"/>
      <c r="X207" s="1416"/>
      <c r="Y207" s="1417"/>
      <c r="Z207" s="1417"/>
      <c r="AA207" s="113"/>
      <c r="AB207" s="991"/>
      <c r="AC207" s="878">
        <f>COS(ATAN(U207/N207))</f>
        <v>0.9421497224144626</v>
      </c>
      <c r="AD207" s="897"/>
      <c r="AE207" s="897"/>
      <c r="AF207" s="897"/>
      <c r="AG207" s="897"/>
      <c r="AH207" s="897"/>
      <c r="AI207" s="897"/>
      <c r="AJ207" s="897"/>
      <c r="AK207" s="897"/>
      <c r="AL207" s="897"/>
      <c r="AM207" s="897"/>
      <c r="AN207" s="897"/>
      <c r="AO207" s="897"/>
      <c r="AP207" s="897"/>
      <c r="AQ207" s="897"/>
      <c r="AR207" s="897"/>
      <c r="AS207" s="897"/>
      <c r="AT207" s="897"/>
      <c r="AU207" s="897"/>
      <c r="AV207" s="897"/>
      <c r="AW207" s="897"/>
      <c r="AX207" s="897"/>
      <c r="AY207" s="897"/>
      <c r="BI207" s="897"/>
      <c r="BJ207" s="897"/>
      <c r="BK207" s="877"/>
      <c r="BL207" s="877"/>
      <c r="BM207" s="860"/>
      <c r="BN207" s="860"/>
      <c r="BO207" s="861"/>
      <c r="BP207" s="861"/>
      <c r="BQ207" s="861"/>
      <c r="BR207" s="828"/>
      <c r="BS207" s="828"/>
      <c r="BT207" s="828"/>
      <c r="BU207" s="828"/>
      <c r="BV207" s="828"/>
      <c r="BW207" s="828"/>
      <c r="BX207" s="2278" t="s">
        <v>310</v>
      </c>
      <c r="BY207" s="2279"/>
      <c r="BZ207" s="2279"/>
      <c r="CA207" s="2280"/>
      <c r="CB207" s="861"/>
      <c r="CC207" s="828"/>
      <c r="CE207" s="829"/>
      <c r="CF207" s="2286" t="s">
        <v>309</v>
      </c>
      <c r="CG207" s="2287"/>
      <c r="CH207" s="2287"/>
      <c r="CI207" s="2287"/>
      <c r="CJ207" s="2287"/>
      <c r="CK207" s="2287"/>
      <c r="CL207" s="2287"/>
      <c r="CM207" s="2287"/>
      <c r="CN207" s="2287"/>
      <c r="CO207" s="2287"/>
      <c r="CP207" s="1323"/>
      <c r="CQ207" s="1418">
        <f>CQ206*1.025</f>
        <v>725699.99999997392</v>
      </c>
      <c r="CR207" s="1419"/>
      <c r="CS207" s="1419"/>
      <c r="CT207" s="1234"/>
      <c r="CU207" s="1234"/>
      <c r="CV207" s="1322">
        <f>CV206*1.025</f>
        <v>236570.00000001787</v>
      </c>
      <c r="CW207" s="1420"/>
      <c r="CX207" s="2277"/>
    </row>
    <row r="208" spans="1:102" ht="20.25" customHeight="1" x14ac:dyDescent="0.25">
      <c r="A208" s="828"/>
      <c r="B208" s="829"/>
      <c r="C208" s="828"/>
      <c r="D208" s="828"/>
      <c r="E208" s="830"/>
      <c r="F208" s="830"/>
      <c r="G208" s="830"/>
      <c r="H208" s="1143"/>
      <c r="I208" s="830"/>
      <c r="J208" s="832"/>
      <c r="K208" s="832"/>
      <c r="L208" s="828"/>
      <c r="M208" s="828"/>
      <c r="O208" s="1140"/>
      <c r="P208" s="828"/>
      <c r="Q208" s="832"/>
      <c r="R208" s="832"/>
      <c r="S208" s="828"/>
      <c r="T208" s="828"/>
      <c r="U208" s="828"/>
      <c r="V208" s="108"/>
      <c r="W208" s="1127"/>
      <c r="X208" s="877"/>
      <c r="Y208" s="828"/>
      <c r="Z208" s="828"/>
      <c r="AA208" s="107"/>
      <c r="AB208" s="828"/>
      <c r="AC208" s="828"/>
      <c r="AD208" s="828"/>
      <c r="AE208" s="828"/>
      <c r="AF208" s="829"/>
      <c r="AG208" s="828"/>
      <c r="AH208" s="828"/>
      <c r="AI208" s="828"/>
      <c r="AJ208" s="828"/>
      <c r="AK208" s="828"/>
      <c r="AL208" s="828"/>
      <c r="AM208" s="828"/>
      <c r="AN208" s="828"/>
      <c r="AO208" s="828"/>
      <c r="AP208" s="828"/>
      <c r="AQ208" s="828"/>
      <c r="AR208" s="828"/>
      <c r="AS208" s="828"/>
      <c r="AT208" s="828"/>
      <c r="AU208" s="828"/>
      <c r="AV208" s="828"/>
      <c r="AW208" s="828"/>
      <c r="AX208" s="828"/>
      <c r="AY208" s="828"/>
      <c r="BI208" s="828"/>
      <c r="BJ208" s="828"/>
      <c r="BK208" s="877"/>
      <c r="BL208" s="877"/>
      <c r="BM208" s="1097"/>
      <c r="BN208" s="1097"/>
      <c r="BO208" s="828"/>
      <c r="BP208" s="828"/>
      <c r="BQ208" s="828"/>
      <c r="BR208" s="828"/>
      <c r="BS208" s="828"/>
      <c r="BT208" s="828"/>
      <c r="BU208" s="828"/>
      <c r="BV208" s="828"/>
      <c r="BW208" s="828"/>
      <c r="BX208" s="828"/>
      <c r="BY208" s="828"/>
      <c r="BZ208" s="828"/>
      <c r="CA208" s="828"/>
      <c r="CB208" s="828"/>
      <c r="CC208" s="828"/>
      <c r="CD208" s="828"/>
      <c r="CE208" s="829"/>
      <c r="CF208" s="2271" t="s">
        <v>308</v>
      </c>
      <c r="CG208" s="2272"/>
      <c r="CH208" s="2272"/>
      <c r="CI208" s="2272"/>
      <c r="CJ208" s="2272"/>
      <c r="CK208" s="2272"/>
      <c r="CL208" s="2272"/>
      <c r="CM208" s="2272"/>
      <c r="CN208" s="2272"/>
      <c r="CO208" s="2272"/>
      <c r="CP208" s="2273"/>
      <c r="CQ208" s="2273"/>
      <c r="CR208" s="2273"/>
      <c r="CS208" s="2273"/>
      <c r="CT208" s="2273"/>
      <c r="CU208" s="2273"/>
      <c r="CV208" s="2274"/>
      <c r="CW208" s="1421" t="str">
        <f>CW202</f>
        <v>0</v>
      </c>
      <c r="CX208" s="879"/>
    </row>
    <row r="209" spans="1:102" ht="15.5" x14ac:dyDescent="0.25">
      <c r="A209" s="832"/>
      <c r="B209" s="832"/>
      <c r="C209" s="832"/>
      <c r="D209" s="832"/>
      <c r="E209" s="832"/>
      <c r="F209" s="832"/>
      <c r="G209" s="832"/>
      <c r="H209" s="1143"/>
      <c r="I209" s="830"/>
      <c r="J209" s="832"/>
      <c r="K209" s="832"/>
      <c r="P209" s="859"/>
      <c r="Q209" s="1422"/>
      <c r="R209" s="1422"/>
      <c r="S209" s="1141"/>
      <c r="T209" s="1423"/>
      <c r="U209" s="1141">
        <f>(129560+27060+118490+615+7073+96350)*1.025</f>
        <v>388626.69999999995</v>
      </c>
      <c r="V209" s="1141"/>
      <c r="W209" s="1147"/>
      <c r="X209" s="1141"/>
      <c r="Y209" s="1141"/>
      <c r="Z209" s="828"/>
      <c r="AA209" s="107"/>
      <c r="AB209" s="828"/>
      <c r="AC209" s="828"/>
      <c r="AD209" s="828"/>
      <c r="AE209" s="828"/>
      <c r="AF209" s="828"/>
      <c r="AG209" s="828"/>
      <c r="AH209" s="828"/>
      <c r="AI209" s="828"/>
      <c r="AJ209" s="828"/>
      <c r="AK209" s="828"/>
      <c r="AL209" s="828"/>
      <c r="AM209" s="828"/>
      <c r="AN209" s="828"/>
      <c r="AO209" s="828"/>
      <c r="AP209" s="828"/>
      <c r="AQ209" s="828"/>
      <c r="AR209" s="828"/>
      <c r="AS209" s="828"/>
      <c r="AT209" s="828"/>
      <c r="AU209" s="828"/>
      <c r="AV209" s="828"/>
      <c r="AW209" s="828"/>
      <c r="AX209" s="828"/>
      <c r="AY209" s="828"/>
      <c r="BI209" s="828"/>
      <c r="BJ209" s="828"/>
      <c r="BK209" s="877"/>
      <c r="BL209" s="877"/>
      <c r="BM209" s="1097"/>
      <c r="BN209" s="1097"/>
      <c r="BO209" s="828"/>
      <c r="BP209" s="828"/>
      <c r="BQ209" s="828"/>
      <c r="BR209" s="828"/>
      <c r="BS209" s="828"/>
      <c r="BT209" s="828"/>
      <c r="BU209" s="828"/>
      <c r="BV209" s="828"/>
      <c r="BW209" s="828"/>
      <c r="BX209" s="828"/>
      <c r="BY209" s="828"/>
      <c r="BZ209" s="828"/>
      <c r="CA209" s="828"/>
      <c r="CB209" s="828"/>
      <c r="CC209" s="828"/>
      <c r="CD209" s="1332"/>
      <c r="CE209" s="1332"/>
      <c r="CF209" s="1332"/>
      <c r="CG209" s="1332"/>
      <c r="CH209" s="1332"/>
      <c r="CI209" s="1332"/>
      <c r="CJ209" s="1332"/>
      <c r="CK209" s="1143"/>
      <c r="CL209" s="830"/>
      <c r="CM209" s="832"/>
      <c r="CN209" s="832"/>
      <c r="CQ209" s="1332"/>
      <c r="CR209" s="1332"/>
      <c r="CS209" s="1332"/>
      <c r="CT209" s="1332"/>
      <c r="CU209" s="1332"/>
      <c r="CV209" s="1332"/>
      <c r="CW209" s="1332"/>
      <c r="CX209" s="1332"/>
    </row>
    <row r="210" spans="1:102" ht="15.5" x14ac:dyDescent="0.25">
      <c r="A210" s="832"/>
      <c r="B210" s="832"/>
      <c r="C210" s="832"/>
      <c r="D210" s="832"/>
      <c r="E210" s="832"/>
      <c r="F210" s="832"/>
      <c r="G210" s="832"/>
      <c r="H210" s="1143"/>
      <c r="I210" s="830"/>
      <c r="J210" s="832" t="s">
        <v>237</v>
      </c>
      <c r="K210" s="832" t="s">
        <v>237</v>
      </c>
      <c r="M210" s="947"/>
      <c r="N210" s="1145"/>
      <c r="O210" s="1146"/>
      <c r="P210" s="947"/>
      <c r="Q210" s="1422"/>
      <c r="R210" s="1422"/>
      <c r="S210" s="1141"/>
      <c r="T210" s="1141"/>
      <c r="U210" s="1141"/>
      <c r="V210" s="1141"/>
      <c r="W210" s="1147"/>
      <c r="X210" s="1141"/>
      <c r="Y210" s="1141"/>
      <c r="Z210" s="1340"/>
      <c r="AA210" s="107"/>
      <c r="AB210" s="828"/>
      <c r="AC210" s="828"/>
      <c r="AD210" s="828"/>
      <c r="AE210" s="828"/>
      <c r="AF210" s="828"/>
      <c r="AG210" s="828"/>
      <c r="AH210" s="828"/>
      <c r="AI210" s="828"/>
      <c r="AJ210" s="828"/>
      <c r="AK210" s="828"/>
      <c r="AL210" s="828"/>
      <c r="AM210" s="828"/>
      <c r="AN210" s="828"/>
      <c r="AO210" s="828"/>
      <c r="AP210" s="828"/>
      <c r="AQ210" s="828"/>
      <c r="AR210" s="828"/>
      <c r="AS210" s="828"/>
      <c r="AT210" s="828"/>
      <c r="AU210" s="828"/>
      <c r="AV210" s="828"/>
      <c r="AW210" s="828"/>
      <c r="AX210" s="828"/>
      <c r="AY210" s="828"/>
      <c r="BI210" s="828"/>
      <c r="BJ210" s="828"/>
      <c r="BK210" s="877"/>
      <c r="BL210" s="877"/>
      <c r="BM210" s="1097"/>
      <c r="BN210" s="1097"/>
      <c r="BO210" s="828"/>
      <c r="BP210" s="828"/>
      <c r="BQ210" s="828"/>
      <c r="BR210" s="828"/>
      <c r="BS210" s="828"/>
      <c r="BT210" s="828"/>
      <c r="BU210" s="828"/>
      <c r="BV210" s="828"/>
      <c r="BW210" s="828"/>
      <c r="BX210" s="828"/>
      <c r="BY210" s="828"/>
      <c r="BZ210" s="828"/>
      <c r="CA210" s="828"/>
      <c r="CB210" s="828"/>
      <c r="CC210" s="828"/>
      <c r="CD210" s="1332"/>
      <c r="CE210" s="1332"/>
      <c r="CF210" s="1332"/>
      <c r="CG210" s="1332"/>
      <c r="CH210" s="1332"/>
      <c r="CI210" s="1332"/>
      <c r="CJ210" s="1332"/>
      <c r="CK210" s="1143"/>
      <c r="CL210" s="830"/>
      <c r="CM210" s="832"/>
      <c r="CN210" s="832"/>
      <c r="CQ210" s="1332"/>
      <c r="CR210" s="1332"/>
      <c r="CS210" s="1332"/>
      <c r="CT210" s="1332"/>
      <c r="CU210" s="1332"/>
      <c r="CV210" s="1332"/>
      <c r="CW210" s="1332"/>
      <c r="CX210" s="1332"/>
    </row>
    <row r="211" spans="1:102" ht="15.5" x14ac:dyDescent="0.25">
      <c r="A211" s="832"/>
      <c r="B211" s="832"/>
      <c r="C211" s="832"/>
      <c r="D211" s="832"/>
      <c r="E211" s="832"/>
      <c r="F211" s="832"/>
      <c r="G211" s="832"/>
      <c r="H211" s="1143"/>
      <c r="I211" s="830"/>
      <c r="J211" s="832"/>
      <c r="K211" s="832"/>
      <c r="M211" s="947"/>
      <c r="N211" s="1145"/>
      <c r="O211" s="1146"/>
      <c r="P211" s="947"/>
      <c r="Q211" s="1422"/>
      <c r="R211" s="1422"/>
      <c r="S211" s="1141"/>
      <c r="T211" s="1141"/>
      <c r="U211" s="1141"/>
      <c r="V211" s="1141"/>
      <c r="W211" s="1147"/>
      <c r="X211" s="1141"/>
      <c r="Y211" s="1141"/>
      <c r="Z211" s="828"/>
      <c r="AA211" s="107"/>
      <c r="AB211" s="828"/>
      <c r="AC211" s="828"/>
      <c r="AD211" s="828"/>
      <c r="AE211" s="828"/>
      <c r="AF211" s="828"/>
      <c r="AG211" s="828"/>
      <c r="AH211" s="828"/>
      <c r="AI211" s="828"/>
      <c r="AJ211" s="828"/>
      <c r="AK211" s="828"/>
      <c r="AL211" s="828"/>
      <c r="AM211" s="828"/>
      <c r="AN211" s="828"/>
      <c r="AO211" s="828"/>
      <c r="AP211" s="828"/>
      <c r="AQ211" s="828"/>
      <c r="AR211" s="828"/>
      <c r="AS211" s="828"/>
      <c r="AT211" s="828"/>
      <c r="AU211" s="828"/>
      <c r="AV211" s="828"/>
      <c r="AW211" s="828"/>
      <c r="AX211" s="828"/>
      <c r="AY211" s="828"/>
      <c r="BI211" s="828"/>
      <c r="BJ211" s="828"/>
      <c r="BK211" s="877"/>
      <c r="BL211" s="877"/>
      <c r="BM211" s="1097"/>
      <c r="BN211" s="1097"/>
      <c r="BO211" s="828"/>
      <c r="BP211" s="828"/>
      <c r="BQ211" s="828"/>
      <c r="BR211" s="828"/>
      <c r="BS211" s="828"/>
      <c r="BT211" s="828"/>
      <c r="BU211" s="828"/>
      <c r="BV211" s="828"/>
      <c r="BW211" s="828"/>
      <c r="BX211" s="828"/>
      <c r="BY211" s="828"/>
      <c r="BZ211" s="828"/>
      <c r="CA211" s="828"/>
      <c r="CB211" s="828"/>
      <c r="CC211" s="828"/>
      <c r="CD211" s="1332"/>
      <c r="CE211" s="1332"/>
      <c r="CF211" s="1332"/>
      <c r="CG211" s="1332"/>
      <c r="CH211" s="1332"/>
      <c r="CI211" s="1332"/>
      <c r="CJ211" s="1332"/>
      <c r="CK211" s="1143"/>
      <c r="CL211" s="830"/>
      <c r="CM211" s="832"/>
      <c r="CN211" s="832"/>
      <c r="CQ211" s="1332"/>
      <c r="CR211" s="1332"/>
      <c r="CS211" s="1332"/>
      <c r="CT211" s="1332"/>
      <c r="CU211" s="1332"/>
      <c r="CV211" s="1332"/>
      <c r="CW211" s="1332"/>
      <c r="CX211" s="1332"/>
    </row>
    <row r="212" spans="1:102" ht="15.5" x14ac:dyDescent="0.25">
      <c r="A212" s="832"/>
      <c r="B212" s="832"/>
      <c r="C212" s="832"/>
      <c r="D212" s="832"/>
      <c r="E212" s="832"/>
      <c r="F212" s="832"/>
      <c r="G212" s="832"/>
      <c r="H212" s="1143"/>
      <c r="I212" s="830"/>
      <c r="J212" s="832"/>
      <c r="K212" s="832"/>
      <c r="M212" s="947"/>
      <c r="N212" s="1145"/>
      <c r="O212" s="1146"/>
      <c r="P212" s="947"/>
      <c r="Q212" s="1422"/>
      <c r="R212" s="1422"/>
      <c r="S212" s="966"/>
      <c r="T212" s="966"/>
      <c r="U212" s="1424"/>
      <c r="V212" s="109"/>
      <c r="W212" s="1425"/>
      <c r="X212" s="1426"/>
      <c r="Y212" s="828"/>
      <c r="Z212" s="828"/>
      <c r="AA212" s="107"/>
      <c r="AB212" s="828"/>
      <c r="AC212" s="828"/>
      <c r="AD212" s="828"/>
      <c r="AE212" s="828"/>
      <c r="AF212" s="828"/>
      <c r="AG212" s="828"/>
      <c r="AH212" s="828"/>
      <c r="AI212" s="828"/>
      <c r="AJ212" s="828"/>
      <c r="AK212" s="828"/>
      <c r="AL212" s="828"/>
      <c r="AM212" s="828"/>
      <c r="AN212" s="828"/>
      <c r="AO212" s="828"/>
      <c r="AP212" s="828"/>
      <c r="AQ212" s="828"/>
      <c r="AR212" s="828"/>
      <c r="AS212" s="828"/>
      <c r="AT212" s="828"/>
      <c r="AU212" s="828"/>
      <c r="AV212" s="828"/>
      <c r="AW212" s="828"/>
      <c r="AX212" s="828"/>
      <c r="AY212" s="828"/>
      <c r="BI212" s="828"/>
      <c r="BJ212" s="828"/>
      <c r="BK212" s="877"/>
      <c r="BL212" s="877"/>
      <c r="BM212" s="1097"/>
      <c r="BN212" s="1097"/>
      <c r="BO212" s="828"/>
      <c r="BP212" s="828"/>
      <c r="BQ212" s="828"/>
      <c r="BR212" s="828"/>
      <c r="BS212" s="828"/>
      <c r="BT212" s="828"/>
      <c r="BU212" s="828"/>
      <c r="BV212" s="828"/>
      <c r="BW212" s="828"/>
      <c r="BX212" s="828"/>
      <c r="BY212" s="828"/>
      <c r="BZ212" s="828"/>
      <c r="CA212" s="828"/>
      <c r="CB212" s="828"/>
      <c r="CC212" s="828"/>
      <c r="CD212" s="1332"/>
      <c r="CE212" s="1332"/>
      <c r="CF212" s="1332"/>
      <c r="CG212" s="1332"/>
      <c r="CH212" s="1332"/>
      <c r="CI212" s="1332"/>
      <c r="CJ212" s="1332"/>
      <c r="CK212" s="1143"/>
      <c r="CL212" s="830"/>
      <c r="CM212" s="832"/>
      <c r="CN212" s="832"/>
      <c r="CQ212" s="1332"/>
      <c r="CR212" s="1332"/>
      <c r="CS212" s="1332"/>
      <c r="CT212" s="1332"/>
      <c r="CU212" s="1332"/>
      <c r="CV212" s="1332"/>
      <c r="CW212" s="1332"/>
      <c r="CX212" s="1332"/>
    </row>
    <row r="213" spans="1:102" s="1141" customFormat="1" ht="26.9" customHeight="1" x14ac:dyDescent="0.25">
      <c r="J213" s="947"/>
      <c r="K213" s="947"/>
      <c r="L213" s="947"/>
      <c r="M213" s="947"/>
      <c r="N213" s="1145"/>
      <c r="O213" s="1146"/>
      <c r="P213" s="947"/>
      <c r="Q213" s="947"/>
      <c r="R213" s="947"/>
      <c r="W213" s="1147"/>
    </row>
    <row r="214" spans="1:102" s="1141" customFormat="1" ht="14.5" x14ac:dyDescent="0.25">
      <c r="J214" s="947"/>
      <c r="K214" s="947"/>
      <c r="L214" s="947"/>
      <c r="M214" s="947"/>
      <c r="N214" s="1145"/>
      <c r="O214" s="1146"/>
      <c r="P214" s="947"/>
      <c r="Q214" s="947"/>
      <c r="R214" s="947"/>
      <c r="W214" s="1147"/>
    </row>
    <row r="215" spans="1:102" s="1141" customFormat="1" ht="14.5" x14ac:dyDescent="0.25">
      <c r="J215" s="947"/>
      <c r="K215" s="947"/>
      <c r="L215" s="947"/>
      <c r="M215" s="947"/>
      <c r="N215" s="1145"/>
      <c r="O215" s="1146"/>
      <c r="P215" s="947"/>
      <c r="Q215" s="947"/>
      <c r="R215" s="947"/>
      <c r="W215" s="1147"/>
    </row>
    <row r="216" spans="1:102" s="1141" customFormat="1" ht="14.5" x14ac:dyDescent="0.25">
      <c r="J216" s="947"/>
      <c r="K216" s="947"/>
      <c r="L216" s="947"/>
      <c r="M216" s="947"/>
      <c r="N216" s="1145"/>
      <c r="O216" s="1146"/>
      <c r="P216" s="947"/>
      <c r="Q216" s="947"/>
      <c r="R216" s="947"/>
      <c r="W216" s="1147"/>
    </row>
    <row r="217" spans="1:102" s="1141" customFormat="1" ht="14.5" x14ac:dyDescent="0.25">
      <c r="J217" s="947"/>
      <c r="K217" s="947"/>
      <c r="L217" s="947"/>
      <c r="M217" s="947"/>
      <c r="N217" s="1145"/>
      <c r="O217" s="1146"/>
      <c r="P217" s="947"/>
      <c r="Q217" s="947"/>
      <c r="R217" s="947"/>
      <c r="W217" s="1147"/>
    </row>
    <row r="218" spans="1:102" s="1141" customFormat="1" ht="14.5" x14ac:dyDescent="0.25">
      <c r="J218" s="947"/>
      <c r="K218" s="947"/>
      <c r="L218" s="947"/>
      <c r="M218" s="947"/>
      <c r="N218" s="1145"/>
      <c r="O218" s="1146"/>
      <c r="P218" s="947"/>
      <c r="Q218" s="947"/>
      <c r="R218" s="947"/>
      <c r="W218" s="1147"/>
    </row>
    <row r="219" spans="1:102" s="1141" customFormat="1" ht="14.5" x14ac:dyDescent="0.25">
      <c r="J219" s="947"/>
      <c r="K219" s="947"/>
      <c r="L219" s="947"/>
      <c r="M219" s="947"/>
      <c r="N219" s="1145"/>
      <c r="O219" s="1146"/>
      <c r="P219" s="947"/>
      <c r="Q219" s="947"/>
      <c r="R219" s="947"/>
      <c r="W219" s="1147"/>
    </row>
    <row r="220" spans="1:102" s="1141" customFormat="1" ht="16.5" customHeight="1" x14ac:dyDescent="0.25">
      <c r="J220" s="947"/>
      <c r="K220" s="947"/>
      <c r="L220" s="947"/>
      <c r="M220" s="947"/>
      <c r="N220" s="1145"/>
      <c r="O220" s="1146"/>
      <c r="P220" s="947"/>
      <c r="Q220" s="947"/>
      <c r="R220" s="947"/>
      <c r="W220" s="1147"/>
    </row>
    <row r="221" spans="1:102" s="1141" customFormat="1" ht="14.5" x14ac:dyDescent="0.25">
      <c r="J221" s="947"/>
      <c r="K221" s="947"/>
      <c r="L221" s="947"/>
      <c r="M221" s="947"/>
      <c r="N221" s="1145"/>
      <c r="O221" s="1146"/>
      <c r="P221" s="947"/>
      <c r="Q221" s="947"/>
      <c r="R221" s="947"/>
      <c r="W221" s="1147"/>
    </row>
    <row r="222" spans="1:102" s="1141" customFormat="1" ht="14.5" x14ac:dyDescent="0.25">
      <c r="J222" s="947"/>
      <c r="K222" s="947"/>
      <c r="L222" s="947"/>
      <c r="M222" s="947"/>
      <c r="N222" s="1145"/>
      <c r="O222" s="1146"/>
      <c r="P222" s="947"/>
      <c r="Q222" s="947"/>
      <c r="R222" s="947"/>
      <c r="W222" s="1147"/>
    </row>
    <row r="223" spans="1:102" s="1141" customFormat="1" ht="14.5" x14ac:dyDescent="0.25">
      <c r="J223" s="947"/>
      <c r="K223" s="947"/>
      <c r="L223" s="947"/>
      <c r="M223" s="947"/>
      <c r="N223" s="1145"/>
      <c r="O223" s="1146"/>
      <c r="P223" s="947"/>
      <c r="Q223" s="947"/>
      <c r="R223" s="947"/>
      <c r="W223" s="1147"/>
    </row>
    <row r="224" spans="1:102" s="1141" customFormat="1" ht="14.5" x14ac:dyDescent="0.25">
      <c r="J224" s="947"/>
      <c r="K224" s="947"/>
      <c r="L224" s="947"/>
      <c r="M224" s="947"/>
      <c r="N224" s="1145"/>
      <c r="O224" s="1146"/>
      <c r="P224" s="947"/>
      <c r="Q224" s="947"/>
      <c r="R224" s="947"/>
      <c r="W224" s="1147"/>
    </row>
    <row r="225" spans="10:23" s="1141" customFormat="1" ht="14.5" x14ac:dyDescent="0.25">
      <c r="J225" s="947"/>
      <c r="K225" s="947"/>
      <c r="L225" s="947"/>
      <c r="M225" s="947"/>
      <c r="N225" s="1145"/>
      <c r="O225" s="1146"/>
      <c r="P225" s="947"/>
      <c r="Q225" s="947"/>
      <c r="R225" s="947"/>
      <c r="W225" s="1147"/>
    </row>
    <row r="226" spans="10:23" s="1141" customFormat="1" ht="14.5" x14ac:dyDescent="0.25">
      <c r="J226" s="947"/>
      <c r="K226" s="947"/>
      <c r="L226" s="947"/>
      <c r="M226" s="947"/>
      <c r="N226" s="1145"/>
      <c r="O226" s="1146"/>
      <c r="P226" s="947"/>
      <c r="Q226" s="947"/>
      <c r="R226" s="947"/>
      <c r="W226" s="1147"/>
    </row>
    <row r="227" spans="10:23" s="1141" customFormat="1" ht="14.5" x14ac:dyDescent="0.25">
      <c r="J227" s="947"/>
      <c r="K227" s="947"/>
      <c r="L227" s="947"/>
      <c r="M227" s="947"/>
      <c r="N227" s="1145"/>
      <c r="O227" s="1146"/>
      <c r="P227" s="947"/>
      <c r="Q227" s="947"/>
      <c r="R227" s="947"/>
      <c r="W227" s="1147"/>
    </row>
    <row r="228" spans="10:23" s="1141" customFormat="1" ht="14.5" x14ac:dyDescent="0.25">
      <c r="J228" s="947"/>
      <c r="K228" s="947"/>
      <c r="L228" s="947"/>
      <c r="M228" s="947"/>
      <c r="N228" s="1145"/>
      <c r="O228" s="1146"/>
      <c r="P228" s="947"/>
      <c r="Q228" s="947"/>
      <c r="R228" s="947"/>
      <c r="W228" s="1147"/>
    </row>
    <row r="229" spans="10:23" s="1141" customFormat="1" ht="14.5" x14ac:dyDescent="0.25">
      <c r="J229" s="947"/>
      <c r="K229" s="947"/>
      <c r="L229" s="947"/>
      <c r="M229" s="947"/>
      <c r="N229" s="1145"/>
      <c r="O229" s="1146"/>
      <c r="P229" s="947"/>
      <c r="Q229" s="947"/>
      <c r="R229" s="947"/>
      <c r="W229" s="1147"/>
    </row>
    <row r="230" spans="10:23" s="1141" customFormat="1" ht="14.5" x14ac:dyDescent="0.25">
      <c r="J230" s="947"/>
      <c r="K230" s="947"/>
      <c r="L230" s="947"/>
      <c r="M230" s="947"/>
      <c r="N230" s="1145"/>
      <c r="O230" s="1146"/>
      <c r="P230" s="947"/>
      <c r="Q230" s="947"/>
      <c r="R230" s="947"/>
      <c r="W230" s="1147"/>
    </row>
    <row r="231" spans="10:23" s="1141" customFormat="1" ht="14.5" x14ac:dyDescent="0.25">
      <c r="J231" s="947"/>
      <c r="K231" s="947"/>
      <c r="L231" s="947"/>
      <c r="M231" s="947"/>
      <c r="N231" s="1145"/>
      <c r="O231" s="1146"/>
      <c r="P231" s="947"/>
      <c r="Q231" s="947"/>
      <c r="R231" s="947"/>
      <c r="W231" s="1147"/>
    </row>
    <row r="232" spans="10:23" s="1141" customFormat="1" ht="14.5" x14ac:dyDescent="0.25">
      <c r="J232" s="947"/>
      <c r="K232" s="947"/>
      <c r="L232" s="947"/>
      <c r="M232" s="947"/>
      <c r="N232" s="1145"/>
      <c r="O232" s="1146"/>
      <c r="P232" s="947"/>
      <c r="Q232" s="947"/>
      <c r="R232" s="947"/>
      <c r="W232" s="1147"/>
    </row>
    <row r="233" spans="10:23" s="1141" customFormat="1" ht="14.5" x14ac:dyDescent="0.25">
      <c r="J233" s="947"/>
      <c r="K233" s="947"/>
      <c r="L233" s="947"/>
      <c r="M233" s="947"/>
      <c r="N233" s="1145"/>
      <c r="O233" s="1146"/>
      <c r="P233" s="947"/>
      <c r="Q233" s="947"/>
      <c r="R233" s="947"/>
      <c r="W233" s="1147"/>
    </row>
    <row r="234" spans="10:23" s="1141" customFormat="1" ht="14.5" x14ac:dyDescent="0.25">
      <c r="J234" s="947"/>
      <c r="K234" s="947"/>
      <c r="L234" s="947"/>
      <c r="M234" s="947"/>
      <c r="N234" s="1145"/>
      <c r="O234" s="1146"/>
      <c r="P234" s="947"/>
      <c r="Q234" s="947"/>
      <c r="R234" s="947"/>
      <c r="W234" s="1147"/>
    </row>
    <row r="235" spans="10:23" s="1141" customFormat="1" ht="14.5" x14ac:dyDescent="0.25">
      <c r="J235" s="947"/>
      <c r="K235" s="947"/>
      <c r="L235" s="947"/>
      <c r="M235" s="947"/>
      <c r="N235" s="1145"/>
      <c r="O235" s="1146"/>
      <c r="P235" s="947"/>
      <c r="Q235" s="947"/>
      <c r="R235" s="947"/>
      <c r="W235" s="1147"/>
    </row>
    <row r="236" spans="10:23" s="1141" customFormat="1" ht="14.5" x14ac:dyDescent="0.25">
      <c r="J236" s="947"/>
      <c r="K236" s="947"/>
      <c r="L236" s="947"/>
      <c r="M236" s="947"/>
      <c r="N236" s="1145"/>
      <c r="O236" s="1146"/>
      <c r="P236" s="947"/>
      <c r="Q236" s="947"/>
      <c r="R236" s="947"/>
      <c r="W236" s="1147"/>
    </row>
    <row r="237" spans="10:23" s="1141" customFormat="1" ht="14.5" x14ac:dyDescent="0.25">
      <c r="J237" s="947"/>
      <c r="K237" s="947"/>
      <c r="L237" s="947"/>
      <c r="M237" s="947"/>
      <c r="N237" s="1145"/>
      <c r="O237" s="1146"/>
      <c r="P237" s="947"/>
      <c r="Q237" s="947"/>
      <c r="R237" s="947"/>
      <c r="W237" s="1147"/>
    </row>
    <row r="238" spans="10:23" s="1141" customFormat="1" ht="14.5" x14ac:dyDescent="0.25">
      <c r="J238" s="947"/>
      <c r="K238" s="947"/>
      <c r="L238" s="947"/>
      <c r="M238" s="947"/>
      <c r="N238" s="1145"/>
      <c r="O238" s="1146"/>
      <c r="P238" s="947"/>
      <c r="Q238" s="947"/>
      <c r="R238" s="947"/>
      <c r="W238" s="1147"/>
    </row>
    <row r="239" spans="10:23" s="1141" customFormat="1" ht="14.5" x14ac:dyDescent="0.25">
      <c r="J239" s="947"/>
      <c r="K239" s="947"/>
      <c r="L239" s="947"/>
      <c r="M239" s="947"/>
      <c r="N239" s="1145"/>
      <c r="O239" s="1146"/>
      <c r="P239" s="947"/>
      <c r="Q239" s="947"/>
      <c r="R239" s="947"/>
      <c r="W239" s="1147"/>
    </row>
    <row r="240" spans="10:23" s="1141" customFormat="1" ht="14.5" x14ac:dyDescent="0.25">
      <c r="J240" s="947"/>
      <c r="K240" s="947"/>
      <c r="L240" s="947"/>
      <c r="M240" s="947"/>
      <c r="N240" s="1145"/>
      <c r="O240" s="1146"/>
      <c r="P240" s="947"/>
      <c r="Q240" s="947"/>
      <c r="R240" s="947"/>
      <c r="W240" s="1147"/>
    </row>
    <row r="241" spans="10:23" s="1141" customFormat="1" ht="14.5" x14ac:dyDescent="0.25">
      <c r="J241" s="947"/>
      <c r="K241" s="947"/>
      <c r="L241" s="947"/>
      <c r="M241" s="947"/>
      <c r="N241" s="1145"/>
      <c r="O241" s="1146"/>
      <c r="P241" s="947"/>
      <c r="Q241" s="947"/>
      <c r="R241" s="947"/>
      <c r="W241" s="1147"/>
    </row>
    <row r="242" spans="10:23" s="1141" customFormat="1" ht="14.5" x14ac:dyDescent="0.25">
      <c r="J242" s="947"/>
      <c r="K242" s="947"/>
      <c r="L242" s="947"/>
      <c r="M242" s="947"/>
      <c r="N242" s="1145"/>
      <c r="O242" s="1146"/>
      <c r="P242" s="947"/>
      <c r="Q242" s="947"/>
      <c r="R242" s="947"/>
      <c r="W242" s="1147"/>
    </row>
    <row r="243" spans="10:23" s="1141" customFormat="1" ht="14.5" x14ac:dyDescent="0.25">
      <c r="J243" s="947"/>
      <c r="K243" s="947"/>
      <c r="L243" s="947"/>
      <c r="M243" s="947"/>
      <c r="N243" s="1145"/>
      <c r="O243" s="1146"/>
      <c r="P243" s="947"/>
      <c r="Q243" s="947"/>
      <c r="R243" s="947"/>
      <c r="W243" s="1147"/>
    </row>
    <row r="244" spans="10:23" s="1141" customFormat="1" ht="13.4" customHeight="1" x14ac:dyDescent="0.25">
      <c r="J244" s="947"/>
      <c r="K244" s="947"/>
      <c r="L244" s="947"/>
      <c r="M244" s="947"/>
      <c r="N244" s="1145"/>
      <c r="O244" s="1146"/>
      <c r="P244" s="947"/>
      <c r="Q244" s="947"/>
      <c r="R244" s="947"/>
      <c r="W244" s="1147"/>
    </row>
    <row r="245" spans="10:23" s="1141" customFormat="1" ht="14.5" x14ac:dyDescent="0.25">
      <c r="J245" s="947"/>
      <c r="K245" s="947"/>
      <c r="L245" s="947"/>
      <c r="M245" s="947"/>
      <c r="N245" s="1145"/>
      <c r="O245" s="1146"/>
      <c r="P245" s="947"/>
      <c r="Q245" s="947"/>
      <c r="R245" s="947"/>
      <c r="W245" s="1147"/>
    </row>
    <row r="246" spans="10:23" s="1141" customFormat="1" ht="14.5" x14ac:dyDescent="0.25">
      <c r="J246" s="947"/>
      <c r="K246" s="947"/>
      <c r="L246" s="947"/>
      <c r="M246" s="947"/>
      <c r="N246" s="1145"/>
      <c r="O246" s="1146"/>
      <c r="P246" s="947"/>
      <c r="Q246" s="947"/>
      <c r="R246" s="947"/>
      <c r="W246" s="1147"/>
    </row>
    <row r="247" spans="10:23" s="1141" customFormat="1" ht="14.5" x14ac:dyDescent="0.25">
      <c r="J247" s="947"/>
      <c r="K247" s="947"/>
      <c r="L247" s="947"/>
      <c r="M247" s="947"/>
      <c r="N247" s="1145"/>
      <c r="O247" s="1146"/>
      <c r="P247" s="947"/>
      <c r="Q247" s="947"/>
      <c r="R247" s="947"/>
      <c r="W247" s="1147"/>
    </row>
    <row r="248" spans="10:23" s="1141" customFormat="1" ht="14.5" x14ac:dyDescent="0.25">
      <c r="J248" s="947"/>
      <c r="K248" s="947"/>
      <c r="L248" s="947"/>
      <c r="M248" s="947"/>
      <c r="N248" s="1145"/>
      <c r="O248" s="1146"/>
      <c r="P248" s="947"/>
      <c r="Q248" s="947"/>
      <c r="R248" s="947"/>
      <c r="W248" s="1147"/>
    </row>
    <row r="249" spans="10:23" s="1141" customFormat="1" ht="14.5" x14ac:dyDescent="0.25">
      <c r="J249" s="947"/>
      <c r="K249" s="947"/>
      <c r="L249" s="947"/>
      <c r="M249" s="947"/>
      <c r="N249" s="1145"/>
      <c r="O249" s="1146"/>
      <c r="P249" s="947"/>
      <c r="Q249" s="947"/>
      <c r="R249" s="947"/>
      <c r="W249" s="1147"/>
    </row>
    <row r="250" spans="10:23" s="1141" customFormat="1" ht="14.5" x14ac:dyDescent="0.25">
      <c r="J250" s="947"/>
      <c r="K250" s="947"/>
      <c r="L250" s="947"/>
      <c r="M250" s="947"/>
      <c r="N250" s="1145"/>
      <c r="O250" s="1146"/>
      <c r="P250" s="947"/>
      <c r="Q250" s="947"/>
      <c r="R250" s="947"/>
      <c r="W250" s="1147"/>
    </row>
    <row r="251" spans="10:23" s="1141" customFormat="1" ht="14.5" x14ac:dyDescent="0.25">
      <c r="J251" s="947"/>
      <c r="K251" s="947"/>
      <c r="L251" s="947"/>
      <c r="M251" s="947"/>
      <c r="N251" s="1145"/>
      <c r="O251" s="1146"/>
      <c r="P251" s="947"/>
      <c r="Q251" s="947"/>
      <c r="R251" s="947"/>
      <c r="W251" s="1147"/>
    </row>
    <row r="252" spans="10:23" s="1141" customFormat="1" ht="14.5" x14ac:dyDescent="0.25">
      <c r="J252" s="947"/>
      <c r="K252" s="947"/>
      <c r="L252" s="947"/>
      <c r="M252" s="947"/>
      <c r="N252" s="1145"/>
      <c r="O252" s="1146"/>
      <c r="P252" s="947"/>
      <c r="Q252" s="947"/>
      <c r="R252" s="947"/>
      <c r="W252" s="1147"/>
    </row>
    <row r="253" spans="10:23" s="1141" customFormat="1" ht="14.5" x14ac:dyDescent="0.25">
      <c r="J253" s="947"/>
      <c r="K253" s="947"/>
      <c r="L253" s="947"/>
      <c r="M253" s="947"/>
      <c r="N253" s="1145"/>
      <c r="O253" s="1146"/>
      <c r="P253" s="947"/>
      <c r="Q253" s="947"/>
      <c r="R253" s="947"/>
      <c r="W253" s="1147"/>
    </row>
    <row r="254" spans="10:23" s="1141" customFormat="1" ht="14.5" x14ac:dyDescent="0.25">
      <c r="J254" s="947"/>
      <c r="K254" s="947"/>
      <c r="L254" s="947"/>
      <c r="M254" s="947"/>
      <c r="N254" s="1145"/>
      <c r="O254" s="1146"/>
      <c r="P254" s="947"/>
      <c r="Q254" s="947"/>
      <c r="R254" s="947"/>
      <c r="W254" s="1147"/>
    </row>
    <row r="255" spans="10:23" s="1141" customFormat="1" ht="14.5" x14ac:dyDescent="0.25">
      <c r="J255" s="947"/>
      <c r="K255" s="947"/>
      <c r="L255" s="947"/>
      <c r="M255" s="947"/>
      <c r="N255" s="1145"/>
      <c r="O255" s="1146"/>
      <c r="P255" s="947"/>
      <c r="Q255" s="947"/>
      <c r="R255" s="947"/>
      <c r="W255" s="1147"/>
    </row>
    <row r="256" spans="10:23" s="1141" customFormat="1" ht="14.5" x14ac:dyDescent="0.25">
      <c r="J256" s="947"/>
      <c r="K256" s="947"/>
      <c r="L256" s="947"/>
      <c r="M256" s="947"/>
      <c r="N256" s="1145"/>
      <c r="O256" s="1146"/>
      <c r="P256" s="947"/>
      <c r="Q256" s="947"/>
      <c r="R256" s="947"/>
      <c r="W256" s="1147"/>
    </row>
    <row r="257" spans="10:23" s="1141" customFormat="1" ht="14.5" x14ac:dyDescent="0.25">
      <c r="J257" s="947"/>
      <c r="K257" s="947"/>
      <c r="L257" s="947"/>
      <c r="M257" s="947"/>
      <c r="N257" s="1145"/>
      <c r="O257" s="1146"/>
      <c r="P257" s="947"/>
      <c r="Q257" s="947"/>
      <c r="R257" s="947"/>
      <c r="W257" s="1147"/>
    </row>
    <row r="258" spans="10:23" s="1141" customFormat="1" ht="14.5" x14ac:dyDescent="0.25">
      <c r="J258" s="947"/>
      <c r="K258" s="947"/>
      <c r="L258" s="947"/>
      <c r="M258" s="947"/>
      <c r="N258" s="1145"/>
      <c r="O258" s="1146"/>
      <c r="P258" s="947"/>
      <c r="Q258" s="947"/>
      <c r="R258" s="947"/>
      <c r="W258" s="1147"/>
    </row>
    <row r="259" spans="10:23" s="1141" customFormat="1" ht="14.5" x14ac:dyDescent="0.25">
      <c r="J259" s="947"/>
      <c r="K259" s="947"/>
      <c r="L259" s="947"/>
      <c r="M259" s="947"/>
      <c r="N259" s="1145"/>
      <c r="O259" s="1146"/>
      <c r="P259" s="947"/>
      <c r="Q259" s="947"/>
      <c r="R259" s="947"/>
      <c r="W259" s="1147"/>
    </row>
    <row r="260" spans="10:23" s="1141" customFormat="1" ht="14.5" x14ac:dyDescent="0.25">
      <c r="J260" s="947"/>
      <c r="K260" s="947"/>
      <c r="L260" s="947"/>
      <c r="M260" s="947"/>
      <c r="N260" s="1145"/>
      <c r="O260" s="1146"/>
      <c r="P260" s="947"/>
      <c r="Q260" s="947"/>
      <c r="R260" s="947"/>
      <c r="W260" s="1147"/>
    </row>
    <row r="261" spans="10:23" s="1141" customFormat="1" ht="14.5" x14ac:dyDescent="0.25">
      <c r="J261" s="947"/>
      <c r="K261" s="947"/>
      <c r="L261" s="947"/>
      <c r="M261" s="947"/>
      <c r="N261" s="1145"/>
      <c r="O261" s="1146"/>
      <c r="P261" s="947"/>
      <c r="Q261" s="947"/>
      <c r="R261" s="947"/>
      <c r="W261" s="1147"/>
    </row>
    <row r="262" spans="10:23" s="1141" customFormat="1" ht="14.5" x14ac:dyDescent="0.25">
      <c r="J262" s="947"/>
      <c r="K262" s="947"/>
      <c r="L262" s="947"/>
      <c r="M262" s="947"/>
      <c r="N262" s="1145"/>
      <c r="O262" s="1146"/>
      <c r="P262" s="947"/>
      <c r="Q262" s="947"/>
      <c r="R262" s="947"/>
      <c r="W262" s="1147"/>
    </row>
    <row r="263" spans="10:23" s="1141" customFormat="1" ht="14.5" x14ac:dyDescent="0.25">
      <c r="J263" s="947"/>
      <c r="K263" s="947"/>
      <c r="L263" s="947"/>
      <c r="M263" s="947"/>
      <c r="N263" s="1145"/>
      <c r="O263" s="1146"/>
      <c r="P263" s="947"/>
      <c r="Q263" s="947"/>
      <c r="R263" s="947"/>
      <c r="W263" s="1147"/>
    </row>
    <row r="264" spans="10:23" s="1141" customFormat="1" ht="14.5" x14ac:dyDescent="0.25">
      <c r="J264" s="947"/>
      <c r="K264" s="947"/>
      <c r="L264" s="947"/>
      <c r="M264" s="947"/>
      <c r="N264" s="1145"/>
      <c r="O264" s="1146"/>
      <c r="P264" s="947"/>
      <c r="Q264" s="947"/>
      <c r="R264" s="947"/>
      <c r="W264" s="1147"/>
    </row>
    <row r="265" spans="10:23" s="1141" customFormat="1" ht="14.5" x14ac:dyDescent="0.25">
      <c r="J265" s="947"/>
      <c r="K265" s="947"/>
      <c r="L265" s="947"/>
      <c r="M265" s="947"/>
      <c r="N265" s="1145"/>
      <c r="O265" s="1146"/>
      <c r="P265" s="947"/>
      <c r="Q265" s="947"/>
      <c r="R265" s="947"/>
      <c r="W265" s="1147"/>
    </row>
    <row r="266" spans="10:23" s="1141" customFormat="1" ht="14.5" x14ac:dyDescent="0.25">
      <c r="J266" s="947"/>
      <c r="K266" s="947"/>
      <c r="L266" s="947"/>
      <c r="M266" s="947"/>
      <c r="N266" s="1145"/>
      <c r="O266" s="1146"/>
      <c r="P266" s="947"/>
      <c r="Q266" s="947"/>
      <c r="R266" s="947"/>
      <c r="W266" s="1147"/>
    </row>
    <row r="267" spans="10:23" s="1141" customFormat="1" ht="14.5" x14ac:dyDescent="0.25">
      <c r="J267" s="947"/>
      <c r="K267" s="947"/>
      <c r="L267" s="947"/>
      <c r="M267" s="947"/>
      <c r="N267" s="1145"/>
      <c r="O267" s="1146"/>
      <c r="P267" s="947"/>
      <c r="Q267" s="947"/>
      <c r="R267" s="947"/>
      <c r="W267" s="1147"/>
    </row>
    <row r="268" spans="10:23" s="1141" customFormat="1" ht="14.5" x14ac:dyDescent="0.25">
      <c r="J268" s="947"/>
      <c r="K268" s="947"/>
      <c r="L268" s="947"/>
      <c r="M268" s="947"/>
      <c r="N268" s="1145"/>
      <c r="O268" s="1146"/>
      <c r="P268" s="947"/>
      <c r="Q268" s="947"/>
      <c r="R268" s="947"/>
      <c r="W268" s="1147"/>
    </row>
    <row r="269" spans="10:23" s="1141" customFormat="1" ht="14.5" x14ac:dyDescent="0.25">
      <c r="J269" s="947"/>
      <c r="K269" s="947"/>
      <c r="L269" s="947"/>
      <c r="M269" s="947"/>
      <c r="N269" s="1145"/>
      <c r="O269" s="1146"/>
      <c r="P269" s="947"/>
      <c r="Q269" s="947"/>
      <c r="R269" s="947"/>
      <c r="W269" s="1147"/>
    </row>
    <row r="270" spans="10:23" s="1141" customFormat="1" ht="14.5" x14ac:dyDescent="0.25">
      <c r="J270" s="947"/>
      <c r="K270" s="947"/>
      <c r="L270" s="947"/>
      <c r="M270" s="947"/>
      <c r="N270" s="1145"/>
      <c r="O270" s="1146"/>
      <c r="P270" s="947"/>
      <c r="Q270" s="947"/>
      <c r="R270" s="947"/>
      <c r="W270" s="1147"/>
    </row>
    <row r="271" spans="10:23" s="1141" customFormat="1" ht="14.5" x14ac:dyDescent="0.25">
      <c r="J271" s="947"/>
      <c r="K271" s="947"/>
      <c r="L271" s="947"/>
      <c r="M271" s="947"/>
      <c r="N271" s="1145"/>
      <c r="O271" s="1146"/>
      <c r="P271" s="947"/>
      <c r="Q271" s="947"/>
      <c r="R271" s="947"/>
      <c r="W271" s="1147"/>
    </row>
    <row r="272" spans="10:23" s="1141" customFormat="1" ht="14.5" x14ac:dyDescent="0.25">
      <c r="J272" s="947"/>
      <c r="K272" s="947"/>
      <c r="L272" s="947"/>
      <c r="M272" s="947"/>
      <c r="N272" s="1145"/>
      <c r="O272" s="1146"/>
      <c r="P272" s="947"/>
      <c r="Q272" s="947"/>
      <c r="R272" s="947"/>
      <c r="W272" s="1147"/>
    </row>
    <row r="273" spans="10:23" s="1141" customFormat="1" ht="14.5" x14ac:dyDescent="0.25">
      <c r="J273" s="947"/>
      <c r="K273" s="947"/>
      <c r="L273" s="947"/>
      <c r="M273" s="947"/>
      <c r="N273" s="1145"/>
      <c r="O273" s="1146"/>
      <c r="P273" s="947"/>
      <c r="Q273" s="947"/>
      <c r="R273" s="947"/>
      <c r="W273" s="1147"/>
    </row>
    <row r="274" spans="10:23" s="1141" customFormat="1" ht="14.5" x14ac:dyDescent="0.25">
      <c r="J274" s="947"/>
      <c r="K274" s="947"/>
      <c r="L274" s="947"/>
      <c r="M274" s="947"/>
      <c r="N274" s="1145"/>
      <c r="O274" s="1146"/>
      <c r="P274" s="947"/>
      <c r="Q274" s="947"/>
      <c r="R274" s="947"/>
      <c r="W274" s="1147"/>
    </row>
    <row r="275" spans="10:23" s="1141" customFormat="1" ht="14.5" x14ac:dyDescent="0.25">
      <c r="J275" s="947"/>
      <c r="K275" s="947"/>
      <c r="L275" s="947"/>
      <c r="M275" s="947"/>
      <c r="N275" s="1145"/>
      <c r="O275" s="1146"/>
      <c r="P275" s="947"/>
      <c r="Q275" s="947"/>
      <c r="R275" s="947"/>
      <c r="W275" s="1147"/>
    </row>
    <row r="276" spans="10:23" s="1141" customFormat="1" ht="14.5" x14ac:dyDescent="0.25">
      <c r="J276" s="947"/>
      <c r="K276" s="947"/>
      <c r="L276" s="947"/>
      <c r="M276" s="947"/>
      <c r="N276" s="1145"/>
      <c r="O276" s="1146"/>
      <c r="P276" s="947"/>
      <c r="Q276" s="947"/>
      <c r="R276" s="947"/>
      <c r="W276" s="1147"/>
    </row>
    <row r="277" spans="10:23" s="1141" customFormat="1" ht="14.5" x14ac:dyDescent="0.25">
      <c r="J277" s="947"/>
      <c r="K277" s="947"/>
      <c r="L277" s="947"/>
      <c r="M277" s="947"/>
      <c r="N277" s="1145"/>
      <c r="O277" s="1146"/>
      <c r="P277" s="947"/>
      <c r="Q277" s="947"/>
      <c r="R277" s="947"/>
      <c r="W277" s="1147"/>
    </row>
    <row r="278" spans="10:23" s="1141" customFormat="1" ht="14.5" x14ac:dyDescent="0.25">
      <c r="J278" s="947"/>
      <c r="K278" s="947"/>
      <c r="L278" s="947"/>
      <c r="M278" s="947"/>
      <c r="N278" s="1145"/>
      <c r="O278" s="1146"/>
      <c r="P278" s="947"/>
      <c r="Q278" s="947"/>
      <c r="R278" s="947"/>
      <c r="W278" s="1147"/>
    </row>
    <row r="279" spans="10:23" s="1141" customFormat="1" ht="14.5" x14ac:dyDescent="0.25">
      <c r="J279" s="947"/>
      <c r="K279" s="947"/>
      <c r="L279" s="947"/>
      <c r="M279" s="947"/>
      <c r="N279" s="1145"/>
      <c r="O279" s="1146"/>
      <c r="P279" s="947"/>
      <c r="Q279" s="947"/>
      <c r="R279" s="947"/>
      <c r="W279" s="1147"/>
    </row>
    <row r="280" spans="10:23" s="1141" customFormat="1" ht="14.5" x14ac:dyDescent="0.25">
      <c r="J280" s="947"/>
      <c r="K280" s="947"/>
      <c r="L280" s="947"/>
      <c r="M280" s="947"/>
      <c r="N280" s="1145"/>
      <c r="O280" s="1146"/>
      <c r="P280" s="947"/>
      <c r="Q280" s="947"/>
      <c r="R280" s="947"/>
      <c r="W280" s="1147"/>
    </row>
    <row r="281" spans="10:23" s="1141" customFormat="1" ht="14.5" x14ac:dyDescent="0.25">
      <c r="J281" s="947"/>
      <c r="K281" s="947"/>
      <c r="L281" s="947"/>
      <c r="M281" s="947"/>
      <c r="N281" s="1145"/>
      <c r="O281" s="1146"/>
      <c r="P281" s="947"/>
      <c r="Q281" s="947"/>
      <c r="R281" s="947"/>
      <c r="W281" s="1147"/>
    </row>
    <row r="282" spans="10:23" s="1141" customFormat="1" ht="14.5" x14ac:dyDescent="0.25">
      <c r="J282" s="947"/>
      <c r="K282" s="947"/>
      <c r="L282" s="947"/>
      <c r="M282" s="947"/>
      <c r="N282" s="1145"/>
      <c r="O282" s="1146"/>
      <c r="P282" s="947"/>
      <c r="Q282" s="947"/>
      <c r="R282" s="947"/>
      <c r="W282" s="1147"/>
    </row>
    <row r="283" spans="10:23" s="1141" customFormat="1" ht="14.5" x14ac:dyDescent="0.25">
      <c r="J283" s="947"/>
      <c r="K283" s="947"/>
      <c r="L283" s="947"/>
      <c r="M283" s="947"/>
      <c r="N283" s="1145"/>
      <c r="O283" s="1146"/>
      <c r="P283" s="947"/>
      <c r="Q283" s="947"/>
      <c r="R283" s="947"/>
      <c r="W283" s="1147"/>
    </row>
    <row r="284" spans="10:23" s="1141" customFormat="1" ht="14.5" x14ac:dyDescent="0.25">
      <c r="J284" s="947"/>
      <c r="K284" s="947"/>
      <c r="L284" s="947"/>
      <c r="M284" s="947"/>
      <c r="N284" s="1145"/>
      <c r="O284" s="1146"/>
      <c r="P284" s="947"/>
      <c r="Q284" s="947"/>
      <c r="R284" s="947"/>
      <c r="W284" s="1147"/>
    </row>
    <row r="285" spans="10:23" s="1141" customFormat="1" ht="14.5" x14ac:dyDescent="0.25">
      <c r="J285" s="947"/>
      <c r="K285" s="947"/>
      <c r="L285" s="947"/>
      <c r="M285" s="947"/>
      <c r="N285" s="1145"/>
      <c r="O285" s="1146"/>
      <c r="P285" s="947"/>
      <c r="Q285" s="947"/>
      <c r="R285" s="947"/>
      <c r="W285" s="1147"/>
    </row>
    <row r="286" spans="10:23" s="1141" customFormat="1" ht="14.5" x14ac:dyDescent="0.25">
      <c r="J286" s="947"/>
      <c r="K286" s="947"/>
      <c r="L286" s="947"/>
      <c r="M286" s="947"/>
      <c r="N286" s="1145"/>
      <c r="O286" s="1146"/>
      <c r="P286" s="947"/>
      <c r="Q286" s="947"/>
      <c r="R286" s="947"/>
      <c r="W286" s="1147"/>
    </row>
    <row r="287" spans="10:23" s="1141" customFormat="1" ht="14.5" x14ac:dyDescent="0.25">
      <c r="J287" s="947"/>
      <c r="K287" s="947"/>
      <c r="L287" s="947"/>
      <c r="M287" s="947"/>
      <c r="N287" s="1145"/>
      <c r="O287" s="1146"/>
      <c r="P287" s="947"/>
      <c r="Q287" s="947"/>
      <c r="R287" s="947"/>
      <c r="W287" s="1147"/>
    </row>
    <row r="288" spans="10:23" s="1141" customFormat="1" ht="14.5" x14ac:dyDescent="0.25">
      <c r="J288" s="947"/>
      <c r="K288" s="947"/>
      <c r="L288" s="947"/>
      <c r="M288" s="947"/>
      <c r="N288" s="1145"/>
      <c r="O288" s="1146"/>
      <c r="P288" s="947"/>
      <c r="Q288" s="947"/>
      <c r="R288" s="947"/>
      <c r="W288" s="1147"/>
    </row>
    <row r="289" spans="10:23" s="1141" customFormat="1" ht="14.5" x14ac:dyDescent="0.25">
      <c r="J289" s="947"/>
      <c r="K289" s="947"/>
      <c r="L289" s="947"/>
      <c r="M289" s="947"/>
      <c r="N289" s="1145"/>
      <c r="O289" s="1146"/>
      <c r="P289" s="947"/>
      <c r="Q289" s="947"/>
      <c r="R289" s="947"/>
      <c r="W289" s="1147"/>
    </row>
    <row r="290" spans="10:23" s="1141" customFormat="1" ht="14.5" x14ac:dyDescent="0.25">
      <c r="J290" s="947"/>
      <c r="K290" s="947"/>
      <c r="L290" s="947"/>
      <c r="M290" s="947"/>
      <c r="N290" s="1145"/>
      <c r="O290" s="1146"/>
      <c r="P290" s="947"/>
      <c r="Q290" s="947"/>
      <c r="R290" s="947"/>
      <c r="W290" s="1147"/>
    </row>
    <row r="291" spans="10:23" s="1141" customFormat="1" ht="14.5" x14ac:dyDescent="0.25">
      <c r="J291" s="947"/>
      <c r="K291" s="947"/>
      <c r="L291" s="947"/>
      <c r="M291" s="947"/>
      <c r="N291" s="1145"/>
      <c r="O291" s="1146"/>
      <c r="P291" s="947"/>
      <c r="Q291" s="947"/>
      <c r="R291" s="947"/>
      <c r="W291" s="1147"/>
    </row>
    <row r="292" spans="10:23" s="1141" customFormat="1" ht="14.5" x14ac:dyDescent="0.25">
      <c r="J292" s="947"/>
      <c r="K292" s="947"/>
      <c r="L292" s="947"/>
      <c r="M292" s="947"/>
      <c r="N292" s="1145"/>
      <c r="O292" s="1146"/>
      <c r="P292" s="947"/>
      <c r="Q292" s="947"/>
      <c r="R292" s="947"/>
      <c r="W292" s="1147"/>
    </row>
    <row r="293" spans="10:23" s="1141" customFormat="1" ht="14.5" x14ac:dyDescent="0.25">
      <c r="J293" s="947"/>
      <c r="K293" s="947"/>
      <c r="L293" s="947"/>
      <c r="M293" s="947"/>
      <c r="N293" s="1145"/>
      <c r="O293" s="1146"/>
      <c r="P293" s="947"/>
      <c r="Q293" s="947"/>
      <c r="R293" s="947"/>
      <c r="W293" s="1147"/>
    </row>
    <row r="294" spans="10:23" s="1141" customFormat="1" ht="14.5" x14ac:dyDescent="0.25">
      <c r="J294" s="947"/>
      <c r="K294" s="947"/>
      <c r="L294" s="947"/>
      <c r="M294" s="947"/>
      <c r="N294" s="1145"/>
      <c r="O294" s="1146"/>
      <c r="P294" s="947"/>
      <c r="Q294" s="947"/>
      <c r="R294" s="947"/>
      <c r="W294" s="1147"/>
    </row>
    <row r="295" spans="10:23" s="1141" customFormat="1" ht="14.5" x14ac:dyDescent="0.25">
      <c r="J295" s="947"/>
      <c r="K295" s="947"/>
      <c r="L295" s="947"/>
      <c r="M295" s="947"/>
      <c r="N295" s="1145"/>
      <c r="O295" s="1146"/>
      <c r="P295" s="947"/>
      <c r="Q295" s="947"/>
      <c r="R295" s="947"/>
      <c r="W295" s="1147"/>
    </row>
    <row r="296" spans="10:23" s="1141" customFormat="1" ht="12.75" customHeight="1" x14ac:dyDescent="0.25">
      <c r="J296" s="947"/>
      <c r="K296" s="947"/>
      <c r="L296" s="947"/>
      <c r="M296" s="947"/>
      <c r="N296" s="1145"/>
      <c r="O296" s="1146"/>
      <c r="P296" s="947"/>
      <c r="Q296" s="947"/>
      <c r="R296" s="947"/>
      <c r="W296" s="1147"/>
    </row>
    <row r="297" spans="10:23" s="1141" customFormat="1" ht="14.5" x14ac:dyDescent="0.25">
      <c r="J297" s="947"/>
      <c r="K297" s="947"/>
      <c r="L297" s="947"/>
      <c r="M297" s="947"/>
      <c r="N297" s="1145"/>
      <c r="O297" s="1146"/>
      <c r="P297" s="947"/>
      <c r="Q297" s="947"/>
      <c r="R297" s="947"/>
      <c r="W297" s="1147"/>
    </row>
    <row r="298" spans="10:23" s="1141" customFormat="1" ht="14.5" x14ac:dyDescent="0.25">
      <c r="J298" s="947"/>
      <c r="K298" s="947"/>
      <c r="L298" s="947"/>
      <c r="M298" s="947"/>
      <c r="N298" s="1145"/>
      <c r="O298" s="1146"/>
      <c r="P298" s="947"/>
      <c r="Q298" s="947"/>
      <c r="R298" s="947"/>
      <c r="W298" s="1147"/>
    </row>
    <row r="299" spans="10:23" s="1141" customFormat="1" ht="14.5" x14ac:dyDescent="0.25">
      <c r="J299" s="947"/>
      <c r="K299" s="947"/>
      <c r="L299" s="947"/>
      <c r="M299" s="947"/>
      <c r="N299" s="1145"/>
      <c r="O299" s="1146"/>
      <c r="P299" s="947"/>
      <c r="Q299" s="947"/>
      <c r="R299" s="947"/>
      <c r="W299" s="1147"/>
    </row>
    <row r="300" spans="10:23" s="1141" customFormat="1" ht="14.5" x14ac:dyDescent="0.25">
      <c r="J300" s="947"/>
      <c r="K300" s="947"/>
      <c r="L300" s="947"/>
      <c r="M300" s="947"/>
      <c r="N300" s="1145"/>
      <c r="O300" s="1146"/>
      <c r="P300" s="947"/>
      <c r="Q300" s="947"/>
      <c r="R300" s="947"/>
      <c r="W300" s="1147"/>
    </row>
    <row r="301" spans="10:23" s="1141" customFormat="1" ht="14.5" x14ac:dyDescent="0.25">
      <c r="J301" s="947"/>
      <c r="K301" s="947"/>
      <c r="L301" s="947"/>
      <c r="M301" s="947"/>
      <c r="N301" s="1145"/>
      <c r="O301" s="1146"/>
      <c r="P301" s="947"/>
      <c r="Q301" s="947"/>
      <c r="R301" s="947"/>
      <c r="W301" s="1147"/>
    </row>
    <row r="302" spans="10:23" s="1141" customFormat="1" ht="14.5" x14ac:dyDescent="0.25">
      <c r="J302" s="947"/>
      <c r="K302" s="947"/>
      <c r="L302" s="947"/>
      <c r="M302" s="947"/>
      <c r="N302" s="1145"/>
      <c r="O302" s="1146"/>
      <c r="P302" s="947"/>
      <c r="Q302" s="947"/>
      <c r="R302" s="947"/>
      <c r="W302" s="1147"/>
    </row>
    <row r="303" spans="10:23" s="1141" customFormat="1" ht="14.5" x14ac:dyDescent="0.25">
      <c r="J303" s="947"/>
      <c r="K303" s="947"/>
      <c r="L303" s="947"/>
      <c r="M303" s="947"/>
      <c r="N303" s="1145"/>
      <c r="O303" s="1146"/>
      <c r="P303" s="947"/>
      <c r="Q303" s="947"/>
      <c r="R303" s="947"/>
      <c r="W303" s="1147"/>
    </row>
    <row r="304" spans="10:23" s="1141" customFormat="1" ht="14.5" x14ac:dyDescent="0.25">
      <c r="J304" s="947"/>
      <c r="K304" s="947"/>
      <c r="L304" s="947"/>
      <c r="M304" s="947"/>
      <c r="N304" s="1145"/>
      <c r="O304" s="1146"/>
      <c r="P304" s="947"/>
      <c r="Q304" s="947"/>
      <c r="R304" s="947"/>
      <c r="W304" s="1147"/>
    </row>
    <row r="305" spans="10:23" s="1141" customFormat="1" ht="14.5" x14ac:dyDescent="0.25">
      <c r="J305" s="947"/>
      <c r="K305" s="947"/>
      <c r="L305" s="947"/>
      <c r="M305" s="947"/>
      <c r="N305" s="1145"/>
      <c r="O305" s="1146"/>
      <c r="P305" s="947"/>
      <c r="Q305" s="947"/>
      <c r="R305" s="947"/>
      <c r="W305" s="1147"/>
    </row>
    <row r="306" spans="10:23" s="1141" customFormat="1" ht="14.5" x14ac:dyDescent="0.25">
      <c r="J306" s="947"/>
      <c r="K306" s="947"/>
      <c r="L306" s="947"/>
      <c r="M306" s="947"/>
      <c r="N306" s="1145"/>
      <c r="O306" s="1146"/>
      <c r="P306" s="947"/>
      <c r="Q306" s="947"/>
      <c r="R306" s="947"/>
      <c r="W306" s="1147"/>
    </row>
    <row r="307" spans="10:23" s="1141" customFormat="1" ht="14.5" x14ac:dyDescent="0.25">
      <c r="J307" s="947"/>
      <c r="K307" s="947"/>
      <c r="L307" s="947"/>
      <c r="M307" s="947"/>
      <c r="N307" s="1145"/>
      <c r="O307" s="1146"/>
      <c r="P307" s="947"/>
      <c r="Q307" s="947"/>
      <c r="R307" s="947"/>
      <c r="W307" s="1147"/>
    </row>
    <row r="308" spans="10:23" s="1141" customFormat="1" ht="14.5" x14ac:dyDescent="0.25">
      <c r="J308" s="947"/>
      <c r="K308" s="947"/>
      <c r="L308" s="947"/>
      <c r="M308" s="947"/>
      <c r="N308" s="1145"/>
      <c r="O308" s="1146"/>
      <c r="P308" s="947"/>
      <c r="Q308" s="947"/>
      <c r="R308" s="947"/>
      <c r="W308" s="1147"/>
    </row>
    <row r="309" spans="10:23" s="1141" customFormat="1" ht="14.5" x14ac:dyDescent="0.25">
      <c r="J309" s="947"/>
      <c r="K309" s="947"/>
      <c r="L309" s="947"/>
      <c r="M309" s="947"/>
      <c r="N309" s="1145"/>
      <c r="O309" s="1146"/>
      <c r="P309" s="947"/>
      <c r="Q309" s="947"/>
      <c r="R309" s="947"/>
      <c r="W309" s="1147"/>
    </row>
    <row r="310" spans="10:23" s="1141" customFormat="1" ht="12.75" customHeight="1" x14ac:dyDescent="0.25">
      <c r="J310" s="947"/>
      <c r="K310" s="947"/>
      <c r="L310" s="947"/>
      <c r="M310" s="947"/>
      <c r="N310" s="1145"/>
      <c r="O310" s="1146"/>
      <c r="P310" s="947"/>
      <c r="Q310" s="947"/>
      <c r="R310" s="947"/>
      <c r="W310" s="1147"/>
    </row>
    <row r="311" spans="10:23" s="1141" customFormat="1" ht="12.75" customHeight="1" x14ac:dyDescent="0.25">
      <c r="J311" s="947"/>
      <c r="K311" s="947"/>
      <c r="L311" s="947"/>
      <c r="M311" s="947"/>
      <c r="N311" s="1145"/>
      <c r="O311" s="1146"/>
      <c r="P311" s="947"/>
      <c r="Q311" s="947"/>
      <c r="R311" s="947"/>
      <c r="W311" s="1147"/>
    </row>
    <row r="312" spans="10:23" s="1141" customFormat="1" ht="14.5" x14ac:dyDescent="0.25">
      <c r="J312" s="947"/>
      <c r="K312" s="947"/>
      <c r="L312" s="947"/>
      <c r="M312" s="947"/>
      <c r="N312" s="1145"/>
      <c r="O312" s="1146"/>
      <c r="P312" s="947"/>
      <c r="Q312" s="947"/>
      <c r="R312" s="947"/>
      <c r="W312" s="1147"/>
    </row>
    <row r="313" spans="10:23" s="1141" customFormat="1" ht="14.5" x14ac:dyDescent="0.25">
      <c r="J313" s="947"/>
      <c r="K313" s="947"/>
      <c r="L313" s="947"/>
      <c r="M313" s="947"/>
      <c r="N313" s="1145"/>
      <c r="O313" s="1146"/>
      <c r="P313" s="947"/>
      <c r="Q313" s="947"/>
      <c r="R313" s="947"/>
      <c r="W313" s="1147"/>
    </row>
    <row r="314" spans="10:23" s="1141" customFormat="1" ht="14.5" x14ac:dyDescent="0.25">
      <c r="J314" s="947"/>
      <c r="K314" s="947"/>
      <c r="L314" s="947"/>
      <c r="M314" s="947"/>
      <c r="N314" s="1145"/>
      <c r="O314" s="1146"/>
      <c r="P314" s="947"/>
      <c r="Q314" s="947"/>
      <c r="R314" s="947"/>
      <c r="W314" s="1147"/>
    </row>
    <row r="315" spans="10:23" s="1141" customFormat="1" ht="12.75" customHeight="1" x14ac:dyDescent="0.25">
      <c r="J315" s="947"/>
      <c r="K315" s="947"/>
      <c r="L315" s="947"/>
      <c r="M315" s="947"/>
      <c r="N315" s="1145"/>
      <c r="O315" s="1146"/>
      <c r="P315" s="947"/>
      <c r="Q315" s="947"/>
      <c r="R315" s="947"/>
      <c r="W315" s="1147"/>
    </row>
    <row r="316" spans="10:23" s="1141" customFormat="1" ht="14.5" x14ac:dyDescent="0.25">
      <c r="J316" s="947"/>
      <c r="K316" s="947"/>
      <c r="L316" s="947"/>
      <c r="M316" s="947"/>
      <c r="N316" s="1145"/>
      <c r="O316" s="1146"/>
      <c r="P316" s="947"/>
      <c r="Q316" s="947"/>
      <c r="R316" s="947"/>
      <c r="W316" s="1147"/>
    </row>
    <row r="317" spans="10:23" s="1141" customFormat="1" ht="14.5" x14ac:dyDescent="0.25">
      <c r="J317" s="947"/>
      <c r="K317" s="947"/>
      <c r="L317" s="947"/>
      <c r="M317" s="947"/>
      <c r="N317" s="1145"/>
      <c r="O317" s="1146"/>
      <c r="P317" s="947"/>
      <c r="Q317" s="947"/>
      <c r="R317" s="947"/>
      <c r="W317" s="1147"/>
    </row>
    <row r="318" spans="10:23" s="1141" customFormat="1" ht="14.5" x14ac:dyDescent="0.25">
      <c r="J318" s="947"/>
      <c r="K318" s="947"/>
      <c r="L318" s="947"/>
      <c r="M318" s="947"/>
      <c r="N318" s="1145"/>
      <c r="O318" s="1146"/>
      <c r="P318" s="947"/>
      <c r="Q318" s="947"/>
      <c r="R318" s="947"/>
      <c r="W318" s="1147"/>
    </row>
    <row r="319" spans="10:23" s="1141" customFormat="1" ht="14.5" x14ac:dyDescent="0.25">
      <c r="J319" s="947"/>
      <c r="K319" s="947"/>
      <c r="L319" s="947"/>
      <c r="M319" s="947"/>
      <c r="N319" s="1145"/>
      <c r="O319" s="1146"/>
      <c r="P319" s="947"/>
      <c r="Q319" s="947"/>
      <c r="R319" s="947"/>
      <c r="W319" s="1147"/>
    </row>
    <row r="320" spans="10:23" s="1141" customFormat="1" ht="14.5" x14ac:dyDescent="0.25">
      <c r="J320" s="947"/>
      <c r="K320" s="947"/>
      <c r="L320" s="947"/>
      <c r="M320" s="947"/>
      <c r="N320" s="1145"/>
      <c r="O320" s="1146"/>
      <c r="P320" s="947"/>
      <c r="Q320" s="947"/>
      <c r="R320" s="947"/>
      <c r="W320" s="1147"/>
    </row>
    <row r="321" spans="10:23" s="1141" customFormat="1" ht="14.5" x14ac:dyDescent="0.25">
      <c r="J321" s="947"/>
      <c r="K321" s="947"/>
      <c r="L321" s="947"/>
      <c r="M321" s="947"/>
      <c r="N321" s="1145"/>
      <c r="O321" s="1146"/>
      <c r="P321" s="947"/>
      <c r="Q321" s="947"/>
      <c r="R321" s="947"/>
      <c r="W321" s="1147"/>
    </row>
    <row r="322" spans="10:23" s="1141" customFormat="1" ht="14.5" x14ac:dyDescent="0.25">
      <c r="J322" s="947"/>
      <c r="K322" s="947"/>
      <c r="L322" s="947"/>
      <c r="M322" s="947"/>
      <c r="N322" s="1145"/>
      <c r="O322" s="1146"/>
      <c r="P322" s="947"/>
      <c r="Q322" s="947"/>
      <c r="R322" s="947"/>
      <c r="W322" s="1147"/>
    </row>
    <row r="323" spans="10:23" s="1141" customFormat="1" ht="14.5" x14ac:dyDescent="0.25">
      <c r="J323" s="947"/>
      <c r="K323" s="947"/>
      <c r="L323" s="947"/>
      <c r="M323" s="947"/>
      <c r="N323" s="1145"/>
      <c r="O323" s="1146"/>
      <c r="P323" s="947"/>
      <c r="Q323" s="947"/>
      <c r="R323" s="947"/>
      <c r="W323" s="1147"/>
    </row>
    <row r="324" spans="10:23" s="1141" customFormat="1" ht="12.75" customHeight="1" x14ac:dyDescent="0.25">
      <c r="J324" s="947"/>
      <c r="K324" s="947"/>
      <c r="L324" s="947"/>
      <c r="M324" s="947"/>
      <c r="N324" s="1145"/>
      <c r="O324" s="1146"/>
      <c r="P324" s="947"/>
      <c r="Q324" s="947"/>
      <c r="R324" s="947"/>
      <c r="W324" s="1147"/>
    </row>
    <row r="325" spans="10:23" s="1141" customFormat="1" ht="12.75" customHeight="1" x14ac:dyDescent="0.25">
      <c r="J325" s="947"/>
      <c r="K325" s="947"/>
      <c r="L325" s="947"/>
      <c r="M325" s="947"/>
      <c r="N325" s="1145"/>
      <c r="O325" s="1146"/>
      <c r="P325" s="947"/>
      <c r="Q325" s="947"/>
      <c r="R325" s="947"/>
      <c r="W325" s="1147"/>
    </row>
    <row r="326" spans="10:23" s="1141" customFormat="1" ht="12.75" customHeight="1" x14ac:dyDescent="0.25">
      <c r="J326" s="947"/>
      <c r="K326" s="947"/>
      <c r="L326" s="947"/>
      <c r="M326" s="947"/>
      <c r="N326" s="1145"/>
      <c r="O326" s="1146"/>
      <c r="P326" s="947"/>
      <c r="Q326" s="947"/>
      <c r="R326" s="947"/>
      <c r="W326" s="1147"/>
    </row>
    <row r="327" spans="10:23" s="1141" customFormat="1" ht="12.75" customHeight="1" x14ac:dyDescent="0.25">
      <c r="J327" s="947"/>
      <c r="K327" s="947"/>
      <c r="L327" s="947"/>
      <c r="M327" s="947"/>
      <c r="N327" s="1145"/>
      <c r="O327" s="1146"/>
      <c r="P327" s="947"/>
      <c r="Q327" s="947"/>
      <c r="R327" s="947"/>
      <c r="W327" s="1147"/>
    </row>
    <row r="328" spans="10:23" s="1141" customFormat="1" ht="14.5" x14ac:dyDescent="0.25">
      <c r="J328" s="947"/>
      <c r="K328" s="947"/>
      <c r="L328" s="947"/>
      <c r="M328" s="947"/>
      <c r="N328" s="1145"/>
      <c r="O328" s="1146"/>
      <c r="P328" s="947"/>
      <c r="Q328" s="947"/>
      <c r="R328" s="947"/>
      <c r="W328" s="1147"/>
    </row>
    <row r="329" spans="10:23" s="1141" customFormat="1" ht="12.75" customHeight="1" x14ac:dyDescent="0.25">
      <c r="J329" s="947"/>
      <c r="K329" s="947"/>
      <c r="L329" s="947"/>
      <c r="M329" s="947"/>
      <c r="N329" s="1145"/>
      <c r="O329" s="1146"/>
      <c r="P329" s="947"/>
      <c r="Q329" s="947"/>
      <c r="R329" s="947"/>
      <c r="W329" s="1147"/>
    </row>
    <row r="330" spans="10:23" s="1141" customFormat="1" ht="14.5" x14ac:dyDescent="0.25">
      <c r="J330" s="947"/>
      <c r="K330" s="947"/>
      <c r="L330" s="947"/>
      <c r="M330" s="947"/>
      <c r="N330" s="1145"/>
      <c r="O330" s="1146"/>
      <c r="P330" s="947"/>
      <c r="Q330" s="947"/>
      <c r="R330" s="947"/>
      <c r="W330" s="1147"/>
    </row>
    <row r="331" spans="10:23" s="1141" customFormat="1" ht="14.5" x14ac:dyDescent="0.25">
      <c r="J331" s="947"/>
      <c r="K331" s="947"/>
      <c r="L331" s="947"/>
      <c r="M331" s="947"/>
      <c r="N331" s="1145"/>
      <c r="O331" s="1146"/>
      <c r="P331" s="947"/>
      <c r="Q331" s="947"/>
      <c r="R331" s="947"/>
      <c r="W331" s="1147"/>
    </row>
    <row r="332" spans="10:23" s="1141" customFormat="1" ht="14.5" x14ac:dyDescent="0.25">
      <c r="J332" s="947"/>
      <c r="K332" s="947"/>
      <c r="L332" s="947"/>
      <c r="M332" s="947"/>
      <c r="N332" s="1145"/>
      <c r="O332" s="1146"/>
      <c r="P332" s="947"/>
      <c r="Q332" s="947"/>
      <c r="R332" s="947"/>
      <c r="W332" s="1147"/>
    </row>
    <row r="333" spans="10:23" s="1141" customFormat="1" ht="14.5" x14ac:dyDescent="0.25">
      <c r="J333" s="947"/>
      <c r="K333" s="947"/>
      <c r="L333" s="947"/>
      <c r="M333" s="947"/>
      <c r="N333" s="1145"/>
      <c r="O333" s="1146"/>
      <c r="P333" s="947"/>
      <c r="Q333" s="947"/>
      <c r="R333" s="947"/>
      <c r="W333" s="1147"/>
    </row>
    <row r="334" spans="10:23" s="1141" customFormat="1" ht="12.75" customHeight="1" x14ac:dyDescent="0.25">
      <c r="J334" s="947"/>
      <c r="K334" s="947"/>
      <c r="L334" s="947"/>
      <c r="M334" s="947"/>
      <c r="N334" s="1145"/>
      <c r="O334" s="1146"/>
      <c r="P334" s="947"/>
      <c r="Q334" s="947"/>
      <c r="R334" s="947"/>
      <c r="W334" s="1147"/>
    </row>
    <row r="335" spans="10:23" s="1141" customFormat="1" ht="12.75" customHeight="1" x14ac:dyDescent="0.25">
      <c r="J335" s="947"/>
      <c r="K335" s="947"/>
      <c r="L335" s="947"/>
      <c r="M335" s="947"/>
      <c r="N335" s="1145"/>
      <c r="O335" s="1146"/>
      <c r="P335" s="947"/>
      <c r="Q335" s="947"/>
      <c r="R335" s="947"/>
      <c r="W335" s="1147"/>
    </row>
    <row r="336" spans="10:23" s="1141" customFormat="1" ht="12.75" customHeight="1" x14ac:dyDescent="0.25">
      <c r="J336" s="947"/>
      <c r="K336" s="947"/>
      <c r="L336" s="947"/>
      <c r="M336" s="947"/>
      <c r="N336" s="1145"/>
      <c r="O336" s="1146"/>
      <c r="P336" s="947"/>
      <c r="Q336" s="947"/>
      <c r="R336" s="947"/>
      <c r="W336" s="1147"/>
    </row>
    <row r="337" spans="10:23" s="1141" customFormat="1" ht="12.75" customHeight="1" x14ac:dyDescent="0.25">
      <c r="J337" s="947"/>
      <c r="K337" s="947"/>
      <c r="L337" s="947"/>
      <c r="M337" s="947"/>
      <c r="N337" s="1145"/>
      <c r="O337" s="1146"/>
      <c r="P337" s="947"/>
      <c r="Q337" s="947"/>
      <c r="R337" s="947"/>
      <c r="W337" s="1147"/>
    </row>
    <row r="338" spans="10:23" s="1141" customFormat="1" ht="14.5" x14ac:dyDescent="0.25">
      <c r="J338" s="947"/>
      <c r="K338" s="947"/>
      <c r="L338" s="947"/>
      <c r="M338" s="947"/>
      <c r="N338" s="1145"/>
      <c r="O338" s="1146"/>
      <c r="P338" s="947"/>
      <c r="Q338" s="947"/>
      <c r="R338" s="947"/>
      <c r="W338" s="1147"/>
    </row>
    <row r="339" spans="10:23" s="1141" customFormat="1" ht="12.75" customHeight="1" x14ac:dyDescent="0.25">
      <c r="J339" s="947"/>
      <c r="K339" s="947"/>
      <c r="L339" s="947"/>
      <c r="M339" s="947"/>
      <c r="N339" s="1145"/>
      <c r="O339" s="1146"/>
      <c r="P339" s="947"/>
      <c r="Q339" s="947"/>
      <c r="R339" s="947"/>
      <c r="W339" s="1147"/>
    </row>
    <row r="340" spans="10:23" s="1141" customFormat="1" ht="14.5" x14ac:dyDescent="0.25">
      <c r="J340" s="947"/>
      <c r="K340" s="947"/>
      <c r="L340" s="947"/>
      <c r="M340" s="947"/>
      <c r="N340" s="1145"/>
      <c r="O340" s="1146"/>
      <c r="P340" s="947"/>
      <c r="Q340" s="947"/>
      <c r="R340" s="947"/>
      <c r="W340" s="1147"/>
    </row>
    <row r="341" spans="10:23" s="1141" customFormat="1" ht="14.5" x14ac:dyDescent="0.25">
      <c r="J341" s="947"/>
      <c r="K341" s="947"/>
      <c r="L341" s="947"/>
      <c r="M341" s="947"/>
      <c r="N341" s="1145"/>
      <c r="O341" s="1146"/>
      <c r="P341" s="947"/>
      <c r="Q341" s="947"/>
      <c r="R341" s="947"/>
      <c r="W341" s="1147"/>
    </row>
    <row r="342" spans="10:23" s="1141" customFormat="1" ht="14.5" x14ac:dyDescent="0.25">
      <c r="J342" s="947"/>
      <c r="K342" s="947"/>
      <c r="L342" s="947"/>
      <c r="M342" s="947"/>
      <c r="N342" s="1145"/>
      <c r="O342" s="1146"/>
      <c r="P342" s="947"/>
      <c r="Q342" s="947"/>
      <c r="R342" s="947"/>
      <c r="W342" s="1147"/>
    </row>
    <row r="343" spans="10:23" s="1141" customFormat="1" ht="14.5" x14ac:dyDescent="0.25">
      <c r="J343" s="947"/>
      <c r="K343" s="947"/>
      <c r="L343" s="947"/>
      <c r="M343" s="947"/>
      <c r="N343" s="1145"/>
      <c r="O343" s="1146"/>
      <c r="P343" s="947"/>
      <c r="Q343" s="947"/>
      <c r="R343" s="947"/>
      <c r="W343" s="1147"/>
    </row>
    <row r="344" spans="10:23" s="1141" customFormat="1" ht="12.75" customHeight="1" x14ac:dyDescent="0.25">
      <c r="J344" s="947"/>
      <c r="K344" s="947"/>
      <c r="L344" s="947"/>
      <c r="M344" s="947"/>
      <c r="N344" s="1145"/>
      <c r="O344" s="1146"/>
      <c r="P344" s="947"/>
      <c r="Q344" s="947"/>
      <c r="R344" s="947"/>
      <c r="W344" s="1147"/>
    </row>
    <row r="345" spans="10:23" s="1141" customFormat="1" ht="12.75" customHeight="1" x14ac:dyDescent="0.25">
      <c r="J345" s="947"/>
      <c r="K345" s="947"/>
      <c r="L345" s="947"/>
      <c r="M345" s="947"/>
      <c r="N345" s="1145"/>
      <c r="O345" s="1146"/>
      <c r="P345" s="947"/>
      <c r="Q345" s="947"/>
      <c r="R345" s="947"/>
      <c r="W345" s="1147"/>
    </row>
    <row r="346" spans="10:23" s="1141" customFormat="1" ht="12.75" customHeight="1" x14ac:dyDescent="0.25">
      <c r="J346" s="947"/>
      <c r="K346" s="947"/>
      <c r="L346" s="947"/>
      <c r="M346" s="947"/>
      <c r="N346" s="1145"/>
      <c r="O346" s="1146"/>
      <c r="P346" s="947"/>
      <c r="Q346" s="947"/>
      <c r="R346" s="947"/>
      <c r="W346" s="1147"/>
    </row>
    <row r="347" spans="10:23" s="1141" customFormat="1" ht="12.75" customHeight="1" x14ac:dyDescent="0.25">
      <c r="J347" s="947"/>
      <c r="K347" s="947"/>
      <c r="L347" s="947"/>
      <c r="M347" s="947"/>
      <c r="N347" s="1145"/>
      <c r="O347" s="1146"/>
      <c r="P347" s="947"/>
      <c r="Q347" s="947"/>
      <c r="R347" s="947"/>
      <c r="W347" s="1147"/>
    </row>
    <row r="348" spans="10:23" s="1141" customFormat="1" ht="14.5" x14ac:dyDescent="0.25">
      <c r="J348" s="947"/>
      <c r="K348" s="947"/>
      <c r="L348" s="947"/>
      <c r="M348" s="947"/>
      <c r="N348" s="1145"/>
      <c r="O348" s="1146"/>
      <c r="P348" s="947"/>
      <c r="Q348" s="947"/>
      <c r="R348" s="947"/>
      <c r="W348" s="1147"/>
    </row>
    <row r="349" spans="10:23" s="1141" customFormat="1" ht="14.5" x14ac:dyDescent="0.25">
      <c r="J349" s="947"/>
      <c r="K349" s="947"/>
      <c r="L349" s="947"/>
      <c r="M349" s="947"/>
      <c r="N349" s="1145"/>
      <c r="O349" s="1146"/>
      <c r="P349" s="947"/>
      <c r="Q349" s="947"/>
      <c r="R349" s="947"/>
      <c r="W349" s="1147"/>
    </row>
    <row r="350" spans="10:23" s="1141" customFormat="1" ht="14.5" x14ac:dyDescent="0.25">
      <c r="J350" s="947"/>
      <c r="K350" s="947"/>
      <c r="L350" s="947"/>
      <c r="M350" s="947"/>
      <c r="N350" s="1145"/>
      <c r="O350" s="1146"/>
      <c r="P350" s="947"/>
      <c r="Q350" s="947"/>
      <c r="R350" s="947"/>
      <c r="W350" s="1147"/>
    </row>
    <row r="351" spans="10:23" s="1141" customFormat="1" ht="14.5" x14ac:dyDescent="0.25">
      <c r="J351" s="947"/>
      <c r="K351" s="947"/>
      <c r="L351" s="947"/>
      <c r="M351" s="947"/>
      <c r="N351" s="1145"/>
      <c r="O351" s="1146"/>
      <c r="P351" s="947"/>
      <c r="Q351" s="947"/>
      <c r="R351" s="947"/>
      <c r="W351" s="1147"/>
    </row>
    <row r="352" spans="10:23" s="1141" customFormat="1" ht="14.5" x14ac:dyDescent="0.25">
      <c r="J352" s="947"/>
      <c r="K352" s="947"/>
      <c r="L352" s="947"/>
      <c r="M352" s="947"/>
      <c r="N352" s="1145"/>
      <c r="O352" s="1146"/>
      <c r="P352" s="947"/>
      <c r="Q352" s="947"/>
      <c r="R352" s="947"/>
      <c r="W352" s="1147"/>
    </row>
    <row r="353" spans="10:23" s="1141" customFormat="1" ht="14.5" x14ac:dyDescent="0.25">
      <c r="J353" s="947"/>
      <c r="K353" s="947"/>
      <c r="L353" s="947"/>
      <c r="M353" s="947"/>
      <c r="N353" s="1145"/>
      <c r="O353" s="1146"/>
      <c r="P353" s="947"/>
      <c r="Q353" s="947"/>
      <c r="R353" s="947"/>
      <c r="W353" s="1147"/>
    </row>
    <row r="354" spans="10:23" s="1141" customFormat="1" ht="12.75" customHeight="1" x14ac:dyDescent="0.25">
      <c r="J354" s="947"/>
      <c r="K354" s="947"/>
      <c r="L354" s="947"/>
      <c r="M354" s="947"/>
      <c r="N354" s="1145"/>
      <c r="O354" s="1146"/>
      <c r="P354" s="947"/>
      <c r="Q354" s="947"/>
      <c r="R354" s="947"/>
      <c r="W354" s="1147"/>
    </row>
    <row r="355" spans="10:23" s="1141" customFormat="1" ht="12.75" customHeight="1" x14ac:dyDescent="0.25">
      <c r="J355" s="947"/>
      <c r="K355" s="947"/>
      <c r="L355" s="947"/>
      <c r="M355" s="947"/>
      <c r="N355" s="1145"/>
      <c r="O355" s="1146"/>
      <c r="P355" s="947"/>
      <c r="Q355" s="947"/>
      <c r="R355" s="947"/>
      <c r="W355" s="1147"/>
    </row>
    <row r="356" spans="10:23" s="1141" customFormat="1" ht="14.5" x14ac:dyDescent="0.25">
      <c r="J356" s="947"/>
      <c r="K356" s="947"/>
      <c r="L356" s="947"/>
      <c r="M356" s="947"/>
      <c r="N356" s="1145"/>
      <c r="O356" s="1146"/>
      <c r="P356" s="947"/>
      <c r="Q356" s="947"/>
      <c r="R356" s="947"/>
      <c r="W356" s="1147"/>
    </row>
    <row r="357" spans="10:23" s="1141" customFormat="1" ht="14.5" x14ac:dyDescent="0.25">
      <c r="J357" s="947"/>
      <c r="K357" s="947"/>
      <c r="L357" s="947"/>
      <c r="M357" s="947"/>
      <c r="N357" s="1145"/>
      <c r="O357" s="1146"/>
      <c r="P357" s="947"/>
      <c r="Q357" s="947"/>
      <c r="R357" s="947"/>
      <c r="W357" s="1147"/>
    </row>
    <row r="358" spans="10:23" s="1141" customFormat="1" ht="14.5" x14ac:dyDescent="0.25">
      <c r="J358" s="947"/>
      <c r="K358" s="947"/>
      <c r="L358" s="947"/>
      <c r="M358" s="947"/>
      <c r="N358" s="1145"/>
      <c r="O358" s="1146"/>
      <c r="P358" s="947"/>
      <c r="Q358" s="947"/>
      <c r="R358" s="947"/>
      <c r="W358" s="1147"/>
    </row>
    <row r="359" spans="10:23" s="1141" customFormat="1" ht="12.75" customHeight="1" x14ac:dyDescent="0.25">
      <c r="J359" s="947"/>
      <c r="K359" s="947"/>
      <c r="L359" s="947"/>
      <c r="M359" s="947"/>
      <c r="N359" s="1145"/>
      <c r="O359" s="1146"/>
      <c r="P359" s="947"/>
      <c r="Q359" s="947"/>
      <c r="R359" s="947"/>
      <c r="W359" s="1147"/>
    </row>
    <row r="360" spans="10:23" s="1141" customFormat="1" ht="14.5" x14ac:dyDescent="0.25">
      <c r="J360" s="947"/>
      <c r="K360" s="947"/>
      <c r="L360" s="947"/>
      <c r="M360" s="947"/>
      <c r="N360" s="1145"/>
      <c r="O360" s="1146"/>
      <c r="P360" s="947"/>
      <c r="Q360" s="947"/>
      <c r="R360" s="947"/>
      <c r="W360" s="1147"/>
    </row>
    <row r="361" spans="10:23" s="1141" customFormat="1" ht="14.5" x14ac:dyDescent="0.25">
      <c r="J361" s="947"/>
      <c r="K361" s="947"/>
      <c r="L361" s="947"/>
      <c r="M361" s="947"/>
      <c r="N361" s="1145"/>
      <c r="O361" s="1146"/>
      <c r="P361" s="947"/>
      <c r="Q361" s="947"/>
      <c r="R361" s="947"/>
      <c r="W361" s="1147"/>
    </row>
    <row r="362" spans="10:23" s="1141" customFormat="1" ht="14.5" x14ac:dyDescent="0.25">
      <c r="J362" s="947"/>
      <c r="K362" s="947"/>
      <c r="L362" s="947"/>
      <c r="M362" s="947"/>
      <c r="N362" s="1145"/>
      <c r="O362" s="1146"/>
      <c r="P362" s="947"/>
      <c r="Q362" s="947"/>
      <c r="R362" s="947"/>
      <c r="W362" s="1147"/>
    </row>
    <row r="363" spans="10:23" s="1141" customFormat="1" ht="14.5" x14ac:dyDescent="0.25">
      <c r="J363" s="947"/>
      <c r="K363" s="947"/>
      <c r="L363" s="947"/>
      <c r="M363" s="947"/>
      <c r="N363" s="1145"/>
      <c r="O363" s="1146"/>
      <c r="P363" s="947"/>
      <c r="Q363" s="947"/>
      <c r="R363" s="947"/>
      <c r="W363" s="1147"/>
    </row>
    <row r="364" spans="10:23" s="1141" customFormat="1" ht="14.5" x14ac:dyDescent="0.25">
      <c r="J364" s="947"/>
      <c r="K364" s="947"/>
      <c r="L364" s="947"/>
      <c r="M364" s="947"/>
      <c r="N364" s="1145"/>
      <c r="O364" s="1146"/>
      <c r="P364" s="947"/>
      <c r="Q364" s="947"/>
      <c r="R364" s="947"/>
      <c r="W364" s="1147"/>
    </row>
    <row r="365" spans="10:23" s="1141" customFormat="1" ht="14.5" x14ac:dyDescent="0.25">
      <c r="J365" s="947"/>
      <c r="K365" s="947"/>
      <c r="L365" s="947"/>
      <c r="M365" s="947"/>
      <c r="N365" s="1145"/>
      <c r="O365" s="1146"/>
      <c r="P365" s="947"/>
      <c r="Q365" s="947"/>
      <c r="R365" s="947"/>
      <c r="W365" s="1147"/>
    </row>
    <row r="366" spans="10:23" s="1141" customFormat="1" ht="14.5" x14ac:dyDescent="0.25">
      <c r="J366" s="947"/>
      <c r="K366" s="947"/>
      <c r="L366" s="947"/>
      <c r="M366" s="947"/>
      <c r="N366" s="1145"/>
      <c r="O366" s="1146"/>
      <c r="P366" s="947"/>
      <c r="Q366" s="947"/>
      <c r="R366" s="947"/>
      <c r="W366" s="1147"/>
    </row>
    <row r="367" spans="10:23" s="1141" customFormat="1" ht="14.5" x14ac:dyDescent="0.25">
      <c r="J367" s="947"/>
      <c r="K367" s="947"/>
      <c r="L367" s="947"/>
      <c r="M367" s="947"/>
      <c r="N367" s="1145"/>
      <c r="O367" s="1146"/>
      <c r="P367" s="947"/>
      <c r="Q367" s="947"/>
      <c r="R367" s="947"/>
      <c r="W367" s="1147"/>
    </row>
    <row r="368" spans="10:23" s="1141" customFormat="1" ht="14.5" x14ac:dyDescent="0.25">
      <c r="J368" s="947"/>
      <c r="K368" s="947"/>
      <c r="L368" s="947"/>
      <c r="M368" s="947"/>
      <c r="N368" s="1145"/>
      <c r="O368" s="1146"/>
      <c r="P368" s="947"/>
      <c r="Q368" s="947"/>
      <c r="R368" s="947"/>
      <c r="W368" s="1147"/>
    </row>
    <row r="369" spans="10:23" s="1141" customFormat="1" ht="14.5" x14ac:dyDescent="0.25">
      <c r="J369" s="947"/>
      <c r="K369" s="947"/>
      <c r="L369" s="947"/>
      <c r="M369" s="947"/>
      <c r="N369" s="1145"/>
      <c r="O369" s="1146"/>
      <c r="P369" s="947"/>
      <c r="Q369" s="947"/>
      <c r="R369" s="947"/>
      <c r="W369" s="1147"/>
    </row>
    <row r="370" spans="10:23" s="1141" customFormat="1" ht="14.5" x14ac:dyDescent="0.25">
      <c r="J370" s="947"/>
      <c r="K370" s="947"/>
      <c r="L370" s="947"/>
      <c r="M370" s="947"/>
      <c r="N370" s="1145"/>
      <c r="O370" s="1146"/>
      <c r="P370" s="947"/>
      <c r="Q370" s="947"/>
      <c r="R370" s="947"/>
      <c r="W370" s="1147"/>
    </row>
    <row r="371" spans="10:23" s="1141" customFormat="1" ht="14.5" x14ac:dyDescent="0.25">
      <c r="J371" s="947"/>
      <c r="K371" s="947"/>
      <c r="L371" s="947"/>
      <c r="M371" s="947"/>
      <c r="N371" s="1145"/>
      <c r="O371" s="1146"/>
      <c r="P371" s="947"/>
      <c r="Q371" s="947"/>
      <c r="R371" s="947"/>
      <c r="W371" s="1147"/>
    </row>
    <row r="372" spans="10:23" s="1141" customFormat="1" ht="12.75" customHeight="1" x14ac:dyDescent="0.25">
      <c r="J372" s="947"/>
      <c r="K372" s="947"/>
      <c r="L372" s="947"/>
      <c r="M372" s="947"/>
      <c r="N372" s="1145"/>
      <c r="O372" s="1146"/>
      <c r="P372" s="947"/>
      <c r="Q372" s="947"/>
      <c r="R372" s="947"/>
      <c r="W372" s="1147"/>
    </row>
    <row r="373" spans="10:23" s="1141" customFormat="1" ht="12.75" customHeight="1" x14ac:dyDescent="0.25">
      <c r="J373" s="947"/>
      <c r="K373" s="947"/>
      <c r="L373" s="947"/>
      <c r="M373" s="947"/>
      <c r="N373" s="1145"/>
      <c r="O373" s="1146"/>
      <c r="P373" s="947"/>
      <c r="Q373" s="947"/>
      <c r="R373" s="947"/>
      <c r="W373" s="1147"/>
    </row>
    <row r="374" spans="10:23" s="1141" customFormat="1" ht="12.75" customHeight="1" x14ac:dyDescent="0.25">
      <c r="J374" s="947"/>
      <c r="K374" s="947"/>
      <c r="L374" s="947"/>
      <c r="M374" s="947"/>
      <c r="N374" s="1145"/>
      <c r="O374" s="1146"/>
      <c r="P374" s="947"/>
      <c r="Q374" s="947"/>
      <c r="R374" s="947"/>
      <c r="W374" s="1147"/>
    </row>
    <row r="375" spans="10:23" s="1141" customFormat="1" ht="12.75" customHeight="1" x14ac:dyDescent="0.25">
      <c r="J375" s="947"/>
      <c r="K375" s="947"/>
      <c r="L375" s="947"/>
      <c r="M375" s="947"/>
      <c r="N375" s="1145"/>
      <c r="O375" s="1146"/>
      <c r="P375" s="947"/>
      <c r="Q375" s="947"/>
      <c r="R375" s="947"/>
      <c r="W375" s="1147"/>
    </row>
    <row r="376" spans="10:23" s="1141" customFormat="1" ht="14.5" x14ac:dyDescent="0.25">
      <c r="J376" s="947"/>
      <c r="K376" s="947"/>
      <c r="L376" s="947"/>
      <c r="M376" s="947"/>
      <c r="N376" s="1145"/>
      <c r="O376" s="1146"/>
      <c r="P376" s="947"/>
      <c r="Q376" s="947"/>
      <c r="R376" s="947"/>
      <c r="W376" s="1147"/>
    </row>
    <row r="377" spans="10:23" s="1141" customFormat="1" ht="14.5" x14ac:dyDescent="0.25">
      <c r="J377" s="947"/>
      <c r="K377" s="947"/>
      <c r="L377" s="947"/>
      <c r="M377" s="947"/>
      <c r="N377" s="1145"/>
      <c r="O377" s="1146"/>
      <c r="P377" s="947"/>
      <c r="Q377" s="947"/>
      <c r="R377" s="947"/>
      <c r="W377" s="1147"/>
    </row>
    <row r="378" spans="10:23" s="1141" customFormat="1" ht="14.5" x14ac:dyDescent="0.25">
      <c r="J378" s="947"/>
      <c r="K378" s="947"/>
      <c r="L378" s="947"/>
      <c r="M378" s="947"/>
      <c r="N378" s="1145"/>
      <c r="O378" s="1146"/>
      <c r="P378" s="947"/>
      <c r="Q378" s="947"/>
      <c r="R378" s="947"/>
      <c r="W378" s="1147"/>
    </row>
    <row r="379" spans="10:23" s="1141" customFormat="1" ht="14.5" x14ac:dyDescent="0.25">
      <c r="J379" s="947"/>
      <c r="K379" s="947"/>
      <c r="L379" s="947"/>
      <c r="M379" s="947"/>
      <c r="N379" s="1145"/>
      <c r="O379" s="1146"/>
      <c r="P379" s="947"/>
      <c r="Q379" s="947"/>
      <c r="R379" s="947"/>
      <c r="W379" s="1147"/>
    </row>
    <row r="380" spans="10:23" s="1141" customFormat="1" ht="14.5" x14ac:dyDescent="0.25">
      <c r="J380" s="947"/>
      <c r="K380" s="947"/>
      <c r="L380" s="947"/>
      <c r="M380" s="947"/>
      <c r="N380" s="1145"/>
      <c r="O380" s="1146"/>
      <c r="P380" s="947"/>
      <c r="Q380" s="947"/>
      <c r="R380" s="947"/>
      <c r="W380" s="1147"/>
    </row>
    <row r="381" spans="10:23" s="1141" customFormat="1" ht="12.75" customHeight="1" x14ac:dyDescent="0.25">
      <c r="J381" s="947"/>
      <c r="K381" s="947"/>
      <c r="L381" s="947"/>
      <c r="M381" s="947"/>
      <c r="N381" s="1145"/>
      <c r="O381" s="1146"/>
      <c r="P381" s="947"/>
      <c r="Q381" s="947"/>
      <c r="R381" s="947"/>
      <c r="W381" s="1147"/>
    </row>
    <row r="382" spans="10:23" s="1141" customFormat="1" ht="14.5" x14ac:dyDescent="0.25">
      <c r="J382" s="947"/>
      <c r="K382" s="947"/>
      <c r="L382" s="947"/>
      <c r="M382" s="947"/>
      <c r="N382" s="1145"/>
      <c r="O382" s="1146"/>
      <c r="P382" s="947"/>
      <c r="Q382" s="947"/>
      <c r="R382" s="947"/>
      <c r="W382" s="1147"/>
    </row>
    <row r="383" spans="10:23" s="1141" customFormat="1" ht="14.5" x14ac:dyDescent="0.25">
      <c r="J383" s="947"/>
      <c r="K383" s="947"/>
      <c r="L383" s="947"/>
      <c r="M383" s="947"/>
      <c r="N383" s="1145"/>
      <c r="O383" s="1146"/>
      <c r="P383" s="947"/>
      <c r="Q383" s="947"/>
      <c r="R383" s="947"/>
      <c r="W383" s="1147"/>
    </row>
    <row r="384" spans="10:23" s="1141" customFormat="1" ht="14.5" x14ac:dyDescent="0.25">
      <c r="J384" s="947"/>
      <c r="K384" s="947"/>
      <c r="L384" s="947"/>
      <c r="M384" s="947"/>
      <c r="N384" s="1145"/>
      <c r="O384" s="1146"/>
      <c r="P384" s="947"/>
      <c r="Q384" s="947"/>
      <c r="R384" s="947"/>
      <c r="W384" s="1147"/>
    </row>
    <row r="385" spans="10:23" s="1141" customFormat="1" ht="14.5" x14ac:dyDescent="0.25">
      <c r="J385" s="947"/>
      <c r="K385" s="947"/>
      <c r="L385" s="947"/>
      <c r="M385" s="947"/>
      <c r="N385" s="1145"/>
      <c r="O385" s="1146"/>
      <c r="P385" s="947"/>
      <c r="Q385" s="947"/>
      <c r="R385" s="947"/>
      <c r="W385" s="1147"/>
    </row>
    <row r="386" spans="10:23" s="1141" customFormat="1" ht="12.75" customHeight="1" x14ac:dyDescent="0.25">
      <c r="J386" s="947"/>
      <c r="K386" s="947"/>
      <c r="L386" s="947"/>
      <c r="M386" s="947"/>
      <c r="N386" s="1145"/>
      <c r="O386" s="1146"/>
      <c r="P386" s="947"/>
      <c r="Q386" s="947"/>
      <c r="R386" s="947"/>
      <c r="W386" s="1147"/>
    </row>
    <row r="387" spans="10:23" s="1141" customFormat="1" ht="12.75" customHeight="1" x14ac:dyDescent="0.25">
      <c r="J387" s="947"/>
      <c r="K387" s="947"/>
      <c r="L387" s="947"/>
      <c r="M387" s="947"/>
      <c r="N387" s="1145"/>
      <c r="O387" s="1146"/>
      <c r="P387" s="947"/>
      <c r="Q387" s="947"/>
      <c r="R387" s="947"/>
      <c r="W387" s="1147"/>
    </row>
    <row r="388" spans="10:23" s="1141" customFormat="1" ht="12.75" customHeight="1" x14ac:dyDescent="0.25">
      <c r="J388" s="947"/>
      <c r="K388" s="947"/>
      <c r="L388" s="947"/>
      <c r="M388" s="947"/>
      <c r="N388" s="1145"/>
      <c r="O388" s="1146"/>
      <c r="P388" s="947"/>
      <c r="Q388" s="947"/>
      <c r="R388" s="947"/>
      <c r="W388" s="1147"/>
    </row>
    <row r="389" spans="10:23" s="1141" customFormat="1" ht="12.75" customHeight="1" x14ac:dyDescent="0.25">
      <c r="J389" s="947"/>
      <c r="K389" s="947"/>
      <c r="L389" s="947"/>
      <c r="M389" s="947"/>
      <c r="N389" s="1145"/>
      <c r="O389" s="1146"/>
      <c r="P389" s="947"/>
      <c r="Q389" s="947"/>
      <c r="R389" s="947"/>
      <c r="W389" s="1147"/>
    </row>
    <row r="390" spans="10:23" s="1141" customFormat="1" ht="14.5" x14ac:dyDescent="0.25">
      <c r="J390" s="947"/>
      <c r="K390" s="947"/>
      <c r="L390" s="947"/>
      <c r="M390" s="947"/>
      <c r="N390" s="1145"/>
      <c r="O390" s="1146"/>
      <c r="P390" s="947"/>
      <c r="Q390" s="947"/>
      <c r="R390" s="947"/>
      <c r="W390" s="1147"/>
    </row>
    <row r="391" spans="10:23" s="1141" customFormat="1" ht="12.75" customHeight="1" x14ac:dyDescent="0.25">
      <c r="J391" s="947"/>
      <c r="K391" s="947"/>
      <c r="L391" s="947"/>
      <c r="M391" s="947"/>
      <c r="N391" s="1145"/>
      <c r="O391" s="1146"/>
      <c r="P391" s="947"/>
      <c r="Q391" s="947"/>
      <c r="R391" s="947"/>
      <c r="W391" s="1147"/>
    </row>
    <row r="392" spans="10:23" s="1141" customFormat="1" ht="12.75" customHeight="1" x14ac:dyDescent="0.25">
      <c r="J392" s="947"/>
      <c r="K392" s="947"/>
      <c r="L392" s="947"/>
      <c r="M392" s="947"/>
      <c r="N392" s="1145"/>
      <c r="O392" s="1146"/>
      <c r="P392" s="947"/>
      <c r="Q392" s="947"/>
      <c r="R392" s="947"/>
      <c r="W392" s="1147"/>
    </row>
    <row r="393" spans="10:23" s="1141" customFormat="1" ht="14.5" x14ac:dyDescent="0.25">
      <c r="J393" s="947"/>
      <c r="K393" s="947"/>
      <c r="L393" s="947"/>
      <c r="M393" s="947"/>
      <c r="N393" s="1145"/>
      <c r="O393" s="1146"/>
      <c r="P393" s="947"/>
      <c r="Q393" s="947"/>
      <c r="R393" s="947"/>
      <c r="W393" s="1147"/>
    </row>
    <row r="394" spans="10:23" s="1141" customFormat="1" ht="14.5" x14ac:dyDescent="0.25">
      <c r="J394" s="947"/>
      <c r="K394" s="947"/>
      <c r="L394" s="947"/>
      <c r="M394" s="947"/>
      <c r="N394" s="1145"/>
      <c r="O394" s="1146"/>
      <c r="P394" s="947"/>
      <c r="Q394" s="947"/>
      <c r="R394" s="947"/>
      <c r="W394" s="1147"/>
    </row>
    <row r="395" spans="10:23" s="1141" customFormat="1" ht="14.5" x14ac:dyDescent="0.25">
      <c r="J395" s="947"/>
      <c r="K395" s="947"/>
      <c r="L395" s="947"/>
      <c r="M395" s="947"/>
      <c r="N395" s="1145"/>
      <c r="O395" s="1146"/>
      <c r="P395" s="947"/>
      <c r="Q395" s="947"/>
      <c r="R395" s="947"/>
      <c r="W395" s="1147"/>
    </row>
    <row r="396" spans="10:23" s="1141" customFormat="1" ht="14.5" x14ac:dyDescent="0.25">
      <c r="J396" s="947"/>
      <c r="K396" s="947"/>
      <c r="L396" s="947"/>
      <c r="M396" s="947"/>
      <c r="N396" s="1145"/>
      <c r="O396" s="1146"/>
      <c r="P396" s="947"/>
      <c r="Q396" s="947"/>
      <c r="R396" s="947"/>
      <c r="W396" s="1147"/>
    </row>
    <row r="397" spans="10:23" s="1141" customFormat="1" ht="14.5" x14ac:dyDescent="0.25">
      <c r="J397" s="947"/>
      <c r="K397" s="947"/>
      <c r="L397" s="947"/>
      <c r="M397" s="947"/>
      <c r="N397" s="1145"/>
      <c r="O397" s="1146"/>
      <c r="P397" s="947"/>
      <c r="Q397" s="947"/>
      <c r="R397" s="947"/>
      <c r="W397" s="1147"/>
    </row>
    <row r="398" spans="10:23" s="1141" customFormat="1" ht="14.5" x14ac:dyDescent="0.25">
      <c r="J398" s="947"/>
      <c r="K398" s="947"/>
      <c r="L398" s="947"/>
      <c r="M398" s="947"/>
      <c r="N398" s="1145"/>
      <c r="O398" s="1146"/>
      <c r="P398" s="947"/>
      <c r="Q398" s="947"/>
      <c r="R398" s="947"/>
      <c r="W398" s="1147"/>
    </row>
    <row r="399" spans="10:23" s="1141" customFormat="1" ht="14.5" x14ac:dyDescent="0.25">
      <c r="J399" s="947"/>
      <c r="K399" s="947"/>
      <c r="L399" s="947"/>
      <c r="M399" s="947"/>
      <c r="N399" s="1145"/>
      <c r="O399" s="1146"/>
      <c r="P399" s="947"/>
      <c r="Q399" s="947"/>
      <c r="R399" s="947"/>
      <c r="W399" s="1147"/>
    </row>
    <row r="400" spans="10:23" s="1141" customFormat="1" ht="14.5" x14ac:dyDescent="0.25">
      <c r="J400" s="947"/>
      <c r="K400" s="947"/>
      <c r="L400" s="947"/>
      <c r="M400" s="947"/>
      <c r="N400" s="1145"/>
      <c r="O400" s="1146"/>
      <c r="P400" s="947"/>
      <c r="Q400" s="947"/>
      <c r="R400" s="947"/>
      <c r="W400" s="1147"/>
    </row>
    <row r="401" spans="10:23" s="1141" customFormat="1" ht="14.5" x14ac:dyDescent="0.25">
      <c r="J401" s="947"/>
      <c r="K401" s="947"/>
      <c r="L401" s="947"/>
      <c r="M401" s="947"/>
      <c r="N401" s="1145"/>
      <c r="O401" s="1146"/>
      <c r="P401" s="947"/>
      <c r="Q401" s="947"/>
      <c r="R401" s="947"/>
      <c r="W401" s="1147"/>
    </row>
    <row r="402" spans="10:23" s="1141" customFormat="1" ht="14.5" x14ac:dyDescent="0.25">
      <c r="J402" s="947"/>
      <c r="K402" s="947"/>
      <c r="L402" s="947"/>
      <c r="M402" s="947"/>
      <c r="N402" s="1145"/>
      <c r="O402" s="1146"/>
      <c r="P402" s="947"/>
      <c r="Q402" s="947"/>
      <c r="R402" s="947"/>
      <c r="W402" s="1147"/>
    </row>
    <row r="403" spans="10:23" s="1141" customFormat="1" ht="14.5" x14ac:dyDescent="0.25">
      <c r="J403" s="947"/>
      <c r="K403" s="947"/>
      <c r="L403" s="947"/>
      <c r="M403" s="947"/>
      <c r="N403" s="1145"/>
      <c r="O403" s="1146"/>
      <c r="P403" s="947"/>
      <c r="Q403" s="947"/>
      <c r="R403" s="947"/>
      <c r="W403" s="1147"/>
    </row>
    <row r="404" spans="10:23" s="1141" customFormat="1" ht="14.5" x14ac:dyDescent="0.25">
      <c r="J404" s="947"/>
      <c r="K404" s="947"/>
      <c r="L404" s="947"/>
      <c r="M404" s="947"/>
      <c r="N404" s="1145"/>
      <c r="O404" s="1146"/>
      <c r="P404" s="947"/>
      <c r="Q404" s="947"/>
      <c r="R404" s="947"/>
      <c r="W404" s="1147"/>
    </row>
    <row r="405" spans="10:23" s="1141" customFormat="1" ht="14.5" x14ac:dyDescent="0.25">
      <c r="J405" s="947"/>
      <c r="K405" s="947"/>
      <c r="L405" s="947"/>
      <c r="M405" s="947"/>
      <c r="N405" s="1145"/>
      <c r="O405" s="1146"/>
      <c r="P405" s="947"/>
      <c r="Q405" s="947"/>
      <c r="R405" s="947"/>
      <c r="W405" s="1147"/>
    </row>
    <row r="406" spans="10:23" s="1141" customFormat="1" ht="14.5" x14ac:dyDescent="0.25">
      <c r="J406" s="947"/>
      <c r="K406" s="947"/>
      <c r="L406" s="947"/>
      <c r="M406" s="947"/>
      <c r="N406" s="1145"/>
      <c r="O406" s="1146"/>
      <c r="P406" s="947"/>
      <c r="Q406" s="947"/>
      <c r="R406" s="947"/>
      <c r="W406" s="1147"/>
    </row>
    <row r="407" spans="10:23" s="1141" customFormat="1" ht="14.5" x14ac:dyDescent="0.25">
      <c r="J407" s="947"/>
      <c r="K407" s="947"/>
      <c r="L407" s="947"/>
      <c r="M407" s="947"/>
      <c r="N407" s="1145"/>
      <c r="O407" s="1146"/>
      <c r="P407" s="947"/>
      <c r="Q407" s="947"/>
      <c r="R407" s="947"/>
      <c r="W407" s="1147"/>
    </row>
    <row r="408" spans="10:23" s="1141" customFormat="1" ht="14.5" x14ac:dyDescent="0.25">
      <c r="J408" s="947"/>
      <c r="K408" s="947"/>
      <c r="L408" s="947"/>
      <c r="M408" s="947"/>
      <c r="N408" s="1145"/>
      <c r="O408" s="1146"/>
      <c r="P408" s="947"/>
      <c r="Q408" s="947"/>
      <c r="R408" s="947"/>
      <c r="W408" s="1147"/>
    </row>
    <row r="409" spans="10:23" s="1141" customFormat="1" ht="14.5" x14ac:dyDescent="0.25">
      <c r="J409" s="947"/>
      <c r="K409" s="947"/>
      <c r="L409" s="947"/>
      <c r="M409" s="947"/>
      <c r="N409" s="1145"/>
      <c r="O409" s="1146"/>
      <c r="P409" s="947"/>
      <c r="Q409" s="947"/>
      <c r="R409" s="947"/>
      <c r="W409" s="1147"/>
    </row>
    <row r="410" spans="10:23" s="1141" customFormat="1" ht="14.5" x14ac:dyDescent="0.25">
      <c r="J410" s="947"/>
      <c r="K410" s="947"/>
      <c r="L410" s="947"/>
      <c r="M410" s="947"/>
      <c r="N410" s="1145"/>
      <c r="O410" s="1146"/>
      <c r="P410" s="947"/>
      <c r="Q410" s="947"/>
      <c r="R410" s="947"/>
      <c r="W410" s="1147"/>
    </row>
    <row r="411" spans="10:23" s="1141" customFormat="1" ht="14.5" x14ac:dyDescent="0.25">
      <c r="J411" s="947"/>
      <c r="K411" s="947"/>
      <c r="L411" s="947"/>
      <c r="M411" s="947"/>
      <c r="N411" s="1145"/>
      <c r="O411" s="1146"/>
      <c r="P411" s="947"/>
      <c r="Q411" s="947"/>
      <c r="R411" s="947"/>
      <c r="W411" s="1147"/>
    </row>
    <row r="412" spans="10:23" s="1141" customFormat="1" ht="14.5" x14ac:dyDescent="0.25">
      <c r="J412" s="947"/>
      <c r="K412" s="947"/>
      <c r="L412" s="947"/>
      <c r="M412" s="947"/>
      <c r="N412" s="1145"/>
      <c r="O412" s="1146"/>
      <c r="P412" s="947"/>
      <c r="Q412" s="947"/>
      <c r="R412" s="947"/>
      <c r="W412" s="1147"/>
    </row>
    <row r="413" spans="10:23" s="1141" customFormat="1" ht="14.5" x14ac:dyDescent="0.25">
      <c r="J413" s="947"/>
      <c r="K413" s="947"/>
      <c r="L413" s="947"/>
      <c r="M413" s="947"/>
      <c r="N413" s="1145"/>
      <c r="O413" s="1146"/>
      <c r="P413" s="947"/>
      <c r="Q413" s="947"/>
      <c r="R413" s="947"/>
      <c r="W413" s="1147"/>
    </row>
    <row r="414" spans="10:23" s="1141" customFormat="1" ht="14.5" x14ac:dyDescent="0.25">
      <c r="J414" s="947"/>
      <c r="K414" s="947"/>
      <c r="L414" s="947"/>
      <c r="M414" s="947"/>
      <c r="N414" s="1145"/>
      <c r="O414" s="1146"/>
      <c r="P414" s="947"/>
      <c r="Q414" s="947"/>
      <c r="R414" s="947"/>
      <c r="W414" s="1147"/>
    </row>
    <row r="415" spans="10:23" s="1141" customFormat="1" ht="14.5" x14ac:dyDescent="0.25">
      <c r="J415" s="947"/>
      <c r="K415" s="947"/>
      <c r="L415" s="947"/>
      <c r="M415" s="947"/>
      <c r="N415" s="1145"/>
      <c r="O415" s="1146"/>
      <c r="P415" s="947"/>
      <c r="Q415" s="947"/>
      <c r="R415" s="947"/>
      <c r="W415" s="1147"/>
    </row>
    <row r="416" spans="10:23" s="1141" customFormat="1" ht="14.5" x14ac:dyDescent="0.25">
      <c r="J416" s="947"/>
      <c r="K416" s="947"/>
      <c r="L416" s="947"/>
      <c r="M416" s="947"/>
      <c r="N416" s="1145"/>
      <c r="O416" s="1146"/>
      <c r="P416" s="947"/>
      <c r="Q416" s="947"/>
      <c r="R416" s="947"/>
      <c r="W416" s="1147"/>
    </row>
    <row r="417" spans="10:23" s="1141" customFormat="1" ht="14.5" x14ac:dyDescent="0.25">
      <c r="J417" s="947"/>
      <c r="K417" s="947"/>
      <c r="L417" s="947"/>
      <c r="M417" s="947"/>
      <c r="N417" s="1145"/>
      <c r="O417" s="1146"/>
      <c r="P417" s="947"/>
      <c r="Q417" s="947"/>
      <c r="R417" s="947"/>
      <c r="W417" s="1147"/>
    </row>
    <row r="418" spans="10:23" s="1141" customFormat="1" ht="14.5" x14ac:dyDescent="0.25">
      <c r="J418" s="947"/>
      <c r="K418" s="947"/>
      <c r="L418" s="947"/>
      <c r="M418" s="947"/>
      <c r="N418" s="1145"/>
      <c r="O418" s="1146"/>
      <c r="P418" s="947"/>
      <c r="Q418" s="947"/>
      <c r="R418" s="947"/>
      <c r="W418" s="1147"/>
    </row>
    <row r="419" spans="10:23" s="1141" customFormat="1" ht="14.5" x14ac:dyDescent="0.25">
      <c r="J419" s="947"/>
      <c r="K419" s="947"/>
      <c r="L419" s="947"/>
      <c r="M419" s="947"/>
      <c r="N419" s="1145"/>
      <c r="O419" s="1146"/>
      <c r="P419" s="947"/>
      <c r="Q419" s="947"/>
      <c r="R419" s="947"/>
      <c r="W419" s="1147"/>
    </row>
    <row r="420" spans="10:23" s="1141" customFormat="1" ht="14.5" x14ac:dyDescent="0.25">
      <c r="J420" s="947"/>
      <c r="K420" s="947"/>
      <c r="L420" s="947"/>
      <c r="M420" s="947"/>
      <c r="N420" s="1145"/>
      <c r="O420" s="1146"/>
      <c r="P420" s="947"/>
      <c r="Q420" s="947"/>
      <c r="R420" s="947"/>
      <c r="W420" s="1147"/>
    </row>
    <row r="421" spans="10:23" s="1141" customFormat="1" ht="14.5" x14ac:dyDescent="0.25">
      <c r="J421" s="947"/>
      <c r="K421" s="947"/>
      <c r="L421" s="947"/>
      <c r="M421" s="947"/>
      <c r="N421" s="1145"/>
      <c r="O421" s="1146"/>
      <c r="P421" s="947"/>
      <c r="Q421" s="947"/>
      <c r="R421" s="947"/>
      <c r="W421" s="1147"/>
    </row>
    <row r="422" spans="10:23" s="1141" customFormat="1" ht="14.5" x14ac:dyDescent="0.25">
      <c r="J422" s="947"/>
      <c r="K422" s="947"/>
      <c r="L422" s="947"/>
      <c r="M422" s="947"/>
      <c r="N422" s="1145"/>
      <c r="O422" s="1146"/>
      <c r="P422" s="947"/>
      <c r="Q422" s="947"/>
      <c r="R422" s="947"/>
      <c r="W422" s="1147"/>
    </row>
    <row r="423" spans="10:23" s="1141" customFormat="1" ht="14.5" x14ac:dyDescent="0.25">
      <c r="J423" s="947"/>
      <c r="K423" s="947"/>
      <c r="L423" s="947"/>
      <c r="M423" s="947"/>
      <c r="N423" s="1145"/>
      <c r="O423" s="1146"/>
      <c r="P423" s="947"/>
      <c r="Q423" s="947"/>
      <c r="R423" s="947"/>
      <c r="W423" s="1147"/>
    </row>
    <row r="424" spans="10:23" s="1141" customFormat="1" ht="14.5" x14ac:dyDescent="0.25">
      <c r="J424" s="947"/>
      <c r="K424" s="947"/>
      <c r="L424" s="947"/>
      <c r="M424" s="947"/>
      <c r="N424" s="1145"/>
      <c r="O424" s="1146"/>
      <c r="P424" s="947"/>
      <c r="Q424" s="947"/>
      <c r="R424" s="947"/>
      <c r="W424" s="1147"/>
    </row>
    <row r="425" spans="10:23" s="1141" customFormat="1" ht="14.5" x14ac:dyDescent="0.25">
      <c r="J425" s="947"/>
      <c r="K425" s="947"/>
      <c r="L425" s="947"/>
      <c r="M425" s="947"/>
      <c r="N425" s="1145"/>
      <c r="O425" s="1146"/>
      <c r="P425" s="947"/>
      <c r="Q425" s="947"/>
      <c r="R425" s="947"/>
      <c r="W425" s="1147"/>
    </row>
    <row r="426" spans="10:23" s="1141" customFormat="1" ht="14.5" x14ac:dyDescent="0.25">
      <c r="J426" s="947"/>
      <c r="K426" s="947"/>
      <c r="L426" s="947"/>
      <c r="M426" s="947"/>
      <c r="N426" s="1145"/>
      <c r="O426" s="1146"/>
      <c r="P426" s="947"/>
      <c r="Q426" s="947"/>
      <c r="R426" s="947"/>
      <c r="W426" s="1147"/>
    </row>
    <row r="427" spans="10:23" s="1141" customFormat="1" ht="14.5" x14ac:dyDescent="0.25">
      <c r="J427" s="947"/>
      <c r="K427" s="947"/>
      <c r="L427" s="947"/>
      <c r="M427" s="947"/>
      <c r="N427" s="1145"/>
      <c r="O427" s="1146"/>
      <c r="P427" s="947"/>
      <c r="Q427" s="947"/>
      <c r="R427" s="947"/>
      <c r="W427" s="1147"/>
    </row>
    <row r="428" spans="10:23" s="1141" customFormat="1" ht="14.5" x14ac:dyDescent="0.25">
      <c r="J428" s="947"/>
      <c r="K428" s="947"/>
      <c r="L428" s="947"/>
      <c r="M428" s="947"/>
      <c r="N428" s="1145"/>
      <c r="O428" s="1146"/>
      <c r="P428" s="947"/>
      <c r="Q428" s="947"/>
      <c r="R428" s="947"/>
      <c r="W428" s="1147"/>
    </row>
    <row r="429" spans="10:23" s="1141" customFormat="1" ht="14.5" x14ac:dyDescent="0.25">
      <c r="J429" s="947"/>
      <c r="K429" s="947"/>
      <c r="L429" s="947"/>
      <c r="M429" s="947"/>
      <c r="N429" s="1145"/>
      <c r="O429" s="1146"/>
      <c r="P429" s="947"/>
      <c r="Q429" s="947"/>
      <c r="R429" s="947"/>
      <c r="W429" s="1147"/>
    </row>
    <row r="430" spans="10:23" s="1141" customFormat="1" ht="14.5" x14ac:dyDescent="0.25">
      <c r="J430" s="947"/>
      <c r="K430" s="947"/>
      <c r="L430" s="947"/>
      <c r="M430" s="947"/>
      <c r="N430" s="1145"/>
      <c r="O430" s="1146"/>
      <c r="P430" s="947"/>
      <c r="Q430" s="947"/>
      <c r="R430" s="947"/>
      <c r="W430" s="1147"/>
    </row>
    <row r="431" spans="10:23" s="1141" customFormat="1" ht="14.5" x14ac:dyDescent="0.25">
      <c r="J431" s="947"/>
      <c r="K431" s="947"/>
      <c r="L431" s="947"/>
      <c r="M431" s="947"/>
      <c r="N431" s="1145"/>
      <c r="O431" s="1146"/>
      <c r="P431" s="947"/>
      <c r="Q431" s="947"/>
      <c r="R431" s="947"/>
      <c r="W431" s="1147"/>
    </row>
    <row r="432" spans="10:23" s="1141" customFormat="1" ht="14.5" x14ac:dyDescent="0.25">
      <c r="J432" s="947"/>
      <c r="K432" s="947"/>
      <c r="L432" s="947"/>
      <c r="M432" s="947"/>
      <c r="N432" s="1145"/>
      <c r="O432" s="1146"/>
      <c r="P432" s="947"/>
      <c r="Q432" s="947"/>
      <c r="R432" s="947"/>
      <c r="W432" s="1147"/>
    </row>
    <row r="433" spans="10:23" s="1141" customFormat="1" ht="14.5" x14ac:dyDescent="0.25">
      <c r="J433" s="947"/>
      <c r="K433" s="947"/>
      <c r="L433" s="947"/>
      <c r="M433" s="947"/>
      <c r="N433" s="1145"/>
      <c r="O433" s="1146"/>
      <c r="P433" s="947"/>
      <c r="Q433" s="947"/>
      <c r="R433" s="947"/>
      <c r="W433" s="1147"/>
    </row>
    <row r="434" spans="10:23" s="1141" customFormat="1" ht="14.5" x14ac:dyDescent="0.25">
      <c r="J434" s="947"/>
      <c r="K434" s="947"/>
      <c r="L434" s="947"/>
      <c r="M434" s="947"/>
      <c r="N434" s="1145"/>
      <c r="O434" s="1146"/>
      <c r="P434" s="947"/>
      <c r="Q434" s="947"/>
      <c r="R434" s="947"/>
      <c r="W434" s="1147"/>
    </row>
    <row r="435" spans="10:23" s="1141" customFormat="1" ht="14.5" x14ac:dyDescent="0.25">
      <c r="J435" s="947"/>
      <c r="K435" s="947"/>
      <c r="L435" s="947"/>
      <c r="M435" s="947"/>
      <c r="N435" s="1145"/>
      <c r="O435" s="1146"/>
      <c r="P435" s="947"/>
      <c r="Q435" s="947"/>
      <c r="R435" s="947"/>
      <c r="W435" s="1147"/>
    </row>
    <row r="436" spans="10:23" s="1141" customFormat="1" ht="14.5" x14ac:dyDescent="0.25">
      <c r="J436" s="947"/>
      <c r="K436" s="947"/>
      <c r="L436" s="947"/>
      <c r="M436" s="947"/>
      <c r="N436" s="1145"/>
      <c r="O436" s="1146"/>
      <c r="P436" s="947"/>
      <c r="Q436" s="947"/>
      <c r="R436" s="947"/>
      <c r="W436" s="1147"/>
    </row>
    <row r="437" spans="10:23" s="1141" customFormat="1" ht="14.5" x14ac:dyDescent="0.25">
      <c r="J437" s="947"/>
      <c r="K437" s="947"/>
      <c r="L437" s="947"/>
      <c r="M437" s="947"/>
      <c r="N437" s="1145"/>
      <c r="O437" s="1146"/>
      <c r="P437" s="947"/>
      <c r="Q437" s="947"/>
      <c r="R437" s="947"/>
      <c r="W437" s="1147"/>
    </row>
    <row r="438" spans="10:23" s="1141" customFormat="1" ht="14.5" x14ac:dyDescent="0.25">
      <c r="J438" s="947"/>
      <c r="K438" s="947"/>
      <c r="L438" s="947"/>
      <c r="M438" s="947"/>
      <c r="N438" s="1145"/>
      <c r="O438" s="1146"/>
      <c r="P438" s="947"/>
      <c r="Q438" s="947"/>
      <c r="R438" s="947"/>
      <c r="W438" s="1147"/>
    </row>
    <row r="439" spans="10:23" s="1141" customFormat="1" ht="14.5" x14ac:dyDescent="0.25">
      <c r="J439" s="947"/>
      <c r="K439" s="947"/>
      <c r="L439" s="947"/>
      <c r="M439" s="947"/>
      <c r="N439" s="1145"/>
      <c r="O439" s="1146"/>
      <c r="P439" s="947"/>
      <c r="Q439" s="947"/>
      <c r="R439" s="947"/>
      <c r="W439" s="1147"/>
    </row>
    <row r="440" spans="10:23" s="1141" customFormat="1" ht="14.5" x14ac:dyDescent="0.25">
      <c r="J440" s="947"/>
      <c r="K440" s="947"/>
      <c r="L440" s="947"/>
      <c r="M440" s="947"/>
      <c r="N440" s="1145"/>
      <c r="O440" s="1146"/>
      <c r="P440" s="947"/>
      <c r="Q440" s="947"/>
      <c r="R440" s="947"/>
      <c r="W440" s="1147"/>
    </row>
    <row r="441" spans="10:23" s="1141" customFormat="1" ht="14.5" x14ac:dyDescent="0.25">
      <c r="J441" s="947"/>
      <c r="K441" s="947"/>
      <c r="L441" s="947"/>
      <c r="M441" s="947"/>
      <c r="N441" s="1145"/>
      <c r="O441" s="1146"/>
      <c r="P441" s="947"/>
      <c r="Q441" s="947"/>
      <c r="R441" s="947"/>
      <c r="W441" s="1147"/>
    </row>
    <row r="442" spans="10:23" s="1141" customFormat="1" ht="19.5" customHeight="1" x14ac:dyDescent="0.25">
      <c r="J442" s="947"/>
      <c r="K442" s="947"/>
      <c r="L442" s="947"/>
      <c r="M442" s="947"/>
      <c r="N442" s="1145"/>
      <c r="O442" s="1146"/>
      <c r="P442" s="947"/>
      <c r="Q442" s="947"/>
      <c r="R442" s="947"/>
      <c r="W442" s="1147"/>
    </row>
    <row r="443" spans="10:23" s="1141" customFormat="1" ht="13.4" customHeight="1" x14ac:dyDescent="0.25">
      <c r="J443" s="947"/>
      <c r="K443" s="947"/>
      <c r="L443" s="947"/>
      <c r="M443" s="947"/>
      <c r="N443" s="1145"/>
      <c r="O443" s="1146"/>
      <c r="P443" s="947"/>
      <c r="Q443" s="947"/>
      <c r="R443" s="947"/>
      <c r="W443" s="1147"/>
    </row>
    <row r="444" spans="10:23" s="1141" customFormat="1" ht="20.9" customHeight="1" x14ac:dyDescent="0.25">
      <c r="J444" s="947"/>
      <c r="K444" s="947"/>
      <c r="L444" s="947"/>
      <c r="M444" s="947"/>
      <c r="N444" s="1145"/>
      <c r="O444" s="1146"/>
      <c r="P444" s="947"/>
      <c r="Q444" s="947"/>
      <c r="R444" s="947"/>
      <c r="W444" s="1147"/>
    </row>
    <row r="445" spans="10:23" s="1141" customFormat="1" ht="14.5" x14ac:dyDescent="0.25">
      <c r="J445" s="947"/>
      <c r="K445" s="947"/>
      <c r="L445" s="947"/>
      <c r="M445" s="947"/>
      <c r="N445" s="1145"/>
      <c r="O445" s="1146"/>
      <c r="P445" s="947"/>
      <c r="Q445" s="947"/>
      <c r="R445" s="947"/>
      <c r="W445" s="1147"/>
    </row>
    <row r="446" spans="10:23" s="1141" customFormat="1" ht="14.5" x14ac:dyDescent="0.25">
      <c r="J446" s="947"/>
      <c r="K446" s="947"/>
      <c r="L446" s="947"/>
      <c r="M446" s="947"/>
      <c r="N446" s="1145"/>
      <c r="O446" s="1146"/>
      <c r="P446" s="947"/>
      <c r="Q446" s="947"/>
      <c r="R446" s="947"/>
      <c r="W446" s="1147"/>
    </row>
    <row r="447" spans="10:23" s="1141" customFormat="1" ht="14.5" x14ac:dyDescent="0.25">
      <c r="J447" s="947"/>
      <c r="K447" s="947"/>
      <c r="L447" s="947"/>
      <c r="M447" s="947"/>
      <c r="N447" s="1145"/>
      <c r="O447" s="1146"/>
      <c r="P447" s="947"/>
      <c r="Q447" s="947"/>
      <c r="R447" s="947"/>
      <c r="W447" s="1147"/>
    </row>
    <row r="448" spans="10:23" s="1141" customFormat="1" ht="14.5" x14ac:dyDescent="0.25">
      <c r="J448" s="947"/>
      <c r="K448" s="947"/>
      <c r="L448" s="947"/>
      <c r="M448" s="947"/>
      <c r="N448" s="1145"/>
      <c r="O448" s="1146"/>
      <c r="P448" s="947"/>
      <c r="Q448" s="947"/>
      <c r="R448" s="947"/>
      <c r="W448" s="1147"/>
    </row>
    <row r="449" spans="10:23" s="1141" customFormat="1" ht="14.5" x14ac:dyDescent="0.25">
      <c r="J449" s="947"/>
      <c r="K449" s="947"/>
      <c r="L449" s="947"/>
      <c r="M449" s="947"/>
      <c r="N449" s="1145"/>
      <c r="O449" s="1146"/>
      <c r="P449" s="947"/>
      <c r="Q449" s="947"/>
      <c r="R449" s="947"/>
      <c r="W449" s="1147"/>
    </row>
    <row r="450" spans="10:23" s="1141" customFormat="1" ht="14.5" x14ac:dyDescent="0.25">
      <c r="J450" s="947"/>
      <c r="K450" s="947"/>
      <c r="L450" s="947"/>
      <c r="M450" s="947"/>
      <c r="N450" s="1145"/>
      <c r="O450" s="1146"/>
      <c r="P450" s="947"/>
      <c r="Q450" s="947"/>
      <c r="R450" s="947"/>
      <c r="W450" s="1147"/>
    </row>
    <row r="451" spans="10:23" s="1141" customFormat="1" ht="14.5" x14ac:dyDescent="0.25">
      <c r="J451" s="947"/>
      <c r="K451" s="947"/>
      <c r="L451" s="947"/>
      <c r="M451" s="947"/>
      <c r="N451" s="1145"/>
      <c r="O451" s="1146"/>
      <c r="P451" s="947"/>
      <c r="Q451" s="947"/>
      <c r="R451" s="947"/>
      <c r="W451" s="1147"/>
    </row>
    <row r="452" spans="10:23" s="1141" customFormat="1" ht="14.5" x14ac:dyDescent="0.25">
      <c r="J452" s="947"/>
      <c r="K452" s="947"/>
      <c r="L452" s="947"/>
      <c r="M452" s="947"/>
      <c r="N452" s="1145"/>
      <c r="O452" s="1146"/>
      <c r="P452" s="947"/>
      <c r="Q452" s="947"/>
      <c r="R452" s="947"/>
      <c r="W452" s="1147"/>
    </row>
    <row r="453" spans="10:23" s="1141" customFormat="1" ht="14.5" x14ac:dyDescent="0.25">
      <c r="J453" s="947"/>
      <c r="K453" s="947"/>
      <c r="L453" s="947"/>
      <c r="M453" s="947"/>
      <c r="N453" s="1145"/>
      <c r="O453" s="1146"/>
      <c r="P453" s="947"/>
      <c r="Q453" s="947"/>
      <c r="R453" s="947"/>
      <c r="W453" s="1147"/>
    </row>
    <row r="454" spans="10:23" s="1141" customFormat="1" ht="14.5" x14ac:dyDescent="0.25">
      <c r="J454" s="947"/>
      <c r="K454" s="947"/>
      <c r="L454" s="947"/>
      <c r="M454" s="947"/>
      <c r="N454" s="1145"/>
      <c r="O454" s="1146"/>
      <c r="P454" s="947"/>
      <c r="Q454" s="947"/>
      <c r="R454" s="947"/>
      <c r="W454" s="1147"/>
    </row>
    <row r="455" spans="10:23" s="1141" customFormat="1" ht="14.5" x14ac:dyDescent="0.25">
      <c r="J455" s="947"/>
      <c r="K455" s="947"/>
      <c r="L455" s="947"/>
      <c r="M455" s="947"/>
      <c r="N455" s="1145"/>
      <c r="O455" s="1146"/>
      <c r="P455" s="947"/>
      <c r="Q455" s="947"/>
      <c r="R455" s="947"/>
      <c r="W455" s="1147"/>
    </row>
    <row r="456" spans="10:23" s="1141" customFormat="1" ht="14.5" x14ac:dyDescent="0.25">
      <c r="J456" s="947"/>
      <c r="K456" s="947"/>
      <c r="L456" s="947"/>
      <c r="M456" s="947"/>
      <c r="N456" s="1145"/>
      <c r="O456" s="1146"/>
      <c r="P456" s="947"/>
      <c r="Q456" s="947"/>
      <c r="R456" s="947"/>
      <c r="W456" s="1147"/>
    </row>
    <row r="457" spans="10:23" s="1141" customFormat="1" ht="14.5" x14ac:dyDescent="0.25">
      <c r="J457" s="947"/>
      <c r="K457" s="947"/>
      <c r="L457" s="947"/>
      <c r="M457" s="947"/>
      <c r="N457" s="1145"/>
      <c r="O457" s="1146"/>
      <c r="P457" s="947"/>
      <c r="Q457" s="947"/>
      <c r="R457" s="947"/>
      <c r="W457" s="1147"/>
    </row>
    <row r="458" spans="10:23" s="1141" customFormat="1" ht="14.5" x14ac:dyDescent="0.25">
      <c r="J458" s="947"/>
      <c r="K458" s="947"/>
      <c r="L458" s="947"/>
      <c r="M458" s="947"/>
      <c r="N458" s="1145"/>
      <c r="O458" s="1146"/>
      <c r="P458" s="947"/>
      <c r="Q458" s="947"/>
      <c r="R458" s="947"/>
      <c r="W458" s="1147"/>
    </row>
    <row r="459" spans="10:23" s="1141" customFormat="1" ht="14.5" x14ac:dyDescent="0.25">
      <c r="J459" s="947"/>
      <c r="K459" s="947"/>
      <c r="L459" s="947"/>
      <c r="M459" s="947"/>
      <c r="N459" s="1145"/>
      <c r="O459" s="1146"/>
      <c r="P459" s="947"/>
      <c r="Q459" s="947"/>
      <c r="R459" s="947"/>
      <c r="W459" s="1147"/>
    </row>
    <row r="460" spans="10:23" s="1141" customFormat="1" ht="14.5" x14ac:dyDescent="0.25">
      <c r="J460" s="947"/>
      <c r="K460" s="947"/>
      <c r="L460" s="947"/>
      <c r="M460" s="947"/>
      <c r="N460" s="1145"/>
      <c r="O460" s="1146"/>
      <c r="P460" s="947"/>
      <c r="Q460" s="947"/>
      <c r="R460" s="947"/>
      <c r="W460" s="1147"/>
    </row>
    <row r="461" spans="10:23" s="1141" customFormat="1" ht="14.5" x14ac:dyDescent="0.25">
      <c r="J461" s="947"/>
      <c r="K461" s="947"/>
      <c r="L461" s="947"/>
      <c r="M461" s="947"/>
      <c r="N461" s="1145"/>
      <c r="O461" s="1146"/>
      <c r="P461" s="947"/>
      <c r="Q461" s="947"/>
      <c r="R461" s="947"/>
      <c r="W461" s="1147"/>
    </row>
    <row r="462" spans="10:23" s="1141" customFormat="1" ht="14.5" x14ac:dyDescent="0.25">
      <c r="J462" s="947"/>
      <c r="K462" s="947"/>
      <c r="L462" s="947"/>
      <c r="M462" s="947"/>
      <c r="N462" s="1145"/>
      <c r="O462" s="1146"/>
      <c r="P462" s="947"/>
      <c r="Q462" s="947"/>
      <c r="R462" s="947"/>
      <c r="W462" s="1147"/>
    </row>
    <row r="463" spans="10:23" s="1141" customFormat="1" ht="14.5" x14ac:dyDescent="0.25">
      <c r="J463" s="947"/>
      <c r="K463" s="947"/>
      <c r="L463" s="947"/>
      <c r="M463" s="947"/>
      <c r="N463" s="1145"/>
      <c r="O463" s="1146"/>
      <c r="P463" s="947"/>
      <c r="Q463" s="947"/>
      <c r="R463" s="947"/>
      <c r="W463" s="1147"/>
    </row>
    <row r="464" spans="10:23" s="1141" customFormat="1" ht="14.5" x14ac:dyDescent="0.25">
      <c r="J464" s="947"/>
      <c r="K464" s="947"/>
      <c r="L464" s="947"/>
      <c r="M464" s="947"/>
      <c r="N464" s="1145"/>
      <c r="O464" s="1146"/>
      <c r="P464" s="947"/>
      <c r="Q464" s="947"/>
      <c r="R464" s="947"/>
      <c r="W464" s="1147"/>
    </row>
    <row r="465" spans="10:23" s="1141" customFormat="1" ht="14.5" x14ac:dyDescent="0.25">
      <c r="J465" s="947"/>
      <c r="K465" s="947"/>
      <c r="L465" s="947"/>
      <c r="M465" s="947"/>
      <c r="N465" s="1145"/>
      <c r="O465" s="1146"/>
      <c r="P465" s="947"/>
      <c r="Q465" s="947"/>
      <c r="R465" s="947"/>
      <c r="W465" s="1147"/>
    </row>
    <row r="466" spans="10:23" s="1141" customFormat="1" ht="14.5" x14ac:dyDescent="0.25">
      <c r="J466" s="947"/>
      <c r="K466" s="947"/>
      <c r="L466" s="947"/>
      <c r="M466" s="947"/>
      <c r="N466" s="1145"/>
      <c r="O466" s="1146"/>
      <c r="P466" s="947"/>
      <c r="Q466" s="947"/>
      <c r="R466" s="947"/>
      <c r="W466" s="1147"/>
    </row>
    <row r="467" spans="10:23" s="1141" customFormat="1" ht="14.5" x14ac:dyDescent="0.25">
      <c r="J467" s="947"/>
      <c r="K467" s="947"/>
      <c r="L467" s="947"/>
      <c r="M467" s="947"/>
      <c r="N467" s="1145"/>
      <c r="O467" s="1146"/>
      <c r="P467" s="947"/>
      <c r="Q467" s="947"/>
      <c r="R467" s="947"/>
      <c r="W467" s="1147"/>
    </row>
    <row r="468" spans="10:23" s="1141" customFormat="1" ht="14.5" x14ac:dyDescent="0.25">
      <c r="J468" s="947"/>
      <c r="K468" s="947"/>
      <c r="L468" s="947"/>
      <c r="M468" s="947"/>
      <c r="N468" s="1145"/>
      <c r="O468" s="1146"/>
      <c r="P468" s="947"/>
      <c r="Q468" s="947"/>
      <c r="R468" s="947"/>
      <c r="W468" s="1147"/>
    </row>
    <row r="469" spans="10:23" s="1141" customFormat="1" ht="14.5" x14ac:dyDescent="0.25">
      <c r="J469" s="947"/>
      <c r="K469" s="947"/>
      <c r="L469" s="947"/>
      <c r="M469" s="947"/>
      <c r="N469" s="1145"/>
      <c r="O469" s="1146"/>
      <c r="P469" s="947"/>
      <c r="Q469" s="947"/>
      <c r="R469" s="947"/>
      <c r="W469" s="1147"/>
    </row>
    <row r="470" spans="10:23" s="1141" customFormat="1" ht="14.5" x14ac:dyDescent="0.25">
      <c r="J470" s="947"/>
      <c r="K470" s="947"/>
      <c r="L470" s="947"/>
      <c r="M470" s="947"/>
      <c r="N470" s="1145"/>
      <c r="O470" s="1146"/>
      <c r="P470" s="947"/>
      <c r="Q470" s="947"/>
      <c r="R470" s="947"/>
      <c r="W470" s="1147"/>
    </row>
    <row r="471" spans="10:23" s="1141" customFormat="1" ht="14.5" x14ac:dyDescent="0.25">
      <c r="J471" s="947"/>
      <c r="K471" s="947"/>
      <c r="L471" s="947"/>
      <c r="M471" s="947"/>
      <c r="N471" s="1145"/>
      <c r="O471" s="1146"/>
      <c r="P471" s="947"/>
      <c r="Q471" s="947"/>
      <c r="R471" s="947"/>
      <c r="W471" s="1147"/>
    </row>
    <row r="472" spans="10:23" s="1141" customFormat="1" ht="14.5" x14ac:dyDescent="0.25">
      <c r="J472" s="947"/>
      <c r="K472" s="947"/>
      <c r="L472" s="947"/>
      <c r="M472" s="947"/>
      <c r="N472" s="1145"/>
      <c r="O472" s="1146"/>
      <c r="P472" s="947"/>
      <c r="Q472" s="947"/>
      <c r="R472" s="947"/>
      <c r="W472" s="1147"/>
    </row>
    <row r="473" spans="10:23" s="1141" customFormat="1" ht="14.5" x14ac:dyDescent="0.25">
      <c r="J473" s="947"/>
      <c r="K473" s="947"/>
      <c r="L473" s="947"/>
      <c r="M473" s="947"/>
      <c r="N473" s="1145"/>
      <c r="O473" s="1146"/>
      <c r="P473" s="947"/>
      <c r="Q473" s="947"/>
      <c r="R473" s="947"/>
      <c r="W473" s="1147"/>
    </row>
    <row r="474" spans="10:23" s="1141" customFormat="1" ht="14.5" x14ac:dyDescent="0.25">
      <c r="J474" s="947"/>
      <c r="K474" s="947"/>
      <c r="L474" s="947"/>
      <c r="M474" s="947"/>
      <c r="N474" s="1145"/>
      <c r="O474" s="1146"/>
      <c r="P474" s="947"/>
      <c r="Q474" s="947"/>
      <c r="R474" s="947"/>
      <c r="W474" s="1147"/>
    </row>
    <row r="475" spans="10:23" s="1141" customFormat="1" ht="14.5" x14ac:dyDescent="0.25">
      <c r="J475" s="947"/>
      <c r="K475" s="947"/>
      <c r="L475" s="947"/>
      <c r="M475" s="947"/>
      <c r="N475" s="1145"/>
      <c r="O475" s="1146"/>
      <c r="P475" s="947"/>
      <c r="Q475" s="947"/>
      <c r="R475" s="947"/>
      <c r="W475" s="1147"/>
    </row>
    <row r="476" spans="10:23" s="1141" customFormat="1" ht="14.5" x14ac:dyDescent="0.25">
      <c r="J476" s="947"/>
      <c r="K476" s="947"/>
      <c r="L476" s="947"/>
      <c r="M476" s="947"/>
      <c r="N476" s="1145"/>
      <c r="O476" s="1146"/>
      <c r="P476" s="947"/>
      <c r="Q476" s="947"/>
      <c r="R476" s="947"/>
      <c r="W476" s="1147"/>
    </row>
    <row r="477" spans="10:23" s="1141" customFormat="1" ht="14.5" x14ac:dyDescent="0.25">
      <c r="J477" s="947"/>
      <c r="K477" s="947"/>
      <c r="L477" s="947"/>
      <c r="M477" s="947"/>
      <c r="N477" s="1145"/>
      <c r="O477" s="1146"/>
      <c r="P477" s="947"/>
      <c r="Q477" s="947"/>
      <c r="R477" s="947"/>
      <c r="W477" s="1147"/>
    </row>
    <row r="478" spans="10:23" s="1141" customFormat="1" ht="14.5" x14ac:dyDescent="0.25">
      <c r="J478" s="947"/>
      <c r="K478" s="947"/>
      <c r="L478" s="947"/>
      <c r="M478" s="947"/>
      <c r="N478" s="1145"/>
      <c r="O478" s="1146"/>
      <c r="P478" s="947"/>
      <c r="Q478" s="947"/>
      <c r="R478" s="947"/>
      <c r="W478" s="1147"/>
    </row>
    <row r="479" spans="10:23" s="1141" customFormat="1" ht="14.5" x14ac:dyDescent="0.25">
      <c r="J479" s="947"/>
      <c r="K479" s="947"/>
      <c r="L479" s="947"/>
      <c r="M479" s="947"/>
      <c r="N479" s="1145"/>
      <c r="O479" s="1146"/>
      <c r="P479" s="947"/>
      <c r="Q479" s="947"/>
      <c r="R479" s="947"/>
      <c r="W479" s="1147"/>
    </row>
    <row r="480" spans="10:23" s="1141" customFormat="1" ht="14.5" x14ac:dyDescent="0.25">
      <c r="J480" s="947"/>
      <c r="K480" s="947"/>
      <c r="L480" s="947"/>
      <c r="M480" s="947"/>
      <c r="N480" s="1145"/>
      <c r="O480" s="1146"/>
      <c r="P480" s="947"/>
      <c r="Q480" s="947"/>
      <c r="R480" s="947"/>
      <c r="W480" s="1147"/>
    </row>
    <row r="481" spans="10:23" s="1141" customFormat="1" ht="14.5" x14ac:dyDescent="0.25">
      <c r="J481" s="947"/>
      <c r="K481" s="947"/>
      <c r="L481" s="947"/>
      <c r="M481" s="947"/>
      <c r="N481" s="1145"/>
      <c r="O481" s="1146"/>
      <c r="P481" s="947"/>
      <c r="Q481" s="947"/>
      <c r="R481" s="947"/>
      <c r="W481" s="1147"/>
    </row>
    <row r="482" spans="10:23" s="1141" customFormat="1" ht="14.5" x14ac:dyDescent="0.25">
      <c r="J482" s="947"/>
      <c r="K482" s="947"/>
      <c r="L482" s="947"/>
      <c r="M482" s="947"/>
      <c r="N482" s="1145"/>
      <c r="O482" s="1146"/>
      <c r="P482" s="947"/>
      <c r="Q482" s="947"/>
      <c r="R482" s="947"/>
      <c r="W482" s="1147"/>
    </row>
    <row r="483" spans="10:23" s="1141" customFormat="1" ht="14.5" x14ac:dyDescent="0.25">
      <c r="J483" s="947"/>
      <c r="K483" s="947"/>
      <c r="L483" s="947"/>
      <c r="M483" s="947"/>
      <c r="N483" s="1145"/>
      <c r="O483" s="1146"/>
      <c r="P483" s="947"/>
      <c r="Q483" s="947"/>
      <c r="R483" s="947"/>
      <c r="W483" s="1147"/>
    </row>
    <row r="484" spans="10:23" s="1141" customFormat="1" ht="14.5" x14ac:dyDescent="0.25">
      <c r="J484" s="947"/>
      <c r="K484" s="947"/>
      <c r="L484" s="947"/>
      <c r="M484" s="947"/>
      <c r="N484" s="1145"/>
      <c r="O484" s="1146"/>
      <c r="P484" s="947"/>
      <c r="Q484" s="947"/>
      <c r="R484" s="947"/>
      <c r="W484" s="1147"/>
    </row>
    <row r="485" spans="10:23" s="1141" customFormat="1" ht="14.5" x14ac:dyDescent="0.25">
      <c r="J485" s="947"/>
      <c r="K485" s="947"/>
      <c r="L485" s="947"/>
      <c r="M485" s="947"/>
      <c r="N485" s="1145"/>
      <c r="O485" s="1146"/>
      <c r="P485" s="947"/>
      <c r="Q485" s="947"/>
      <c r="R485" s="947"/>
      <c r="W485" s="1147"/>
    </row>
    <row r="486" spans="10:23" s="1141" customFormat="1" ht="14.5" x14ac:dyDescent="0.25">
      <c r="J486" s="947"/>
      <c r="K486" s="947"/>
      <c r="L486" s="947"/>
      <c r="M486" s="947"/>
      <c r="N486" s="1145"/>
      <c r="O486" s="1146"/>
      <c r="P486" s="947"/>
      <c r="Q486" s="947"/>
      <c r="R486" s="947"/>
      <c r="W486" s="1147"/>
    </row>
    <row r="487" spans="10:23" s="1141" customFormat="1" ht="14.5" x14ac:dyDescent="0.25">
      <c r="J487" s="947"/>
      <c r="K487" s="947"/>
      <c r="L487" s="947"/>
      <c r="M487" s="947"/>
      <c r="N487" s="1145"/>
      <c r="O487" s="1146"/>
      <c r="P487" s="947"/>
      <c r="Q487" s="947"/>
      <c r="R487" s="947"/>
      <c r="W487" s="1147"/>
    </row>
    <row r="488" spans="10:23" s="1141" customFormat="1" ht="14.5" x14ac:dyDescent="0.25">
      <c r="J488" s="947"/>
      <c r="K488" s="947"/>
      <c r="L488" s="947"/>
      <c r="M488" s="947"/>
      <c r="N488" s="1145"/>
      <c r="O488" s="1146"/>
      <c r="P488" s="947"/>
      <c r="Q488" s="947"/>
      <c r="R488" s="947"/>
      <c r="W488" s="1147"/>
    </row>
    <row r="489" spans="10:23" s="1141" customFormat="1" ht="14.5" x14ac:dyDescent="0.25">
      <c r="J489" s="947"/>
      <c r="K489" s="947"/>
      <c r="L489" s="947"/>
      <c r="M489" s="947"/>
      <c r="N489" s="1145"/>
      <c r="O489" s="1146"/>
      <c r="P489" s="947"/>
      <c r="Q489" s="947"/>
      <c r="R489" s="947"/>
      <c r="W489" s="1147"/>
    </row>
    <row r="490" spans="10:23" s="1141" customFormat="1" ht="14.5" x14ac:dyDescent="0.25">
      <c r="J490" s="947"/>
      <c r="K490" s="947"/>
      <c r="L490" s="947"/>
      <c r="M490" s="947"/>
      <c r="N490" s="1145"/>
      <c r="O490" s="1146"/>
      <c r="P490" s="947"/>
      <c r="Q490" s="947"/>
      <c r="R490" s="947"/>
      <c r="W490" s="1147"/>
    </row>
    <row r="491" spans="10:23" s="1141" customFormat="1" ht="14.5" x14ac:dyDescent="0.25">
      <c r="J491" s="947"/>
      <c r="K491" s="947"/>
      <c r="L491" s="947"/>
      <c r="M491" s="947"/>
      <c r="N491" s="1145"/>
      <c r="O491" s="1146"/>
      <c r="P491" s="947"/>
      <c r="Q491" s="947"/>
      <c r="R491" s="947"/>
      <c r="W491" s="1147"/>
    </row>
    <row r="492" spans="10:23" s="1141" customFormat="1" ht="14.5" x14ac:dyDescent="0.25">
      <c r="J492" s="947"/>
      <c r="K492" s="947"/>
      <c r="L492" s="947"/>
      <c r="M492" s="947"/>
      <c r="N492" s="1145"/>
      <c r="O492" s="1146"/>
      <c r="P492" s="947"/>
      <c r="Q492" s="947"/>
      <c r="R492" s="947"/>
      <c r="W492" s="1147"/>
    </row>
    <row r="493" spans="10:23" s="1141" customFormat="1" ht="14.5" x14ac:dyDescent="0.25">
      <c r="J493" s="947"/>
      <c r="K493" s="947"/>
      <c r="L493" s="947"/>
      <c r="M493" s="947"/>
      <c r="N493" s="1145"/>
      <c r="O493" s="1146"/>
      <c r="P493" s="947"/>
      <c r="Q493" s="947"/>
      <c r="R493" s="947"/>
      <c r="W493" s="1147"/>
    </row>
    <row r="494" spans="10:23" s="1141" customFormat="1" ht="14.5" x14ac:dyDescent="0.25">
      <c r="J494" s="947"/>
      <c r="K494" s="947"/>
      <c r="L494" s="947"/>
      <c r="M494" s="947"/>
      <c r="N494" s="1145"/>
      <c r="O494" s="1146"/>
      <c r="P494" s="947"/>
      <c r="Q494" s="947"/>
      <c r="R494" s="947"/>
      <c r="W494" s="1147"/>
    </row>
    <row r="495" spans="10:23" s="1141" customFormat="1" ht="14.5" x14ac:dyDescent="0.25">
      <c r="J495" s="947"/>
      <c r="K495" s="947"/>
      <c r="L495" s="947"/>
      <c r="M495" s="947"/>
      <c r="N495" s="1145"/>
      <c r="O495" s="1146"/>
      <c r="P495" s="947"/>
      <c r="Q495" s="947"/>
      <c r="R495" s="947"/>
      <c r="W495" s="1147"/>
    </row>
    <row r="496" spans="10:23" s="1141" customFormat="1" ht="14.5" x14ac:dyDescent="0.25">
      <c r="J496" s="947"/>
      <c r="K496" s="947"/>
      <c r="L496" s="947"/>
      <c r="M496" s="947"/>
      <c r="N496" s="1145"/>
      <c r="O496" s="1146"/>
      <c r="P496" s="947"/>
      <c r="Q496" s="947"/>
      <c r="R496" s="947"/>
      <c r="W496" s="1147"/>
    </row>
    <row r="497" spans="10:23" s="1141" customFormat="1" ht="14.5" x14ac:dyDescent="0.25">
      <c r="J497" s="947"/>
      <c r="K497" s="947"/>
      <c r="L497" s="947"/>
      <c r="M497" s="947"/>
      <c r="N497" s="1145"/>
      <c r="O497" s="1146"/>
      <c r="P497" s="947"/>
      <c r="Q497" s="947"/>
      <c r="R497" s="947"/>
      <c r="W497" s="1147"/>
    </row>
    <row r="498" spans="10:23" s="1141" customFormat="1" ht="14.5" x14ac:dyDescent="0.25">
      <c r="J498" s="947"/>
      <c r="K498" s="947"/>
      <c r="L498" s="947"/>
      <c r="M498" s="947"/>
      <c r="N498" s="1145"/>
      <c r="O498" s="1146"/>
      <c r="P498" s="947"/>
      <c r="Q498" s="947"/>
      <c r="R498" s="947"/>
      <c r="W498" s="1147"/>
    </row>
    <row r="499" spans="10:23" s="1141" customFormat="1" ht="14.5" x14ac:dyDescent="0.25">
      <c r="J499" s="947"/>
      <c r="K499" s="947"/>
      <c r="L499" s="947"/>
      <c r="M499" s="947"/>
      <c r="N499" s="1145"/>
      <c r="O499" s="1146"/>
      <c r="P499" s="947"/>
      <c r="Q499" s="947"/>
      <c r="R499" s="947"/>
      <c r="W499" s="1147"/>
    </row>
    <row r="500" spans="10:23" s="1141" customFormat="1" ht="14.5" x14ac:dyDescent="0.25">
      <c r="J500" s="947"/>
      <c r="K500" s="947"/>
      <c r="L500" s="947"/>
      <c r="M500" s="947"/>
      <c r="N500" s="1145"/>
      <c r="O500" s="1146"/>
      <c r="P500" s="947"/>
      <c r="Q500" s="947"/>
      <c r="R500" s="947"/>
      <c r="W500" s="1147"/>
    </row>
    <row r="501" spans="10:23" s="1141" customFormat="1" ht="14.5" x14ac:dyDescent="0.25">
      <c r="J501" s="947"/>
      <c r="K501" s="947"/>
      <c r="L501" s="947"/>
      <c r="M501" s="947"/>
      <c r="N501" s="1145"/>
      <c r="O501" s="1146"/>
      <c r="P501" s="947"/>
      <c r="Q501" s="947"/>
      <c r="R501" s="947"/>
      <c r="W501" s="1147"/>
    </row>
    <row r="502" spans="10:23" s="1141" customFormat="1" ht="14.5" x14ac:dyDescent="0.25">
      <c r="J502" s="947"/>
      <c r="K502" s="947"/>
      <c r="L502" s="947"/>
      <c r="M502" s="947"/>
      <c r="N502" s="1145"/>
      <c r="O502" s="1146"/>
      <c r="P502" s="947"/>
      <c r="Q502" s="947"/>
      <c r="R502" s="947"/>
      <c r="W502" s="1147"/>
    </row>
    <row r="503" spans="10:23" s="1141" customFormat="1" ht="14.5" x14ac:dyDescent="0.25">
      <c r="J503" s="947"/>
      <c r="K503" s="947"/>
      <c r="L503" s="947"/>
      <c r="M503" s="947"/>
      <c r="N503" s="1145"/>
      <c r="O503" s="1146"/>
      <c r="P503" s="947"/>
      <c r="Q503" s="947"/>
      <c r="R503" s="947"/>
      <c r="W503" s="1147"/>
    </row>
    <row r="504" spans="10:23" s="1141" customFormat="1" ht="14.5" x14ac:dyDescent="0.25">
      <c r="J504" s="947"/>
      <c r="K504" s="947"/>
      <c r="L504" s="947"/>
      <c r="M504" s="947"/>
      <c r="N504" s="1145"/>
      <c r="O504" s="1146"/>
      <c r="P504" s="947"/>
      <c r="Q504" s="947"/>
      <c r="R504" s="947"/>
      <c r="W504" s="1147"/>
    </row>
    <row r="505" spans="10:23" s="1141" customFormat="1" ht="14.5" x14ac:dyDescent="0.25">
      <c r="J505" s="947"/>
      <c r="K505" s="947"/>
      <c r="L505" s="947"/>
      <c r="M505" s="947"/>
      <c r="N505" s="1145"/>
      <c r="O505" s="1146"/>
      <c r="P505" s="947"/>
      <c r="Q505" s="947"/>
      <c r="R505" s="947"/>
      <c r="W505" s="1147"/>
    </row>
    <row r="506" spans="10:23" s="1141" customFormat="1" ht="14.5" x14ac:dyDescent="0.25">
      <c r="J506" s="947"/>
      <c r="K506" s="947"/>
      <c r="L506" s="947"/>
      <c r="M506" s="947"/>
      <c r="N506" s="1145"/>
      <c r="O506" s="1146"/>
      <c r="P506" s="947"/>
      <c r="Q506" s="947"/>
      <c r="R506" s="947"/>
      <c r="W506" s="1147"/>
    </row>
    <row r="507" spans="10:23" s="1141" customFormat="1" ht="14.5" x14ac:dyDescent="0.25">
      <c r="J507" s="947"/>
      <c r="K507" s="947"/>
      <c r="L507" s="947"/>
      <c r="M507" s="947"/>
      <c r="N507" s="1145"/>
      <c r="O507" s="1146"/>
      <c r="P507" s="947"/>
      <c r="Q507" s="947"/>
      <c r="R507" s="947"/>
      <c r="W507" s="1147"/>
    </row>
    <row r="508" spans="10:23" s="1141" customFormat="1" ht="14.5" x14ac:dyDescent="0.25">
      <c r="J508" s="947"/>
      <c r="K508" s="947"/>
      <c r="L508" s="947"/>
      <c r="M508" s="947"/>
      <c r="N508" s="1145"/>
      <c r="O508" s="1146"/>
      <c r="P508" s="947"/>
      <c r="Q508" s="947"/>
      <c r="R508" s="947"/>
      <c r="W508" s="1147"/>
    </row>
    <row r="509" spans="10:23" s="1141" customFormat="1" ht="14.5" x14ac:dyDescent="0.25">
      <c r="J509" s="947"/>
      <c r="K509" s="947"/>
      <c r="L509" s="947"/>
      <c r="M509" s="947"/>
      <c r="N509" s="1145"/>
      <c r="O509" s="1146"/>
      <c r="P509" s="947"/>
      <c r="Q509" s="947"/>
      <c r="R509" s="947"/>
      <c r="W509" s="1147"/>
    </row>
    <row r="510" spans="10:23" s="1141" customFormat="1" ht="14.5" x14ac:dyDescent="0.25">
      <c r="J510" s="947"/>
      <c r="K510" s="947"/>
      <c r="L510" s="947"/>
      <c r="M510" s="947"/>
      <c r="N510" s="1145"/>
      <c r="O510" s="1146"/>
      <c r="P510" s="947"/>
      <c r="Q510" s="947"/>
      <c r="R510" s="947"/>
      <c r="W510" s="1147"/>
    </row>
    <row r="511" spans="10:23" s="1141" customFormat="1" ht="14.5" x14ac:dyDescent="0.25">
      <c r="J511" s="947"/>
      <c r="K511" s="947"/>
      <c r="L511" s="947"/>
      <c r="M511" s="947"/>
      <c r="N511" s="1145"/>
      <c r="O511" s="1146"/>
      <c r="P511" s="947"/>
      <c r="Q511" s="947"/>
      <c r="R511" s="947"/>
      <c r="W511" s="1147"/>
    </row>
    <row r="512" spans="10:23" s="1141" customFormat="1" ht="14.5" x14ac:dyDescent="0.25">
      <c r="J512" s="947"/>
      <c r="K512" s="947"/>
      <c r="L512" s="947"/>
      <c r="M512" s="947"/>
      <c r="N512" s="1145"/>
      <c r="O512" s="1146"/>
      <c r="P512" s="947"/>
      <c r="Q512" s="947"/>
      <c r="R512" s="947"/>
      <c r="W512" s="1147"/>
    </row>
    <row r="513" spans="10:23" s="1141" customFormat="1" ht="14.5" x14ac:dyDescent="0.25">
      <c r="J513" s="947"/>
      <c r="K513" s="947"/>
      <c r="L513" s="947"/>
      <c r="M513" s="947"/>
      <c r="N513" s="1145"/>
      <c r="O513" s="1146"/>
      <c r="P513" s="947"/>
      <c r="Q513" s="947"/>
      <c r="R513" s="947"/>
      <c r="W513" s="1147"/>
    </row>
    <row r="514" spans="10:23" s="1141" customFormat="1" ht="14.5" x14ac:dyDescent="0.25">
      <c r="J514" s="947"/>
      <c r="K514" s="947"/>
      <c r="L514" s="947"/>
      <c r="M514" s="947"/>
      <c r="N514" s="1145"/>
      <c r="O514" s="1146"/>
      <c r="P514" s="947"/>
      <c r="Q514" s="947"/>
      <c r="R514" s="947"/>
      <c r="W514" s="1147"/>
    </row>
    <row r="515" spans="10:23" s="1141" customFormat="1" ht="14.5" x14ac:dyDescent="0.25">
      <c r="J515" s="947"/>
      <c r="K515" s="947"/>
      <c r="L515" s="947"/>
      <c r="M515" s="947"/>
      <c r="N515" s="1145"/>
      <c r="O515" s="1146"/>
      <c r="P515" s="947"/>
      <c r="Q515" s="947"/>
      <c r="R515" s="947"/>
      <c r="W515" s="1147"/>
    </row>
    <row r="516" spans="10:23" s="1141" customFormat="1" ht="14.5" x14ac:dyDescent="0.25">
      <c r="J516" s="947"/>
      <c r="K516" s="947"/>
      <c r="L516" s="947"/>
      <c r="M516" s="947"/>
      <c r="N516" s="1145"/>
      <c r="O516" s="1146"/>
      <c r="P516" s="947"/>
      <c r="Q516" s="947"/>
      <c r="R516" s="947"/>
      <c r="W516" s="1147"/>
    </row>
    <row r="517" spans="10:23" s="1141" customFormat="1" ht="14.5" x14ac:dyDescent="0.25">
      <c r="J517" s="947"/>
      <c r="K517" s="947"/>
      <c r="L517" s="947"/>
      <c r="M517" s="947"/>
      <c r="N517" s="1145"/>
      <c r="O517" s="1146"/>
      <c r="P517" s="947"/>
      <c r="Q517" s="947"/>
      <c r="R517" s="947"/>
      <c r="W517" s="1147"/>
    </row>
    <row r="518" spans="10:23" s="1141" customFormat="1" ht="14.5" x14ac:dyDescent="0.25">
      <c r="J518" s="947"/>
      <c r="K518" s="947"/>
      <c r="L518" s="947"/>
      <c r="M518" s="947"/>
      <c r="N518" s="1145"/>
      <c r="O518" s="1146"/>
      <c r="P518" s="947"/>
      <c r="Q518" s="947"/>
      <c r="R518" s="947"/>
      <c r="W518" s="1147"/>
    </row>
    <row r="519" spans="10:23" s="1141" customFormat="1" ht="14.5" x14ac:dyDescent="0.25">
      <c r="J519" s="947"/>
      <c r="K519" s="947"/>
      <c r="L519" s="947"/>
      <c r="M519" s="947"/>
      <c r="N519" s="1145"/>
      <c r="O519" s="1146"/>
      <c r="P519" s="947"/>
      <c r="Q519" s="947"/>
      <c r="R519" s="947"/>
      <c r="W519" s="1147"/>
    </row>
    <row r="520" spans="10:23" s="1141" customFormat="1" ht="14.5" x14ac:dyDescent="0.25">
      <c r="J520" s="947"/>
      <c r="K520" s="947"/>
      <c r="L520" s="947"/>
      <c r="M520" s="947"/>
      <c r="N520" s="1145"/>
      <c r="O520" s="1146"/>
      <c r="P520" s="947"/>
      <c r="Q520" s="947"/>
      <c r="R520" s="947"/>
      <c r="W520" s="1147"/>
    </row>
    <row r="521" spans="10:23" s="1141" customFormat="1" ht="14.5" x14ac:dyDescent="0.25">
      <c r="J521" s="947"/>
      <c r="K521" s="947"/>
      <c r="L521" s="947"/>
      <c r="M521" s="947"/>
      <c r="N521" s="1145"/>
      <c r="O521" s="1146"/>
      <c r="P521" s="947"/>
      <c r="Q521" s="947"/>
      <c r="R521" s="947"/>
      <c r="W521" s="1147"/>
    </row>
    <row r="522" spans="10:23" s="1141" customFormat="1" ht="14.5" x14ac:dyDescent="0.25">
      <c r="J522" s="947"/>
      <c r="K522" s="947"/>
      <c r="L522" s="947"/>
      <c r="M522" s="947"/>
      <c r="N522" s="1145"/>
      <c r="O522" s="1146"/>
      <c r="P522" s="947"/>
      <c r="Q522" s="947"/>
      <c r="R522" s="947"/>
      <c r="W522" s="1147"/>
    </row>
    <row r="523" spans="10:23" s="1141" customFormat="1" ht="14.5" x14ac:dyDescent="0.25">
      <c r="J523" s="947"/>
      <c r="K523" s="947"/>
      <c r="L523" s="947"/>
      <c r="M523" s="947"/>
      <c r="N523" s="1145"/>
      <c r="O523" s="1146"/>
      <c r="P523" s="947"/>
      <c r="Q523" s="947"/>
      <c r="R523" s="947"/>
      <c r="W523" s="1147"/>
    </row>
    <row r="524" spans="10:23" s="1141" customFormat="1" ht="14.5" x14ac:dyDescent="0.25">
      <c r="J524" s="947"/>
      <c r="K524" s="947"/>
      <c r="L524" s="947"/>
      <c r="M524" s="947"/>
      <c r="N524" s="1145"/>
      <c r="O524" s="1146"/>
      <c r="P524" s="947"/>
      <c r="Q524" s="947"/>
      <c r="R524" s="947"/>
      <c r="W524" s="1147"/>
    </row>
    <row r="525" spans="10:23" s="1141" customFormat="1" ht="14.5" x14ac:dyDescent="0.25">
      <c r="J525" s="947"/>
      <c r="K525" s="947"/>
      <c r="L525" s="947"/>
      <c r="M525" s="947"/>
      <c r="N525" s="1145"/>
      <c r="O525" s="1146"/>
      <c r="P525" s="947"/>
      <c r="Q525" s="947"/>
      <c r="R525" s="947"/>
      <c r="W525" s="1147"/>
    </row>
    <row r="526" spans="10:23" s="1141" customFormat="1" ht="14.5" x14ac:dyDescent="0.25">
      <c r="J526" s="947"/>
      <c r="K526" s="947"/>
      <c r="L526" s="947"/>
      <c r="M526" s="947"/>
      <c r="N526" s="1145"/>
      <c r="O526" s="1146"/>
      <c r="P526" s="947"/>
      <c r="Q526" s="947"/>
      <c r="R526" s="947"/>
      <c r="W526" s="1147"/>
    </row>
    <row r="527" spans="10:23" s="1141" customFormat="1" ht="14.5" x14ac:dyDescent="0.25">
      <c r="J527" s="947"/>
      <c r="K527" s="947"/>
      <c r="L527" s="947"/>
      <c r="M527" s="947"/>
      <c r="N527" s="1145"/>
      <c r="O527" s="1146"/>
      <c r="P527" s="947"/>
      <c r="Q527" s="947"/>
      <c r="R527" s="947"/>
      <c r="W527" s="1147"/>
    </row>
    <row r="528" spans="10:23" s="1141" customFormat="1" ht="14.5" x14ac:dyDescent="0.25">
      <c r="J528" s="947"/>
      <c r="K528" s="947"/>
      <c r="L528" s="947"/>
      <c r="M528" s="947"/>
      <c r="N528" s="1145"/>
      <c r="O528" s="1146"/>
      <c r="P528" s="947"/>
      <c r="Q528" s="947"/>
      <c r="R528" s="947"/>
      <c r="W528" s="1147"/>
    </row>
    <row r="529" spans="10:23" s="1141" customFormat="1" ht="14.5" x14ac:dyDescent="0.25">
      <c r="J529" s="947"/>
      <c r="K529" s="947"/>
      <c r="L529" s="947"/>
      <c r="M529" s="947"/>
      <c r="N529" s="1145"/>
      <c r="O529" s="1146"/>
      <c r="P529" s="947"/>
      <c r="Q529" s="947"/>
      <c r="R529" s="947"/>
      <c r="W529" s="1147"/>
    </row>
    <row r="530" spans="10:23" s="1141" customFormat="1" ht="14.5" x14ac:dyDescent="0.25">
      <c r="J530" s="947"/>
      <c r="K530" s="947"/>
      <c r="L530" s="947"/>
      <c r="M530" s="947"/>
      <c r="N530" s="1145"/>
      <c r="O530" s="1146"/>
      <c r="P530" s="947"/>
      <c r="Q530" s="947"/>
      <c r="R530" s="947"/>
      <c r="W530" s="1147"/>
    </row>
    <row r="531" spans="10:23" s="1141" customFormat="1" ht="14.5" x14ac:dyDescent="0.25">
      <c r="J531" s="947"/>
      <c r="K531" s="947"/>
      <c r="L531" s="947"/>
      <c r="M531" s="947"/>
      <c r="N531" s="1145"/>
      <c r="O531" s="1146"/>
      <c r="P531" s="947"/>
      <c r="Q531" s="947"/>
      <c r="R531" s="947"/>
      <c r="W531" s="1147"/>
    </row>
    <row r="532" spans="10:23" s="1141" customFormat="1" ht="14.5" x14ac:dyDescent="0.25">
      <c r="J532" s="947"/>
      <c r="K532" s="947"/>
      <c r="L532" s="947"/>
      <c r="M532" s="947"/>
      <c r="N532" s="1145"/>
      <c r="O532" s="1146"/>
      <c r="P532" s="947"/>
      <c r="Q532" s="947"/>
      <c r="R532" s="947"/>
      <c r="W532" s="1147"/>
    </row>
    <row r="533" spans="10:23" s="1141" customFormat="1" ht="14.5" x14ac:dyDescent="0.25">
      <c r="J533" s="947"/>
      <c r="K533" s="947"/>
      <c r="L533" s="947"/>
      <c r="M533" s="947"/>
      <c r="N533" s="1145"/>
      <c r="O533" s="1146"/>
      <c r="P533" s="947"/>
      <c r="Q533" s="947"/>
      <c r="R533" s="947"/>
      <c r="W533" s="1147"/>
    </row>
    <row r="534" spans="10:23" s="1141" customFormat="1" ht="14.5" x14ac:dyDescent="0.25">
      <c r="J534" s="947"/>
      <c r="K534" s="947"/>
      <c r="L534" s="947"/>
      <c r="M534" s="947"/>
      <c r="N534" s="1145"/>
      <c r="O534" s="1146"/>
      <c r="P534" s="947"/>
      <c r="Q534" s="947"/>
      <c r="R534" s="947"/>
      <c r="W534" s="1147"/>
    </row>
    <row r="535" spans="10:23" s="1141" customFormat="1" ht="14.5" x14ac:dyDescent="0.25">
      <c r="J535" s="947"/>
      <c r="K535" s="947"/>
      <c r="L535" s="947"/>
      <c r="M535" s="947"/>
      <c r="N535" s="1145"/>
      <c r="O535" s="1146"/>
      <c r="P535" s="947"/>
      <c r="Q535" s="947"/>
      <c r="R535" s="947"/>
      <c r="W535" s="1147"/>
    </row>
    <row r="536" spans="10:23" s="1141" customFormat="1" ht="14.5" x14ac:dyDescent="0.25">
      <c r="J536" s="947"/>
      <c r="K536" s="947"/>
      <c r="L536" s="947"/>
      <c r="M536" s="947"/>
      <c r="N536" s="1145"/>
      <c r="O536" s="1146"/>
      <c r="P536" s="947"/>
      <c r="Q536" s="947"/>
      <c r="R536" s="947"/>
      <c r="W536" s="1147"/>
    </row>
    <row r="537" spans="10:23" s="1141" customFormat="1" ht="14.5" x14ac:dyDescent="0.25">
      <c r="J537" s="947"/>
      <c r="K537" s="947"/>
      <c r="L537" s="947"/>
      <c r="M537" s="947"/>
      <c r="N537" s="1145"/>
      <c r="O537" s="1146"/>
      <c r="P537" s="947"/>
      <c r="Q537" s="947"/>
      <c r="R537" s="947"/>
      <c r="W537" s="1147"/>
    </row>
    <row r="538" spans="10:23" s="1141" customFormat="1" ht="14.5" x14ac:dyDescent="0.25">
      <c r="J538" s="947"/>
      <c r="K538" s="947"/>
      <c r="L538" s="947"/>
      <c r="M538" s="947"/>
      <c r="N538" s="1145"/>
      <c r="O538" s="1146"/>
      <c r="P538" s="947"/>
      <c r="Q538" s="947"/>
      <c r="R538" s="947"/>
      <c r="W538" s="1147"/>
    </row>
    <row r="539" spans="10:23" s="1141" customFormat="1" ht="14.5" x14ac:dyDescent="0.25">
      <c r="J539" s="947"/>
      <c r="K539" s="947"/>
      <c r="L539" s="947"/>
      <c r="M539" s="947"/>
      <c r="N539" s="1145"/>
      <c r="O539" s="1146"/>
      <c r="P539" s="947"/>
      <c r="Q539" s="947"/>
      <c r="R539" s="947"/>
      <c r="W539" s="1147"/>
    </row>
    <row r="540" spans="10:23" s="1141" customFormat="1" ht="14.5" x14ac:dyDescent="0.25">
      <c r="J540" s="947"/>
      <c r="K540" s="947"/>
      <c r="L540" s="947"/>
      <c r="M540" s="947"/>
      <c r="N540" s="1145"/>
      <c r="O540" s="1146"/>
      <c r="P540" s="947"/>
      <c r="Q540" s="947"/>
      <c r="R540" s="947"/>
      <c r="W540" s="1147"/>
    </row>
    <row r="541" spans="10:23" s="1141" customFormat="1" ht="14.5" x14ac:dyDescent="0.25">
      <c r="J541" s="947"/>
      <c r="K541" s="947"/>
      <c r="L541" s="947"/>
      <c r="M541" s="947"/>
      <c r="N541" s="1145"/>
      <c r="O541" s="1146"/>
      <c r="P541" s="947"/>
      <c r="Q541" s="947"/>
      <c r="R541" s="947"/>
      <c r="W541" s="1147"/>
    </row>
    <row r="542" spans="10:23" s="1141" customFormat="1" ht="14.5" x14ac:dyDescent="0.25">
      <c r="J542" s="947"/>
      <c r="K542" s="947"/>
      <c r="L542" s="947"/>
      <c r="M542" s="947"/>
      <c r="N542" s="1145"/>
      <c r="O542" s="1146"/>
      <c r="P542" s="947"/>
      <c r="Q542" s="947"/>
      <c r="R542" s="947"/>
      <c r="W542" s="1147"/>
    </row>
    <row r="543" spans="10:23" s="1141" customFormat="1" ht="14.5" x14ac:dyDescent="0.25">
      <c r="J543" s="947"/>
      <c r="K543" s="947"/>
      <c r="L543" s="947"/>
      <c r="M543" s="947"/>
      <c r="N543" s="1145"/>
      <c r="O543" s="1146"/>
      <c r="P543" s="947"/>
      <c r="Q543" s="947"/>
      <c r="R543" s="947"/>
      <c r="W543" s="1147"/>
    </row>
    <row r="544" spans="10:23" s="1141" customFormat="1" ht="14.5" x14ac:dyDescent="0.25">
      <c r="J544" s="947"/>
      <c r="K544" s="947"/>
      <c r="L544" s="947"/>
      <c r="M544" s="947"/>
      <c r="N544" s="1145"/>
      <c r="O544" s="1146"/>
      <c r="P544" s="947"/>
      <c r="Q544" s="947"/>
      <c r="R544" s="947"/>
      <c r="W544" s="1147"/>
    </row>
    <row r="545" spans="10:23" s="1141" customFormat="1" ht="14.5" x14ac:dyDescent="0.25">
      <c r="J545" s="947"/>
      <c r="K545" s="947"/>
      <c r="L545" s="947"/>
      <c r="M545" s="947"/>
      <c r="N545" s="1145"/>
      <c r="O545" s="1146"/>
      <c r="P545" s="947"/>
      <c r="Q545" s="947"/>
      <c r="R545" s="947"/>
      <c r="W545" s="1147"/>
    </row>
    <row r="546" spans="10:23" s="1141" customFormat="1" ht="14.5" x14ac:dyDescent="0.25">
      <c r="J546" s="947"/>
      <c r="K546" s="947"/>
      <c r="L546" s="947"/>
      <c r="M546" s="947"/>
      <c r="N546" s="1145"/>
      <c r="O546" s="1146"/>
      <c r="P546" s="947"/>
      <c r="Q546" s="947"/>
      <c r="R546" s="947"/>
      <c r="W546" s="1147"/>
    </row>
    <row r="547" spans="10:23" s="1141" customFormat="1" ht="14.5" x14ac:dyDescent="0.25">
      <c r="J547" s="947"/>
      <c r="K547" s="947"/>
      <c r="L547" s="947"/>
      <c r="M547" s="947"/>
      <c r="N547" s="1145"/>
      <c r="O547" s="1146"/>
      <c r="P547" s="947"/>
      <c r="Q547" s="947"/>
      <c r="R547" s="947"/>
      <c r="W547" s="1147"/>
    </row>
    <row r="548" spans="10:23" s="1141" customFormat="1" ht="14.5" x14ac:dyDescent="0.25">
      <c r="J548" s="947"/>
      <c r="K548" s="947"/>
      <c r="L548" s="947"/>
      <c r="M548" s="947"/>
      <c r="N548" s="1145"/>
      <c r="O548" s="1146"/>
      <c r="P548" s="947"/>
      <c r="Q548" s="947"/>
      <c r="R548" s="947"/>
      <c r="W548" s="1147"/>
    </row>
    <row r="549" spans="10:23" s="1141" customFormat="1" ht="14.5" x14ac:dyDescent="0.25">
      <c r="J549" s="947"/>
      <c r="K549" s="947"/>
      <c r="L549" s="947"/>
      <c r="M549" s="947"/>
      <c r="N549" s="1145"/>
      <c r="O549" s="1146"/>
      <c r="P549" s="947"/>
      <c r="Q549" s="947"/>
      <c r="R549" s="947"/>
      <c r="W549" s="1147"/>
    </row>
    <row r="550" spans="10:23" s="1141" customFormat="1" ht="14.5" x14ac:dyDescent="0.25">
      <c r="J550" s="947"/>
      <c r="K550" s="947"/>
      <c r="L550" s="947"/>
      <c r="M550" s="947"/>
      <c r="N550" s="1145"/>
      <c r="O550" s="1146"/>
      <c r="P550" s="947"/>
      <c r="Q550" s="947"/>
      <c r="R550" s="947"/>
      <c r="W550" s="1147"/>
    </row>
    <row r="551" spans="10:23" s="1141" customFormat="1" ht="14.5" x14ac:dyDescent="0.25">
      <c r="J551" s="947"/>
      <c r="K551" s="947"/>
      <c r="L551" s="947"/>
      <c r="M551" s="947"/>
      <c r="N551" s="1145"/>
      <c r="O551" s="1146"/>
      <c r="P551" s="947"/>
      <c r="Q551" s="947"/>
      <c r="R551" s="947"/>
      <c r="W551" s="1147"/>
    </row>
    <row r="552" spans="10:23" s="1141" customFormat="1" ht="14.5" x14ac:dyDescent="0.25">
      <c r="J552" s="947"/>
      <c r="K552" s="947"/>
      <c r="L552" s="947"/>
      <c r="M552" s="947"/>
      <c r="N552" s="1145"/>
      <c r="O552" s="1146"/>
      <c r="P552" s="947"/>
      <c r="Q552" s="947"/>
      <c r="R552" s="947"/>
      <c r="W552" s="1147"/>
    </row>
    <row r="553" spans="10:23" s="1141" customFormat="1" ht="14.5" x14ac:dyDescent="0.25">
      <c r="J553" s="947"/>
      <c r="K553" s="947"/>
      <c r="L553" s="947"/>
      <c r="M553" s="947"/>
      <c r="N553" s="1145"/>
      <c r="O553" s="1146"/>
      <c r="P553" s="947"/>
      <c r="Q553" s="947"/>
      <c r="R553" s="947"/>
      <c r="W553" s="1147"/>
    </row>
    <row r="554" spans="10:23" s="1141" customFormat="1" ht="14.5" x14ac:dyDescent="0.25">
      <c r="J554" s="947"/>
      <c r="K554" s="947"/>
      <c r="L554" s="947"/>
      <c r="M554" s="947"/>
      <c r="N554" s="1145"/>
      <c r="O554" s="1146"/>
      <c r="P554" s="947"/>
      <c r="Q554" s="947"/>
      <c r="R554" s="947"/>
      <c r="W554" s="1147"/>
    </row>
    <row r="555" spans="10:23" s="1141" customFormat="1" ht="14.5" x14ac:dyDescent="0.25">
      <c r="J555" s="947"/>
      <c r="K555" s="947"/>
      <c r="L555" s="947"/>
      <c r="M555" s="947"/>
      <c r="N555" s="1145"/>
      <c r="O555" s="1146"/>
      <c r="P555" s="947"/>
      <c r="Q555" s="947"/>
      <c r="R555" s="947"/>
      <c r="W555" s="1147"/>
    </row>
    <row r="556" spans="10:23" s="1141" customFormat="1" ht="14.5" x14ac:dyDescent="0.25">
      <c r="J556" s="947"/>
      <c r="K556" s="947"/>
      <c r="L556" s="947"/>
      <c r="M556" s="947"/>
      <c r="N556" s="1145"/>
      <c r="O556" s="1146"/>
      <c r="P556" s="947"/>
      <c r="Q556" s="947"/>
      <c r="R556" s="947"/>
      <c r="W556" s="1147"/>
    </row>
    <row r="557" spans="10:23" s="1141" customFormat="1" ht="14.5" x14ac:dyDescent="0.25">
      <c r="J557" s="947"/>
      <c r="K557" s="947"/>
      <c r="L557" s="947"/>
      <c r="M557" s="947"/>
      <c r="N557" s="1145"/>
      <c r="O557" s="1146"/>
      <c r="P557" s="947"/>
      <c r="Q557" s="947"/>
      <c r="R557" s="947"/>
      <c r="W557" s="1147"/>
    </row>
    <row r="558" spans="10:23" s="1141" customFormat="1" ht="14.5" x14ac:dyDescent="0.25">
      <c r="J558" s="947"/>
      <c r="K558" s="947"/>
      <c r="L558" s="947"/>
      <c r="M558" s="947"/>
      <c r="N558" s="1145"/>
      <c r="O558" s="1146"/>
      <c r="P558" s="947"/>
      <c r="Q558" s="947"/>
      <c r="R558" s="947"/>
      <c r="W558" s="1147"/>
    </row>
    <row r="559" spans="10:23" s="1141" customFormat="1" ht="14.5" x14ac:dyDescent="0.25">
      <c r="J559" s="947"/>
      <c r="K559" s="947"/>
      <c r="L559" s="947"/>
      <c r="M559" s="947"/>
      <c r="N559" s="1145"/>
      <c r="O559" s="1146"/>
      <c r="P559" s="947"/>
      <c r="Q559" s="947"/>
      <c r="R559" s="947"/>
      <c r="W559" s="1147"/>
    </row>
    <row r="560" spans="10:23" s="1141" customFormat="1" ht="14.5" x14ac:dyDescent="0.25">
      <c r="J560" s="947"/>
      <c r="K560" s="947"/>
      <c r="L560" s="947"/>
      <c r="M560" s="947"/>
      <c r="N560" s="1145"/>
      <c r="O560" s="1146"/>
      <c r="P560" s="947"/>
      <c r="Q560" s="947"/>
      <c r="R560" s="947"/>
      <c r="W560" s="1147"/>
    </row>
    <row r="561" spans="10:23" s="1141" customFormat="1" ht="14.5" x14ac:dyDescent="0.25">
      <c r="J561" s="947"/>
      <c r="K561" s="947"/>
      <c r="L561" s="947"/>
      <c r="M561" s="947"/>
      <c r="N561" s="1145"/>
      <c r="O561" s="1146"/>
      <c r="P561" s="947"/>
      <c r="Q561" s="947"/>
      <c r="R561" s="947"/>
      <c r="W561" s="1147"/>
    </row>
    <row r="562" spans="10:23" s="1141" customFormat="1" ht="14.5" x14ac:dyDescent="0.25">
      <c r="J562" s="947"/>
      <c r="K562" s="947"/>
      <c r="L562" s="947"/>
      <c r="M562" s="947"/>
      <c r="N562" s="1145"/>
      <c r="O562" s="1146"/>
      <c r="P562" s="947"/>
      <c r="Q562" s="947"/>
      <c r="R562" s="947"/>
      <c r="W562" s="1147"/>
    </row>
    <row r="563" spans="10:23" s="1141" customFormat="1" ht="14.5" x14ac:dyDescent="0.25">
      <c r="J563" s="947"/>
      <c r="K563" s="947"/>
      <c r="L563" s="947"/>
      <c r="M563" s="947"/>
      <c r="N563" s="1145"/>
      <c r="O563" s="1146"/>
      <c r="P563" s="947"/>
      <c r="Q563" s="947"/>
      <c r="R563" s="947"/>
      <c r="W563" s="1147"/>
    </row>
    <row r="564" spans="10:23" s="1141" customFormat="1" ht="14.5" x14ac:dyDescent="0.25">
      <c r="J564" s="947"/>
      <c r="K564" s="947"/>
      <c r="L564" s="947"/>
      <c r="M564" s="947"/>
      <c r="N564" s="1145"/>
      <c r="O564" s="1146"/>
      <c r="P564" s="947"/>
      <c r="Q564" s="947"/>
      <c r="R564" s="947"/>
      <c r="W564" s="1147"/>
    </row>
    <row r="565" spans="10:23" s="1141" customFormat="1" ht="14.5" x14ac:dyDescent="0.25">
      <c r="J565" s="947"/>
      <c r="K565" s="947"/>
      <c r="L565" s="947"/>
      <c r="M565" s="947"/>
      <c r="N565" s="1145"/>
      <c r="O565" s="1146"/>
      <c r="P565" s="947"/>
      <c r="Q565" s="947"/>
      <c r="R565" s="947"/>
      <c r="W565" s="1147"/>
    </row>
    <row r="566" spans="10:23" s="1141" customFormat="1" ht="14.5" x14ac:dyDescent="0.25">
      <c r="J566" s="947"/>
      <c r="K566" s="947"/>
      <c r="L566" s="947"/>
      <c r="M566" s="947"/>
      <c r="N566" s="1145"/>
      <c r="O566" s="1146"/>
      <c r="P566" s="947"/>
      <c r="Q566" s="947"/>
      <c r="R566" s="947"/>
      <c r="W566" s="1147"/>
    </row>
    <row r="567" spans="10:23" s="1141" customFormat="1" ht="14.5" x14ac:dyDescent="0.25">
      <c r="J567" s="947"/>
      <c r="K567" s="947"/>
      <c r="L567" s="947"/>
      <c r="M567" s="947"/>
      <c r="N567" s="1145"/>
      <c r="O567" s="1146"/>
      <c r="P567" s="947"/>
      <c r="Q567" s="947"/>
      <c r="R567" s="947"/>
      <c r="W567" s="1147"/>
    </row>
    <row r="568" spans="10:23" s="1141" customFormat="1" ht="14.5" x14ac:dyDescent="0.25">
      <c r="J568" s="947"/>
      <c r="K568" s="947"/>
      <c r="L568" s="947"/>
      <c r="M568" s="947"/>
      <c r="N568" s="1145"/>
      <c r="O568" s="1146"/>
      <c r="P568" s="947"/>
      <c r="Q568" s="947"/>
      <c r="R568" s="947"/>
      <c r="W568" s="1147"/>
    </row>
    <row r="569" spans="10:23" s="1141" customFormat="1" ht="14.5" x14ac:dyDescent="0.25">
      <c r="J569" s="947"/>
      <c r="K569" s="947"/>
      <c r="L569" s="947"/>
      <c r="M569" s="947"/>
      <c r="N569" s="1145"/>
      <c r="O569" s="1146"/>
      <c r="P569" s="947"/>
      <c r="Q569" s="947"/>
      <c r="R569" s="947"/>
      <c r="W569" s="1147"/>
    </row>
    <row r="570" spans="10:23" s="1141" customFormat="1" ht="14.5" x14ac:dyDescent="0.25">
      <c r="J570" s="947"/>
      <c r="K570" s="947"/>
      <c r="L570" s="947"/>
      <c r="M570" s="947"/>
      <c r="N570" s="1145"/>
      <c r="O570" s="1146"/>
      <c r="P570" s="947"/>
      <c r="Q570" s="947"/>
      <c r="R570" s="947"/>
      <c r="W570" s="1147"/>
    </row>
    <row r="571" spans="10:23" s="1141" customFormat="1" ht="14.5" x14ac:dyDescent="0.25">
      <c r="J571" s="947"/>
      <c r="K571" s="947"/>
      <c r="L571" s="947"/>
      <c r="M571" s="947"/>
      <c r="N571" s="1145"/>
      <c r="O571" s="1146"/>
      <c r="P571" s="947"/>
      <c r="Q571" s="947"/>
      <c r="R571" s="947"/>
      <c r="W571" s="1147"/>
    </row>
    <row r="572" spans="10:23" s="1141" customFormat="1" ht="14.5" x14ac:dyDescent="0.25">
      <c r="J572" s="947"/>
      <c r="K572" s="947"/>
      <c r="L572" s="947"/>
      <c r="M572" s="947"/>
      <c r="N572" s="1145"/>
      <c r="O572" s="1146"/>
      <c r="P572" s="947"/>
      <c r="Q572" s="947"/>
      <c r="R572" s="947"/>
      <c r="W572" s="1147"/>
    </row>
    <row r="573" spans="10:23" s="1141" customFormat="1" ht="14.5" x14ac:dyDescent="0.25">
      <c r="J573" s="947"/>
      <c r="K573" s="947"/>
      <c r="L573" s="947"/>
      <c r="M573" s="947"/>
      <c r="N573" s="1145"/>
      <c r="O573" s="1146"/>
      <c r="P573" s="947"/>
      <c r="Q573" s="947"/>
      <c r="R573" s="947"/>
      <c r="W573" s="1147"/>
    </row>
    <row r="574" spans="10:23" s="1141" customFormat="1" ht="14.5" x14ac:dyDescent="0.25">
      <c r="J574" s="947"/>
      <c r="K574" s="947"/>
      <c r="L574" s="947"/>
      <c r="M574" s="947"/>
      <c r="N574" s="1145"/>
      <c r="O574" s="1146"/>
      <c r="P574" s="947"/>
      <c r="Q574" s="947"/>
      <c r="R574" s="947"/>
      <c r="W574" s="1147"/>
    </row>
    <row r="575" spans="10:23" s="1141" customFormat="1" ht="14.5" x14ac:dyDescent="0.25">
      <c r="J575" s="947"/>
      <c r="K575" s="947"/>
      <c r="L575" s="947"/>
      <c r="M575" s="947"/>
      <c r="N575" s="1145"/>
      <c r="O575" s="1146"/>
      <c r="P575" s="947"/>
      <c r="Q575" s="947"/>
      <c r="R575" s="947"/>
      <c r="W575" s="1147"/>
    </row>
    <row r="576" spans="10:23" s="1141" customFormat="1" ht="14.5" x14ac:dyDescent="0.25">
      <c r="J576" s="947"/>
      <c r="K576" s="947"/>
      <c r="L576" s="947"/>
      <c r="M576" s="947"/>
      <c r="N576" s="1145"/>
      <c r="O576" s="1146"/>
      <c r="P576" s="947"/>
      <c r="Q576" s="947"/>
      <c r="R576" s="947"/>
      <c r="W576" s="1147"/>
    </row>
    <row r="577" spans="10:23" s="1141" customFormat="1" ht="14.5" x14ac:dyDescent="0.25">
      <c r="J577" s="947"/>
      <c r="K577" s="947"/>
      <c r="L577" s="947"/>
      <c r="M577" s="947"/>
      <c r="N577" s="1145"/>
      <c r="O577" s="1146"/>
      <c r="P577" s="947"/>
      <c r="Q577" s="947"/>
      <c r="R577" s="947"/>
      <c r="W577" s="1147"/>
    </row>
    <row r="578" spans="10:23" s="1141" customFormat="1" ht="14.5" x14ac:dyDescent="0.25">
      <c r="J578" s="947"/>
      <c r="K578" s="947"/>
      <c r="L578" s="947"/>
      <c r="M578" s="947"/>
      <c r="N578" s="1145"/>
      <c r="O578" s="1146"/>
      <c r="P578" s="947"/>
      <c r="Q578" s="947"/>
      <c r="R578" s="947"/>
      <c r="W578" s="1147"/>
    </row>
    <row r="579" spans="10:23" s="1141" customFormat="1" ht="14.5" x14ac:dyDescent="0.25">
      <c r="J579" s="947"/>
      <c r="K579" s="947"/>
      <c r="L579" s="947"/>
      <c r="M579" s="947"/>
      <c r="N579" s="1145"/>
      <c r="O579" s="1146"/>
      <c r="P579" s="947"/>
      <c r="Q579" s="947"/>
      <c r="R579" s="947"/>
      <c r="W579" s="1147"/>
    </row>
    <row r="580" spans="10:23" s="1141" customFormat="1" ht="14.5" x14ac:dyDescent="0.25">
      <c r="J580" s="947"/>
      <c r="K580" s="947"/>
      <c r="L580" s="947"/>
      <c r="M580" s="947"/>
      <c r="N580" s="1145"/>
      <c r="O580" s="1146"/>
      <c r="P580" s="947"/>
      <c r="Q580" s="947"/>
      <c r="R580" s="947"/>
      <c r="W580" s="1147"/>
    </row>
    <row r="581" spans="10:23" s="1141" customFormat="1" ht="14.5" x14ac:dyDescent="0.25">
      <c r="J581" s="947"/>
      <c r="K581" s="947"/>
      <c r="L581" s="947"/>
      <c r="M581" s="947"/>
      <c r="N581" s="1145"/>
      <c r="O581" s="1146"/>
      <c r="P581" s="947"/>
      <c r="Q581" s="947"/>
      <c r="R581" s="947"/>
      <c r="W581" s="1147"/>
    </row>
    <row r="582" spans="10:23" s="1141" customFormat="1" ht="14.5" x14ac:dyDescent="0.25">
      <c r="J582" s="947"/>
      <c r="K582" s="947"/>
      <c r="L582" s="947"/>
      <c r="M582" s="947"/>
      <c r="N582" s="1145"/>
      <c r="O582" s="1146"/>
      <c r="P582" s="947"/>
      <c r="Q582" s="947"/>
      <c r="R582" s="947"/>
      <c r="W582" s="1147"/>
    </row>
    <row r="583" spans="10:23" s="1141" customFormat="1" ht="14.5" x14ac:dyDescent="0.25">
      <c r="J583" s="947"/>
      <c r="K583" s="947"/>
      <c r="L583" s="947"/>
      <c r="M583" s="947"/>
      <c r="N583" s="1145"/>
      <c r="O583" s="1146"/>
      <c r="P583" s="947"/>
      <c r="Q583" s="947"/>
      <c r="R583" s="947"/>
      <c r="W583" s="1147"/>
    </row>
    <row r="584" spans="10:23" s="1141" customFormat="1" ht="14.5" x14ac:dyDescent="0.25">
      <c r="J584" s="947"/>
      <c r="K584" s="947"/>
      <c r="L584" s="947"/>
      <c r="M584" s="947"/>
      <c r="N584" s="1145"/>
      <c r="O584" s="1146"/>
      <c r="P584" s="947"/>
      <c r="Q584" s="947"/>
      <c r="R584" s="947"/>
      <c r="W584" s="1147"/>
    </row>
    <row r="585" spans="10:23" s="1141" customFormat="1" ht="14.5" x14ac:dyDescent="0.25">
      <c r="J585" s="947"/>
      <c r="K585" s="947"/>
      <c r="L585" s="947"/>
      <c r="M585" s="947"/>
      <c r="N585" s="1145"/>
      <c r="O585" s="1146"/>
      <c r="P585" s="947"/>
      <c r="Q585" s="947"/>
      <c r="R585" s="947"/>
      <c r="W585" s="1147"/>
    </row>
    <row r="586" spans="10:23" s="1141" customFormat="1" ht="14.5" x14ac:dyDescent="0.25">
      <c r="J586" s="947"/>
      <c r="K586" s="947"/>
      <c r="L586" s="947"/>
      <c r="M586" s="947"/>
      <c r="N586" s="1145"/>
      <c r="O586" s="1146"/>
      <c r="P586" s="947"/>
      <c r="Q586" s="947"/>
      <c r="R586" s="947"/>
      <c r="W586" s="1147"/>
    </row>
    <row r="587" spans="10:23" s="1141" customFormat="1" ht="14.5" x14ac:dyDescent="0.25">
      <c r="J587" s="947"/>
      <c r="K587" s="947"/>
      <c r="L587" s="947"/>
      <c r="M587" s="947"/>
      <c r="N587" s="1145"/>
      <c r="O587" s="1146"/>
      <c r="P587" s="947"/>
      <c r="Q587" s="947"/>
      <c r="R587" s="947"/>
      <c r="W587" s="1147"/>
    </row>
    <row r="588" spans="10:23" s="1141" customFormat="1" ht="14.5" x14ac:dyDescent="0.25">
      <c r="J588" s="947"/>
      <c r="K588" s="947"/>
      <c r="L588" s="947"/>
      <c r="M588" s="947"/>
      <c r="N588" s="1145"/>
      <c r="O588" s="1146"/>
      <c r="P588" s="947"/>
      <c r="Q588" s="947"/>
      <c r="R588" s="947"/>
      <c r="W588" s="1147"/>
    </row>
    <row r="589" spans="10:23" s="1141" customFormat="1" ht="14.5" x14ac:dyDescent="0.25">
      <c r="J589" s="947"/>
      <c r="K589" s="947"/>
      <c r="L589" s="947"/>
      <c r="M589" s="947"/>
      <c r="N589" s="1145"/>
      <c r="O589" s="1146"/>
      <c r="P589" s="947"/>
      <c r="Q589" s="947"/>
      <c r="R589" s="947"/>
      <c r="W589" s="1147"/>
    </row>
    <row r="590" spans="10:23" s="1141" customFormat="1" ht="14.5" x14ac:dyDescent="0.25">
      <c r="J590" s="947"/>
      <c r="K590" s="947"/>
      <c r="L590" s="947"/>
      <c r="M590" s="947"/>
      <c r="N590" s="1145"/>
      <c r="O590" s="1146"/>
      <c r="P590" s="947"/>
      <c r="Q590" s="947"/>
      <c r="R590" s="947"/>
      <c r="W590" s="1147"/>
    </row>
    <row r="591" spans="10:23" s="1141" customFormat="1" ht="14.5" x14ac:dyDescent="0.25">
      <c r="J591" s="947"/>
      <c r="K591" s="947"/>
      <c r="L591" s="947"/>
      <c r="M591" s="947"/>
      <c r="N591" s="1145"/>
      <c r="O591" s="1146"/>
      <c r="P591" s="947"/>
      <c r="Q591" s="947"/>
      <c r="R591" s="947"/>
      <c r="W591" s="1147"/>
    </row>
    <row r="592" spans="10:23" s="1141" customFormat="1" ht="14.5" x14ac:dyDescent="0.25">
      <c r="J592" s="947"/>
      <c r="K592" s="947"/>
      <c r="L592" s="947"/>
      <c r="M592" s="947"/>
      <c r="N592" s="1145"/>
      <c r="O592" s="1146"/>
      <c r="P592" s="947"/>
      <c r="Q592" s="947"/>
      <c r="R592" s="947"/>
      <c r="W592" s="1147"/>
    </row>
    <row r="593" spans="10:23" s="1141" customFormat="1" ht="14.5" x14ac:dyDescent="0.25">
      <c r="J593" s="947"/>
      <c r="K593" s="947"/>
      <c r="L593" s="947"/>
      <c r="M593" s="947"/>
      <c r="N593" s="1145"/>
      <c r="O593" s="1146"/>
      <c r="P593" s="947"/>
      <c r="Q593" s="947"/>
      <c r="R593" s="947"/>
      <c r="W593" s="1147"/>
    </row>
    <row r="594" spans="10:23" s="1141" customFormat="1" ht="14.5" x14ac:dyDescent="0.25">
      <c r="J594" s="947"/>
      <c r="K594" s="947"/>
      <c r="L594" s="947"/>
      <c r="M594" s="947"/>
      <c r="N594" s="1145"/>
      <c r="O594" s="1146"/>
      <c r="P594" s="947"/>
      <c r="Q594" s="947"/>
      <c r="R594" s="947"/>
      <c r="W594" s="1147"/>
    </row>
    <row r="595" spans="10:23" s="1141" customFormat="1" ht="14.5" x14ac:dyDescent="0.25">
      <c r="J595" s="947"/>
      <c r="K595" s="947"/>
      <c r="L595" s="947"/>
      <c r="M595" s="947"/>
      <c r="N595" s="1145"/>
      <c r="O595" s="1146"/>
      <c r="P595" s="947"/>
      <c r="Q595" s="947"/>
      <c r="R595" s="947"/>
      <c r="W595" s="1147"/>
    </row>
    <row r="596" spans="10:23" s="1141" customFormat="1" ht="14.5" x14ac:dyDescent="0.25">
      <c r="J596" s="947"/>
      <c r="K596" s="947"/>
      <c r="L596" s="947"/>
      <c r="M596" s="947"/>
      <c r="N596" s="1145"/>
      <c r="O596" s="1146"/>
      <c r="P596" s="947"/>
      <c r="Q596" s="947"/>
      <c r="R596" s="947"/>
      <c r="W596" s="1147"/>
    </row>
    <row r="597" spans="10:23" s="1141" customFormat="1" ht="14.5" x14ac:dyDescent="0.25">
      <c r="J597" s="947"/>
      <c r="K597" s="947"/>
      <c r="L597" s="947"/>
      <c r="M597" s="947"/>
      <c r="N597" s="1145"/>
      <c r="O597" s="1146"/>
      <c r="P597" s="947"/>
      <c r="Q597" s="947"/>
      <c r="R597" s="947"/>
      <c r="W597" s="1147"/>
    </row>
    <row r="598" spans="10:23" s="1141" customFormat="1" ht="14.5" x14ac:dyDescent="0.25">
      <c r="J598" s="947"/>
      <c r="K598" s="947"/>
      <c r="L598" s="947"/>
      <c r="M598" s="947"/>
      <c r="N598" s="1145"/>
      <c r="O598" s="1146"/>
      <c r="P598" s="947"/>
      <c r="Q598" s="947"/>
      <c r="R598" s="947"/>
      <c r="W598" s="1147"/>
    </row>
    <row r="599" spans="10:23" s="1141" customFormat="1" ht="14.5" x14ac:dyDescent="0.25">
      <c r="J599" s="947"/>
      <c r="K599" s="947"/>
      <c r="L599" s="947"/>
      <c r="M599" s="947"/>
      <c r="N599" s="1145"/>
      <c r="O599" s="1146"/>
      <c r="P599" s="947"/>
      <c r="Q599" s="947"/>
      <c r="R599" s="947"/>
      <c r="W599" s="1147"/>
    </row>
    <row r="600" spans="10:23" s="1141" customFormat="1" ht="14.5" x14ac:dyDescent="0.25">
      <c r="J600" s="947"/>
      <c r="K600" s="947"/>
      <c r="L600" s="947"/>
      <c r="M600" s="947"/>
      <c r="N600" s="1145"/>
      <c r="O600" s="1146"/>
      <c r="P600" s="947"/>
      <c r="Q600" s="947"/>
      <c r="R600" s="947"/>
      <c r="W600" s="1147"/>
    </row>
    <row r="601" spans="10:23" s="1141" customFormat="1" ht="14.5" x14ac:dyDescent="0.25">
      <c r="J601" s="947"/>
      <c r="K601" s="947"/>
      <c r="L601" s="947"/>
      <c r="M601" s="947"/>
      <c r="N601" s="1145"/>
      <c r="O601" s="1146"/>
      <c r="P601" s="947"/>
      <c r="Q601" s="947"/>
      <c r="R601" s="947"/>
      <c r="W601" s="1147"/>
    </row>
    <row r="602" spans="10:23" s="1141" customFormat="1" ht="14.5" x14ac:dyDescent="0.25">
      <c r="J602" s="947"/>
      <c r="K602" s="947"/>
      <c r="L602" s="947"/>
      <c r="M602" s="947"/>
      <c r="N602" s="1145"/>
      <c r="O602" s="1146"/>
      <c r="P602" s="947"/>
      <c r="Q602" s="947"/>
      <c r="R602" s="947"/>
      <c r="W602" s="1147"/>
    </row>
    <row r="603" spans="10:23" s="1141" customFormat="1" ht="14.5" x14ac:dyDescent="0.25">
      <c r="J603" s="947"/>
      <c r="K603" s="947"/>
      <c r="L603" s="947"/>
      <c r="M603" s="947"/>
      <c r="N603" s="1145"/>
      <c r="O603" s="1146"/>
      <c r="P603" s="947"/>
      <c r="Q603" s="947"/>
      <c r="R603" s="947"/>
      <c r="W603" s="1147"/>
    </row>
    <row r="604" spans="10:23" s="1141" customFormat="1" ht="14.5" x14ac:dyDescent="0.25">
      <c r="J604" s="947"/>
      <c r="K604" s="947"/>
      <c r="L604" s="947"/>
      <c r="M604" s="947"/>
      <c r="N604" s="1145"/>
      <c r="O604" s="1146"/>
      <c r="P604" s="947"/>
      <c r="Q604" s="947"/>
      <c r="R604" s="947"/>
      <c r="W604" s="1147"/>
    </row>
    <row r="605" spans="10:23" s="1141" customFormat="1" ht="14.5" x14ac:dyDescent="0.25">
      <c r="J605" s="947"/>
      <c r="K605" s="947"/>
      <c r="L605" s="947"/>
      <c r="M605" s="947"/>
      <c r="N605" s="1145"/>
      <c r="O605" s="1146"/>
      <c r="P605" s="947"/>
      <c r="Q605" s="947"/>
      <c r="R605" s="947"/>
      <c r="W605" s="1147"/>
    </row>
    <row r="606" spans="10:23" s="1141" customFormat="1" ht="14.5" x14ac:dyDescent="0.25">
      <c r="J606" s="947"/>
      <c r="K606" s="947"/>
      <c r="L606" s="947"/>
      <c r="M606" s="947"/>
      <c r="N606" s="1145"/>
      <c r="O606" s="1146"/>
      <c r="P606" s="947"/>
      <c r="Q606" s="947"/>
      <c r="R606" s="947"/>
      <c r="W606" s="1147"/>
    </row>
    <row r="607" spans="10:23" s="1141" customFormat="1" ht="14.5" x14ac:dyDescent="0.25">
      <c r="J607" s="947"/>
      <c r="K607" s="947"/>
      <c r="L607" s="947"/>
      <c r="M607" s="947"/>
      <c r="N607" s="1145"/>
      <c r="O607" s="1146"/>
      <c r="P607" s="947"/>
      <c r="Q607" s="947"/>
      <c r="R607" s="947"/>
      <c r="W607" s="1147"/>
    </row>
    <row r="608" spans="10:23" s="1141" customFormat="1" ht="14.5" x14ac:dyDescent="0.25">
      <c r="J608" s="947"/>
      <c r="K608" s="947"/>
      <c r="L608" s="947"/>
      <c r="M608" s="947"/>
      <c r="N608" s="1145"/>
      <c r="O608" s="1146"/>
      <c r="P608" s="947"/>
      <c r="Q608" s="947"/>
      <c r="R608" s="947"/>
      <c r="W608" s="1147"/>
    </row>
    <row r="609" spans="10:23" s="1141" customFormat="1" ht="14.5" x14ac:dyDescent="0.25">
      <c r="J609" s="947"/>
      <c r="K609" s="947"/>
      <c r="L609" s="947"/>
      <c r="M609" s="947"/>
      <c r="N609" s="1145"/>
      <c r="O609" s="1146"/>
      <c r="P609" s="947"/>
      <c r="Q609" s="947"/>
      <c r="R609" s="947"/>
      <c r="W609" s="1147"/>
    </row>
    <row r="610" spans="10:23" s="1141" customFormat="1" ht="14.5" x14ac:dyDescent="0.25">
      <c r="J610" s="947"/>
      <c r="K610" s="947"/>
      <c r="L610" s="947"/>
      <c r="M610" s="947"/>
      <c r="N610" s="1145"/>
      <c r="O610" s="1146"/>
      <c r="P610" s="947"/>
      <c r="Q610" s="947"/>
      <c r="R610" s="947"/>
      <c r="W610" s="1147"/>
    </row>
    <row r="611" spans="10:23" s="1141" customFormat="1" ht="14.5" x14ac:dyDescent="0.25">
      <c r="J611" s="947"/>
      <c r="K611" s="947"/>
      <c r="L611" s="947"/>
      <c r="M611" s="947"/>
      <c r="N611" s="1145"/>
      <c r="O611" s="1146"/>
      <c r="P611" s="947"/>
      <c r="Q611" s="947"/>
      <c r="R611" s="947"/>
      <c r="W611" s="1147"/>
    </row>
    <row r="612" spans="10:23" s="1141" customFormat="1" ht="14.5" x14ac:dyDescent="0.25">
      <c r="J612" s="947"/>
      <c r="K612" s="947"/>
      <c r="L612" s="947"/>
      <c r="M612" s="947"/>
      <c r="N612" s="1145"/>
      <c r="O612" s="1146"/>
      <c r="P612" s="947"/>
      <c r="Q612" s="947"/>
      <c r="R612" s="947"/>
      <c r="W612" s="1147"/>
    </row>
    <row r="613" spans="10:23" s="1141" customFormat="1" ht="14.5" x14ac:dyDescent="0.25">
      <c r="J613" s="947"/>
      <c r="K613" s="947"/>
      <c r="L613" s="947"/>
      <c r="M613" s="947"/>
      <c r="N613" s="1145"/>
      <c r="O613" s="1146"/>
      <c r="P613" s="947"/>
      <c r="Q613" s="947"/>
      <c r="R613" s="947"/>
      <c r="W613" s="1147"/>
    </row>
    <row r="614" spans="10:23" s="1141" customFormat="1" ht="14.5" x14ac:dyDescent="0.25">
      <c r="J614" s="947"/>
      <c r="K614" s="947"/>
      <c r="L614" s="947"/>
      <c r="M614" s="947"/>
      <c r="N614" s="1145"/>
      <c r="O614" s="1146"/>
      <c r="P614" s="947"/>
      <c r="Q614" s="947"/>
      <c r="R614" s="947"/>
      <c r="W614" s="1147"/>
    </row>
    <row r="615" spans="10:23" s="1141" customFormat="1" ht="14.5" x14ac:dyDescent="0.25">
      <c r="J615" s="947"/>
      <c r="K615" s="947"/>
      <c r="L615" s="947"/>
      <c r="M615" s="947"/>
      <c r="N615" s="1145"/>
      <c r="O615" s="1146"/>
      <c r="P615" s="947"/>
      <c r="Q615" s="947"/>
      <c r="R615" s="947"/>
      <c r="W615" s="1147"/>
    </row>
    <row r="616" spans="10:23" s="1141" customFormat="1" ht="14.5" x14ac:dyDescent="0.25">
      <c r="J616" s="947"/>
      <c r="K616" s="947"/>
      <c r="L616" s="947"/>
      <c r="M616" s="947"/>
      <c r="N616" s="1145"/>
      <c r="O616" s="1146"/>
      <c r="P616" s="947"/>
      <c r="Q616" s="947"/>
      <c r="R616" s="947"/>
      <c r="W616" s="1147"/>
    </row>
    <row r="617" spans="10:23" s="1141" customFormat="1" ht="14.5" x14ac:dyDescent="0.25">
      <c r="J617" s="947"/>
      <c r="K617" s="947"/>
      <c r="L617" s="947"/>
      <c r="M617" s="947"/>
      <c r="N617" s="1145"/>
      <c r="O617" s="1146"/>
      <c r="P617" s="947"/>
      <c r="Q617" s="947"/>
      <c r="R617" s="947"/>
      <c r="W617" s="1147"/>
    </row>
    <row r="618" spans="10:23" s="1141" customFormat="1" ht="14.5" x14ac:dyDescent="0.25">
      <c r="J618" s="947"/>
      <c r="K618" s="947"/>
      <c r="L618" s="947"/>
      <c r="M618" s="947"/>
      <c r="N618" s="1145"/>
      <c r="O618" s="1146"/>
      <c r="P618" s="947"/>
      <c r="Q618" s="947"/>
      <c r="R618" s="947"/>
      <c r="W618" s="1147"/>
    </row>
    <row r="619" spans="10:23" s="1141" customFormat="1" ht="14.5" x14ac:dyDescent="0.25">
      <c r="J619" s="947"/>
      <c r="K619" s="947"/>
      <c r="L619" s="947"/>
      <c r="M619" s="947"/>
      <c r="N619" s="1145"/>
      <c r="O619" s="1146"/>
      <c r="P619" s="947"/>
      <c r="Q619" s="947"/>
      <c r="R619" s="947"/>
      <c r="W619" s="1147"/>
    </row>
    <row r="620" spans="10:23" s="1141" customFormat="1" ht="14.5" x14ac:dyDescent="0.25">
      <c r="J620" s="947"/>
      <c r="K620" s="947"/>
      <c r="L620" s="947"/>
      <c r="M620" s="947"/>
      <c r="N620" s="1145"/>
      <c r="O620" s="1146"/>
      <c r="P620" s="947"/>
      <c r="Q620" s="947"/>
      <c r="R620" s="947"/>
      <c r="W620" s="1147"/>
    </row>
    <row r="621" spans="10:23" s="1141" customFormat="1" ht="14.5" x14ac:dyDescent="0.25">
      <c r="J621" s="947"/>
      <c r="K621" s="947"/>
      <c r="L621" s="947"/>
      <c r="M621" s="947"/>
      <c r="N621" s="1145"/>
      <c r="O621" s="1146"/>
      <c r="P621" s="947"/>
      <c r="Q621" s="947"/>
      <c r="R621" s="947"/>
      <c r="W621" s="1147"/>
    </row>
    <row r="622" spans="10:23" s="1141" customFormat="1" ht="14.5" x14ac:dyDescent="0.25">
      <c r="J622" s="947"/>
      <c r="K622" s="947"/>
      <c r="L622" s="947"/>
      <c r="M622" s="947"/>
      <c r="N622" s="1145"/>
      <c r="O622" s="1146"/>
      <c r="P622" s="947"/>
      <c r="Q622" s="947"/>
      <c r="R622" s="947"/>
      <c r="W622" s="1147"/>
    </row>
    <row r="623" spans="10:23" s="1141" customFormat="1" ht="14.5" x14ac:dyDescent="0.25">
      <c r="J623" s="947"/>
      <c r="K623" s="947"/>
      <c r="L623" s="947"/>
      <c r="M623" s="947"/>
      <c r="N623" s="1145"/>
      <c r="O623" s="1146"/>
      <c r="P623" s="947"/>
      <c r="Q623" s="947"/>
      <c r="R623" s="947"/>
      <c r="W623" s="1147"/>
    </row>
    <row r="624" spans="10:23" s="1141" customFormat="1" ht="14.5" x14ac:dyDescent="0.25">
      <c r="J624" s="947"/>
      <c r="K624" s="947"/>
      <c r="L624" s="947"/>
      <c r="M624" s="947"/>
      <c r="N624" s="1145"/>
      <c r="O624" s="1146"/>
      <c r="P624" s="947"/>
      <c r="Q624" s="947"/>
      <c r="R624" s="947"/>
      <c r="W624" s="1147"/>
    </row>
    <row r="625" spans="10:23" s="1141" customFormat="1" ht="14.5" x14ac:dyDescent="0.25">
      <c r="J625" s="947"/>
      <c r="K625" s="947"/>
      <c r="L625" s="947"/>
      <c r="M625" s="947"/>
      <c r="N625" s="1145"/>
      <c r="O625" s="1146"/>
      <c r="P625" s="947"/>
      <c r="Q625" s="947"/>
      <c r="R625" s="947"/>
      <c r="W625" s="1147"/>
    </row>
    <row r="626" spans="10:23" s="1141" customFormat="1" ht="14.5" x14ac:dyDescent="0.25">
      <c r="J626" s="947"/>
      <c r="K626" s="947"/>
      <c r="L626" s="947"/>
      <c r="M626" s="947"/>
      <c r="N626" s="1145"/>
      <c r="O626" s="1146"/>
      <c r="P626" s="947"/>
      <c r="Q626" s="947"/>
      <c r="R626" s="947"/>
      <c r="W626" s="1147"/>
    </row>
    <row r="627" spans="10:23" s="1141" customFormat="1" ht="14.5" x14ac:dyDescent="0.25">
      <c r="J627" s="947"/>
      <c r="K627" s="947"/>
      <c r="L627" s="947"/>
      <c r="M627" s="947"/>
      <c r="N627" s="1145"/>
      <c r="O627" s="1146"/>
      <c r="P627" s="947"/>
      <c r="Q627" s="947"/>
      <c r="R627" s="947"/>
      <c r="W627" s="1147"/>
    </row>
    <row r="628" spans="10:23" s="1141" customFormat="1" ht="14.5" x14ac:dyDescent="0.25">
      <c r="J628" s="947"/>
      <c r="K628" s="947"/>
      <c r="L628" s="947"/>
      <c r="M628" s="947"/>
      <c r="N628" s="1145"/>
      <c r="O628" s="1146"/>
      <c r="P628" s="947"/>
      <c r="Q628" s="947"/>
      <c r="R628" s="947"/>
      <c r="W628" s="1147"/>
    </row>
    <row r="629" spans="10:23" s="1141" customFormat="1" ht="14.5" x14ac:dyDescent="0.25">
      <c r="J629" s="947"/>
      <c r="K629" s="947"/>
      <c r="L629" s="947"/>
      <c r="M629" s="947"/>
      <c r="N629" s="1145"/>
      <c r="O629" s="1146"/>
      <c r="P629" s="947"/>
      <c r="Q629" s="947"/>
      <c r="R629" s="947"/>
      <c r="W629" s="1147"/>
    </row>
    <row r="630" spans="10:23" s="1141" customFormat="1" ht="14.5" x14ac:dyDescent="0.25">
      <c r="J630" s="947"/>
      <c r="K630" s="947"/>
      <c r="L630" s="947"/>
      <c r="M630" s="947"/>
      <c r="N630" s="1145"/>
      <c r="O630" s="1146"/>
      <c r="P630" s="947"/>
      <c r="Q630" s="947"/>
      <c r="R630" s="947"/>
      <c r="W630" s="1147"/>
    </row>
    <row r="631" spans="10:23" s="1141" customFormat="1" ht="14.5" x14ac:dyDescent="0.25">
      <c r="J631" s="947"/>
      <c r="K631" s="947"/>
      <c r="L631" s="947"/>
      <c r="M631" s="947"/>
      <c r="N631" s="1145"/>
      <c r="O631" s="1146"/>
      <c r="P631" s="947"/>
      <c r="Q631" s="947"/>
      <c r="R631" s="947"/>
      <c r="W631" s="1147"/>
    </row>
    <row r="632" spans="10:23" s="1141" customFormat="1" ht="14.5" x14ac:dyDescent="0.25">
      <c r="J632" s="947"/>
      <c r="K632" s="947"/>
      <c r="L632" s="947"/>
      <c r="M632" s="947"/>
      <c r="N632" s="1145"/>
      <c r="O632" s="1146"/>
      <c r="P632" s="947"/>
      <c r="Q632" s="947"/>
      <c r="R632" s="947"/>
      <c r="W632" s="1147"/>
    </row>
    <row r="633" spans="10:23" s="1141" customFormat="1" ht="14.5" x14ac:dyDescent="0.25">
      <c r="J633" s="947"/>
      <c r="K633" s="947"/>
      <c r="L633" s="947"/>
      <c r="M633" s="947"/>
      <c r="N633" s="1145"/>
      <c r="O633" s="1146"/>
      <c r="P633" s="947"/>
      <c r="Q633" s="947"/>
      <c r="R633" s="947"/>
      <c r="W633" s="1147"/>
    </row>
    <row r="634" spans="10:23" s="1141" customFormat="1" ht="14.5" x14ac:dyDescent="0.25">
      <c r="J634" s="947"/>
      <c r="K634" s="947"/>
      <c r="L634" s="947"/>
      <c r="M634" s="947"/>
      <c r="N634" s="1145"/>
      <c r="O634" s="1146"/>
      <c r="P634" s="947"/>
      <c r="Q634" s="947"/>
      <c r="R634" s="947"/>
      <c r="W634" s="1147"/>
    </row>
    <row r="635" spans="10:23" s="1141" customFormat="1" ht="14.5" x14ac:dyDescent="0.25">
      <c r="J635" s="947"/>
      <c r="K635" s="947"/>
      <c r="L635" s="947"/>
      <c r="M635" s="947"/>
      <c r="N635" s="1145"/>
      <c r="O635" s="1146"/>
      <c r="P635" s="947"/>
      <c r="Q635" s="947"/>
      <c r="R635" s="947"/>
      <c r="W635" s="1147"/>
    </row>
    <row r="636" spans="10:23" s="1141" customFormat="1" ht="14.5" x14ac:dyDescent="0.25">
      <c r="J636" s="947"/>
      <c r="K636" s="947"/>
      <c r="L636" s="947"/>
      <c r="M636" s="947"/>
      <c r="N636" s="1145"/>
      <c r="O636" s="1146"/>
      <c r="P636" s="947"/>
      <c r="Q636" s="947"/>
      <c r="R636" s="947"/>
      <c r="W636" s="1147"/>
    </row>
    <row r="637" spans="10:23" s="1141" customFormat="1" ht="14.5" x14ac:dyDescent="0.25">
      <c r="J637" s="947"/>
      <c r="K637" s="947"/>
      <c r="L637" s="947"/>
      <c r="M637" s="947"/>
      <c r="N637" s="1145"/>
      <c r="O637" s="1146"/>
      <c r="P637" s="947"/>
      <c r="Q637" s="947"/>
      <c r="R637" s="947"/>
      <c r="W637" s="1147"/>
    </row>
    <row r="638" spans="10:23" s="1141" customFormat="1" ht="14.5" x14ac:dyDescent="0.25">
      <c r="J638" s="947"/>
      <c r="K638" s="947"/>
      <c r="L638" s="947"/>
      <c r="M638" s="947"/>
      <c r="N638" s="1145"/>
      <c r="O638" s="1146"/>
      <c r="P638" s="947"/>
      <c r="Q638" s="947"/>
      <c r="R638" s="947"/>
      <c r="W638" s="1147"/>
    </row>
    <row r="639" spans="10:23" s="1141" customFormat="1" ht="14.5" x14ac:dyDescent="0.25">
      <c r="J639" s="947"/>
      <c r="K639" s="947"/>
      <c r="L639" s="947"/>
      <c r="M639" s="947"/>
      <c r="N639" s="1145"/>
      <c r="O639" s="1146"/>
      <c r="P639" s="947"/>
      <c r="Q639" s="947"/>
      <c r="R639" s="947"/>
      <c r="W639" s="1147"/>
    </row>
    <row r="640" spans="10:23" s="1141" customFormat="1" ht="14.5" x14ac:dyDescent="0.25">
      <c r="J640" s="947"/>
      <c r="K640" s="947"/>
      <c r="L640" s="947"/>
      <c r="M640" s="947"/>
      <c r="N640" s="1145"/>
      <c r="O640" s="1146"/>
      <c r="P640" s="947"/>
      <c r="Q640" s="947"/>
      <c r="R640" s="947"/>
      <c r="W640" s="1147"/>
    </row>
    <row r="641" spans="10:23" s="1141" customFormat="1" ht="14.5" x14ac:dyDescent="0.25">
      <c r="J641" s="947"/>
      <c r="K641" s="947"/>
      <c r="L641" s="947"/>
      <c r="M641" s="947"/>
      <c r="N641" s="1145"/>
      <c r="O641" s="1146"/>
      <c r="P641" s="947"/>
      <c r="Q641" s="947"/>
      <c r="R641" s="947"/>
      <c r="W641" s="1147"/>
    </row>
    <row r="642" spans="10:23" s="1141" customFormat="1" ht="14.5" x14ac:dyDescent="0.25">
      <c r="J642" s="947"/>
      <c r="K642" s="947"/>
      <c r="L642" s="947"/>
      <c r="M642" s="947"/>
      <c r="N642" s="1145"/>
      <c r="O642" s="1146"/>
      <c r="P642" s="947"/>
      <c r="Q642" s="947"/>
      <c r="R642" s="947"/>
      <c r="W642" s="1147"/>
    </row>
    <row r="643" spans="10:23" s="1141" customFormat="1" ht="14.5" x14ac:dyDescent="0.25">
      <c r="J643" s="947"/>
      <c r="K643" s="947"/>
      <c r="L643" s="947"/>
      <c r="M643" s="947"/>
      <c r="N643" s="1145"/>
      <c r="O643" s="1146"/>
      <c r="P643" s="947"/>
      <c r="Q643" s="947"/>
      <c r="R643" s="947"/>
      <c r="W643" s="1147"/>
    </row>
    <row r="644" spans="10:23" s="1141" customFormat="1" ht="14.5" x14ac:dyDescent="0.25">
      <c r="J644" s="947"/>
      <c r="K644" s="947"/>
      <c r="L644" s="947"/>
      <c r="M644" s="947"/>
      <c r="N644" s="1145"/>
      <c r="O644" s="1146"/>
      <c r="P644" s="947"/>
      <c r="Q644" s="947"/>
      <c r="R644" s="947"/>
      <c r="W644" s="1147"/>
    </row>
    <row r="645" spans="10:23" s="1141" customFormat="1" ht="14.5" x14ac:dyDescent="0.25">
      <c r="J645" s="947"/>
      <c r="K645" s="947"/>
      <c r="L645" s="947"/>
      <c r="M645" s="947"/>
      <c r="N645" s="1145"/>
      <c r="O645" s="1146"/>
      <c r="P645" s="947"/>
      <c r="Q645" s="947"/>
      <c r="R645" s="947"/>
      <c r="W645" s="1147"/>
    </row>
    <row r="646" spans="10:23" s="1141" customFormat="1" ht="14.5" x14ac:dyDescent="0.25">
      <c r="J646" s="947"/>
      <c r="K646" s="947"/>
      <c r="L646" s="947"/>
      <c r="M646" s="947"/>
      <c r="N646" s="1145"/>
      <c r="O646" s="1146"/>
      <c r="P646" s="947"/>
      <c r="Q646" s="947"/>
      <c r="R646" s="947"/>
      <c r="W646" s="1147"/>
    </row>
    <row r="647" spans="10:23" s="1141" customFormat="1" ht="14.5" x14ac:dyDescent="0.25">
      <c r="J647" s="947"/>
      <c r="K647" s="947"/>
      <c r="L647" s="947"/>
      <c r="M647" s="947"/>
      <c r="N647" s="1145"/>
      <c r="O647" s="1146"/>
      <c r="P647" s="947"/>
      <c r="Q647" s="947"/>
      <c r="R647" s="947"/>
      <c r="W647" s="1147"/>
    </row>
    <row r="648" spans="10:23" s="1141" customFormat="1" ht="14.5" x14ac:dyDescent="0.25">
      <c r="J648" s="947"/>
      <c r="K648" s="947"/>
      <c r="L648" s="947"/>
      <c r="M648" s="947"/>
      <c r="N648" s="1145"/>
      <c r="O648" s="1146"/>
      <c r="P648" s="947"/>
      <c r="Q648" s="947"/>
      <c r="R648" s="947"/>
      <c r="W648" s="1147"/>
    </row>
    <row r="649" spans="10:23" s="1141" customFormat="1" ht="14.5" x14ac:dyDescent="0.25">
      <c r="J649" s="947"/>
      <c r="K649" s="947"/>
      <c r="L649" s="947"/>
      <c r="M649" s="947"/>
      <c r="N649" s="1145"/>
      <c r="O649" s="1146"/>
      <c r="P649" s="947"/>
      <c r="Q649" s="947"/>
      <c r="R649" s="947"/>
      <c r="W649" s="1147"/>
    </row>
    <row r="650" spans="10:23" s="1141" customFormat="1" ht="14.5" x14ac:dyDescent="0.25">
      <c r="J650" s="947"/>
      <c r="K650" s="947"/>
      <c r="L650" s="947"/>
      <c r="M650" s="947"/>
      <c r="N650" s="1145"/>
      <c r="O650" s="1146"/>
      <c r="P650" s="947"/>
      <c r="Q650" s="947"/>
      <c r="R650" s="947"/>
      <c r="W650" s="1147"/>
    </row>
    <row r="651" spans="10:23" s="1141" customFormat="1" ht="14.5" x14ac:dyDescent="0.25">
      <c r="J651" s="947"/>
      <c r="K651" s="947"/>
      <c r="L651" s="947"/>
      <c r="M651" s="947"/>
      <c r="N651" s="1145"/>
      <c r="O651" s="1146"/>
      <c r="P651" s="947"/>
      <c r="Q651" s="947"/>
      <c r="R651" s="947"/>
      <c r="W651" s="1147"/>
    </row>
    <row r="652" spans="10:23" s="1141" customFormat="1" ht="14.5" x14ac:dyDescent="0.25">
      <c r="J652" s="947"/>
      <c r="K652" s="947"/>
      <c r="L652" s="947"/>
      <c r="M652" s="947"/>
      <c r="N652" s="1145"/>
      <c r="O652" s="1146"/>
      <c r="P652" s="947"/>
      <c r="Q652" s="947"/>
      <c r="R652" s="947"/>
      <c r="W652" s="1147"/>
    </row>
    <row r="653" spans="10:23" s="1141" customFormat="1" ht="14.5" x14ac:dyDescent="0.25">
      <c r="J653" s="947"/>
      <c r="K653" s="947"/>
      <c r="L653" s="947"/>
      <c r="M653" s="947"/>
      <c r="N653" s="1145"/>
      <c r="O653" s="1146"/>
      <c r="P653" s="947"/>
      <c r="Q653" s="947"/>
      <c r="R653" s="947"/>
      <c r="W653" s="1147"/>
    </row>
    <row r="654" spans="10:23" s="1141" customFormat="1" ht="14.5" x14ac:dyDescent="0.25">
      <c r="J654" s="947"/>
      <c r="K654" s="947"/>
      <c r="L654" s="947"/>
      <c r="M654" s="947"/>
      <c r="N654" s="1145"/>
      <c r="O654" s="1146"/>
      <c r="P654" s="947"/>
      <c r="Q654" s="947"/>
      <c r="R654" s="947"/>
      <c r="W654" s="1147"/>
    </row>
    <row r="655" spans="10:23" s="1141" customFormat="1" ht="14.5" x14ac:dyDescent="0.25">
      <c r="J655" s="947"/>
      <c r="K655" s="947"/>
      <c r="L655" s="947"/>
      <c r="M655" s="947"/>
      <c r="N655" s="1145"/>
      <c r="O655" s="1146"/>
      <c r="P655" s="947"/>
      <c r="Q655" s="947"/>
      <c r="R655" s="947"/>
      <c r="W655" s="1147"/>
    </row>
    <row r="656" spans="10:23" s="1141" customFormat="1" ht="14.5" x14ac:dyDescent="0.25">
      <c r="J656" s="947"/>
      <c r="K656" s="947"/>
      <c r="L656" s="947"/>
      <c r="M656" s="947"/>
      <c r="N656" s="1145"/>
      <c r="O656" s="1146"/>
      <c r="P656" s="947"/>
      <c r="Q656" s="947"/>
      <c r="R656" s="947"/>
      <c r="W656" s="1147"/>
    </row>
    <row r="657" spans="1:101" s="1141" customFormat="1" ht="14.5" x14ac:dyDescent="0.25">
      <c r="J657" s="947"/>
      <c r="K657" s="947"/>
      <c r="L657" s="947"/>
      <c r="M657" s="947"/>
      <c r="N657" s="1145"/>
      <c r="O657" s="1146"/>
      <c r="P657" s="947"/>
      <c r="Q657" s="947"/>
      <c r="R657" s="947"/>
      <c r="W657" s="1147"/>
    </row>
    <row r="658" spans="1:101" s="1141" customFormat="1" ht="14.5" x14ac:dyDescent="0.25">
      <c r="J658" s="947"/>
      <c r="K658" s="947"/>
      <c r="L658" s="947"/>
      <c r="M658" s="947"/>
      <c r="N658" s="1145"/>
      <c r="O658" s="1146"/>
      <c r="P658" s="947"/>
      <c r="Q658" s="947"/>
      <c r="R658" s="947"/>
      <c r="W658" s="1147"/>
    </row>
    <row r="659" spans="1:101" s="1141" customFormat="1" ht="14.5" x14ac:dyDescent="0.25">
      <c r="J659" s="947"/>
      <c r="K659" s="947"/>
      <c r="L659" s="947"/>
      <c r="M659" s="947"/>
      <c r="N659" s="1145"/>
      <c r="O659" s="1146"/>
      <c r="P659" s="947"/>
      <c r="Q659" s="947"/>
      <c r="R659" s="947"/>
      <c r="W659" s="1147"/>
    </row>
    <row r="660" spans="1:101" s="1141" customFormat="1" ht="14.5" x14ac:dyDescent="0.25">
      <c r="J660" s="947"/>
      <c r="K660" s="947"/>
      <c r="L660" s="947"/>
      <c r="M660" s="947"/>
      <c r="N660" s="1145"/>
      <c r="O660" s="1146"/>
      <c r="P660" s="947"/>
      <c r="Q660" s="947"/>
      <c r="R660" s="947"/>
      <c r="W660" s="1147"/>
    </row>
    <row r="661" spans="1:101" s="1141" customFormat="1" ht="14.5" x14ac:dyDescent="0.25">
      <c r="J661" s="947"/>
      <c r="K661" s="947"/>
      <c r="L661" s="947"/>
      <c r="M661" s="947"/>
      <c r="N661" s="1145"/>
      <c r="O661" s="1146"/>
      <c r="P661" s="947"/>
      <c r="Q661" s="947"/>
      <c r="R661" s="947"/>
      <c r="W661" s="1147"/>
    </row>
    <row r="662" spans="1:101" s="1141" customFormat="1" ht="14.5" x14ac:dyDescent="0.25">
      <c r="J662" s="947"/>
      <c r="K662" s="947"/>
      <c r="L662" s="947"/>
      <c r="M662" s="947"/>
      <c r="N662" s="1145"/>
      <c r="O662" s="1146"/>
      <c r="P662" s="947"/>
      <c r="Q662" s="947"/>
      <c r="R662" s="947"/>
      <c r="W662" s="1147"/>
    </row>
    <row r="663" spans="1:101" s="1141" customFormat="1" ht="14.5" x14ac:dyDescent="0.25">
      <c r="J663" s="947"/>
      <c r="K663" s="947"/>
      <c r="L663" s="947"/>
      <c r="M663" s="947"/>
      <c r="N663" s="1145"/>
      <c r="O663" s="1146"/>
      <c r="P663" s="947"/>
      <c r="Q663" s="947"/>
      <c r="R663" s="947"/>
      <c r="W663" s="1147"/>
    </row>
    <row r="664" spans="1:101" s="1141" customFormat="1" ht="14.5" x14ac:dyDescent="0.25">
      <c r="J664" s="947"/>
      <c r="K664" s="947"/>
      <c r="L664" s="947"/>
      <c r="M664" s="947"/>
      <c r="N664" s="1145"/>
      <c r="O664" s="1146"/>
      <c r="P664" s="947"/>
      <c r="Q664" s="947"/>
      <c r="R664" s="947"/>
      <c r="W664" s="1147"/>
    </row>
    <row r="665" spans="1:101" s="1141" customFormat="1" ht="14.5" x14ac:dyDescent="0.25">
      <c r="J665" s="947"/>
      <c r="K665" s="947"/>
      <c r="L665" s="947"/>
      <c r="M665" s="947"/>
      <c r="N665" s="1145"/>
      <c r="O665" s="1146"/>
      <c r="P665" s="947"/>
      <c r="Q665" s="947"/>
      <c r="R665" s="947"/>
      <c r="W665" s="1147"/>
    </row>
    <row r="666" spans="1:101" s="1141" customFormat="1" ht="14.5" x14ac:dyDescent="0.25">
      <c r="J666" s="947"/>
      <c r="K666" s="947"/>
      <c r="L666" s="947"/>
      <c r="M666" s="947"/>
      <c r="N666" s="1145"/>
      <c r="O666" s="1146"/>
      <c r="P666" s="947"/>
      <c r="Q666" s="947"/>
      <c r="R666" s="947"/>
      <c r="W666" s="1147"/>
    </row>
    <row r="667" spans="1:101" x14ac:dyDescent="0.25">
      <c r="A667" s="828"/>
      <c r="B667" s="829"/>
      <c r="C667" s="828"/>
      <c r="D667" s="828"/>
      <c r="E667" s="830"/>
      <c r="F667" s="830"/>
      <c r="G667" s="830"/>
      <c r="H667" s="1143"/>
      <c r="I667" s="830"/>
      <c r="J667" s="832"/>
      <c r="K667" s="832"/>
      <c r="L667" s="828"/>
      <c r="M667" s="828"/>
      <c r="N667" s="1127"/>
      <c r="O667" s="1140"/>
      <c r="P667" s="828"/>
      <c r="Q667" s="832"/>
      <c r="R667" s="832"/>
      <c r="S667" s="828"/>
      <c r="T667" s="828"/>
      <c r="U667" s="828"/>
      <c r="V667" s="108"/>
      <c r="W667" s="1127"/>
      <c r="X667" s="877"/>
      <c r="Y667" s="828"/>
      <c r="Z667" s="828"/>
      <c r="AA667" s="107"/>
      <c r="AB667" s="828"/>
      <c r="AC667" s="828"/>
      <c r="AD667" s="828"/>
      <c r="AE667" s="828"/>
      <c r="AF667" s="829"/>
      <c r="AG667" s="828"/>
      <c r="AH667" s="828"/>
      <c r="AI667" s="828"/>
      <c r="AJ667" s="828"/>
      <c r="AK667" s="828"/>
      <c r="AL667" s="828"/>
      <c r="AM667" s="828"/>
      <c r="AN667" s="828"/>
      <c r="AO667" s="828"/>
      <c r="AP667" s="828"/>
      <c r="AQ667" s="828"/>
      <c r="AR667" s="828"/>
      <c r="AS667" s="828"/>
      <c r="AT667" s="828"/>
      <c r="AU667" s="828"/>
      <c r="AV667" s="828"/>
      <c r="AW667" s="828"/>
      <c r="AX667" s="828"/>
      <c r="AY667" s="828"/>
      <c r="BI667" s="828"/>
      <c r="BJ667" s="828"/>
      <c r="BK667" s="877"/>
      <c r="BL667" s="877"/>
      <c r="BM667" s="1097"/>
      <c r="BN667" s="1097"/>
      <c r="BO667" s="828"/>
      <c r="BP667" s="828"/>
      <c r="BQ667" s="828"/>
      <c r="BR667" s="828"/>
      <c r="BS667" s="828"/>
      <c r="BT667" s="828"/>
      <c r="BU667" s="828"/>
      <c r="BV667" s="828"/>
      <c r="BW667" s="828"/>
      <c r="BX667" s="828"/>
      <c r="BY667" s="828"/>
      <c r="BZ667" s="828"/>
      <c r="CA667" s="828"/>
      <c r="CB667" s="828"/>
      <c r="CC667" s="828"/>
      <c r="CD667" s="828"/>
      <c r="CE667" s="829"/>
      <c r="CF667" s="828"/>
      <c r="CG667" s="828"/>
      <c r="CH667" s="830"/>
      <c r="CI667" s="830"/>
      <c r="CJ667" s="830"/>
      <c r="CK667" s="1143"/>
      <c r="CL667" s="830"/>
      <c r="CM667" s="832"/>
      <c r="CN667" s="832"/>
      <c r="CO667" s="828"/>
      <c r="CP667" s="828"/>
      <c r="CQ667" s="828"/>
      <c r="CR667" s="832"/>
      <c r="CS667" s="832"/>
      <c r="CT667" s="828"/>
      <c r="CU667" s="828"/>
      <c r="CV667" s="828"/>
      <c r="CW667" s="877"/>
    </row>
    <row r="668" spans="1:101" x14ac:dyDescent="0.25">
      <c r="A668" s="828"/>
      <c r="B668" s="829"/>
      <c r="C668" s="828"/>
      <c r="D668" s="828"/>
      <c r="E668" s="830"/>
      <c r="F668" s="830"/>
      <c r="G668" s="830"/>
      <c r="H668" s="1143"/>
      <c r="I668" s="830"/>
      <c r="J668" s="832"/>
      <c r="K668" s="832"/>
      <c r="L668" s="828"/>
      <c r="M668" s="828"/>
      <c r="N668" s="1127"/>
      <c r="O668" s="1140"/>
      <c r="P668" s="828"/>
      <c r="Q668" s="832"/>
      <c r="R668" s="832"/>
      <c r="S668" s="828"/>
      <c r="T668" s="828"/>
      <c r="U668" s="828"/>
      <c r="V668" s="108"/>
      <c r="W668" s="1127"/>
      <c r="X668" s="877"/>
      <c r="Y668" s="828"/>
      <c r="Z668" s="828"/>
      <c r="AA668" s="107"/>
      <c r="AB668" s="828"/>
      <c r="AC668" s="828"/>
      <c r="AD668" s="828"/>
      <c r="AE668" s="828"/>
      <c r="AF668" s="829"/>
      <c r="AG668" s="828"/>
      <c r="AH668" s="828"/>
      <c r="AI668" s="828"/>
      <c r="AJ668" s="828"/>
      <c r="AK668" s="828"/>
      <c r="AL668" s="828"/>
      <c r="AM668" s="828"/>
      <c r="AN668" s="828"/>
      <c r="AO668" s="828"/>
      <c r="AP668" s="828"/>
      <c r="AQ668" s="828"/>
      <c r="AR668" s="828"/>
      <c r="AS668" s="828"/>
      <c r="AT668" s="828"/>
      <c r="AU668" s="828"/>
      <c r="AV668" s="828"/>
      <c r="AW668" s="828"/>
      <c r="AX668" s="828"/>
      <c r="AY668" s="828"/>
      <c r="BI668" s="828"/>
      <c r="BJ668" s="828"/>
      <c r="BK668" s="877"/>
      <c r="BL668" s="877"/>
      <c r="BM668" s="1097"/>
      <c r="BN668" s="1097"/>
      <c r="BO668" s="828"/>
      <c r="BP668" s="828"/>
      <c r="BQ668" s="828"/>
      <c r="BR668" s="828"/>
      <c r="BS668" s="828"/>
      <c r="BT668" s="828"/>
      <c r="BU668" s="828"/>
      <c r="BV668" s="828"/>
      <c r="BW668" s="828"/>
      <c r="BX668" s="828"/>
      <c r="BY668" s="828"/>
      <c r="BZ668" s="828"/>
      <c r="CA668" s="828"/>
      <c r="CB668" s="828"/>
      <c r="CC668" s="828"/>
      <c r="CD668" s="828"/>
      <c r="CE668" s="829"/>
      <c r="CF668" s="828"/>
      <c r="CG668" s="828"/>
      <c r="CH668" s="830"/>
      <c r="CI668" s="830"/>
      <c r="CJ668" s="830"/>
      <c r="CK668" s="1143"/>
      <c r="CL668" s="830"/>
      <c r="CM668" s="832"/>
      <c r="CN668" s="832"/>
      <c r="CO668" s="828"/>
      <c r="CP668" s="828"/>
      <c r="CQ668" s="828"/>
      <c r="CR668" s="832"/>
      <c r="CS668" s="832"/>
      <c r="CT668" s="828"/>
      <c r="CU668" s="828"/>
      <c r="CV668" s="828"/>
      <c r="CW668" s="877"/>
    </row>
    <row r="669" spans="1:101" x14ac:dyDescent="0.25">
      <c r="A669" s="828"/>
      <c r="B669" s="829"/>
      <c r="C669" s="828"/>
      <c r="D669" s="828"/>
      <c r="E669" s="830"/>
      <c r="F669" s="830"/>
      <c r="G669" s="830"/>
      <c r="H669" s="1143"/>
      <c r="I669" s="830"/>
      <c r="J669" s="832"/>
      <c r="K669" s="832"/>
      <c r="L669" s="828"/>
      <c r="M669" s="828"/>
      <c r="N669" s="1127"/>
      <c r="O669" s="1140"/>
      <c r="P669" s="828"/>
      <c r="Q669" s="832"/>
      <c r="R669" s="832"/>
      <c r="S669" s="828"/>
      <c r="T669" s="828"/>
      <c r="U669" s="828"/>
      <c r="V669" s="108"/>
      <c r="W669" s="1127"/>
      <c r="X669" s="877"/>
      <c r="Y669" s="828"/>
      <c r="Z669" s="828"/>
      <c r="AA669" s="107"/>
      <c r="AB669" s="828"/>
      <c r="AC669" s="828"/>
      <c r="AD669" s="828"/>
      <c r="AE669" s="828"/>
      <c r="AF669" s="829"/>
      <c r="AG669" s="828"/>
      <c r="AH669" s="828"/>
      <c r="AI669" s="828"/>
      <c r="AJ669" s="828"/>
      <c r="AK669" s="828"/>
      <c r="AL669" s="828"/>
      <c r="AM669" s="828"/>
      <c r="AN669" s="828"/>
      <c r="AO669" s="828"/>
      <c r="AP669" s="828"/>
      <c r="AQ669" s="828"/>
      <c r="AR669" s="828"/>
      <c r="AS669" s="828"/>
      <c r="AT669" s="828"/>
      <c r="AU669" s="828"/>
      <c r="AV669" s="828"/>
      <c r="AW669" s="828"/>
      <c r="AX669" s="828"/>
      <c r="AY669" s="828"/>
      <c r="BI669" s="828"/>
      <c r="BJ669" s="828"/>
      <c r="BK669" s="877"/>
      <c r="BL669" s="877"/>
      <c r="BM669" s="1097"/>
      <c r="BN669" s="1097"/>
      <c r="BO669" s="828"/>
      <c r="BP669" s="828"/>
      <c r="BQ669" s="828"/>
      <c r="BR669" s="828"/>
      <c r="BS669" s="828"/>
      <c r="BT669" s="828"/>
      <c r="BU669" s="828"/>
      <c r="BV669" s="828"/>
      <c r="BW669" s="828"/>
      <c r="BX669" s="828"/>
      <c r="BY669" s="828"/>
      <c r="BZ669" s="828"/>
      <c r="CA669" s="828"/>
      <c r="CB669" s="828"/>
      <c r="CC669" s="828"/>
      <c r="CD669" s="828"/>
      <c r="CE669" s="829"/>
      <c r="CF669" s="828"/>
      <c r="CG669" s="828"/>
      <c r="CH669" s="830"/>
      <c r="CI669" s="830"/>
      <c r="CJ669" s="830"/>
      <c r="CK669" s="1143"/>
      <c r="CL669" s="830"/>
      <c r="CM669" s="832"/>
      <c r="CN669" s="832"/>
      <c r="CO669" s="828"/>
      <c r="CP669" s="828"/>
      <c r="CQ669" s="828"/>
      <c r="CR669" s="832"/>
      <c r="CS669" s="832"/>
      <c r="CT669" s="828"/>
      <c r="CU669" s="828"/>
      <c r="CV669" s="828"/>
      <c r="CW669" s="877"/>
    </row>
    <row r="670" spans="1:101" x14ac:dyDescent="0.25">
      <c r="A670" s="828"/>
      <c r="B670" s="829"/>
      <c r="C670" s="828"/>
      <c r="D670" s="828"/>
      <c r="E670" s="830"/>
      <c r="F670" s="830"/>
      <c r="G670" s="830"/>
      <c r="H670" s="1143"/>
      <c r="I670" s="830"/>
      <c r="J670" s="832"/>
      <c r="K670" s="832"/>
      <c r="L670" s="828"/>
      <c r="M670" s="828"/>
      <c r="N670" s="1127"/>
      <c r="O670" s="1140"/>
      <c r="P670" s="828"/>
      <c r="Q670" s="832"/>
      <c r="R670" s="832"/>
      <c r="S670" s="828"/>
      <c r="T670" s="828"/>
      <c r="U670" s="828"/>
      <c r="V670" s="108"/>
      <c r="W670" s="1127"/>
      <c r="X670" s="877"/>
      <c r="Y670" s="828"/>
      <c r="Z670" s="828"/>
      <c r="AA670" s="107"/>
      <c r="AB670" s="828"/>
      <c r="AC670" s="828"/>
      <c r="AD670" s="828"/>
      <c r="AE670" s="828"/>
      <c r="AF670" s="829"/>
      <c r="AG670" s="828"/>
      <c r="AH670" s="828"/>
      <c r="AI670" s="828"/>
      <c r="AJ670" s="828"/>
      <c r="AK670" s="828"/>
      <c r="AL670" s="828"/>
      <c r="AM670" s="828"/>
      <c r="AN670" s="828"/>
      <c r="AO670" s="828"/>
      <c r="AP670" s="828"/>
      <c r="AQ670" s="828"/>
      <c r="AR670" s="828"/>
      <c r="AS670" s="828"/>
      <c r="AT670" s="828"/>
      <c r="AU670" s="828"/>
      <c r="AV670" s="828"/>
      <c r="AW670" s="828"/>
      <c r="AX670" s="828"/>
      <c r="AY670" s="828"/>
      <c r="BI670" s="828"/>
      <c r="BJ670" s="828"/>
      <c r="BK670" s="877"/>
      <c r="BL670" s="877"/>
      <c r="BM670" s="1097"/>
      <c r="BN670" s="1097"/>
      <c r="BO670" s="828"/>
      <c r="BP670" s="828"/>
      <c r="BQ670" s="828"/>
      <c r="BR670" s="828"/>
      <c r="BS670" s="828"/>
      <c r="BT670" s="828"/>
      <c r="BU670" s="828"/>
      <c r="BV670" s="828"/>
      <c r="BW670" s="828"/>
      <c r="BX670" s="828"/>
      <c r="BY670" s="828"/>
      <c r="BZ670" s="828"/>
      <c r="CA670" s="828"/>
      <c r="CB670" s="828"/>
      <c r="CC670" s="828"/>
      <c r="CD670" s="828"/>
      <c r="CE670" s="829"/>
      <c r="CF670" s="828"/>
      <c r="CG670" s="828"/>
      <c r="CH670" s="830"/>
      <c r="CI670" s="830"/>
      <c r="CJ670" s="830"/>
      <c r="CK670" s="1143"/>
      <c r="CL670" s="830"/>
      <c r="CM670" s="832"/>
      <c r="CN670" s="832"/>
      <c r="CO670" s="828"/>
      <c r="CP670" s="828"/>
      <c r="CQ670" s="828"/>
      <c r="CR670" s="832"/>
      <c r="CS670" s="832"/>
      <c r="CT670" s="828"/>
      <c r="CU670" s="828"/>
      <c r="CV670" s="828"/>
      <c r="CW670" s="877"/>
    </row>
    <row r="671" spans="1:101" x14ac:dyDescent="0.25">
      <c r="A671" s="828"/>
      <c r="B671" s="829"/>
      <c r="C671" s="828"/>
      <c r="D671" s="828"/>
      <c r="E671" s="830"/>
      <c r="F671" s="830"/>
      <c r="G671" s="830"/>
      <c r="H671" s="1143"/>
      <c r="I671" s="830"/>
      <c r="J671" s="832"/>
      <c r="K671" s="832"/>
      <c r="L671" s="828"/>
      <c r="M671" s="828"/>
      <c r="N671" s="1127"/>
      <c r="O671" s="1140"/>
      <c r="P671" s="828"/>
      <c r="Q671" s="832"/>
      <c r="R671" s="832"/>
      <c r="S671" s="828"/>
      <c r="T671" s="828"/>
      <c r="U671" s="828"/>
      <c r="V671" s="108"/>
      <c r="W671" s="1127"/>
      <c r="X671" s="877"/>
      <c r="Y671" s="828"/>
      <c r="Z671" s="828"/>
      <c r="AA671" s="107"/>
      <c r="AB671" s="828"/>
      <c r="AC671" s="828"/>
      <c r="AD671" s="828"/>
      <c r="AE671" s="828"/>
      <c r="AF671" s="829"/>
      <c r="AG671" s="828"/>
      <c r="AH671" s="828"/>
      <c r="AI671" s="828"/>
      <c r="AJ671" s="828"/>
      <c r="AK671" s="828"/>
      <c r="AL671" s="828"/>
      <c r="AM671" s="828"/>
      <c r="AN671" s="828"/>
      <c r="AO671" s="828"/>
      <c r="AP671" s="828"/>
      <c r="AQ671" s="828"/>
      <c r="AR671" s="828"/>
      <c r="AS671" s="828"/>
      <c r="AT671" s="828"/>
      <c r="AU671" s="828"/>
      <c r="AV671" s="828"/>
      <c r="AW671" s="828"/>
      <c r="AX671" s="828"/>
      <c r="AY671" s="828"/>
      <c r="BI671" s="828"/>
      <c r="BJ671" s="828"/>
      <c r="BK671" s="877"/>
      <c r="BL671" s="877"/>
      <c r="BM671" s="1097"/>
      <c r="BN671" s="1097"/>
      <c r="BO671" s="828"/>
      <c r="BP671" s="828"/>
      <c r="BQ671" s="828"/>
      <c r="BR671" s="828"/>
      <c r="BS671" s="828"/>
      <c r="BT671" s="828"/>
      <c r="BU671" s="828"/>
      <c r="BV671" s="828"/>
      <c r="BW671" s="828"/>
      <c r="BX671" s="828"/>
      <c r="BY671" s="828"/>
      <c r="BZ671" s="828"/>
      <c r="CA671" s="828"/>
      <c r="CB671" s="828"/>
      <c r="CC671" s="828"/>
      <c r="CD671" s="828"/>
      <c r="CE671" s="829"/>
      <c r="CF671" s="828"/>
      <c r="CG671" s="828"/>
      <c r="CH671" s="830"/>
      <c r="CI671" s="830"/>
      <c r="CJ671" s="830"/>
      <c r="CK671" s="1143"/>
      <c r="CL671" s="830"/>
      <c r="CM671" s="832"/>
      <c r="CN671" s="832"/>
      <c r="CO671" s="828"/>
      <c r="CP671" s="828"/>
      <c r="CQ671" s="828"/>
      <c r="CR671" s="832"/>
      <c r="CS671" s="832"/>
      <c r="CT671" s="828"/>
      <c r="CU671" s="828"/>
      <c r="CV671" s="828"/>
      <c r="CW671" s="877"/>
    </row>
    <row r="672" spans="1:101" x14ac:dyDescent="0.25">
      <c r="A672" s="828"/>
      <c r="B672" s="829"/>
      <c r="C672" s="828"/>
      <c r="D672" s="828"/>
      <c r="E672" s="830"/>
      <c r="F672" s="830"/>
      <c r="G672" s="830"/>
      <c r="H672" s="1143"/>
      <c r="I672" s="830"/>
      <c r="J672" s="832"/>
      <c r="K672" s="832"/>
      <c r="L672" s="828"/>
      <c r="M672" s="828"/>
      <c r="N672" s="1127"/>
      <c r="O672" s="1140"/>
      <c r="P672" s="828"/>
      <c r="Q672" s="832"/>
      <c r="R672" s="832"/>
      <c r="S672" s="828"/>
      <c r="T672" s="828"/>
      <c r="U672" s="828"/>
      <c r="V672" s="108"/>
      <c r="W672" s="1127"/>
      <c r="X672" s="877"/>
      <c r="Y672" s="828"/>
      <c r="Z672" s="828"/>
      <c r="AA672" s="107"/>
      <c r="AB672" s="828"/>
      <c r="AC672" s="828"/>
      <c r="AD672" s="828"/>
      <c r="AE672" s="828"/>
      <c r="AF672" s="829"/>
      <c r="AG672" s="828"/>
      <c r="AH672" s="828"/>
      <c r="AI672" s="828"/>
      <c r="AJ672" s="828"/>
      <c r="AK672" s="828"/>
      <c r="AL672" s="828"/>
      <c r="AM672" s="828"/>
      <c r="AN672" s="828"/>
      <c r="AO672" s="828"/>
      <c r="AP672" s="828"/>
      <c r="AQ672" s="828"/>
      <c r="AR672" s="828"/>
      <c r="AS672" s="828"/>
      <c r="AT672" s="828"/>
      <c r="AU672" s="828"/>
      <c r="AV672" s="828"/>
      <c r="AW672" s="828"/>
      <c r="AX672" s="828"/>
      <c r="AY672" s="828"/>
      <c r="BI672" s="828"/>
      <c r="BJ672" s="828"/>
      <c r="BK672" s="877"/>
      <c r="BL672" s="877"/>
      <c r="BM672" s="1097"/>
      <c r="BN672" s="1097"/>
      <c r="BO672" s="828"/>
      <c r="BP672" s="828"/>
      <c r="BQ672" s="828"/>
      <c r="BR672" s="828"/>
      <c r="BS672" s="828"/>
      <c r="BT672" s="828"/>
      <c r="BU672" s="828"/>
      <c r="BV672" s="828"/>
      <c r="BW672" s="828"/>
      <c r="BX672" s="828"/>
      <c r="BY672" s="828"/>
      <c r="BZ672" s="828"/>
      <c r="CA672" s="828"/>
      <c r="CB672" s="828"/>
      <c r="CC672" s="828"/>
      <c r="CD672" s="828"/>
      <c r="CE672" s="829"/>
      <c r="CF672" s="828"/>
      <c r="CG672" s="828"/>
      <c r="CH672" s="830"/>
      <c r="CI672" s="830"/>
      <c r="CJ672" s="830"/>
      <c r="CK672" s="1143"/>
      <c r="CL672" s="830"/>
      <c r="CM672" s="832"/>
      <c r="CN672" s="832"/>
      <c r="CO672" s="828"/>
      <c r="CP672" s="828"/>
      <c r="CQ672" s="828"/>
      <c r="CR672" s="832"/>
      <c r="CS672" s="832"/>
      <c r="CT672" s="828"/>
      <c r="CU672" s="828"/>
      <c r="CV672" s="828"/>
      <c r="CW672" s="877"/>
    </row>
    <row r="673" spans="1:101" x14ac:dyDescent="0.25">
      <c r="A673" s="828"/>
      <c r="B673" s="829"/>
      <c r="C673" s="828"/>
      <c r="D673" s="828"/>
      <c r="E673" s="830"/>
      <c r="F673" s="830"/>
      <c r="G673" s="830"/>
      <c r="H673" s="1143"/>
      <c r="I673" s="830"/>
      <c r="J673" s="832"/>
      <c r="K673" s="832"/>
      <c r="L673" s="828"/>
      <c r="M673" s="828"/>
      <c r="N673" s="1127"/>
      <c r="O673" s="1140"/>
      <c r="P673" s="828"/>
      <c r="Q673" s="832"/>
      <c r="R673" s="832"/>
      <c r="S673" s="828"/>
      <c r="T673" s="828"/>
      <c r="U673" s="828"/>
      <c r="V673" s="108"/>
      <c r="W673" s="1127"/>
      <c r="X673" s="877"/>
      <c r="Y673" s="828"/>
      <c r="Z673" s="828"/>
      <c r="AA673" s="107"/>
      <c r="AB673" s="828"/>
      <c r="AC673" s="828"/>
      <c r="AD673" s="828"/>
      <c r="AE673" s="828"/>
      <c r="AF673" s="829"/>
      <c r="AG673" s="828"/>
      <c r="AH673" s="828"/>
      <c r="AI673" s="828"/>
      <c r="AJ673" s="828"/>
      <c r="AK673" s="828"/>
      <c r="AL673" s="828"/>
      <c r="AM673" s="828"/>
      <c r="AN673" s="828"/>
      <c r="AO673" s="828"/>
      <c r="AP673" s="828"/>
      <c r="AQ673" s="828"/>
      <c r="AR673" s="828"/>
      <c r="AS673" s="828"/>
      <c r="AT673" s="828"/>
      <c r="AU673" s="828"/>
      <c r="AV673" s="828"/>
      <c r="AW673" s="828"/>
      <c r="AX673" s="828"/>
      <c r="AY673" s="828"/>
      <c r="BI673" s="828"/>
      <c r="BJ673" s="828"/>
      <c r="BK673" s="877"/>
      <c r="BL673" s="877"/>
      <c r="BM673" s="1097"/>
      <c r="BN673" s="1097"/>
      <c r="BO673" s="828"/>
      <c r="BP673" s="828"/>
      <c r="BQ673" s="828"/>
      <c r="BR673" s="828"/>
      <c r="BS673" s="828"/>
      <c r="BT673" s="828"/>
      <c r="BU673" s="828"/>
      <c r="BV673" s="828"/>
      <c r="BW673" s="828"/>
      <c r="BX673" s="828"/>
      <c r="BY673" s="828"/>
      <c r="BZ673" s="828"/>
      <c r="CA673" s="828"/>
      <c r="CB673" s="828"/>
      <c r="CC673" s="828"/>
      <c r="CD673" s="828"/>
      <c r="CE673" s="829"/>
      <c r="CF673" s="828"/>
      <c r="CG673" s="828"/>
      <c r="CH673" s="830"/>
      <c r="CI673" s="830"/>
      <c r="CJ673" s="830"/>
      <c r="CK673" s="1143"/>
      <c r="CL673" s="830"/>
      <c r="CM673" s="832"/>
      <c r="CN673" s="832"/>
      <c r="CO673" s="828"/>
      <c r="CP673" s="828"/>
      <c r="CQ673" s="828"/>
      <c r="CR673" s="832"/>
      <c r="CS673" s="832"/>
      <c r="CT673" s="828"/>
      <c r="CU673" s="828"/>
      <c r="CV673" s="828"/>
      <c r="CW673" s="877"/>
    </row>
    <row r="674" spans="1:101" x14ac:dyDescent="0.25">
      <c r="Q674" s="832"/>
      <c r="R674" s="832"/>
      <c r="S674" s="828"/>
      <c r="T674" s="828"/>
      <c r="U674" s="828"/>
      <c r="V674" s="108"/>
      <c r="W674" s="1127"/>
      <c r="X674" s="877"/>
      <c r="Y674" s="828"/>
      <c r="Z674" s="828"/>
      <c r="AA674" s="107"/>
      <c r="AB674" s="828"/>
      <c r="AC674" s="828"/>
      <c r="AD674" s="828"/>
      <c r="AE674" s="828"/>
      <c r="AG674" s="828"/>
      <c r="AH674" s="828"/>
      <c r="AI674" s="828"/>
      <c r="AJ674" s="828"/>
      <c r="AK674" s="828"/>
      <c r="AL674" s="828"/>
      <c r="AM674" s="828"/>
      <c r="AN674" s="828"/>
      <c r="AO674" s="828"/>
      <c r="AP674" s="828"/>
      <c r="AQ674" s="828"/>
      <c r="AR674" s="828"/>
      <c r="AS674" s="828"/>
      <c r="AT674" s="828"/>
      <c r="AU674" s="828"/>
      <c r="AV674" s="828"/>
      <c r="AW674" s="828"/>
      <c r="AX674" s="828"/>
      <c r="AY674" s="828"/>
      <c r="BI674" s="828"/>
      <c r="BJ674" s="828"/>
      <c r="BK674" s="877"/>
      <c r="BL674" s="877"/>
      <c r="BM674" s="1097"/>
      <c r="BN674" s="1097"/>
      <c r="BO674" s="828"/>
      <c r="BP674" s="828"/>
      <c r="BQ674" s="828"/>
      <c r="BR674" s="828"/>
      <c r="BS674" s="828"/>
      <c r="BT674" s="828"/>
      <c r="BU674" s="828"/>
      <c r="BV674" s="828"/>
      <c r="BW674" s="828"/>
      <c r="BX674" s="828"/>
      <c r="BY674" s="828"/>
      <c r="BZ674" s="828"/>
      <c r="CA674" s="828"/>
      <c r="CB674" s="828"/>
      <c r="CC674" s="828"/>
      <c r="CR674" s="832"/>
      <c r="CS674" s="832"/>
      <c r="CT674" s="828"/>
      <c r="CU674" s="828"/>
      <c r="CV674" s="828"/>
      <c r="CW674" s="877"/>
    </row>
  </sheetData>
  <sheetProtection formatCells="0"/>
  <mergeCells count="452">
    <mergeCell ref="A1:AC1"/>
    <mergeCell ref="F2:H2"/>
    <mergeCell ref="BK2:BL2"/>
    <mergeCell ref="CI2:CK2"/>
    <mergeCell ref="A3:H3"/>
    <mergeCell ref="I3:L3"/>
    <mergeCell ref="M3:N3"/>
    <mergeCell ref="O3:O4"/>
    <mergeCell ref="P3:U3"/>
    <mergeCell ref="V3:Y3"/>
    <mergeCell ref="CX3:CX4"/>
    <mergeCell ref="AO4:AP4"/>
    <mergeCell ref="AT4:AV4"/>
    <mergeCell ref="AZ5:BA5"/>
    <mergeCell ref="A6:I6"/>
    <mergeCell ref="CD6:CK6"/>
    <mergeCell ref="CD3:CK3"/>
    <mergeCell ref="CL3:CO3"/>
    <mergeCell ref="CP3:CQ3"/>
    <mergeCell ref="CR3:CT3"/>
    <mergeCell ref="CU3:CV3"/>
    <mergeCell ref="CW3:CW4"/>
    <mergeCell ref="AB3:AB4"/>
    <mergeCell ref="AC3:AC4"/>
    <mergeCell ref="AG3:AJ3"/>
    <mergeCell ref="AK3:AN3"/>
    <mergeCell ref="BM3:BN3"/>
    <mergeCell ref="BO3:BP3"/>
    <mergeCell ref="A7:A8"/>
    <mergeCell ref="B7:B8"/>
    <mergeCell ref="C7:C16"/>
    <mergeCell ref="F7:F8"/>
    <mergeCell ref="G7:G8"/>
    <mergeCell ref="H7:H8"/>
    <mergeCell ref="A9:A10"/>
    <mergeCell ref="B9:B10"/>
    <mergeCell ref="F9:F10"/>
    <mergeCell ref="H9:H10"/>
    <mergeCell ref="A13:A14"/>
    <mergeCell ref="B13:B14"/>
    <mergeCell ref="F13:F14"/>
    <mergeCell ref="G13:G14"/>
    <mergeCell ref="H13:H14"/>
    <mergeCell ref="A11:A12"/>
    <mergeCell ref="B11:B12"/>
    <mergeCell ref="F11:F12"/>
    <mergeCell ref="G11:G12"/>
    <mergeCell ref="H11:H12"/>
    <mergeCell ref="AF7:AF8"/>
    <mergeCell ref="CE7:CE8"/>
    <mergeCell ref="CF7:CF18"/>
    <mergeCell ref="CI7:CI8"/>
    <mergeCell ref="CJ7:CJ8"/>
    <mergeCell ref="CK7:CK8"/>
    <mergeCell ref="AF11:AF12"/>
    <mergeCell ref="CE11:CE12"/>
    <mergeCell ref="CI11:CI12"/>
    <mergeCell ref="CJ11:CJ12"/>
    <mergeCell ref="CK11:CK12"/>
    <mergeCell ref="AF17:AF18"/>
    <mergeCell ref="CE17:CE18"/>
    <mergeCell ref="CI17:CI18"/>
    <mergeCell ref="CJ17:CJ18"/>
    <mergeCell ref="CK17:CK18"/>
    <mergeCell ref="AF15:AF16"/>
    <mergeCell ref="CE15:CE16"/>
    <mergeCell ref="CI15:CI16"/>
    <mergeCell ref="CJ15:CJ16"/>
    <mergeCell ref="CK15:CK16"/>
    <mergeCell ref="AB11:AC11"/>
    <mergeCell ref="A17:A18"/>
    <mergeCell ref="B17:B18"/>
    <mergeCell ref="C17:C18"/>
    <mergeCell ref="F17:F18"/>
    <mergeCell ref="G17:G18"/>
    <mergeCell ref="A15:A16"/>
    <mergeCell ref="B15:B16"/>
    <mergeCell ref="F15:F16"/>
    <mergeCell ref="G15:G16"/>
    <mergeCell ref="H17:H18"/>
    <mergeCell ref="H15:H16"/>
    <mergeCell ref="AB15:AC15"/>
    <mergeCell ref="CD20:CD21"/>
    <mergeCell ref="CE20:CE21"/>
    <mergeCell ref="CF20:CF25"/>
    <mergeCell ref="CI20:CI21"/>
    <mergeCell ref="CJ20:CJ21"/>
    <mergeCell ref="CK20:CK21"/>
    <mergeCell ref="A19:F19"/>
    <mergeCell ref="CD19:CI19"/>
    <mergeCell ref="A20:A21"/>
    <mergeCell ref="B20:B21"/>
    <mergeCell ref="C20:C25"/>
    <mergeCell ref="F20:F21"/>
    <mergeCell ref="G20:G21"/>
    <mergeCell ref="H20:H21"/>
    <mergeCell ref="AB20:AC20"/>
    <mergeCell ref="AF20:AF21"/>
    <mergeCell ref="AF22:AF23"/>
    <mergeCell ref="CD22:CD23"/>
    <mergeCell ref="CE22:CE23"/>
    <mergeCell ref="CI22:CI23"/>
    <mergeCell ref="CJ22:CJ23"/>
    <mergeCell ref="CK22:CK23"/>
    <mergeCell ref="A22:A23"/>
    <mergeCell ref="B22:B23"/>
    <mergeCell ref="F22:F23"/>
    <mergeCell ref="G22:G23"/>
    <mergeCell ref="H22:H23"/>
    <mergeCell ref="AC22:AC23"/>
    <mergeCell ref="AF24:AF25"/>
    <mergeCell ref="CD24:CD25"/>
    <mergeCell ref="CE24:CE25"/>
    <mergeCell ref="CI24:CI25"/>
    <mergeCell ref="CJ24:CJ25"/>
    <mergeCell ref="CK24:CK25"/>
    <mergeCell ref="A24:A25"/>
    <mergeCell ref="B24:B25"/>
    <mergeCell ref="F24:F25"/>
    <mergeCell ref="G24:G25"/>
    <mergeCell ref="H24:H25"/>
    <mergeCell ref="AC24:AC25"/>
    <mergeCell ref="A26:F26"/>
    <mergeCell ref="CD26:CI26"/>
    <mergeCell ref="A27:A28"/>
    <mergeCell ref="B27:B28"/>
    <mergeCell ref="C27:C30"/>
    <mergeCell ref="F27:F28"/>
    <mergeCell ref="G27:G28"/>
    <mergeCell ref="H27:H28"/>
    <mergeCell ref="AC27:AC30"/>
    <mergeCell ref="AF27:AF28"/>
    <mergeCell ref="CD27:CD28"/>
    <mergeCell ref="CE27:CE28"/>
    <mergeCell ref="CF27:CF30"/>
    <mergeCell ref="CI27:CI28"/>
    <mergeCell ref="CJ27:CJ28"/>
    <mergeCell ref="CK27:CK28"/>
    <mergeCell ref="CD29:CD30"/>
    <mergeCell ref="CE29:CE30"/>
    <mergeCell ref="CI29:CI30"/>
    <mergeCell ref="CJ29:CJ30"/>
    <mergeCell ref="D34:I34"/>
    <mergeCell ref="CG34:CL34"/>
    <mergeCell ref="C35:C38"/>
    <mergeCell ref="H35:H37"/>
    <mergeCell ref="CF35:CF38"/>
    <mergeCell ref="CK35:CK37"/>
    <mergeCell ref="AB38:AC38"/>
    <mergeCell ref="CK29:CK30"/>
    <mergeCell ref="A31:I31"/>
    <mergeCell ref="CD31:CL31"/>
    <mergeCell ref="A32:A33"/>
    <mergeCell ref="B32:B33"/>
    <mergeCell ref="F32:F33"/>
    <mergeCell ref="AF32:AF33"/>
    <mergeCell ref="CD32:CD33"/>
    <mergeCell ref="CE32:CE33"/>
    <mergeCell ref="CI32:CI33"/>
    <mergeCell ref="A29:A30"/>
    <mergeCell ref="B29:B30"/>
    <mergeCell ref="F29:F30"/>
    <mergeCell ref="G29:G30"/>
    <mergeCell ref="H29:H30"/>
    <mergeCell ref="AF29:AF30"/>
    <mergeCell ref="A41:F41"/>
    <mergeCell ref="I41:L41"/>
    <mergeCell ref="CD41:CG41"/>
    <mergeCell ref="CH41:CL41"/>
    <mergeCell ref="C42:C50"/>
    <mergeCell ref="AC42:AC44"/>
    <mergeCell ref="CF42:CF48"/>
    <mergeCell ref="A45:A46"/>
    <mergeCell ref="B45:B46"/>
    <mergeCell ref="F45:F46"/>
    <mergeCell ref="CE47:CE48"/>
    <mergeCell ref="CI47:CI48"/>
    <mergeCell ref="CK47:CK48"/>
    <mergeCell ref="A49:A50"/>
    <mergeCell ref="B49:B50"/>
    <mergeCell ref="F49:F50"/>
    <mergeCell ref="CI45:CI46"/>
    <mergeCell ref="CK45:CK46"/>
    <mergeCell ref="A47:A48"/>
    <mergeCell ref="B47:B48"/>
    <mergeCell ref="F47:F48"/>
    <mergeCell ref="H47:H48"/>
    <mergeCell ref="O47:O48"/>
    <mergeCell ref="AC47:AC48"/>
    <mergeCell ref="AF47:AF48"/>
    <mergeCell ref="CD47:CD48"/>
    <mergeCell ref="H45:H46"/>
    <mergeCell ref="O45:O46"/>
    <mergeCell ref="AC45:AC46"/>
    <mergeCell ref="AF45:AF46"/>
    <mergeCell ref="CD45:CD46"/>
    <mergeCell ref="CE45:CE46"/>
    <mergeCell ref="A51:K51"/>
    <mergeCell ref="CD51:CI51"/>
    <mergeCell ref="A52:A53"/>
    <mergeCell ref="B52:B53"/>
    <mergeCell ref="C52:C65"/>
    <mergeCell ref="D52:D53"/>
    <mergeCell ref="F52:F53"/>
    <mergeCell ref="H52:H53"/>
    <mergeCell ref="AF52:AF53"/>
    <mergeCell ref="CD52:CD53"/>
    <mergeCell ref="CG54:CG55"/>
    <mergeCell ref="A63:A64"/>
    <mergeCell ref="F63:F64"/>
    <mergeCell ref="A65:A66"/>
    <mergeCell ref="F65:F66"/>
    <mergeCell ref="CI54:CI55"/>
    <mergeCell ref="CK54:CK55"/>
    <mergeCell ref="CE52:CE53"/>
    <mergeCell ref="CF52:CF62"/>
    <mergeCell ref="CG52:CG53"/>
    <mergeCell ref="CI52:CI53"/>
    <mergeCell ref="CK52:CK53"/>
    <mergeCell ref="A54:A55"/>
    <mergeCell ref="B54:B55"/>
    <mergeCell ref="D54:D55"/>
    <mergeCell ref="F54:F55"/>
    <mergeCell ref="H54:H55"/>
    <mergeCell ref="A56:A57"/>
    <mergeCell ref="B56:B57"/>
    <mergeCell ref="D56:D57"/>
    <mergeCell ref="F56:F57"/>
    <mergeCell ref="H56:H57"/>
    <mergeCell ref="AF56:AF57"/>
    <mergeCell ref="AF54:AF55"/>
    <mergeCell ref="CD54:CD55"/>
    <mergeCell ref="CE54:CE55"/>
    <mergeCell ref="CE58:CE59"/>
    <mergeCell ref="CG58:CG59"/>
    <mergeCell ref="CI58:CI59"/>
    <mergeCell ref="CK58:CK59"/>
    <mergeCell ref="CD56:CD57"/>
    <mergeCell ref="CE56:CE57"/>
    <mergeCell ref="CG56:CG57"/>
    <mergeCell ref="CI56:CI57"/>
    <mergeCell ref="CK56:CK57"/>
    <mergeCell ref="A60:A61"/>
    <mergeCell ref="O60:O62"/>
    <mergeCell ref="AB61:AC61"/>
    <mergeCell ref="AF58:AF59"/>
    <mergeCell ref="CD58:CD59"/>
    <mergeCell ref="A58:A59"/>
    <mergeCell ref="B58:B59"/>
    <mergeCell ref="D58:D59"/>
    <mergeCell ref="F58:F59"/>
    <mergeCell ref="H58:H59"/>
    <mergeCell ref="A67:F67"/>
    <mergeCell ref="CD67:CI67"/>
    <mergeCell ref="C68:C69"/>
    <mergeCell ref="CF68:CF69"/>
    <mergeCell ref="A71:A72"/>
    <mergeCell ref="B71:B72"/>
    <mergeCell ref="C71:C74"/>
    <mergeCell ref="AB71:AC71"/>
    <mergeCell ref="CF71:CL71"/>
    <mergeCell ref="CM71:CO71"/>
    <mergeCell ref="CR71:CT71"/>
    <mergeCell ref="CF72:CL72"/>
    <mergeCell ref="CM72:CO72"/>
    <mergeCell ref="CR72:CT72"/>
    <mergeCell ref="A73:A74"/>
    <mergeCell ref="B73:B74"/>
    <mergeCell ref="CF73:CL73"/>
    <mergeCell ref="CM73:CV73"/>
    <mergeCell ref="AB74:AC74"/>
    <mergeCell ref="C81:C82"/>
    <mergeCell ref="A84:C84"/>
    <mergeCell ref="D84:I84"/>
    <mergeCell ref="A85:I85"/>
    <mergeCell ref="M87:M88"/>
    <mergeCell ref="O87:P87"/>
    <mergeCell ref="O88:P88"/>
    <mergeCell ref="CR76:CT76"/>
    <mergeCell ref="CF77:CL77"/>
    <mergeCell ref="CM77:CO77"/>
    <mergeCell ref="CR77:CT77"/>
    <mergeCell ref="A78:A79"/>
    <mergeCell ref="B78:B79"/>
    <mergeCell ref="F78:F79"/>
    <mergeCell ref="CF78:CL78"/>
    <mergeCell ref="CM78:CV78"/>
    <mergeCell ref="A76:A77"/>
    <mergeCell ref="B76:B77"/>
    <mergeCell ref="C76:C79"/>
    <mergeCell ref="F76:F77"/>
    <mergeCell ref="CF76:CL76"/>
    <mergeCell ref="CM76:CO76"/>
    <mergeCell ref="CR89:CS89"/>
    <mergeCell ref="B104:J104"/>
    <mergeCell ref="P104:R104"/>
    <mergeCell ref="CM104:CQ104"/>
    <mergeCell ref="A105:H105"/>
    <mergeCell ref="I105:L105"/>
    <mergeCell ref="M105:N105"/>
    <mergeCell ref="O105:O106"/>
    <mergeCell ref="P105:U105"/>
    <mergeCell ref="V105:Y105"/>
    <mergeCell ref="CW105:CW106"/>
    <mergeCell ref="CX105:CX106"/>
    <mergeCell ref="AO106:AP106"/>
    <mergeCell ref="A108:F108"/>
    <mergeCell ref="CD108:CI108"/>
    <mergeCell ref="A109:A112"/>
    <mergeCell ref="B109:B110"/>
    <mergeCell ref="C109:C110"/>
    <mergeCell ref="D109:D110"/>
    <mergeCell ref="F109:F110"/>
    <mergeCell ref="BO105:BP105"/>
    <mergeCell ref="CD105:CK105"/>
    <mergeCell ref="CL105:CO105"/>
    <mergeCell ref="CP105:CQ105"/>
    <mergeCell ref="CR105:CT105"/>
    <mergeCell ref="CU105:CV105"/>
    <mergeCell ref="AB105:AB106"/>
    <mergeCell ref="AC105:AC106"/>
    <mergeCell ref="AG105:AJ105"/>
    <mergeCell ref="AK105:AN105"/>
    <mergeCell ref="AO105:AP105"/>
    <mergeCell ref="BM105:BN105"/>
    <mergeCell ref="CG111:CG112"/>
    <mergeCell ref="CI111:CI112"/>
    <mergeCell ref="A114:F114"/>
    <mergeCell ref="G114:I114"/>
    <mergeCell ref="CD114:CI114"/>
    <mergeCell ref="CJ114:CL114"/>
    <mergeCell ref="CG109:CG110"/>
    <mergeCell ref="CI109:CI110"/>
    <mergeCell ref="CJ109:CJ110"/>
    <mergeCell ref="B111:B112"/>
    <mergeCell ref="C111:C112"/>
    <mergeCell ref="D111:D112"/>
    <mergeCell ref="F111:F112"/>
    <mergeCell ref="AF111:AF112"/>
    <mergeCell ref="CE111:CE112"/>
    <mergeCell ref="CF111:CF112"/>
    <mergeCell ref="G109:G110"/>
    <mergeCell ref="AC109:AC110"/>
    <mergeCell ref="AF109:AF110"/>
    <mergeCell ref="CD109:CD112"/>
    <mergeCell ref="CE109:CE110"/>
    <mergeCell ref="CF109:CF110"/>
    <mergeCell ref="F125:F126"/>
    <mergeCell ref="AF125:AF126"/>
    <mergeCell ref="CD125:CD126"/>
    <mergeCell ref="CE125:CE126"/>
    <mergeCell ref="CG125:CG126"/>
    <mergeCell ref="CI125:CI126"/>
    <mergeCell ref="C115:C122"/>
    <mergeCell ref="CF115:CF122"/>
    <mergeCell ref="AC121:AC122"/>
    <mergeCell ref="F124:G124"/>
    <mergeCell ref="I124:K124"/>
    <mergeCell ref="CI124:CJ124"/>
    <mergeCell ref="F127:F128"/>
    <mergeCell ref="B129:G129"/>
    <mergeCell ref="CE129:CJ129"/>
    <mergeCell ref="C130:C135"/>
    <mergeCell ref="CF130:CF135"/>
    <mergeCell ref="A136:D136"/>
    <mergeCell ref="E136:H136"/>
    <mergeCell ref="CD136:CG136"/>
    <mergeCell ref="CH136:CK136"/>
    <mergeCell ref="A148:F148"/>
    <mergeCell ref="CD148:CI148"/>
    <mergeCell ref="C149:C150"/>
    <mergeCell ref="CF149:CF150"/>
    <mergeCell ref="C152:C156"/>
    <mergeCell ref="CF152:CF154"/>
    <mergeCell ref="A137:F137"/>
    <mergeCell ref="CD137:CI137"/>
    <mergeCell ref="A138:A139"/>
    <mergeCell ref="B138:B139"/>
    <mergeCell ref="C138:C147"/>
    <mergeCell ref="CF138:CF147"/>
    <mergeCell ref="B157:I157"/>
    <mergeCell ref="CE157:CL157"/>
    <mergeCell ref="C158:C159"/>
    <mergeCell ref="CF158:CF160"/>
    <mergeCell ref="A164:B164"/>
    <mergeCell ref="C164:G164"/>
    <mergeCell ref="P164:S164"/>
    <mergeCell ref="BL164:BL165"/>
    <mergeCell ref="CF164:CL164"/>
    <mergeCell ref="CF166:CL166"/>
    <mergeCell ref="CM166:CV166"/>
    <mergeCell ref="M167:M168"/>
    <mergeCell ref="O167:P167"/>
    <mergeCell ref="C168:D168"/>
    <mergeCell ref="E168:F168"/>
    <mergeCell ref="O168:P168"/>
    <mergeCell ref="CM164:CO164"/>
    <mergeCell ref="CR164:CT164"/>
    <mergeCell ref="A165:G165"/>
    <mergeCell ref="O165:S165"/>
    <mergeCell ref="CF165:CL165"/>
    <mergeCell ref="CM165:CO165"/>
    <mergeCell ref="CR165:CT165"/>
    <mergeCell ref="B178:J178"/>
    <mergeCell ref="N178:P178"/>
    <mergeCell ref="CI178:CM178"/>
    <mergeCell ref="A179:O179"/>
    <mergeCell ref="CD179:CQ179"/>
    <mergeCell ref="A180:H180"/>
    <mergeCell ref="I180:L180"/>
    <mergeCell ref="M180:N180"/>
    <mergeCell ref="O180:O181"/>
    <mergeCell ref="P180:Y180"/>
    <mergeCell ref="CR180:CT180"/>
    <mergeCell ref="CU180:CV180"/>
    <mergeCell ref="CW180:CW181"/>
    <mergeCell ref="CX180:CX181"/>
    <mergeCell ref="BX181:CA181"/>
    <mergeCell ref="A183:F183"/>
    <mergeCell ref="CD183:CI183"/>
    <mergeCell ref="AC180:AC181"/>
    <mergeCell ref="BM180:BN180"/>
    <mergeCell ref="BO180:BP180"/>
    <mergeCell ref="CD180:CK180"/>
    <mergeCell ref="CL180:CO180"/>
    <mergeCell ref="CP180:CQ180"/>
    <mergeCell ref="C192:C202"/>
    <mergeCell ref="P192:P202"/>
    <mergeCell ref="BX192:CA192"/>
    <mergeCell ref="CF192:CF202"/>
    <mergeCell ref="BZ193:BZ204"/>
    <mergeCell ref="A202:A203"/>
    <mergeCell ref="A204:G204"/>
    <mergeCell ref="CD204:CJ204"/>
    <mergeCell ref="C184:C190"/>
    <mergeCell ref="P184:P190"/>
    <mergeCell ref="BX184:CA184"/>
    <mergeCell ref="CF184:CF190"/>
    <mergeCell ref="BZ185:BZ191"/>
    <mergeCell ref="A191:F191"/>
    <mergeCell ref="CD191:CI191"/>
    <mergeCell ref="CF208:CO208"/>
    <mergeCell ref="CP208:CV208"/>
    <mergeCell ref="CX204:CX207"/>
    <mergeCell ref="A205:L205"/>
    <mergeCell ref="CF205:CO205"/>
    <mergeCell ref="A206:L206"/>
    <mergeCell ref="BX206:CA206"/>
    <mergeCell ref="CF206:CO206"/>
    <mergeCell ref="A207:L207"/>
    <mergeCell ref="BX207:CA207"/>
    <mergeCell ref="CF207:CO207"/>
  </mergeCells>
  <printOptions horizontalCentered="1"/>
  <pageMargins left="0.25" right="0.25" top="0.25" bottom="0.25" header="0" footer="0"/>
  <pageSetup paperSize="9" scale="52" fitToWidth="0" fitToHeight="0" orientation="landscape" r:id="rId1"/>
  <rowBreaks count="5" manualBreakCount="5">
    <brk id="41" max="28" man="1"/>
    <brk id="102" max="28" man="1"/>
    <brk id="137" max="28" man="1"/>
    <brk id="177" max="28" man="1"/>
    <brk id="225" max="28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zoomScale="80" zoomScaleNormal="80" workbookViewId="0">
      <selection activeCell="E15" sqref="E15"/>
    </sheetView>
  </sheetViews>
  <sheetFormatPr defaultRowHeight="14.5" x14ac:dyDescent="0.35"/>
  <cols>
    <col min="1" max="1" width="4.54296875" style="34" customWidth="1"/>
    <col min="2" max="2" width="19.7265625" style="34" customWidth="1"/>
    <col min="3" max="3" width="22.26953125" style="34" customWidth="1"/>
    <col min="4" max="4" width="23.7265625" style="34" customWidth="1"/>
    <col min="5" max="5" width="22.7265625" style="34" customWidth="1"/>
    <col min="6" max="6" width="27.54296875" customWidth="1"/>
  </cols>
  <sheetData>
    <row r="3" spans="1:6" ht="15" thickBot="1" x14ac:dyDescent="0.4"/>
    <row r="4" spans="1:6" ht="15" thickBot="1" x14ac:dyDescent="0.4">
      <c r="A4" s="757" t="s">
        <v>45</v>
      </c>
      <c r="B4" s="758" t="s">
        <v>225</v>
      </c>
      <c r="C4" s="759" t="s">
        <v>226</v>
      </c>
      <c r="D4" s="758" t="s">
        <v>227</v>
      </c>
      <c r="E4" s="758" t="s">
        <v>228</v>
      </c>
    </row>
    <row r="5" spans="1:6" ht="15" thickBot="1" x14ac:dyDescent="0.4">
      <c r="A5" s="25"/>
      <c r="B5" s="760"/>
      <c r="C5" s="761"/>
      <c r="D5" s="761"/>
      <c r="E5" s="761"/>
    </row>
    <row r="6" spans="1:6" ht="29.5" thickBot="1" x14ac:dyDescent="0.4">
      <c r="A6" s="762">
        <v>1</v>
      </c>
      <c r="B6" s="763" t="s">
        <v>1215</v>
      </c>
      <c r="C6" s="764" t="s">
        <v>1216</v>
      </c>
      <c r="D6" s="763" t="s">
        <v>1217</v>
      </c>
      <c r="E6" s="763" t="s">
        <v>1218</v>
      </c>
      <c r="F6" s="35"/>
    </row>
    <row r="7" spans="1:6" ht="29.5" thickBot="1" x14ac:dyDescent="0.4">
      <c r="A7" s="760">
        <v>2</v>
      </c>
      <c r="B7" s="763" t="s">
        <v>1219</v>
      </c>
      <c r="C7" s="764" t="s">
        <v>1220</v>
      </c>
      <c r="D7" s="763" t="s">
        <v>1221</v>
      </c>
      <c r="E7" s="763" t="s">
        <v>1222</v>
      </c>
    </row>
    <row r="8" spans="1:6" ht="29.5" thickBot="1" x14ac:dyDescent="0.4">
      <c r="A8" s="760">
        <v>3</v>
      </c>
      <c r="B8" s="763" t="s">
        <v>1223</v>
      </c>
      <c r="C8" s="764" t="s">
        <v>1224</v>
      </c>
      <c r="D8" s="763" t="s">
        <v>1225</v>
      </c>
      <c r="E8" s="763" t="s">
        <v>1226</v>
      </c>
    </row>
    <row r="9" spans="1:6" ht="29.5" thickBot="1" x14ac:dyDescent="0.4">
      <c r="A9" s="760">
        <v>4</v>
      </c>
      <c r="B9" s="763" t="s">
        <v>1227</v>
      </c>
      <c r="C9" s="764" t="s">
        <v>1228</v>
      </c>
      <c r="D9" s="763" t="s">
        <v>1229</v>
      </c>
      <c r="E9" s="763" t="s">
        <v>1230</v>
      </c>
    </row>
    <row r="10" spans="1:6" ht="30" customHeight="1" thickBot="1" x14ac:dyDescent="0.4">
      <c r="A10" s="760">
        <v>5</v>
      </c>
      <c r="B10" s="763" t="s">
        <v>1231</v>
      </c>
      <c r="C10" s="764" t="s">
        <v>1232</v>
      </c>
      <c r="D10" s="763" t="s">
        <v>1233</v>
      </c>
      <c r="E10" s="763" t="s">
        <v>1234</v>
      </c>
    </row>
    <row r="11" spans="1:6" ht="29.5" thickBot="1" x14ac:dyDescent="0.4">
      <c r="A11" s="760">
        <v>6</v>
      </c>
      <c r="B11" s="763" t="s">
        <v>1235</v>
      </c>
      <c r="C11" s="764" t="s">
        <v>1236</v>
      </c>
      <c r="D11" s="763" t="s">
        <v>1237</v>
      </c>
      <c r="E11" s="763" t="s">
        <v>195</v>
      </c>
    </row>
    <row r="12" spans="1:6" ht="29.5" thickBot="1" x14ac:dyDescent="0.4">
      <c r="A12" s="760">
        <v>7</v>
      </c>
      <c r="B12" s="763" t="s">
        <v>1238</v>
      </c>
      <c r="C12" s="764" t="s">
        <v>1239</v>
      </c>
      <c r="D12" s="763" t="s">
        <v>1240</v>
      </c>
      <c r="E12" s="763" t="s">
        <v>1241</v>
      </c>
    </row>
    <row r="13" spans="1:6" ht="29.5" thickBot="1" x14ac:dyDescent="0.4">
      <c r="A13" s="760">
        <v>8</v>
      </c>
      <c r="B13" s="763" t="s">
        <v>1242</v>
      </c>
      <c r="C13" s="763" t="s">
        <v>1243</v>
      </c>
      <c r="D13" s="763" t="s">
        <v>1244</v>
      </c>
      <c r="E13" s="763" t="s">
        <v>1245</v>
      </c>
    </row>
    <row r="14" spans="1:6" ht="29.5" thickBot="1" x14ac:dyDescent="0.4">
      <c r="A14" s="760">
        <v>9</v>
      </c>
      <c r="B14" s="763" t="s">
        <v>1246</v>
      </c>
      <c r="C14" s="763" t="s">
        <v>1247</v>
      </c>
      <c r="D14" s="763" t="s">
        <v>1248</v>
      </c>
      <c r="E14" s="763" t="s">
        <v>1249</v>
      </c>
    </row>
    <row r="15" spans="1:6" ht="29.5" thickBot="1" x14ac:dyDescent="0.4">
      <c r="A15" s="760">
        <v>10</v>
      </c>
      <c r="B15" s="763" t="s">
        <v>1250</v>
      </c>
      <c r="C15" s="763" t="s">
        <v>1251</v>
      </c>
      <c r="D15" s="763" t="s">
        <v>1252</v>
      </c>
      <c r="E15" s="763" t="s">
        <v>1253</v>
      </c>
    </row>
    <row r="16" spans="1:6" ht="29.5" thickBot="1" x14ac:dyDescent="0.4">
      <c r="A16" s="760">
        <v>11</v>
      </c>
      <c r="B16" s="763" t="s">
        <v>1254</v>
      </c>
      <c r="C16" s="763" t="s">
        <v>1255</v>
      </c>
      <c r="D16" s="763" t="s">
        <v>1256</v>
      </c>
      <c r="E16" s="763" t="s">
        <v>1257</v>
      </c>
    </row>
    <row r="17" spans="1:6" ht="29.5" thickBot="1" x14ac:dyDescent="0.4">
      <c r="A17" s="760">
        <v>12</v>
      </c>
      <c r="B17" s="763" t="s">
        <v>1258</v>
      </c>
      <c r="C17" s="763" t="s">
        <v>1259</v>
      </c>
      <c r="D17" s="763" t="s">
        <v>1260</v>
      </c>
      <c r="E17" s="763" t="s">
        <v>1261</v>
      </c>
    </row>
    <row r="18" spans="1:6" ht="29.5" thickBot="1" x14ac:dyDescent="0.4">
      <c r="A18" s="760">
        <v>13</v>
      </c>
      <c r="B18" s="763" t="s">
        <v>1262</v>
      </c>
      <c r="C18" s="763" t="s">
        <v>1263</v>
      </c>
      <c r="D18" s="763" t="s">
        <v>1264</v>
      </c>
      <c r="E18" s="763" t="s">
        <v>1265</v>
      </c>
    </row>
    <row r="19" spans="1:6" ht="44" thickBot="1" x14ac:dyDescent="0.4">
      <c r="A19" s="760">
        <v>14</v>
      </c>
      <c r="B19" s="763" t="s">
        <v>156</v>
      </c>
      <c r="C19" s="763" t="s">
        <v>1266</v>
      </c>
      <c r="D19" s="763" t="s">
        <v>1267</v>
      </c>
      <c r="E19" s="763" t="s">
        <v>1268</v>
      </c>
    </row>
    <row r="20" spans="1:6" ht="29.5" thickBot="1" x14ac:dyDescent="0.4">
      <c r="A20" s="760">
        <v>15</v>
      </c>
      <c r="B20" s="763" t="s">
        <v>1269</v>
      </c>
      <c r="C20" s="763" t="s">
        <v>1270</v>
      </c>
      <c r="D20" s="763" t="s">
        <v>1271</v>
      </c>
      <c r="E20" s="763" t="s">
        <v>1272</v>
      </c>
    </row>
    <row r="21" spans="1:6" ht="38.25" customHeight="1" thickBot="1" x14ac:dyDescent="0.4">
      <c r="A21" s="760">
        <v>16</v>
      </c>
      <c r="B21" s="763" t="s">
        <v>1273</v>
      </c>
      <c r="C21" s="763" t="s">
        <v>1274</v>
      </c>
      <c r="D21" s="763" t="s">
        <v>1275</v>
      </c>
      <c r="E21" s="763" t="s">
        <v>1276</v>
      </c>
    </row>
    <row r="22" spans="1:6" ht="38.25" customHeight="1" thickBot="1" x14ac:dyDescent="0.4">
      <c r="A22" s="760">
        <v>17</v>
      </c>
      <c r="B22" s="763" t="s">
        <v>1277</v>
      </c>
      <c r="C22" s="763" t="s">
        <v>1278</v>
      </c>
      <c r="D22" s="763" t="s">
        <v>1279</v>
      </c>
      <c r="E22" s="763" t="s">
        <v>1280</v>
      </c>
    </row>
    <row r="23" spans="1:6" ht="29.5" thickBot="1" x14ac:dyDescent="0.4">
      <c r="A23" s="760">
        <v>18</v>
      </c>
      <c r="B23" s="763" t="s">
        <v>1281</v>
      </c>
      <c r="C23" s="763" t="s">
        <v>1282</v>
      </c>
      <c r="D23" s="763" t="s">
        <v>1283</v>
      </c>
      <c r="E23" s="763" t="s">
        <v>1284</v>
      </c>
    </row>
    <row r="24" spans="1:6" ht="29.5" thickBot="1" x14ac:dyDescent="0.4">
      <c r="A24" s="760">
        <v>19</v>
      </c>
      <c r="B24" s="763" t="s">
        <v>1285</v>
      </c>
      <c r="C24" s="763" t="s">
        <v>1286</v>
      </c>
      <c r="D24" s="763" t="s">
        <v>1287</v>
      </c>
      <c r="E24" s="763" t="s">
        <v>1288</v>
      </c>
    </row>
    <row r="25" spans="1:6" ht="29.5" thickBot="1" x14ac:dyDescent="0.4">
      <c r="A25" s="760">
        <v>20</v>
      </c>
      <c r="B25" s="763" t="s">
        <v>1289</v>
      </c>
      <c r="C25" s="765"/>
      <c r="D25" s="763" t="s">
        <v>1290</v>
      </c>
      <c r="E25" s="763" t="s">
        <v>1291</v>
      </c>
    </row>
    <row r="26" spans="1:6" ht="29.5" thickBot="1" x14ac:dyDescent="0.4">
      <c r="A26" s="760">
        <v>21</v>
      </c>
      <c r="B26" s="763" t="s">
        <v>1292</v>
      </c>
      <c r="C26" s="765"/>
      <c r="D26" s="761"/>
      <c r="E26" s="763" t="s">
        <v>1293</v>
      </c>
    </row>
    <row r="27" spans="1:6" ht="29.5" thickBot="1" x14ac:dyDescent="0.4">
      <c r="A27" s="760">
        <v>22</v>
      </c>
      <c r="B27" s="763" t="s">
        <v>1294</v>
      </c>
      <c r="C27" s="761"/>
      <c r="D27" s="761"/>
      <c r="E27" s="765"/>
      <c r="F27" s="19"/>
    </row>
    <row r="28" spans="1:6" ht="29.5" thickBot="1" x14ac:dyDescent="0.4">
      <c r="A28" s="760">
        <v>23</v>
      </c>
      <c r="B28" s="763" t="s">
        <v>1295</v>
      </c>
      <c r="C28" s="761"/>
      <c r="D28" s="761"/>
      <c r="E28" s="765"/>
      <c r="F28" s="19"/>
    </row>
    <row r="29" spans="1:6" ht="29.5" thickBot="1" x14ac:dyDescent="0.4">
      <c r="A29" s="760">
        <v>24</v>
      </c>
      <c r="B29" s="763" t="s">
        <v>1296</v>
      </c>
      <c r="C29" s="761"/>
      <c r="D29" s="761"/>
      <c r="E29" s="765"/>
      <c r="F29" s="19"/>
    </row>
    <row r="30" spans="1:6" ht="30" customHeight="1" thickBot="1" x14ac:dyDescent="0.4">
      <c r="A30" s="760">
        <v>25</v>
      </c>
      <c r="B30" s="763" t="s">
        <v>1297</v>
      </c>
      <c r="C30" s="761"/>
      <c r="D30" s="761"/>
      <c r="E30" s="765"/>
      <c r="F30" s="19"/>
    </row>
    <row r="31" spans="1:6" ht="29.5" thickBot="1" x14ac:dyDescent="0.4">
      <c r="A31" s="760">
        <v>26</v>
      </c>
      <c r="B31" s="763" t="s">
        <v>1298</v>
      </c>
      <c r="C31" s="761"/>
      <c r="D31" s="761"/>
      <c r="E31" s="765"/>
      <c r="F31" s="19"/>
    </row>
    <row r="32" spans="1:6" ht="29.5" thickBot="1" x14ac:dyDescent="0.4">
      <c r="A32" s="760">
        <v>27</v>
      </c>
      <c r="B32" s="763" t="s">
        <v>1299</v>
      </c>
      <c r="C32" s="761"/>
      <c r="D32" s="761"/>
      <c r="E32" s="765"/>
    </row>
    <row r="33" spans="1:5" x14ac:dyDescent="0.35">
      <c r="A33" s="33"/>
      <c r="B33" s="33"/>
      <c r="C33" s="33"/>
      <c r="D33" s="33"/>
      <c r="E33" s="33"/>
    </row>
    <row r="34" spans="1:5" x14ac:dyDescent="0.35">
      <c r="A34" s="33"/>
      <c r="B34" s="33"/>
      <c r="C34" s="33"/>
      <c r="D34" s="33"/>
      <c r="E34" s="33"/>
    </row>
    <row r="35" spans="1:5" x14ac:dyDescent="0.35">
      <c r="A35" s="33"/>
      <c r="B35" s="33"/>
      <c r="C35" s="33"/>
      <c r="D35" s="33"/>
      <c r="E35" s="33"/>
    </row>
    <row r="36" spans="1:5" x14ac:dyDescent="0.35">
      <c r="A36" s="33"/>
      <c r="B36" s="33"/>
      <c r="C36" s="33"/>
      <c r="D36" s="33"/>
      <c r="E36" s="33"/>
    </row>
    <row r="37" spans="1:5" x14ac:dyDescent="0.35">
      <c r="A37" s="33"/>
      <c r="B37" s="33"/>
      <c r="C37" s="33"/>
      <c r="D37" s="33"/>
      <c r="E37" s="33"/>
    </row>
    <row r="38" spans="1:5" x14ac:dyDescent="0.35">
      <c r="A38" s="33"/>
      <c r="B38" s="33"/>
      <c r="C38" s="33"/>
      <c r="D38" s="33"/>
      <c r="E38" s="33"/>
    </row>
    <row r="39" spans="1:5" x14ac:dyDescent="0.35">
      <c r="A39" s="33"/>
      <c r="B39" s="33"/>
      <c r="C39" s="33"/>
      <c r="D39" s="33"/>
      <c r="E39" s="33"/>
    </row>
    <row r="40" spans="1:5" x14ac:dyDescent="0.35">
      <c r="A40" s="33"/>
      <c r="B40" s="33"/>
      <c r="C40" s="33"/>
      <c r="D40" s="33"/>
      <c r="E40" s="33"/>
    </row>
    <row r="41" spans="1:5" x14ac:dyDescent="0.35">
      <c r="A41" s="33"/>
      <c r="B41" s="33"/>
      <c r="C41" s="33"/>
      <c r="D41" s="33"/>
      <c r="E41" s="33"/>
    </row>
    <row r="42" spans="1:5" x14ac:dyDescent="0.35">
      <c r="A42" s="33"/>
      <c r="B42" s="33"/>
      <c r="C42" s="33"/>
      <c r="D42" s="33"/>
      <c r="E42" s="33"/>
    </row>
    <row r="43" spans="1:5" x14ac:dyDescent="0.35">
      <c r="A43" s="33"/>
      <c r="B43" s="33"/>
      <c r="C43" s="33"/>
      <c r="D43" s="33"/>
      <c r="E43" s="33"/>
    </row>
  </sheetData>
  <phoneticPr fontId="3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1:O1117"/>
  <sheetViews>
    <sheetView topLeftCell="A154" workbookViewId="0">
      <selection activeCell="N329" sqref="N329"/>
    </sheetView>
  </sheetViews>
  <sheetFormatPr defaultRowHeight="14.5" x14ac:dyDescent="0.35"/>
  <cols>
    <col min="1" max="1" width="2.81640625" style="2019" bestFit="1" customWidth="1"/>
    <col min="2" max="2" width="38.1796875" style="2019" bestFit="1" customWidth="1"/>
    <col min="3" max="3" width="7" style="2019" bestFit="1" customWidth="1"/>
    <col min="4" max="4" width="7.26953125" style="2019" bestFit="1" customWidth="1"/>
    <col min="5" max="5" width="15" style="2019" bestFit="1" customWidth="1"/>
    <col min="6" max="6" width="6.36328125" style="791" bestFit="1" customWidth="1"/>
    <col min="7" max="7" width="15.6328125" style="791" bestFit="1" customWidth="1"/>
    <col min="8" max="8" width="14.54296875" style="791" bestFit="1" customWidth="1"/>
    <col min="9" max="9" width="10.90625" style="791" bestFit="1" customWidth="1"/>
    <col min="10" max="10" width="9.36328125" style="791" bestFit="1" customWidth="1"/>
    <col min="11" max="11" width="4.81640625" style="791" customWidth="1"/>
    <col min="12" max="12" width="10.36328125" style="791" bestFit="1" customWidth="1"/>
    <col min="13" max="13" width="11.81640625" style="791" bestFit="1" customWidth="1"/>
    <col min="14" max="14" width="13.6328125" style="2019" bestFit="1" customWidth="1"/>
    <col min="15" max="15" width="26.1796875" style="2019" customWidth="1"/>
  </cols>
  <sheetData>
    <row r="1" spans="1:15" x14ac:dyDescent="0.35">
      <c r="A1" s="2019" t="s">
        <v>45</v>
      </c>
      <c r="B1" s="2019" t="s">
        <v>4684</v>
      </c>
      <c r="C1" s="2019" t="s">
        <v>4685</v>
      </c>
      <c r="D1" s="2019" t="s">
        <v>4686</v>
      </c>
      <c r="E1" s="2019" t="s">
        <v>4687</v>
      </c>
      <c r="F1" s="791" t="s">
        <v>3</v>
      </c>
      <c r="G1" s="791" t="s">
        <v>4688</v>
      </c>
      <c r="H1" s="791" t="s">
        <v>4689</v>
      </c>
      <c r="I1" s="791" t="s">
        <v>10</v>
      </c>
      <c r="J1" s="791" t="s">
        <v>5</v>
      </c>
      <c r="K1" s="791" t="s">
        <v>4690</v>
      </c>
      <c r="L1" s="791" t="s">
        <v>4691</v>
      </c>
      <c r="M1" s="791" t="s">
        <v>4692</v>
      </c>
      <c r="N1" s="2019" t="s">
        <v>47</v>
      </c>
      <c r="O1" s="2019" t="s">
        <v>46</v>
      </c>
    </row>
    <row r="2" spans="1:15" x14ac:dyDescent="0.35">
      <c r="A2" s="2019">
        <f>'NORTH-1'!A106</f>
        <v>4</v>
      </c>
      <c r="B2" s="2019" t="str">
        <f>'NORTH-1'!B106</f>
        <v>11 kV Balaka Feeder</v>
      </c>
      <c r="C2" s="2019">
        <f>'NORTH-1'!C106</f>
        <v>11</v>
      </c>
      <c r="D2" s="2019" t="str">
        <f>'NORTH-1'!D106</f>
        <v>EXPORT</v>
      </c>
      <c r="E2" s="2019" t="str">
        <f>'NORTH-1'!E106</f>
        <v>HA021100901-02</v>
      </c>
      <c r="F2" s="791">
        <f>'NORTH-1'!F106</f>
        <v>1</v>
      </c>
      <c r="G2" s="791">
        <f>'NORTH-1'!G106</f>
        <v>99538315</v>
      </c>
      <c r="H2" s="791">
        <f>'NORTH-1'!H106</f>
        <v>100128820</v>
      </c>
      <c r="I2" s="791">
        <f>'NORTH-1'!I106</f>
        <v>590505</v>
      </c>
      <c r="J2" s="791">
        <f>'NORTH-1'!J106</f>
        <v>1</v>
      </c>
      <c r="K2" s="791">
        <f>'NORTH-1'!K106</f>
        <v>0</v>
      </c>
      <c r="L2" s="791">
        <f>'NORTH-1'!L106</f>
        <v>590505</v>
      </c>
      <c r="M2" s="791">
        <f>'NORTH-1'!M106</f>
        <v>592617.63316153642</v>
      </c>
      <c r="N2" s="2019" t="str">
        <f>'NORTH-1'!N106</f>
        <v>Paribag</v>
      </c>
      <c r="O2" s="2019" t="str">
        <f>Sheet2!$C$10</f>
        <v>Dhanmondi 33/11KV S/S</v>
      </c>
    </row>
    <row r="3" spans="1:15" x14ac:dyDescent="0.35">
      <c r="A3" s="2019">
        <f>'NORTH-1'!A107</f>
        <v>5</v>
      </c>
      <c r="B3" s="2019" t="str">
        <f>'NORTH-1'!B107</f>
        <v>11 kV Mogbazar O/H</v>
      </c>
      <c r="C3" s="2019">
        <f>'NORTH-1'!C107</f>
        <v>11</v>
      </c>
      <c r="D3" s="2019">
        <f>'NORTH-1'!D107</f>
        <v>0</v>
      </c>
      <c r="E3" s="2019" t="str">
        <f>'NORTH-1'!E107</f>
        <v>HA021100463-02</v>
      </c>
      <c r="F3" s="791">
        <f>'NORTH-1'!F107</f>
        <v>1</v>
      </c>
      <c r="G3" s="791">
        <f>'NORTH-1'!G107</f>
        <v>38078215</v>
      </c>
      <c r="H3" s="791">
        <f>'NORTH-1'!H107</f>
        <v>38971515</v>
      </c>
      <c r="I3" s="791">
        <f>'NORTH-1'!I107</f>
        <v>893300</v>
      </c>
      <c r="J3" s="791">
        <f>'NORTH-1'!J107</f>
        <v>1</v>
      </c>
      <c r="K3" s="791">
        <f>'NORTH-1'!K107</f>
        <v>0</v>
      </c>
      <c r="L3" s="791">
        <f>'NORTH-1'!L107</f>
        <v>893300</v>
      </c>
      <c r="M3" s="791">
        <f>'NORTH-1'!M107</f>
        <v>896495.93433281756</v>
      </c>
      <c r="N3" s="2019" t="str">
        <f>'NORTH-1'!N107</f>
        <v>Paribag</v>
      </c>
      <c r="O3" s="2019" t="str">
        <f>Sheet2!$C$10</f>
        <v>Dhanmondi 33/11KV S/S</v>
      </c>
    </row>
    <row r="4" spans="1:15" x14ac:dyDescent="0.35">
      <c r="A4" s="2019">
        <f>'NORTH-1'!A108</f>
        <v>6</v>
      </c>
      <c r="B4" s="2019" t="str">
        <f>'NORTH-1'!B108</f>
        <v>11 kV Panthopath Feeder</v>
      </c>
      <c r="C4" s="2019">
        <f>'NORTH-1'!C108</f>
        <v>11</v>
      </c>
      <c r="D4" s="2019">
        <f>'NORTH-1'!D108</f>
        <v>0</v>
      </c>
      <c r="E4" s="2019" t="str">
        <f>'NORTH-1'!E108</f>
        <v>HA021101078-02</v>
      </c>
      <c r="F4" s="791">
        <f>'NORTH-1'!F108</f>
        <v>1</v>
      </c>
      <c r="G4" s="791">
        <f>'NORTH-1'!G108</f>
        <v>48808909</v>
      </c>
      <c r="H4" s="791">
        <f>'NORTH-1'!H108</f>
        <v>49541522</v>
      </c>
      <c r="I4" s="791">
        <f>'NORTH-1'!I108</f>
        <v>732613</v>
      </c>
      <c r="J4" s="791">
        <f>'NORTH-1'!J108</f>
        <v>1</v>
      </c>
      <c r="K4" s="791">
        <f>'NORTH-1'!K108</f>
        <v>0</v>
      </c>
      <c r="L4" s="791">
        <f>'NORTH-1'!L108</f>
        <v>732613</v>
      </c>
      <c r="M4" s="791">
        <f>'NORTH-1'!M108</f>
        <v>735234.04896380671</v>
      </c>
      <c r="N4" s="2019" t="str">
        <f>'NORTH-1'!N108</f>
        <v>Paribag</v>
      </c>
      <c r="O4" s="2019" t="str">
        <f>Sheet2!$C$10</f>
        <v>Dhanmondi 33/11KV S/S</v>
      </c>
    </row>
    <row r="5" spans="1:15" x14ac:dyDescent="0.35">
      <c r="A5" s="2019">
        <f>'NORTH-1'!A109</f>
        <v>7</v>
      </c>
      <c r="B5" s="2019" t="str">
        <f>'NORTH-1'!B109</f>
        <v>11 kV Shahbagh Feeder ( old University O/H)</v>
      </c>
      <c r="C5" s="2019">
        <f>'NORTH-1'!C109</f>
        <v>11</v>
      </c>
      <c r="D5" s="2019">
        <f>'NORTH-1'!D109</f>
        <v>0</v>
      </c>
      <c r="E5" s="2019" t="str">
        <f>'NORTH-1'!E109</f>
        <v>DHK60882</v>
      </c>
      <c r="F5" s="791">
        <f>'NORTH-1'!F109</f>
        <v>1</v>
      </c>
      <c r="G5" s="791">
        <f>'NORTH-1'!G109</f>
        <v>166405.9</v>
      </c>
      <c r="H5" s="791">
        <f>'NORTH-1'!H109</f>
        <v>171162.6</v>
      </c>
      <c r="I5" s="791">
        <f>'NORTH-1'!I109</f>
        <v>4756.7000000000116</v>
      </c>
      <c r="J5" s="791">
        <f>'NORTH-1'!J109</f>
        <v>60</v>
      </c>
      <c r="K5" s="791">
        <f>'NORTH-1'!K109</f>
        <v>0</v>
      </c>
      <c r="L5" s="791">
        <f>'NORTH-1'!L109</f>
        <v>285402.0000000007</v>
      </c>
      <c r="M5" s="791">
        <f>'NORTH-1'!M109</f>
        <v>286423.07472344721</v>
      </c>
      <c r="N5" s="2019" t="str">
        <f>'NORTH-1'!N109</f>
        <v>Paribag</v>
      </c>
      <c r="O5" s="2019" t="str">
        <f>Sheet2!$C$10</f>
        <v>Dhanmondi 33/11KV S/S</v>
      </c>
    </row>
    <row r="6" spans="1:15" x14ac:dyDescent="0.35">
      <c r="A6" s="2019">
        <f>'NORTH-1'!A110</f>
        <v>8</v>
      </c>
      <c r="B6" s="2019" t="str">
        <f>'NORTH-1'!B110</f>
        <v>11 kV P G Hospital Feeder</v>
      </c>
      <c r="C6" s="2019">
        <f>'NORTH-1'!C110</f>
        <v>11</v>
      </c>
      <c r="D6" s="2019">
        <f>'NORTH-1'!D110</f>
        <v>0</v>
      </c>
      <c r="E6" s="2019" t="str">
        <f>'NORTH-1'!E110</f>
        <v>DHK60889</v>
      </c>
      <c r="F6" s="791">
        <f>'NORTH-1'!F110</f>
        <v>1</v>
      </c>
      <c r="G6" s="791">
        <f>'NORTH-1'!G110</f>
        <v>260218</v>
      </c>
      <c r="H6" s="791">
        <f>'NORTH-1'!H110</f>
        <v>262269</v>
      </c>
      <c r="I6" s="791">
        <f>'NORTH-1'!I110</f>
        <v>2051</v>
      </c>
      <c r="J6" s="791">
        <f>'NORTH-1'!J110</f>
        <v>60</v>
      </c>
      <c r="K6" s="791">
        <f>'NORTH-1'!K110</f>
        <v>0</v>
      </c>
      <c r="L6" s="791">
        <f>'NORTH-1'!L110</f>
        <v>123060</v>
      </c>
      <c r="M6" s="791">
        <f>'NORTH-1'!M110</f>
        <v>123500.26830739564</v>
      </c>
      <c r="N6" s="2019" t="str">
        <f>'NORTH-1'!N110</f>
        <v>Paribag</v>
      </c>
      <c r="O6" s="2019" t="str">
        <f>Sheet2!$C$10</f>
        <v>Dhanmondi 33/11KV S/S</v>
      </c>
    </row>
    <row r="7" spans="1:15" x14ac:dyDescent="0.35">
      <c r="A7" s="2019">
        <f>'NORTH-1'!A111</f>
        <v>9</v>
      </c>
      <c r="B7" s="2019" t="str">
        <f>'NORTH-1'!B111</f>
        <v>11 kV Abdul Monem Ltd</v>
      </c>
      <c r="C7" s="2019">
        <f>'NORTH-1'!C111</f>
        <v>11</v>
      </c>
      <c r="D7" s="2019">
        <f>'NORTH-1'!D111</f>
        <v>0</v>
      </c>
      <c r="E7" s="2019" t="str">
        <f>'NORTH-1'!E111</f>
        <v>DHK60890</v>
      </c>
      <c r="F7" s="791">
        <f>'NORTH-1'!F111</f>
        <v>1</v>
      </c>
      <c r="G7" s="791">
        <f>'NORTH-1'!G111</f>
        <v>654.07000000000005</v>
      </c>
      <c r="H7" s="791">
        <f>'NORTH-1'!H111</f>
        <v>658.58</v>
      </c>
      <c r="I7" s="791">
        <f>'NORTH-1'!I111</f>
        <v>4.5099999999999909</v>
      </c>
      <c r="J7" s="791">
        <f>'NORTH-1'!J111</f>
        <v>60000</v>
      </c>
      <c r="K7" s="791">
        <f>'NORTH-1'!K111</f>
        <v>0</v>
      </c>
      <c r="L7" s="791">
        <f>'NORTH-1'!L111</f>
        <v>270599.99999999948</v>
      </c>
      <c r="M7" s="791">
        <f>'NORTH-1'!M111</f>
        <v>271568.11802357546</v>
      </c>
      <c r="N7" s="2019" t="str">
        <f>'NORTH-1'!N111</f>
        <v>Paribag</v>
      </c>
      <c r="O7" s="2019" t="str">
        <f>Sheet2!$C$10</f>
        <v>Dhanmondi 33/11KV S/S</v>
      </c>
    </row>
    <row r="8" spans="1:15" x14ac:dyDescent="0.35">
      <c r="A8" s="2019">
        <f>'NORTH-1'!A112</f>
        <v>10</v>
      </c>
      <c r="B8" s="2019" t="str">
        <f>'NORTH-1'!B112</f>
        <v>11 kV Surjasen Hall Feeder</v>
      </c>
      <c r="C8" s="2019">
        <f>'NORTH-1'!C112</f>
        <v>11</v>
      </c>
      <c r="D8" s="2019">
        <f>'NORTH-1'!D112</f>
        <v>0</v>
      </c>
      <c r="E8" s="2019" t="str">
        <f>'NORTH-1'!E112</f>
        <v>DHK60880</v>
      </c>
      <c r="F8" s="791">
        <f>'NORTH-1'!F112</f>
        <v>1</v>
      </c>
      <c r="G8" s="791">
        <f>'NORTH-1'!G112</f>
        <v>489687.9</v>
      </c>
      <c r="H8" s="791">
        <f>'NORTH-1'!H112</f>
        <v>500778.5</v>
      </c>
      <c r="I8" s="791">
        <f>'NORTH-1'!I112</f>
        <v>11090.599999999977</v>
      </c>
      <c r="J8" s="791">
        <f>'NORTH-1'!J112</f>
        <v>60</v>
      </c>
      <c r="K8" s="791">
        <f>'NORTH-1'!K112</f>
        <v>0</v>
      </c>
      <c r="L8" s="791">
        <f>'NORTH-1'!L112</f>
        <v>665435.9999999986</v>
      </c>
      <c r="M8" s="791">
        <f>'NORTH-1'!M112</f>
        <v>667816.71169673302</v>
      </c>
      <c r="N8" s="2019" t="str">
        <f>'NORTH-1'!N112</f>
        <v>Ramna</v>
      </c>
      <c r="O8" s="2019" t="str">
        <f>Sheet2!$C$10</f>
        <v>Dhanmondi 33/11KV S/S</v>
      </c>
    </row>
    <row r="9" spans="1:15" x14ac:dyDescent="0.35">
      <c r="A9" s="2019">
        <f>'NORTH-1'!A113</f>
        <v>11</v>
      </c>
      <c r="B9" s="2019" t="str">
        <f>'NORTH-1'!B113</f>
        <v>11 kV Azimpur-1 Feeder</v>
      </c>
      <c r="C9" s="2019">
        <f>'NORTH-1'!C113</f>
        <v>11</v>
      </c>
      <c r="D9" s="2019">
        <f>'NORTH-1'!D113</f>
        <v>0</v>
      </c>
      <c r="E9" s="2019" t="str">
        <f>'NORTH-1'!E113</f>
        <v>DHK60872</v>
      </c>
      <c r="F9" s="791">
        <f>'NORTH-1'!F113</f>
        <v>1</v>
      </c>
      <c r="G9" s="791">
        <f>'NORTH-1'!G113</f>
        <v>0</v>
      </c>
      <c r="H9" s="791">
        <f>'NORTH-1'!H113</f>
        <v>0</v>
      </c>
      <c r="I9" s="791">
        <f>'NORTH-1'!I113</f>
        <v>0</v>
      </c>
      <c r="J9" s="791">
        <f>'NORTH-1'!J113</f>
        <v>60</v>
      </c>
      <c r="K9" s="791">
        <f>'NORTH-1'!K113</f>
        <v>0</v>
      </c>
      <c r="L9" s="791">
        <f>'NORTH-1'!L113</f>
        <v>0</v>
      </c>
      <c r="M9" s="791">
        <f>'NORTH-1'!M113</f>
        <v>0</v>
      </c>
      <c r="N9" s="2019" t="str">
        <f>'NORTH-1'!N113</f>
        <v>Azimpur</v>
      </c>
      <c r="O9" s="2019" t="str">
        <f>Sheet2!$C$10</f>
        <v>Dhanmondi 33/11KV S/S</v>
      </c>
    </row>
    <row r="10" spans="1:15" x14ac:dyDescent="0.35">
      <c r="A10" s="2019">
        <f>'NORTH-1'!A114</f>
        <v>12</v>
      </c>
      <c r="B10" s="2019" t="str">
        <f>'NORTH-1'!B114</f>
        <v>11 kV TSC Feeder</v>
      </c>
      <c r="C10" s="2019">
        <f>'NORTH-1'!C114</f>
        <v>11</v>
      </c>
      <c r="D10" s="2019">
        <f>'NORTH-1'!D114</f>
        <v>0</v>
      </c>
      <c r="E10" s="2019" t="str">
        <f>'NORTH-1'!E114</f>
        <v>DHK60873</v>
      </c>
      <c r="F10" s="791">
        <f>'NORTH-1'!F114</f>
        <v>1</v>
      </c>
      <c r="G10" s="791">
        <f>'NORTH-1'!G114</f>
        <v>874439.1</v>
      </c>
      <c r="H10" s="791">
        <f>'NORTH-1'!H114</f>
        <v>882944.6</v>
      </c>
      <c r="I10" s="791">
        <f>'NORTH-1'!I114</f>
        <v>8505.5</v>
      </c>
      <c r="J10" s="791">
        <f>'NORTH-1'!J114</f>
        <v>60</v>
      </c>
      <c r="K10" s="791">
        <f>'NORTH-1'!K114</f>
        <v>0</v>
      </c>
      <c r="L10" s="791">
        <f>'NORTH-1'!L114</f>
        <v>510330</v>
      </c>
      <c r="M10" s="791">
        <f>'NORTH-1'!M114</f>
        <v>512155.79331475077</v>
      </c>
      <c r="N10" s="2019" t="str">
        <f>'NORTH-1'!N114</f>
        <v>Ramna</v>
      </c>
      <c r="O10" s="2019" t="str">
        <f>Sheet2!$C$10</f>
        <v>Dhanmondi 33/11KV S/S</v>
      </c>
    </row>
    <row r="11" spans="1:15" x14ac:dyDescent="0.35">
      <c r="A11" s="2019">
        <f>'NORTH-1'!A115</f>
        <v>13</v>
      </c>
      <c r="B11" s="2019" t="str">
        <f>'NORTH-1'!B115</f>
        <v>11 kV SCADA Bhaban</v>
      </c>
      <c r="C11" s="2019">
        <f>'NORTH-1'!C115</f>
        <v>11</v>
      </c>
      <c r="D11" s="2019">
        <f>'NORTH-1'!D115</f>
        <v>0</v>
      </c>
      <c r="E11" s="2019" t="str">
        <f>'NORTH-1'!E115</f>
        <v>DHK60883</v>
      </c>
      <c r="F11" s="791">
        <f>'NORTH-1'!F115</f>
        <v>1</v>
      </c>
      <c r="G11" s="791">
        <f>'NORTH-1'!G115</f>
        <v>27264.3</v>
      </c>
      <c r="H11" s="791">
        <f>'NORTH-1'!H115</f>
        <v>27473</v>
      </c>
      <c r="I11" s="791">
        <f>'NORTH-1'!I115</f>
        <v>208.70000000000073</v>
      </c>
      <c r="J11" s="791">
        <f>'NORTH-1'!J115</f>
        <v>60</v>
      </c>
      <c r="K11" s="791">
        <f>'NORTH-1'!K115</f>
        <v>0</v>
      </c>
      <c r="L11" s="791">
        <f>'NORTH-1'!L115</f>
        <v>12522.000000000044</v>
      </c>
      <c r="M11" s="791">
        <f>'NORTH-1'!M115</f>
        <v>12566.799607875944</v>
      </c>
      <c r="N11" s="2019" t="str">
        <f>'NORTH-1'!N115</f>
        <v>Paribag</v>
      </c>
      <c r="O11" s="2019" t="str">
        <f>Sheet2!$C$10</f>
        <v>Dhanmondi 33/11KV S/S</v>
      </c>
    </row>
    <row r="12" spans="1:15" x14ac:dyDescent="0.35">
      <c r="A12" s="2019">
        <f>'NORTH-1'!A116</f>
        <v>14</v>
      </c>
      <c r="B12" s="2019" t="str">
        <f>'NORTH-1'!B116</f>
        <v>11 kV DPH Sw/S-2</v>
      </c>
      <c r="C12" s="2019">
        <f>'NORTH-1'!C116</f>
        <v>11</v>
      </c>
      <c r="D12" s="2019">
        <f>'NORTH-1'!D116</f>
        <v>0</v>
      </c>
      <c r="E12" s="2019" t="str">
        <f>'NORTH-1'!E116</f>
        <v>DHK60871</v>
      </c>
      <c r="F12" s="791">
        <f>'NORTH-1'!F116</f>
        <v>1</v>
      </c>
      <c r="G12" s="791">
        <f>'NORTH-1'!G116</f>
        <v>239462</v>
      </c>
      <c r="H12" s="791">
        <f>'NORTH-1'!H116</f>
        <v>274761.40000000002</v>
      </c>
      <c r="I12" s="791">
        <f>'NORTH-1'!I116</f>
        <v>35299.400000000023</v>
      </c>
      <c r="J12" s="791">
        <f>'NORTH-1'!J116</f>
        <v>60</v>
      </c>
      <c r="K12" s="791">
        <f>'NORTH-1'!K116</f>
        <v>0</v>
      </c>
      <c r="L12" s="791">
        <f>'NORTH-1'!L116</f>
        <v>2117964.0000000014</v>
      </c>
      <c r="M12" s="791">
        <f>'NORTH-1'!M116</f>
        <v>2125541.3803462139</v>
      </c>
      <c r="N12" s="2019" t="str">
        <f>'NORTH-1'!N116</f>
        <v>Paribag</v>
      </c>
      <c r="O12" s="2019" t="str">
        <f>Sheet2!$C$10</f>
        <v>Dhanmondi 33/11KV S/S</v>
      </c>
    </row>
    <row r="13" spans="1:15" x14ac:dyDescent="0.35">
      <c r="A13" s="2019">
        <f>'NORTH-1'!A117</f>
        <v>17</v>
      </c>
      <c r="B13" s="2019" t="str">
        <f>'NORTH-1'!B117</f>
        <v>11 kV New Elephant Road Feeder</v>
      </c>
      <c r="C13" s="2019">
        <f>'NORTH-1'!C117</f>
        <v>11</v>
      </c>
      <c r="D13" s="2019">
        <f>'NORTH-1'!D117</f>
        <v>0</v>
      </c>
      <c r="E13" s="2019" t="str">
        <f>'NORTH-1'!E117</f>
        <v>DHK60981</v>
      </c>
      <c r="F13" s="791">
        <f>'NORTH-1'!F117</f>
        <v>1</v>
      </c>
      <c r="G13" s="791">
        <f>'NORTH-1'!G117</f>
        <v>956883.5</v>
      </c>
      <c r="H13" s="791">
        <f>'NORTH-1'!H117</f>
        <v>967460.5</v>
      </c>
      <c r="I13" s="791">
        <f>'NORTH-1'!I117</f>
        <v>10577</v>
      </c>
      <c r="J13" s="791">
        <f>'NORTH-1'!J117</f>
        <v>60</v>
      </c>
      <c r="K13" s="791">
        <f>'NORTH-1'!K117</f>
        <v>0</v>
      </c>
      <c r="L13" s="791">
        <f>'NORTH-1'!L117</f>
        <v>634620</v>
      </c>
      <c r="M13" s="791">
        <f>'NORTH-1'!M117</f>
        <v>636890.4621586171</v>
      </c>
      <c r="N13" s="2019" t="str">
        <f>'NORTH-1'!N117</f>
        <v>Paribag</v>
      </c>
      <c r="O13" s="2019" t="str">
        <f>Sheet2!$C$10</f>
        <v>Dhanmondi 33/11KV S/S</v>
      </c>
    </row>
    <row r="14" spans="1:15" x14ac:dyDescent="0.35">
      <c r="A14" s="2019">
        <f>'NORTH-1'!A118</f>
        <v>18</v>
      </c>
      <c r="B14" s="2019" t="str">
        <f>'NORTH-1'!B118</f>
        <v>11 kV Dhanmondi O/H Feeder</v>
      </c>
      <c r="C14" s="2019">
        <f>'NORTH-1'!C118</f>
        <v>11</v>
      </c>
      <c r="D14" s="2019">
        <f>'NORTH-1'!D118</f>
        <v>0</v>
      </c>
      <c r="E14" s="2019" t="str">
        <f>'NORTH-1'!E118</f>
        <v>DHK61110</v>
      </c>
      <c r="F14" s="791">
        <f>'NORTH-1'!F118</f>
        <v>1</v>
      </c>
      <c r="G14" s="791">
        <f>'NORTH-1'!G118</f>
        <v>240467.3</v>
      </c>
      <c r="H14" s="791">
        <f>'NORTH-1'!H118</f>
        <v>257867.4</v>
      </c>
      <c r="I14" s="791">
        <f>'NORTH-1'!I118</f>
        <v>17400.100000000006</v>
      </c>
      <c r="J14" s="791">
        <f>'NORTH-1'!J118</f>
        <v>60</v>
      </c>
      <c r="K14" s="791">
        <f>'NORTH-1'!K118</f>
        <v>0</v>
      </c>
      <c r="L14" s="791">
        <f>'NORTH-1'!L118</f>
        <v>1044006.0000000003</v>
      </c>
      <c r="M14" s="791">
        <f>'NORTH-1'!M118</f>
        <v>1047741.1109583207</v>
      </c>
      <c r="N14" s="2019" t="str">
        <f>'NORTH-1'!N118</f>
        <v>Paribag</v>
      </c>
      <c r="O14" s="2019" t="str">
        <f>Sheet2!$C$10</f>
        <v>Dhanmondi 33/11KV S/S</v>
      </c>
    </row>
    <row r="15" spans="1:15" x14ac:dyDescent="0.35">
      <c r="A15" s="2019">
        <f>'NORTH-1'!A119</f>
        <v>19</v>
      </c>
      <c r="B15" s="2019" t="str">
        <f>'NORTH-1'!B119</f>
        <v>11 kV Sonargaon Feeder</v>
      </c>
      <c r="C15" s="2019">
        <f>'NORTH-1'!C119</f>
        <v>11</v>
      </c>
      <c r="D15" s="2019">
        <f>'NORTH-1'!D119</f>
        <v>0</v>
      </c>
      <c r="E15" s="2019" t="str">
        <f>'NORTH-1'!E119</f>
        <v>DHK61115</v>
      </c>
      <c r="F15" s="791">
        <f>'NORTH-1'!F119</f>
        <v>1</v>
      </c>
      <c r="G15" s="791">
        <f>'NORTH-1'!G119</f>
        <v>157258.6</v>
      </c>
      <c r="H15" s="791">
        <f>'NORTH-1'!H119</f>
        <v>174652</v>
      </c>
      <c r="I15" s="791">
        <f>'NORTH-1'!I119</f>
        <v>17393.399999999994</v>
      </c>
      <c r="J15" s="791">
        <f>'NORTH-1'!J119</f>
        <v>60</v>
      </c>
      <c r="K15" s="791">
        <f>'NORTH-1'!K119</f>
        <v>0</v>
      </c>
      <c r="L15" s="791">
        <f>'NORTH-1'!L119</f>
        <v>1043603.9999999997</v>
      </c>
      <c r="M15" s="791">
        <f>'NORTH-1'!M119</f>
        <v>1047337.6727342051</v>
      </c>
      <c r="N15" s="2019" t="str">
        <f>'NORTH-1'!N119</f>
        <v>Paribag</v>
      </c>
      <c r="O15" s="2019" t="str">
        <f>Sheet2!$C$10</f>
        <v>Dhanmondi 33/11KV S/S</v>
      </c>
    </row>
    <row r="16" spans="1:15" x14ac:dyDescent="0.35">
      <c r="A16" s="2019">
        <f>'NORTH-1'!A120</f>
        <v>20</v>
      </c>
      <c r="B16" s="2019" t="str">
        <f>'NORTH-1'!B120</f>
        <v>11 kV Museum Feeder</v>
      </c>
      <c r="C16" s="2019">
        <f>'NORTH-1'!C120</f>
        <v>11</v>
      </c>
      <c r="D16" s="2019">
        <f>'NORTH-1'!D120</f>
        <v>0</v>
      </c>
      <c r="E16" s="2019" t="str">
        <f>'NORTH-1'!E120</f>
        <v>DHK61107</v>
      </c>
      <c r="F16" s="791">
        <f>'NORTH-1'!F120</f>
        <v>1</v>
      </c>
      <c r="G16" s="791">
        <f>'NORTH-1'!G120</f>
        <v>529240.19999999995</v>
      </c>
      <c r="H16" s="791">
        <f>'NORTH-1'!H120</f>
        <v>533203.80000000005</v>
      </c>
      <c r="I16" s="791">
        <f>'NORTH-1'!I120</f>
        <v>3963.6000000000931</v>
      </c>
      <c r="J16" s="791">
        <f>'NORTH-1'!J120</f>
        <v>60</v>
      </c>
      <c r="K16" s="791">
        <f>'NORTH-1'!K120</f>
        <v>0</v>
      </c>
      <c r="L16" s="791">
        <f>'NORTH-1'!L120</f>
        <v>237816.00000000559</v>
      </c>
      <c r="M16" s="791">
        <f>'NORTH-1'!M120</f>
        <v>238666.82762711111</v>
      </c>
      <c r="N16" s="2019" t="str">
        <f>'NORTH-1'!N120</f>
        <v>Ramna</v>
      </c>
      <c r="O16" s="2019" t="str">
        <f>Sheet2!$C$10</f>
        <v>Dhanmondi 33/11KV S/S</v>
      </c>
    </row>
    <row r="17" spans="1:15" x14ac:dyDescent="0.35">
      <c r="A17" s="2019">
        <f>'NORTH-1'!A121</f>
        <v>21</v>
      </c>
      <c r="B17" s="2019" t="str">
        <f>'NORTH-1'!B121</f>
        <v>11 kV Shanta property</v>
      </c>
      <c r="C17" s="2019">
        <f>'NORTH-1'!C121</f>
        <v>11</v>
      </c>
      <c r="D17" s="2019">
        <f>'NORTH-1'!D121</f>
        <v>0</v>
      </c>
      <c r="E17" s="2019" t="str">
        <f>'NORTH-1'!E121</f>
        <v>DHK61112</v>
      </c>
      <c r="F17" s="791">
        <f>'NORTH-1'!F121</f>
        <v>1</v>
      </c>
      <c r="G17" s="791">
        <f>'NORTH-1'!G121</f>
        <v>320464.8</v>
      </c>
      <c r="H17" s="791">
        <f>'NORTH-1'!H121</f>
        <v>322302</v>
      </c>
      <c r="I17" s="791">
        <f>'NORTH-1'!I121</f>
        <v>1837.2000000000116</v>
      </c>
      <c r="J17" s="791">
        <f>'NORTH-1'!J121</f>
        <v>60</v>
      </c>
      <c r="K17" s="791">
        <f>'NORTH-1'!K121</f>
        <v>0</v>
      </c>
      <c r="L17" s="791">
        <f>'NORTH-1'!L121</f>
        <v>110232.0000000007</v>
      </c>
      <c r="M17" s="791">
        <f>'NORTH-1'!M121</f>
        <v>110626.37393191065</v>
      </c>
      <c r="N17" s="2019" t="str">
        <f>'NORTH-1'!N121</f>
        <v>Paribag</v>
      </c>
      <c r="O17" s="2019" t="str">
        <f>Sheet2!$C$10</f>
        <v>Dhanmondi 33/11KV S/S</v>
      </c>
    </row>
    <row r="18" spans="1:15" x14ac:dyDescent="0.35">
      <c r="A18" s="2019">
        <f>'NORTH-1'!A122</f>
        <v>22</v>
      </c>
      <c r="B18" s="2019" t="str">
        <f>'NORTH-1'!B122</f>
        <v>11 kV BIRDEM RMU Feeder</v>
      </c>
      <c r="C18" s="2019">
        <f>'NORTH-1'!C122</f>
        <v>11</v>
      </c>
      <c r="D18" s="2019">
        <f>'NORTH-1'!D122</f>
        <v>0</v>
      </c>
      <c r="E18" s="2019" t="str">
        <f>'NORTH-1'!E122</f>
        <v>DHK61108</v>
      </c>
      <c r="F18" s="791">
        <f>'NORTH-1'!F122</f>
        <v>1</v>
      </c>
      <c r="G18" s="791">
        <f>'NORTH-1'!G122</f>
        <v>603774.9</v>
      </c>
      <c r="H18" s="791">
        <f>'NORTH-1'!H122</f>
        <v>611523.80000000005</v>
      </c>
      <c r="I18" s="791">
        <f>'NORTH-1'!I122</f>
        <v>7748.9000000000233</v>
      </c>
      <c r="J18" s="791">
        <f>'NORTH-1'!J122</f>
        <v>60</v>
      </c>
      <c r="K18" s="791">
        <f>'NORTH-1'!K122</f>
        <v>0</v>
      </c>
      <c r="L18" s="791">
        <f>'NORTH-1'!L122</f>
        <v>464934.0000000014</v>
      </c>
      <c r="M18" s="791">
        <f>'NORTH-1'!M122</f>
        <v>466597.38131993223</v>
      </c>
      <c r="N18" s="2019" t="str">
        <f>'NORTH-1'!N122</f>
        <v>Kakrail</v>
      </c>
      <c r="O18" s="2019" t="str">
        <f>Sheet2!$C$10</f>
        <v>Dhanmondi 33/11KV S/S</v>
      </c>
    </row>
    <row r="19" spans="1:15" x14ac:dyDescent="0.35">
      <c r="A19" s="2019">
        <f>'NORTH-1'!A123</f>
        <v>23</v>
      </c>
      <c r="B19" s="2019" t="str">
        <f>'NORTH-1'!B123</f>
        <v>11 kV Azimpur-2 Feeder</v>
      </c>
      <c r="C19" s="2019">
        <f>'NORTH-1'!C123</f>
        <v>11</v>
      </c>
      <c r="D19" s="2019">
        <f>'NORTH-1'!D123</f>
        <v>0</v>
      </c>
      <c r="E19" s="2019" t="str">
        <f>'NORTH-1'!E123</f>
        <v>DHK61109</v>
      </c>
      <c r="F19" s="791">
        <f>'NORTH-1'!F123</f>
        <v>1</v>
      </c>
      <c r="G19" s="791">
        <f>'NORTH-1'!G123</f>
        <v>0</v>
      </c>
      <c r="H19" s="791">
        <f>'NORTH-1'!H123</f>
        <v>0</v>
      </c>
      <c r="I19" s="791">
        <f>'NORTH-1'!I123</f>
        <v>0</v>
      </c>
      <c r="J19" s="791">
        <f>'NORTH-1'!J123</f>
        <v>60</v>
      </c>
      <c r="K19" s="791">
        <f>'NORTH-1'!K123</f>
        <v>0</v>
      </c>
      <c r="L19" s="791">
        <f>'NORTH-1'!L123</f>
        <v>0</v>
      </c>
      <c r="M19" s="791">
        <f>'NORTH-1'!M123</f>
        <v>0</v>
      </c>
      <c r="N19" s="2019" t="str">
        <f>'NORTH-1'!N123</f>
        <v>Azimpur</v>
      </c>
      <c r="O19" s="2019" t="str">
        <f>Sheet2!$C$10</f>
        <v>Dhanmondi 33/11KV S/S</v>
      </c>
    </row>
    <row r="20" spans="1:15" x14ac:dyDescent="0.35">
      <c r="A20" s="2019">
        <f>'NORTH-1'!A124</f>
        <v>24</v>
      </c>
      <c r="B20" s="2019" t="str">
        <f>'NORTH-1'!B124</f>
        <v>11 kV DPH Sw/S-1</v>
      </c>
      <c r="C20" s="2019">
        <f>'NORTH-1'!C124</f>
        <v>11</v>
      </c>
      <c r="D20" s="2019">
        <f>'NORTH-1'!D124</f>
        <v>0</v>
      </c>
      <c r="E20" s="2019" t="str">
        <f>'NORTH-1'!E124</f>
        <v>DHK60978</v>
      </c>
      <c r="F20" s="791">
        <f>'NORTH-1'!F124</f>
        <v>1</v>
      </c>
      <c r="G20" s="791">
        <f>'NORTH-1'!G124</f>
        <v>690565.8</v>
      </c>
      <c r="H20" s="791">
        <f>'NORTH-1'!H124</f>
        <v>699824.8</v>
      </c>
      <c r="I20" s="791">
        <f>'NORTH-1'!I124</f>
        <v>9259</v>
      </c>
      <c r="J20" s="791">
        <f>'NORTH-1'!J124</f>
        <v>60</v>
      </c>
      <c r="K20" s="791">
        <f>'NORTH-1'!K124</f>
        <v>0</v>
      </c>
      <c r="L20" s="791">
        <f>'NORTH-1'!L124</f>
        <v>555540</v>
      </c>
      <c r="M20" s="791">
        <f>'NORTH-1'!M124</f>
        <v>557527.53986259201</v>
      </c>
      <c r="N20" s="2019" t="str">
        <f>'NORTH-1'!N124</f>
        <v>Paribag_Kakrail</v>
      </c>
      <c r="O20" s="2019" t="str">
        <f>Sheet2!$C$10</f>
        <v>Dhanmondi 33/11KV S/S</v>
      </c>
    </row>
    <row r="21" spans="1:15" x14ac:dyDescent="0.35">
      <c r="A21" s="2019">
        <f>'NORTH-1'!A190</f>
        <v>6</v>
      </c>
      <c r="B21" s="2019" t="str">
        <f>'NORTH-1'!B190</f>
        <v xml:space="preserve"> WASA Bhaban</v>
      </c>
      <c r="C21" s="2019">
        <f>'NORTH-1'!C190</f>
        <v>11</v>
      </c>
      <c r="D21" s="2019">
        <f>'NORTH-1'!D190</f>
        <v>0</v>
      </c>
      <c r="E21" s="2019">
        <f>'NORTH-1'!E190</f>
        <v>8536188</v>
      </c>
      <c r="F21" s="791">
        <f>'NORTH-1'!F190</f>
        <v>1</v>
      </c>
      <c r="G21" s="791">
        <f>'NORTH-1'!G190</f>
        <v>1207.5</v>
      </c>
      <c r="H21" s="791">
        <f>'NORTH-1'!H190</f>
        <v>1349.1</v>
      </c>
      <c r="I21" s="791">
        <f>'NORTH-1'!I190</f>
        <v>141.59999999999991</v>
      </c>
      <c r="J21" s="791">
        <f>'NORTH-1'!J190</f>
        <v>1000</v>
      </c>
      <c r="K21" s="791">
        <f>'NORTH-1'!K190</f>
        <v>0</v>
      </c>
      <c r="L21" s="791">
        <f>'NORTH-1'!L190</f>
        <v>141599.99999999991</v>
      </c>
      <c r="M21" s="791">
        <f>'NORTH-1'!M190</f>
        <v>257043.95110022943</v>
      </c>
      <c r="N21" s="2019" t="str">
        <f>'NORTH-1'!N190</f>
        <v>Kakrail</v>
      </c>
      <c r="O21" s="2019" t="str">
        <f>Sheet2!$C$11</f>
        <v>Kawranbazar  33/11KV S/S</v>
      </c>
    </row>
    <row r="22" spans="1:15" x14ac:dyDescent="0.35">
      <c r="A22" s="2019">
        <f>'NORTH-1'!A191</f>
        <v>7</v>
      </c>
      <c r="B22" s="2019" t="str">
        <f>'NORTH-1'!B191</f>
        <v xml:space="preserve"> Sangsad Bhaban</v>
      </c>
      <c r="C22" s="2019">
        <f>'NORTH-1'!C191</f>
        <v>11</v>
      </c>
      <c r="D22" s="2019">
        <f>'NORTH-1'!D191</f>
        <v>0</v>
      </c>
      <c r="E22" s="2019">
        <f>'NORTH-1'!E191</f>
        <v>8536178</v>
      </c>
      <c r="F22" s="791">
        <f>'NORTH-1'!F191</f>
        <v>1</v>
      </c>
      <c r="G22" s="791">
        <f>'NORTH-1'!G191</f>
        <v>554895</v>
      </c>
      <c r="H22" s="791">
        <f>'NORTH-1'!H191</f>
        <v>554943</v>
      </c>
      <c r="I22" s="791">
        <f>'NORTH-1'!I191</f>
        <v>48</v>
      </c>
      <c r="J22" s="791">
        <f>'NORTH-1'!J191</f>
        <v>44</v>
      </c>
      <c r="K22" s="791">
        <f>'NORTH-1'!K191</f>
        <v>0</v>
      </c>
      <c r="L22" s="791">
        <f>'NORTH-1'!L191</f>
        <v>2112</v>
      </c>
      <c r="M22" s="791">
        <f>'NORTH-1'!M191</f>
        <v>3833.8758808169841</v>
      </c>
      <c r="N22" s="2019" t="str">
        <f>'NORTH-1'!N191</f>
        <v>Shere Banglanagar</v>
      </c>
      <c r="O22" s="2019" t="str">
        <f>Sheet2!$C$11</f>
        <v>Kawranbazar  33/11KV S/S</v>
      </c>
    </row>
    <row r="23" spans="1:15" x14ac:dyDescent="0.35">
      <c r="A23" s="2019">
        <f>'NORTH-1'!A192</f>
        <v>8</v>
      </c>
      <c r="B23" s="2019" t="str">
        <f>'NORTH-1'!B192</f>
        <v>Air Port Road (West)</v>
      </c>
      <c r="C23" s="2019">
        <f>'NORTH-1'!C192</f>
        <v>11</v>
      </c>
      <c r="D23" s="2019">
        <f>'NORTH-1'!D192</f>
        <v>0</v>
      </c>
      <c r="E23" s="2019">
        <f>'NORTH-1'!E192</f>
        <v>8536182</v>
      </c>
      <c r="F23" s="791">
        <f>'NORTH-1'!F192</f>
        <v>1</v>
      </c>
      <c r="G23" s="791">
        <f>'NORTH-1'!G192</f>
        <v>95783</v>
      </c>
      <c r="H23" s="791">
        <f>'NORTH-1'!H192</f>
        <v>96175.6</v>
      </c>
      <c r="I23" s="791">
        <f>'NORTH-1'!I192</f>
        <v>392.60000000000582</v>
      </c>
      <c r="J23" s="791">
        <f>'NORTH-1'!J192</f>
        <v>1000</v>
      </c>
      <c r="K23" s="791">
        <f>'NORTH-1'!K192</f>
        <v>0</v>
      </c>
      <c r="L23" s="791">
        <f>'NORTH-1'!L192</f>
        <v>392600.00000000582</v>
      </c>
      <c r="M23" s="791">
        <f>'NORTH-1'!M192</f>
        <v>712679.76837536471</v>
      </c>
      <c r="N23" s="2019" t="str">
        <f>'NORTH-1'!N192</f>
        <v>Shere Banglanagar</v>
      </c>
      <c r="O23" s="2019" t="str">
        <f>Sheet2!$C$11</f>
        <v>Kawranbazar  33/11KV S/S</v>
      </c>
    </row>
    <row r="24" spans="1:15" x14ac:dyDescent="0.35">
      <c r="A24" s="2019">
        <f>'NORTH-1'!A193</f>
        <v>9</v>
      </c>
      <c r="B24" s="2019" t="str">
        <f>'NORTH-1'!B193</f>
        <v>ICC (PM Office)</v>
      </c>
      <c r="C24" s="2019">
        <f>'NORTH-1'!C193</f>
        <v>11</v>
      </c>
      <c r="D24" s="2019">
        <f>'NORTH-1'!D193</f>
        <v>0</v>
      </c>
      <c r="E24" s="2019">
        <f>'NORTH-1'!E193</f>
        <v>8536193</v>
      </c>
      <c r="F24" s="791">
        <f>'NORTH-1'!F193</f>
        <v>1</v>
      </c>
      <c r="G24" s="791">
        <f>'NORTH-1'!G193</f>
        <v>32420.3</v>
      </c>
      <c r="H24" s="791">
        <f>'NORTH-1'!H193</f>
        <v>32420.400000000001</v>
      </c>
      <c r="I24" s="791">
        <f>'NORTH-1'!I193</f>
        <v>0.10000000000218279</v>
      </c>
      <c r="J24" s="791">
        <f>'NORTH-1'!J193</f>
        <v>1000</v>
      </c>
      <c r="K24" s="791">
        <f>'NORTH-1'!K193</f>
        <v>0</v>
      </c>
      <c r="L24" s="791">
        <f>'NORTH-1'!L193</f>
        <v>100.00000000218279</v>
      </c>
      <c r="M24" s="791">
        <f>'NORTH-1'!M193</f>
        <v>181.52821405779684</v>
      </c>
      <c r="N24" s="2019" t="str">
        <f>'NORTH-1'!N193</f>
        <v>Shere Banglanagar</v>
      </c>
      <c r="O24" s="2019" t="str">
        <f>Sheet2!$C$11</f>
        <v>Kawranbazar  33/11KV S/S</v>
      </c>
    </row>
    <row r="25" spans="1:15" x14ac:dyDescent="0.35">
      <c r="A25" s="2019">
        <f>'NORTH-1'!A194</f>
        <v>10</v>
      </c>
      <c r="B25" s="2019" t="str">
        <f>'NORTH-1'!B194</f>
        <v xml:space="preserve">(UTC) Tower </v>
      </c>
      <c r="C25" s="2019">
        <f>'NORTH-1'!C194</f>
        <v>11</v>
      </c>
      <c r="D25" s="2019">
        <f>'NORTH-1'!D194</f>
        <v>0</v>
      </c>
      <c r="E25" s="2019" t="str">
        <f>'NORTH-1'!E194</f>
        <v>DHK00183</v>
      </c>
      <c r="F25" s="791">
        <f>'NORTH-1'!F194</f>
        <v>1</v>
      </c>
      <c r="G25" s="791">
        <f>'NORTH-1'!G194</f>
        <v>11663.8</v>
      </c>
      <c r="H25" s="791">
        <f>'NORTH-1'!H194</f>
        <v>12099.5</v>
      </c>
      <c r="I25" s="791">
        <f>'NORTH-1'!I194</f>
        <v>435.70000000000073</v>
      </c>
      <c r="J25" s="791">
        <f>'NORTH-1'!J194</f>
        <v>444.44</v>
      </c>
      <c r="K25" s="791">
        <f>'NORTH-1'!K194</f>
        <v>0</v>
      </c>
      <c r="L25" s="791">
        <f>'NORTH-1'!L194</f>
        <v>193642.50800000032</v>
      </c>
      <c r="M25" s="791">
        <f>'NORTH-1'!M194</f>
        <v>351515.7864214541</v>
      </c>
      <c r="N25" s="2019" t="str">
        <f>'NORTH-1'!N194</f>
        <v>Shere Banglanagar</v>
      </c>
      <c r="O25" s="2019" t="str">
        <f>Sheet2!$C$11</f>
        <v>Kawranbazar  33/11KV S/S</v>
      </c>
    </row>
    <row r="26" spans="1:15" x14ac:dyDescent="0.35">
      <c r="A26" s="2019">
        <f>'NORTH-1'!A195</f>
        <v>11</v>
      </c>
      <c r="B26" s="2019" t="str">
        <f>'NORTH-1'!B195</f>
        <v>Sonargaon Hotel</v>
      </c>
      <c r="C26" s="2019">
        <f>'NORTH-1'!C195</f>
        <v>11</v>
      </c>
      <c r="D26" s="2019">
        <f>'NORTH-1'!D195</f>
        <v>0</v>
      </c>
      <c r="E26" s="2019">
        <f>'NORTH-1'!E195</f>
        <v>8536190</v>
      </c>
      <c r="F26" s="791">
        <f>'NORTH-1'!F195</f>
        <v>1</v>
      </c>
      <c r="G26" s="791">
        <f>'NORTH-1'!G195</f>
        <v>51744.1</v>
      </c>
      <c r="H26" s="791">
        <f>'NORTH-1'!H195</f>
        <v>51744.1</v>
      </c>
      <c r="I26" s="791">
        <f>'NORTH-1'!I195</f>
        <v>0</v>
      </c>
      <c r="J26" s="791">
        <f>'NORTH-1'!J195</f>
        <v>1000</v>
      </c>
      <c r="K26" s="791">
        <f>'NORTH-1'!K195</f>
        <v>0</v>
      </c>
      <c r="L26" s="791">
        <f>'NORTH-1'!L195</f>
        <v>0</v>
      </c>
      <c r="M26" s="791">
        <f>'NORTH-1'!M195</f>
        <v>0</v>
      </c>
      <c r="N26" s="2019" t="str">
        <f>'NORTH-1'!N195</f>
        <v>Kakrail</v>
      </c>
      <c r="O26" s="2019" t="str">
        <f>Sheet2!$C$11</f>
        <v>Kawranbazar  33/11KV S/S</v>
      </c>
    </row>
    <row r="27" spans="1:15" x14ac:dyDescent="0.35">
      <c r="A27" s="2019">
        <f>'NORTH-1'!A196</f>
        <v>12</v>
      </c>
      <c r="B27" s="2019" t="str">
        <f>'NORTH-1'!B196</f>
        <v>Panthopath</v>
      </c>
      <c r="C27" s="2019">
        <f>'NORTH-1'!C196</f>
        <v>11</v>
      </c>
      <c r="D27" s="2019">
        <f>'NORTH-1'!D196</f>
        <v>0</v>
      </c>
      <c r="E27" s="2019">
        <f>'NORTH-1'!E196</f>
        <v>8536184</v>
      </c>
      <c r="F27" s="791">
        <f>'NORTH-1'!F196</f>
        <v>1</v>
      </c>
      <c r="G27" s="791">
        <f>'NORTH-1'!G196</f>
        <v>29301.599999999999</v>
      </c>
      <c r="H27" s="791">
        <f>'NORTH-1'!H196</f>
        <v>29868.3</v>
      </c>
      <c r="I27" s="791">
        <f>'NORTH-1'!I196</f>
        <v>566.70000000000073</v>
      </c>
      <c r="J27" s="791">
        <f>'NORTH-1'!J196</f>
        <v>1000</v>
      </c>
      <c r="K27" s="791">
        <f>'NORTH-1'!K196</f>
        <v>0</v>
      </c>
      <c r="L27" s="791">
        <f>'NORTH-1'!L196</f>
        <v>566700.0000000007</v>
      </c>
      <c r="M27" s="791">
        <f>'NORTH-1'!M196</f>
        <v>1028720.3890430811</v>
      </c>
      <c r="N27" s="2019" t="str">
        <f>'NORTH-1'!N196</f>
        <v>Shere Banglanagar</v>
      </c>
      <c r="O27" s="2019" t="str">
        <f>Sheet2!$C$11</f>
        <v>Kawranbazar  33/11KV S/S</v>
      </c>
    </row>
    <row r="28" spans="1:15" x14ac:dyDescent="0.35">
      <c r="A28" s="2019">
        <f>'NORTH-1'!A197</f>
        <v>13</v>
      </c>
      <c r="B28" s="2019" t="str">
        <f>'NORTH-1'!B197</f>
        <v>Titas Bhaban</v>
      </c>
      <c r="C28" s="2019">
        <f>'NORTH-1'!C197</f>
        <v>11</v>
      </c>
      <c r="D28" s="2019">
        <f>'NORTH-1'!D197</f>
        <v>0</v>
      </c>
      <c r="E28" s="2019" t="str">
        <f>'NORTH-1'!E197</f>
        <v>DHK00190</v>
      </c>
      <c r="F28" s="791">
        <f>'NORTH-1'!F197</f>
        <v>1</v>
      </c>
      <c r="G28" s="791">
        <f>'NORTH-1'!G197</f>
        <v>53082.400000000001</v>
      </c>
      <c r="H28" s="791">
        <f>'NORTH-1'!H197</f>
        <v>53344</v>
      </c>
      <c r="I28" s="791">
        <f>'NORTH-1'!I197</f>
        <v>261.59999999999854</v>
      </c>
      <c r="J28" s="791">
        <f>'NORTH-1'!J197</f>
        <v>5</v>
      </c>
      <c r="K28" s="791">
        <f>'NORTH-1'!K197</f>
        <v>0</v>
      </c>
      <c r="L28" s="791">
        <f>'NORTH-1'!L197</f>
        <v>1307.9999999999927</v>
      </c>
      <c r="M28" s="791">
        <f>'NORTH-1'!M197</f>
        <v>2374.3890398241419</v>
      </c>
      <c r="N28" s="2019" t="str">
        <f>'NORTH-1'!N197</f>
        <v>Kakrail</v>
      </c>
      <c r="O28" s="2019" t="str">
        <f>Sheet2!$C$11</f>
        <v>Kawranbazar  33/11KV S/S</v>
      </c>
    </row>
    <row r="29" spans="1:15" x14ac:dyDescent="0.35">
      <c r="A29" s="2019">
        <f>'NORTH-1'!A198</f>
        <v>16</v>
      </c>
      <c r="B29" s="2019" t="str">
        <f>'NORTH-1'!B198</f>
        <v xml:space="preserve"> Green Road Dormatory s/s</v>
      </c>
      <c r="C29" s="2019">
        <f>'NORTH-1'!C198</f>
        <v>11</v>
      </c>
      <c r="D29" s="2019">
        <f>'NORTH-1'!D198</f>
        <v>0</v>
      </c>
      <c r="E29" s="2019" t="str">
        <f>'NORTH-1'!E198</f>
        <v>DHK00021</v>
      </c>
      <c r="F29" s="791">
        <f>'NORTH-1'!F198</f>
        <v>1</v>
      </c>
      <c r="G29" s="791">
        <f>'NORTH-1'!G198</f>
        <v>0</v>
      </c>
      <c r="H29" s="791">
        <f>'NORTH-1'!H198</f>
        <v>0</v>
      </c>
      <c r="I29" s="791">
        <f>'NORTH-1'!I198</f>
        <v>0</v>
      </c>
      <c r="J29" s="791">
        <f>'NORTH-1'!J198</f>
        <v>444.44</v>
      </c>
      <c r="K29" s="791">
        <f>'NORTH-1'!K198</f>
        <v>0</v>
      </c>
      <c r="L29" s="791">
        <f>'NORTH-1'!L198</f>
        <v>0</v>
      </c>
      <c r="M29" s="791">
        <f>'NORTH-1'!M198</f>
        <v>0</v>
      </c>
      <c r="N29" s="2019">
        <f>'NORTH-1'!N198</f>
        <v>0</v>
      </c>
      <c r="O29" s="2019" t="str">
        <f>Sheet2!$C$11</f>
        <v>Kawranbazar  33/11KV S/S</v>
      </c>
    </row>
    <row r="30" spans="1:15" x14ac:dyDescent="0.35">
      <c r="A30" s="2019">
        <f>'NORTH-1'!A199</f>
        <v>26</v>
      </c>
      <c r="B30" s="2019" t="str">
        <f>'NORTH-1'!B199</f>
        <v>Aux. Transformer, AT-1</v>
      </c>
      <c r="C30" s="2019">
        <f>'NORTH-1'!C199</f>
        <v>11</v>
      </c>
      <c r="D30" s="2019">
        <f>'NORTH-1'!D199</f>
        <v>0</v>
      </c>
      <c r="E30" s="2019" t="str">
        <f>'NORTH-1'!E199</f>
        <v>85-12906</v>
      </c>
      <c r="F30" s="791">
        <f>'NORTH-1'!F199</f>
        <v>1</v>
      </c>
      <c r="G30" s="791">
        <f>'NORTH-1'!G199</f>
        <v>66735</v>
      </c>
      <c r="H30" s="791">
        <f>'NORTH-1'!H199</f>
        <v>66881</v>
      </c>
      <c r="I30" s="791">
        <f>'NORTH-1'!I199</f>
        <v>146</v>
      </c>
      <c r="J30" s="791">
        <f>'NORTH-1'!J199</f>
        <v>10</v>
      </c>
      <c r="K30" s="791">
        <f>'NORTH-1'!K199</f>
        <v>0</v>
      </c>
      <c r="L30" s="791">
        <f>'NORTH-1'!L199</f>
        <v>1460</v>
      </c>
      <c r="M30" s="791">
        <f>'NORTH-1'!M199</f>
        <v>2650.311925185983</v>
      </c>
      <c r="N30" s="2019" t="str">
        <f>'NORTH-1'!N199</f>
        <v>Shere Banglanagar</v>
      </c>
      <c r="O30" s="2019" t="str">
        <f>Sheet2!$C$11</f>
        <v>Kawranbazar  33/11KV S/S</v>
      </c>
    </row>
    <row r="31" spans="1:15" x14ac:dyDescent="0.35">
      <c r="A31" s="2019">
        <f>'NORTH-1'!A200</f>
        <v>27</v>
      </c>
      <c r="B31" s="2019" t="str">
        <f>'NORTH-1'!B200</f>
        <v>Aux. Transformer, AT-2</v>
      </c>
      <c r="C31" s="2019">
        <f>'NORTH-1'!C200</f>
        <v>11</v>
      </c>
      <c r="D31" s="2019">
        <f>'NORTH-1'!D200</f>
        <v>0</v>
      </c>
      <c r="E31" s="2019" t="str">
        <f>'NORTH-1'!E200</f>
        <v>85-12909</v>
      </c>
      <c r="F31" s="791">
        <f>'NORTH-1'!F200</f>
        <v>1</v>
      </c>
      <c r="G31" s="791">
        <f>'NORTH-1'!G200</f>
        <v>58961</v>
      </c>
      <c r="H31" s="791">
        <f>'NORTH-1'!H200</f>
        <v>58961</v>
      </c>
      <c r="I31" s="791">
        <f>'NORTH-1'!I200</f>
        <v>0</v>
      </c>
      <c r="J31" s="791">
        <f>'NORTH-1'!J200</f>
        <v>10</v>
      </c>
      <c r="K31" s="791">
        <f>'NORTH-1'!K200</f>
        <v>0</v>
      </c>
      <c r="L31" s="791">
        <f>'NORTH-1'!L200</f>
        <v>0</v>
      </c>
      <c r="M31" s="791">
        <f>'NORTH-1'!M200</f>
        <v>0</v>
      </c>
      <c r="N31" s="2019" t="str">
        <f>'NORTH-1'!N200</f>
        <v>Shere Banglanagar</v>
      </c>
      <c r="O31" s="2019" t="str">
        <f>Sheet2!$C$11</f>
        <v>Kawranbazar  33/11KV S/S</v>
      </c>
    </row>
    <row r="32" spans="1:15" x14ac:dyDescent="0.35">
      <c r="A32" s="2019">
        <f>'NORTH-1'!A266</f>
        <v>4</v>
      </c>
      <c r="B32" s="2019" t="str">
        <f>'NORTH-1'!B266</f>
        <v>Police Bhaban</v>
      </c>
      <c r="C32" s="2019">
        <f>'NORTH-1'!C266</f>
        <v>11</v>
      </c>
      <c r="D32" s="2019">
        <f>'NORTH-1'!D266</f>
        <v>0</v>
      </c>
      <c r="E32" s="2019" t="str">
        <f>'NORTH-1'!E266</f>
        <v>DHK 00005</v>
      </c>
      <c r="F32" s="791">
        <f>'NORTH-1'!F266</f>
        <v>1</v>
      </c>
      <c r="G32" s="791">
        <f>'NORTH-1'!G266</f>
        <v>71783.8</v>
      </c>
      <c r="H32" s="791">
        <f>'NORTH-1'!H266</f>
        <v>71879.8</v>
      </c>
      <c r="I32" s="791">
        <f>'NORTH-1'!I266</f>
        <v>96</v>
      </c>
      <c r="J32" s="791">
        <f>'NORTH-1'!J266</f>
        <v>444.44</v>
      </c>
      <c r="K32" s="791">
        <f>'NORTH-1'!K266</f>
        <v>0</v>
      </c>
      <c r="L32" s="791">
        <f>'NORTH-1'!L266</f>
        <v>42666.239999999998</v>
      </c>
      <c r="M32" s="791">
        <f>'NORTH-1'!M266</f>
        <v>0</v>
      </c>
      <c r="N32" s="2019" t="str">
        <f>'NORTH-1'!N266</f>
        <v>Ramna</v>
      </c>
      <c r="O32" s="2019" t="str">
        <f>Sheet2!$C$12</f>
        <v>New Ramna   33/11KV S/S</v>
      </c>
    </row>
    <row r="33" spans="1:15" x14ac:dyDescent="0.35">
      <c r="A33" s="2019">
        <f>'NORTH-1'!A267</f>
        <v>5</v>
      </c>
      <c r="B33" s="2019" t="str">
        <f>'NORTH-1'!B267</f>
        <v>Water Works</v>
      </c>
      <c r="C33" s="2019">
        <f>'NORTH-1'!C267</f>
        <v>11</v>
      </c>
      <c r="D33" s="2019">
        <f>'NORTH-1'!D267</f>
        <v>0</v>
      </c>
      <c r="E33" s="2019" t="str">
        <f>'NORTH-1'!E267</f>
        <v>DHK 00010</v>
      </c>
      <c r="F33" s="791">
        <f>'NORTH-1'!F267</f>
        <v>1</v>
      </c>
      <c r="G33" s="791">
        <f>'NORTH-1'!G267</f>
        <v>0</v>
      </c>
      <c r="H33" s="791">
        <f>'NORTH-1'!H267</f>
        <v>0</v>
      </c>
      <c r="I33" s="791">
        <f>'NORTH-1'!I267</f>
        <v>0</v>
      </c>
      <c r="J33" s="791">
        <f>'NORTH-1'!J267</f>
        <v>444.44</v>
      </c>
      <c r="K33" s="791">
        <f>'NORTH-1'!K267</f>
        <v>0</v>
      </c>
      <c r="L33" s="791">
        <f>'NORTH-1'!L267</f>
        <v>0</v>
      </c>
      <c r="M33" s="791">
        <f>'NORTH-1'!M267</f>
        <v>0</v>
      </c>
      <c r="N33" s="2019" t="str">
        <f>'NORTH-1'!N267</f>
        <v>Lalbag</v>
      </c>
      <c r="O33" s="2019" t="str">
        <f>Sheet2!$C$12</f>
        <v>New Ramna   33/11KV S/S</v>
      </c>
    </row>
    <row r="34" spans="1:15" x14ac:dyDescent="0.35">
      <c r="A34" s="2019">
        <f>'NORTH-1'!A268</f>
        <v>6</v>
      </c>
      <c r="B34" s="2019" t="str">
        <f>'NORTH-1'!B268</f>
        <v>GPO</v>
      </c>
      <c r="C34" s="2019">
        <f>'NORTH-1'!C268</f>
        <v>11</v>
      </c>
      <c r="D34" s="2019">
        <f>'NORTH-1'!D268</f>
        <v>0</v>
      </c>
      <c r="E34" s="2019" t="str">
        <f>'NORTH-1'!E268</f>
        <v>DHK 00060</v>
      </c>
      <c r="F34" s="791">
        <f>'NORTH-1'!F268</f>
        <v>1</v>
      </c>
      <c r="G34" s="791">
        <f>'NORTH-1'!G268</f>
        <v>94081.5</v>
      </c>
      <c r="H34" s="791">
        <f>'NORTH-1'!H268</f>
        <v>94424.2</v>
      </c>
      <c r="I34" s="791">
        <f>'NORTH-1'!I268</f>
        <v>342.69999999999709</v>
      </c>
      <c r="J34" s="791">
        <f>'NORTH-1'!J268</f>
        <v>444.44</v>
      </c>
      <c r="K34" s="791">
        <f>'NORTH-1'!K268</f>
        <v>0</v>
      </c>
      <c r="L34" s="791">
        <f>'NORTH-1'!L268</f>
        <v>152309.58799999871</v>
      </c>
      <c r="M34" s="791">
        <f>'NORTH-1'!M268</f>
        <v>0</v>
      </c>
      <c r="N34" s="2019" t="str">
        <f>'NORTH-1'!N268</f>
        <v>Ramna</v>
      </c>
      <c r="O34" s="2019" t="str">
        <f>Sheet2!$C$12</f>
        <v>New Ramna   33/11KV S/S</v>
      </c>
    </row>
    <row r="35" spans="1:15" x14ac:dyDescent="0.35">
      <c r="A35" s="2019">
        <f>'NORTH-1'!A269</f>
        <v>7</v>
      </c>
      <c r="B35" s="2019" t="str">
        <f>'NORTH-1'!B269</f>
        <v>Culvert Road</v>
      </c>
      <c r="C35" s="2019">
        <f>'NORTH-1'!C269</f>
        <v>11</v>
      </c>
      <c r="D35" s="2019">
        <f>'NORTH-1'!D269</f>
        <v>0</v>
      </c>
      <c r="E35" s="2019">
        <f>'NORTH-1'!E269</f>
        <v>8536184</v>
      </c>
      <c r="F35" s="791">
        <f>'NORTH-1'!F269</f>
        <v>1</v>
      </c>
      <c r="G35" s="791">
        <f>'NORTH-1'!G269</f>
        <v>39936.6</v>
      </c>
      <c r="H35" s="791">
        <f>'NORTH-1'!H269</f>
        <v>39936.6</v>
      </c>
      <c r="I35" s="791">
        <f>'NORTH-1'!I269</f>
        <v>0</v>
      </c>
      <c r="J35" s="791">
        <f>'NORTH-1'!J269</f>
        <v>444.44</v>
      </c>
      <c r="K35" s="791">
        <f>'NORTH-1'!K269</f>
        <v>0</v>
      </c>
      <c r="L35" s="791">
        <f>'NORTH-1'!L269</f>
        <v>0</v>
      </c>
      <c r="M35" s="791">
        <f>'NORTH-1'!M269</f>
        <v>0</v>
      </c>
      <c r="N35" s="2019" t="str">
        <f>'NORTH-1'!N269</f>
        <v>Ramna</v>
      </c>
      <c r="O35" s="2019" t="str">
        <f>Sheet2!$C$12</f>
        <v>New Ramna   33/11KV S/S</v>
      </c>
    </row>
    <row r="36" spans="1:15" x14ac:dyDescent="0.35">
      <c r="A36" s="2019">
        <f>'NORTH-1'!A270</f>
        <v>8</v>
      </c>
      <c r="B36" s="2019" t="str">
        <f>'NORTH-1'!B270</f>
        <v>Secretariat (East)</v>
      </c>
      <c r="C36" s="2019">
        <f>'NORTH-1'!C270</f>
        <v>11</v>
      </c>
      <c r="D36" s="2019">
        <f>'NORTH-1'!D270</f>
        <v>0</v>
      </c>
      <c r="E36" s="2019" t="str">
        <f>'NORTH-1'!E270</f>
        <v>DHK00059</v>
      </c>
      <c r="F36" s="791">
        <f>'NORTH-1'!F270</f>
        <v>1</v>
      </c>
      <c r="G36" s="791">
        <f>'NORTH-1'!G270</f>
        <v>81633.100000000006</v>
      </c>
      <c r="H36" s="791">
        <f>'NORTH-1'!H270</f>
        <v>81635.7</v>
      </c>
      <c r="I36" s="791">
        <f>'NORTH-1'!I270</f>
        <v>2.5999999999912689</v>
      </c>
      <c r="J36" s="791">
        <f>'NORTH-1'!J270</f>
        <v>444.44</v>
      </c>
      <c r="K36" s="791">
        <f>'NORTH-1'!K270</f>
        <v>0</v>
      </c>
      <c r="L36" s="791">
        <f>'NORTH-1'!L270</f>
        <v>1155.5439999961195</v>
      </c>
      <c r="M36" s="791">
        <f>'NORTH-1'!M270</f>
        <v>0</v>
      </c>
      <c r="N36" s="2019" t="str">
        <f>'NORTH-1'!N270</f>
        <v>Ramna</v>
      </c>
      <c r="O36" s="2019" t="str">
        <f>Sheet2!$C$12</f>
        <v>New Ramna   33/11KV S/S</v>
      </c>
    </row>
    <row r="37" spans="1:15" x14ac:dyDescent="0.35">
      <c r="A37" s="2019">
        <f>'NORTH-1'!A271</f>
        <v>9</v>
      </c>
      <c r="B37" s="2019" t="str">
        <f>'NORTH-1'!B271</f>
        <v>Siddik Bazar</v>
      </c>
      <c r="C37" s="2019">
        <f>'NORTH-1'!C271</f>
        <v>11</v>
      </c>
      <c r="D37" s="2019">
        <f>'NORTH-1'!D271</f>
        <v>0</v>
      </c>
      <c r="E37" s="2019" t="str">
        <f>'NORTH-1'!E271</f>
        <v>DHK00076</v>
      </c>
      <c r="F37" s="791">
        <f>'NORTH-1'!F271</f>
        <v>1</v>
      </c>
      <c r="G37" s="791">
        <f>'NORTH-1'!G271</f>
        <v>15601.2</v>
      </c>
      <c r="H37" s="791">
        <f>'NORTH-1'!H271</f>
        <v>15942.5</v>
      </c>
      <c r="I37" s="791">
        <f>'NORTH-1'!I271</f>
        <v>341.29999999999927</v>
      </c>
      <c r="J37" s="791">
        <f>'NORTH-1'!J271</f>
        <v>444.44</v>
      </c>
      <c r="K37" s="791">
        <f>'NORTH-1'!K271</f>
        <v>0</v>
      </c>
      <c r="L37" s="791">
        <f>'NORTH-1'!L271</f>
        <v>151687.37199999968</v>
      </c>
      <c r="M37" s="791">
        <f>'NORTH-1'!M271</f>
        <v>0</v>
      </c>
      <c r="N37" s="2019" t="str">
        <f>'NORTH-1'!N271</f>
        <v>Bangshal</v>
      </c>
      <c r="O37" s="2019" t="str">
        <f>Sheet2!$C$12</f>
        <v>New Ramna   33/11KV S/S</v>
      </c>
    </row>
    <row r="38" spans="1:15" x14ac:dyDescent="0.35">
      <c r="A38" s="2019">
        <f>'NORTH-1'!A272</f>
        <v>10</v>
      </c>
      <c r="B38" s="2019" t="str">
        <f>'NORTH-1'!B272</f>
        <v>Bokshi Bazar</v>
      </c>
      <c r="C38" s="2019">
        <f>'NORTH-1'!C272</f>
        <v>11</v>
      </c>
      <c r="D38" s="2019">
        <f>'NORTH-1'!D272</f>
        <v>0</v>
      </c>
      <c r="E38" s="2019" t="str">
        <f>'NORTH-1'!E272</f>
        <v>DHK 00206</v>
      </c>
      <c r="F38" s="791">
        <f>'NORTH-1'!F272</f>
        <v>1</v>
      </c>
      <c r="G38" s="791">
        <f>'NORTH-1'!G272</f>
        <v>77070</v>
      </c>
      <c r="H38" s="791">
        <f>'NORTH-1'!H272</f>
        <v>78207.899999999994</v>
      </c>
      <c r="I38" s="791">
        <f>'NORTH-1'!I272</f>
        <v>1137.8999999999942</v>
      </c>
      <c r="J38" s="791">
        <f>'NORTH-1'!J272</f>
        <v>444.44</v>
      </c>
      <c r="K38" s="791">
        <f>'NORTH-1'!K272</f>
        <v>0</v>
      </c>
      <c r="L38" s="791">
        <f>'NORTH-1'!L272</f>
        <v>505728.27599999739</v>
      </c>
      <c r="M38" s="791">
        <f>'NORTH-1'!M272</f>
        <v>0</v>
      </c>
      <c r="N38" s="2019" t="str">
        <f>'NORTH-1'!N272</f>
        <v>Ramna</v>
      </c>
      <c r="O38" s="2019" t="str">
        <f>Sheet2!$C$12</f>
        <v>New Ramna   33/11KV S/S</v>
      </c>
    </row>
    <row r="39" spans="1:15" x14ac:dyDescent="0.35">
      <c r="A39" s="2019">
        <f>'NORTH-1'!A273</f>
        <v>11</v>
      </c>
      <c r="B39" s="2019" t="str">
        <f>'NORTH-1'!B273</f>
        <v>Ramna 11 kV Sw/S Circuit-1</v>
      </c>
      <c r="C39" s="2019">
        <f>'NORTH-1'!C273</f>
        <v>11</v>
      </c>
      <c r="D39" s="2019">
        <f>'NORTH-1'!D273</f>
        <v>0</v>
      </c>
      <c r="E39" s="2019" t="str">
        <f>'NORTH-1'!E273</f>
        <v>DHK00198</v>
      </c>
      <c r="F39" s="791">
        <f>'NORTH-1'!F273</f>
        <v>1</v>
      </c>
      <c r="G39" s="791">
        <f>'NORTH-1'!G273</f>
        <v>34854.5</v>
      </c>
      <c r="H39" s="791">
        <f>'NORTH-1'!H273</f>
        <v>35231.199999999997</v>
      </c>
      <c r="I39" s="791">
        <f>'NORTH-1'!I273</f>
        <v>376.69999999999709</v>
      </c>
      <c r="J39" s="791">
        <f>'NORTH-1'!J273</f>
        <v>444.44</v>
      </c>
      <c r="K39" s="791">
        <f>'NORTH-1'!K273</f>
        <v>0</v>
      </c>
      <c r="L39" s="791">
        <f>'NORTH-1'!L273</f>
        <v>167420.5479999987</v>
      </c>
      <c r="M39" s="791">
        <f>'NORTH-1'!M273</f>
        <v>0</v>
      </c>
      <c r="N39" s="2019" t="str">
        <f>'NORTH-1'!N273</f>
        <v>Ramna</v>
      </c>
      <c r="O39" s="2019" t="str">
        <f>Sheet2!$C$12</f>
        <v>New Ramna   33/11KV S/S</v>
      </c>
    </row>
    <row r="40" spans="1:15" x14ac:dyDescent="0.35">
      <c r="A40" s="2019">
        <f>'NORTH-1'!A274</f>
        <v>12</v>
      </c>
      <c r="B40" s="2019" t="str">
        <f>'NORTH-1'!B274</f>
        <v>TNT RMU</v>
      </c>
      <c r="C40" s="2019">
        <f>'NORTH-1'!C274</f>
        <v>11</v>
      </c>
      <c r="D40" s="2019">
        <f>'NORTH-1'!D274</f>
        <v>0</v>
      </c>
      <c r="E40" s="2019" t="str">
        <f>'NORTH-1'!E274</f>
        <v>DHK 00207</v>
      </c>
      <c r="F40" s="791">
        <f>'NORTH-1'!F274</f>
        <v>1</v>
      </c>
      <c r="G40" s="791">
        <f>'NORTH-1'!G274</f>
        <v>54030.3</v>
      </c>
      <c r="H40" s="791">
        <f>'NORTH-1'!H274</f>
        <v>54896.3</v>
      </c>
      <c r="I40" s="791">
        <f>'NORTH-1'!I274</f>
        <v>866</v>
      </c>
      <c r="J40" s="791">
        <f>'NORTH-1'!J274</f>
        <v>444.44</v>
      </c>
      <c r="K40" s="791">
        <f>'NORTH-1'!K274</f>
        <v>0</v>
      </c>
      <c r="L40" s="791">
        <f>'NORTH-1'!L274</f>
        <v>384885.04</v>
      </c>
      <c r="M40" s="791">
        <f>'NORTH-1'!M274</f>
        <v>0</v>
      </c>
      <c r="N40" s="2019" t="str">
        <f>'NORTH-1'!N274</f>
        <v>Ramna</v>
      </c>
      <c r="O40" s="2019" t="str">
        <f>Sheet2!$C$12</f>
        <v>New Ramna   33/11KV S/S</v>
      </c>
    </row>
    <row r="41" spans="1:15" x14ac:dyDescent="0.35">
      <c r="A41" s="2019">
        <f>'NORTH-1'!A275</f>
        <v>13</v>
      </c>
      <c r="B41" s="2019" t="str">
        <f>'NORTH-1'!B275</f>
        <v>DIT 11 kV Sw/S Circuit-1</v>
      </c>
      <c r="C41" s="2019">
        <f>'NORTH-1'!C275</f>
        <v>11</v>
      </c>
      <c r="D41" s="2019">
        <f>'NORTH-1'!D275</f>
        <v>0</v>
      </c>
      <c r="E41" s="2019" t="str">
        <f>'NORTH-1'!E275</f>
        <v>DHK 00052</v>
      </c>
      <c r="F41" s="791">
        <f>'NORTH-1'!F275</f>
        <v>1</v>
      </c>
      <c r="G41" s="791">
        <f>'NORTH-1'!G275</f>
        <v>2712.3</v>
      </c>
      <c r="H41" s="791">
        <f>'NORTH-1'!H275</f>
        <v>2712.3</v>
      </c>
      <c r="I41" s="791">
        <f>'NORTH-1'!I275</f>
        <v>0</v>
      </c>
      <c r="J41" s="791">
        <f>'NORTH-1'!J275</f>
        <v>444.44</v>
      </c>
      <c r="K41" s="791">
        <f>'NORTH-1'!K275</f>
        <v>0</v>
      </c>
      <c r="L41" s="791">
        <f>'NORTH-1'!L275</f>
        <v>0</v>
      </c>
      <c r="M41" s="791">
        <f>'NORTH-1'!M275</f>
        <v>0</v>
      </c>
      <c r="N41" s="2019" t="str">
        <f>'NORTH-1'!N275</f>
        <v>Motijheel</v>
      </c>
      <c r="O41" s="2019" t="str">
        <f>Sheet2!$C$12</f>
        <v>New Ramna   33/11KV S/S</v>
      </c>
    </row>
    <row r="42" spans="1:15" x14ac:dyDescent="0.35">
      <c r="A42" s="2019">
        <f>'NORTH-1'!A276</f>
        <v>16</v>
      </c>
      <c r="B42" s="2019" t="str">
        <f>'NORTH-1'!B276</f>
        <v>Secretariat (West)</v>
      </c>
      <c r="C42" s="2019">
        <f>'NORTH-1'!C276</f>
        <v>11</v>
      </c>
      <c r="D42" s="2019">
        <f>'NORTH-1'!D276</f>
        <v>0</v>
      </c>
      <c r="E42" s="2019" t="str">
        <f>'NORTH-1'!E276</f>
        <v>DHK 00006</v>
      </c>
      <c r="F42" s="791">
        <f>'NORTH-1'!F276</f>
        <v>1</v>
      </c>
      <c r="G42" s="791">
        <f>'NORTH-1'!G276</f>
        <v>63956.7</v>
      </c>
      <c r="H42" s="791">
        <f>'NORTH-1'!H276</f>
        <v>64438.2</v>
      </c>
      <c r="I42" s="791">
        <f>'NORTH-1'!I276</f>
        <v>481.5</v>
      </c>
      <c r="J42" s="791">
        <f>'NORTH-1'!J276</f>
        <v>444.44</v>
      </c>
      <c r="K42" s="791">
        <f>'NORTH-1'!K276</f>
        <v>0</v>
      </c>
      <c r="L42" s="791">
        <f>'NORTH-1'!L276</f>
        <v>213997.86</v>
      </c>
      <c r="M42" s="791">
        <f>'NORTH-1'!M276</f>
        <v>0</v>
      </c>
      <c r="N42" s="2019" t="str">
        <f>'NORTH-1'!N276</f>
        <v>Ramna</v>
      </c>
      <c r="O42" s="2019" t="str">
        <f>Sheet2!$C$12</f>
        <v>New Ramna   33/11KV S/S</v>
      </c>
    </row>
    <row r="43" spans="1:15" x14ac:dyDescent="0.35">
      <c r="A43" s="2019">
        <f>'NORTH-1'!A277</f>
        <v>17</v>
      </c>
      <c r="B43" s="2019" t="str">
        <f>'NORTH-1'!B277</f>
        <v>Ramna 11 kV Sw/S Circuit-2</v>
      </c>
      <c r="C43" s="2019">
        <f>'NORTH-1'!C277</f>
        <v>11</v>
      </c>
      <c r="D43" s="2019">
        <f>'NORTH-1'!D277</f>
        <v>0</v>
      </c>
      <c r="E43" s="2019" t="str">
        <f>'NORTH-1'!E277</f>
        <v>DHK00197</v>
      </c>
      <c r="F43" s="791">
        <f>'NORTH-1'!F277</f>
        <v>1</v>
      </c>
      <c r="G43" s="791">
        <f>'NORTH-1'!G277</f>
        <v>84300.2</v>
      </c>
      <c r="H43" s="791">
        <f>'NORTH-1'!H277</f>
        <v>84565.2</v>
      </c>
      <c r="I43" s="791">
        <f>'NORTH-1'!I277</f>
        <v>265</v>
      </c>
      <c r="J43" s="791">
        <f>'NORTH-1'!J277</f>
        <v>444.44</v>
      </c>
      <c r="K43" s="791">
        <f>'NORTH-1'!K277</f>
        <v>0</v>
      </c>
      <c r="L43" s="791">
        <f>'NORTH-1'!L277</f>
        <v>117776.6</v>
      </c>
      <c r="M43" s="791">
        <f>'NORTH-1'!M277</f>
        <v>0</v>
      </c>
      <c r="N43" s="2019" t="str">
        <f>'NORTH-1'!N277</f>
        <v>Ramna</v>
      </c>
      <c r="O43" s="2019" t="str">
        <f>Sheet2!$C$12</f>
        <v>New Ramna   33/11KV S/S</v>
      </c>
    </row>
    <row r="44" spans="1:15" x14ac:dyDescent="0.35">
      <c r="A44" s="2019">
        <f>'NORTH-1'!A278</f>
        <v>18</v>
      </c>
      <c r="B44" s="2019" t="str">
        <f>'NORTH-1'!B278</f>
        <v>Sayed Nazrul Islam Road</v>
      </c>
      <c r="C44" s="2019">
        <f>'NORTH-1'!C278</f>
        <v>11</v>
      </c>
      <c r="D44" s="2019">
        <f>'NORTH-1'!D278</f>
        <v>0</v>
      </c>
      <c r="E44" s="2019" t="str">
        <f>'NORTH-1'!E278</f>
        <v>DHK00186</v>
      </c>
      <c r="F44" s="791">
        <f>'NORTH-1'!F278</f>
        <v>1</v>
      </c>
      <c r="G44" s="791">
        <f>'NORTH-1'!G278</f>
        <v>14814.7</v>
      </c>
      <c r="H44" s="791">
        <f>'NORTH-1'!H278</f>
        <v>16317.6</v>
      </c>
      <c r="I44" s="791">
        <f>'NORTH-1'!I278</f>
        <v>1502.8999999999996</v>
      </c>
      <c r="J44" s="791">
        <f>'NORTH-1'!J278</f>
        <v>444.44</v>
      </c>
      <c r="K44" s="791">
        <f>'NORTH-1'!K278</f>
        <v>0</v>
      </c>
      <c r="L44" s="791">
        <f>'NORTH-1'!L278</f>
        <v>667948.87599999981</v>
      </c>
      <c r="M44" s="791">
        <f>'NORTH-1'!M278</f>
        <v>0</v>
      </c>
      <c r="N44" s="2019" t="str">
        <f>'NORTH-1'!N278</f>
        <v>Ramna</v>
      </c>
      <c r="O44" s="2019" t="str">
        <f>Sheet2!$C$12</f>
        <v>New Ramna   33/11KV S/S</v>
      </c>
    </row>
    <row r="45" spans="1:15" x14ac:dyDescent="0.35">
      <c r="A45" s="2019">
        <f>'NORTH-1'!A279</f>
        <v>19</v>
      </c>
      <c r="B45" s="2019" t="str">
        <f>'NORTH-1'!B279</f>
        <v>Gulistan Complex</v>
      </c>
      <c r="C45" s="2019">
        <f>'NORTH-1'!C279</f>
        <v>11</v>
      </c>
      <c r="D45" s="2019">
        <f>'NORTH-1'!D279</f>
        <v>0</v>
      </c>
      <c r="E45" s="2019" t="str">
        <f>'NORTH-1'!E279</f>
        <v>DHK00030</v>
      </c>
      <c r="F45" s="791">
        <f>'NORTH-1'!F279</f>
        <v>1</v>
      </c>
      <c r="G45" s="791">
        <f>'NORTH-1'!G279</f>
        <v>52191.6</v>
      </c>
      <c r="H45" s="791">
        <f>'NORTH-1'!H279</f>
        <v>52419.9</v>
      </c>
      <c r="I45" s="791">
        <f>'NORTH-1'!I279</f>
        <v>228.30000000000291</v>
      </c>
      <c r="J45" s="791">
        <f>'NORTH-1'!J279</f>
        <v>444.44</v>
      </c>
      <c r="K45" s="791">
        <f>'NORTH-1'!K279</f>
        <v>0</v>
      </c>
      <c r="L45" s="791">
        <f>'NORTH-1'!L279</f>
        <v>101465.6520000013</v>
      </c>
      <c r="M45" s="791">
        <f>'NORTH-1'!M279</f>
        <v>0</v>
      </c>
      <c r="N45" s="2019" t="str">
        <f>'NORTH-1'!N279</f>
        <v>Ramna</v>
      </c>
      <c r="O45" s="2019" t="str">
        <f>Sheet2!$C$12</f>
        <v>New Ramna   33/11KV S/S</v>
      </c>
    </row>
    <row r="46" spans="1:15" x14ac:dyDescent="0.35">
      <c r="A46" s="2019">
        <f>'NORTH-1'!A280</f>
        <v>20</v>
      </c>
      <c r="B46" s="2019" t="str">
        <f>'NORTH-1'!B280</f>
        <v>Mohanagor Nattomanso</v>
      </c>
      <c r="C46" s="2019">
        <f>'NORTH-1'!C280</f>
        <v>11</v>
      </c>
      <c r="D46" s="2019">
        <f>'NORTH-1'!D280</f>
        <v>0</v>
      </c>
      <c r="E46" s="2019" t="str">
        <f>'NORTH-1'!E280</f>
        <v>DHK 00008</v>
      </c>
      <c r="F46" s="791">
        <f>'NORTH-1'!F280</f>
        <v>1</v>
      </c>
      <c r="G46" s="791">
        <f>'NORTH-1'!G280</f>
        <v>99360.4</v>
      </c>
      <c r="H46" s="791">
        <f>'NORTH-1'!H280</f>
        <v>99438.8</v>
      </c>
      <c r="I46" s="791">
        <f>'NORTH-1'!I280</f>
        <v>78.400000000008731</v>
      </c>
      <c r="J46" s="791">
        <f>'NORTH-1'!J280</f>
        <v>444.44</v>
      </c>
      <c r="K46" s="791">
        <f>'NORTH-1'!K280</f>
        <v>0</v>
      </c>
      <c r="L46" s="791">
        <f>'NORTH-1'!L280</f>
        <v>34844.096000003883</v>
      </c>
      <c r="M46" s="791">
        <f>'NORTH-1'!M280</f>
        <v>0</v>
      </c>
      <c r="N46" s="2019" t="str">
        <f>'NORTH-1'!N280</f>
        <v>Ramna</v>
      </c>
      <c r="O46" s="2019" t="str">
        <f>Sheet2!$C$12</f>
        <v>New Ramna   33/11KV S/S</v>
      </c>
    </row>
    <row r="47" spans="1:15" x14ac:dyDescent="0.35">
      <c r="A47" s="2019">
        <f>'NORTH-1'!A281</f>
        <v>21</v>
      </c>
      <c r="B47" s="2019" t="str">
        <f>'NORTH-1'!B281</f>
        <v>DIT 11 kV Sw/S Circuit-2</v>
      </c>
      <c r="C47" s="2019">
        <f>'NORTH-1'!C281</f>
        <v>11</v>
      </c>
      <c r="D47" s="2019">
        <f>'NORTH-1'!D281</f>
        <v>0</v>
      </c>
      <c r="E47" s="2019" t="str">
        <f>'NORTH-1'!E281</f>
        <v>DHK00196</v>
      </c>
      <c r="F47" s="791">
        <f>'NORTH-1'!F281</f>
        <v>1</v>
      </c>
      <c r="G47" s="791">
        <f>'NORTH-1'!G281</f>
        <v>14727.8</v>
      </c>
      <c r="H47" s="791">
        <f>'NORTH-1'!H281</f>
        <v>16455.3</v>
      </c>
      <c r="I47" s="791">
        <f>'NORTH-1'!I281</f>
        <v>1727.5</v>
      </c>
      <c r="J47" s="791">
        <f>'NORTH-1'!J281</f>
        <v>444.44</v>
      </c>
      <c r="K47" s="791">
        <f>'NORTH-1'!K281</f>
        <v>0</v>
      </c>
      <c r="L47" s="791">
        <f>'NORTH-1'!L281</f>
        <v>767770.1</v>
      </c>
      <c r="M47" s="791">
        <f>'NORTH-1'!M281</f>
        <v>0</v>
      </c>
      <c r="N47" s="2019" t="str">
        <f>'NORTH-1'!N281</f>
        <v>Motijheel</v>
      </c>
      <c r="O47" s="2019" t="str">
        <f>Sheet2!$C$12</f>
        <v>New Ramna   33/11KV S/S</v>
      </c>
    </row>
    <row r="48" spans="1:15" x14ac:dyDescent="0.35">
      <c r="A48" s="2019">
        <f>'NORTH-1'!A282</f>
        <v>22</v>
      </c>
      <c r="B48" s="2019" t="str">
        <f>'NORTH-1'!B282</f>
        <v>Jail</v>
      </c>
      <c r="C48" s="2019">
        <f>'NORTH-1'!C282</f>
        <v>11</v>
      </c>
      <c r="D48" s="2019">
        <f>'NORTH-1'!D282</f>
        <v>0</v>
      </c>
      <c r="E48" s="2019" t="str">
        <f>'NORTH-1'!E282</f>
        <v>DHK00009</v>
      </c>
      <c r="F48" s="791">
        <f>'NORTH-1'!F282</f>
        <v>1</v>
      </c>
      <c r="G48" s="791">
        <f>'NORTH-1'!G282</f>
        <v>0</v>
      </c>
      <c r="H48" s="791">
        <f>'NORTH-1'!H282</f>
        <v>0</v>
      </c>
      <c r="I48" s="791">
        <f>'NORTH-1'!I282</f>
        <v>0</v>
      </c>
      <c r="J48" s="791">
        <f>'NORTH-1'!J282</f>
        <v>444.44</v>
      </c>
      <c r="K48" s="791">
        <f>'NORTH-1'!K282</f>
        <v>0</v>
      </c>
      <c r="L48" s="791">
        <f>'NORTH-1'!L282</f>
        <v>0</v>
      </c>
      <c r="M48" s="791">
        <f>'NORTH-1'!M282</f>
        <v>0</v>
      </c>
      <c r="N48" s="2019" t="str">
        <f>'NORTH-1'!N282</f>
        <v>Bangshal</v>
      </c>
      <c r="O48" s="2019" t="str">
        <f>Sheet2!$C$12</f>
        <v>New Ramna   33/11KV S/S</v>
      </c>
    </row>
    <row r="49" spans="1:15" x14ac:dyDescent="0.35">
      <c r="A49" s="2019">
        <f>'NORTH-1'!A283</f>
        <v>23</v>
      </c>
      <c r="B49" s="2019" t="str">
        <f>'NORTH-1'!B283</f>
        <v>Kosturi Bazar</v>
      </c>
      <c r="C49" s="2019">
        <f>'NORTH-1'!C283</f>
        <v>11</v>
      </c>
      <c r="D49" s="2019">
        <f>'NORTH-1'!D283</f>
        <v>0</v>
      </c>
      <c r="E49" s="2019" t="str">
        <f>'NORTH-1'!E283</f>
        <v>HA021100713-02</v>
      </c>
      <c r="F49" s="791">
        <f>'NORTH-1'!F283</f>
        <v>1</v>
      </c>
      <c r="G49" s="791">
        <f>'NORTH-1'!G283</f>
        <v>75650805</v>
      </c>
      <c r="H49" s="791">
        <f>'NORTH-1'!H283</f>
        <v>75650805</v>
      </c>
      <c r="I49" s="791">
        <f>'NORTH-1'!I283</f>
        <v>0</v>
      </c>
      <c r="J49" s="791">
        <f>'NORTH-1'!J283</f>
        <v>1</v>
      </c>
      <c r="K49" s="791">
        <f>'NORTH-1'!K283</f>
        <v>0</v>
      </c>
      <c r="L49" s="791">
        <f>'NORTH-1'!L283</f>
        <v>0</v>
      </c>
      <c r="M49" s="791">
        <f>'NORTH-1'!M283</f>
        <v>0</v>
      </c>
      <c r="N49" s="2019" t="str">
        <f>'NORTH-1'!N283</f>
        <v>Ramna</v>
      </c>
      <c r="O49" s="2019" t="str">
        <f>Sheet2!$C$12</f>
        <v>New Ramna   33/11KV S/S</v>
      </c>
    </row>
    <row r="50" spans="1:15" x14ac:dyDescent="0.35">
      <c r="A50" s="2019">
        <f>'NORTH-1'!A284</f>
        <v>24</v>
      </c>
      <c r="B50" s="2019" t="str">
        <f>'NORTH-1'!B284</f>
        <v>Kaptan Bazar</v>
      </c>
      <c r="C50" s="2019">
        <f>'NORTH-1'!C284</f>
        <v>11</v>
      </c>
      <c r="D50" s="2019">
        <f>'NORTH-1'!D284</f>
        <v>0</v>
      </c>
      <c r="E50" s="2019" t="str">
        <f>'NORTH-1'!E284</f>
        <v>HA021101251-02</v>
      </c>
      <c r="F50" s="791">
        <f>'NORTH-1'!F284</f>
        <v>1</v>
      </c>
      <c r="G50" s="791">
        <f>'NORTH-1'!G284</f>
        <v>4197078</v>
      </c>
      <c r="H50" s="791">
        <f>'NORTH-1'!H284</f>
        <v>4465763</v>
      </c>
      <c r="I50" s="791">
        <f>'NORTH-1'!I284</f>
        <v>268685</v>
      </c>
      <c r="J50" s="791">
        <f>'NORTH-1'!J284</f>
        <v>1</v>
      </c>
      <c r="K50" s="791">
        <f>'NORTH-1'!K284</f>
        <v>0</v>
      </c>
      <c r="L50" s="791">
        <f>'NORTH-1'!L284</f>
        <v>268685</v>
      </c>
      <c r="M50" s="791">
        <f>'NORTH-1'!M284</f>
        <v>0</v>
      </c>
      <c r="N50" s="2019" t="str">
        <f>'NORTH-1'!N284</f>
        <v>Narinda</v>
      </c>
      <c r="O50" s="2019" t="str">
        <f>Sheet2!$C$12</f>
        <v>New Ramna   33/11KV S/S</v>
      </c>
    </row>
    <row r="51" spans="1:15" x14ac:dyDescent="0.35">
      <c r="A51" s="2019">
        <f>'NORTH-1'!A285</f>
        <v>25</v>
      </c>
      <c r="B51" s="2019" t="str">
        <f>'NORTH-1'!B285</f>
        <v>G.T.V</v>
      </c>
      <c r="C51" s="2019">
        <f>'NORTH-1'!C285</f>
        <v>11</v>
      </c>
      <c r="D51" s="2019">
        <f>'NORTH-1'!D285</f>
        <v>0</v>
      </c>
      <c r="E51" s="2019" t="str">
        <f>'NORTH-1'!E285</f>
        <v>HA-021101054-02</v>
      </c>
      <c r="F51" s="791">
        <f>'NORTH-1'!F285</f>
        <v>1</v>
      </c>
      <c r="G51" s="791">
        <f>'NORTH-1'!G285</f>
        <v>68213671</v>
      </c>
      <c r="H51" s="791">
        <f>'NORTH-1'!H285</f>
        <v>68625581</v>
      </c>
      <c r="I51" s="791">
        <f>'NORTH-1'!I285</f>
        <v>411910</v>
      </c>
      <c r="J51" s="791">
        <f>'NORTH-1'!J285</f>
        <v>1</v>
      </c>
      <c r="K51" s="791">
        <f>'NORTH-1'!K285</f>
        <v>0</v>
      </c>
      <c r="L51" s="791">
        <f>'NORTH-1'!L285</f>
        <v>411910</v>
      </c>
      <c r="M51" s="791">
        <f>'NORTH-1'!M285</f>
        <v>0</v>
      </c>
      <c r="N51" s="2019" t="str">
        <f>'NORTH-1'!N285</f>
        <v>Ramna</v>
      </c>
      <c r="O51" s="2019" t="str">
        <f>Sheet2!$C$12</f>
        <v>New Ramna   33/11KV S/S</v>
      </c>
    </row>
    <row r="52" spans="1:15" x14ac:dyDescent="0.35">
      <c r="A52" s="2019">
        <f>'NORTH-1'!A286</f>
        <v>26</v>
      </c>
      <c r="B52" s="2019" t="str">
        <f>'NORTH-1'!B286</f>
        <v>Kazi Alauddin Road</v>
      </c>
      <c r="C52" s="2019">
        <f>'NORTH-1'!C286</f>
        <v>11</v>
      </c>
      <c r="D52" s="2019">
        <f>'NORTH-1'!D286</f>
        <v>0</v>
      </c>
      <c r="E52" s="2019" t="str">
        <f>'NORTH-1'!E286</f>
        <v>HA021100951-02</v>
      </c>
      <c r="F52" s="791">
        <f>'NORTH-1'!F286</f>
        <v>1</v>
      </c>
      <c r="G52" s="791">
        <f>'NORTH-1'!G286</f>
        <v>4106884</v>
      </c>
      <c r="H52" s="791">
        <f>'NORTH-1'!H286</f>
        <v>4355468</v>
      </c>
      <c r="I52" s="791">
        <f>'NORTH-1'!I286</f>
        <v>248584</v>
      </c>
      <c r="J52" s="791">
        <f>'NORTH-1'!J286</f>
        <v>1</v>
      </c>
      <c r="K52" s="791">
        <f>'NORTH-1'!K286</f>
        <v>0</v>
      </c>
      <c r="L52" s="791">
        <f>'NORTH-1'!L286</f>
        <v>248584</v>
      </c>
      <c r="M52" s="791">
        <f>'NORTH-1'!M286</f>
        <v>0</v>
      </c>
      <c r="N52" s="2019" t="str">
        <f>'NORTH-1'!N286</f>
        <v>Bangshal</v>
      </c>
      <c r="O52" s="2019" t="str">
        <f>Sheet2!$C$12</f>
        <v>New Ramna   33/11KV S/S</v>
      </c>
    </row>
    <row r="53" spans="1:15" x14ac:dyDescent="0.35">
      <c r="A53" s="2019">
        <f>'NORTH-1'!A287</f>
        <v>28</v>
      </c>
      <c r="B53" s="2019" t="str">
        <f>'NORTH-1'!B287</f>
        <v>11/0.4 kV Aux. Transformer, AT-1</v>
      </c>
      <c r="C53" s="2019">
        <f>'NORTH-1'!C287</f>
        <v>0.4</v>
      </c>
      <c r="D53" s="2019">
        <f>'NORTH-1'!D287</f>
        <v>0</v>
      </c>
      <c r="E53" s="2019">
        <f>'NORTH-1'!E287</f>
        <v>2436</v>
      </c>
      <c r="F53" s="791">
        <f>'NORTH-1'!F287</f>
        <v>1</v>
      </c>
      <c r="G53" s="791">
        <f>'NORTH-1'!G287</f>
        <v>66777</v>
      </c>
      <c r="H53" s="791">
        <f>'NORTH-1'!H287</f>
        <v>66863</v>
      </c>
      <c r="I53" s="791">
        <f>'NORTH-1'!I287</f>
        <v>86</v>
      </c>
      <c r="J53" s="791">
        <f>'NORTH-1'!J287</f>
        <v>10</v>
      </c>
      <c r="K53" s="791">
        <f>'NORTH-1'!K287</f>
        <v>0</v>
      </c>
      <c r="L53" s="791">
        <f>'NORTH-1'!L287</f>
        <v>860</v>
      </c>
      <c r="M53" s="791">
        <f>'NORTH-1'!M287</f>
        <v>0</v>
      </c>
      <c r="N53" s="2019" t="str">
        <f>'NORTH-1'!N287</f>
        <v>Ramna</v>
      </c>
      <c r="O53" s="2019" t="str">
        <f>Sheet2!$C$12</f>
        <v>New Ramna   33/11KV S/S</v>
      </c>
    </row>
    <row r="54" spans="1:15" x14ac:dyDescent="0.35">
      <c r="A54" s="2019">
        <f>'NORTH-1'!A288</f>
        <v>29</v>
      </c>
      <c r="B54" s="2019" t="str">
        <f>'NORTH-1'!B288</f>
        <v>11/0.4 kV Aux. Transformer, AT-2</v>
      </c>
      <c r="C54" s="2019">
        <f>'NORTH-1'!C288</f>
        <v>0.4</v>
      </c>
      <c r="D54" s="2019">
        <f>'NORTH-1'!D288</f>
        <v>0</v>
      </c>
      <c r="E54" s="2019">
        <f>'NORTH-1'!E288</f>
        <v>2437</v>
      </c>
      <c r="F54" s="791">
        <f>'NORTH-1'!F288</f>
        <v>1</v>
      </c>
      <c r="G54" s="791">
        <f>'NORTH-1'!G288</f>
        <v>86989</v>
      </c>
      <c r="H54" s="791">
        <f>'NORTH-1'!H288</f>
        <v>87159</v>
      </c>
      <c r="I54" s="791">
        <f>'NORTH-1'!I288</f>
        <v>170</v>
      </c>
      <c r="J54" s="791">
        <f>'NORTH-1'!J288</f>
        <v>10</v>
      </c>
      <c r="K54" s="791">
        <f>'NORTH-1'!K288</f>
        <v>0</v>
      </c>
      <c r="L54" s="791">
        <f>'NORTH-1'!L288</f>
        <v>1700</v>
      </c>
      <c r="M54" s="791">
        <f>'NORTH-1'!M288</f>
        <v>0</v>
      </c>
      <c r="N54" s="2019" t="str">
        <f>'NORTH-1'!N288</f>
        <v>Ramna</v>
      </c>
      <c r="O54" s="2019" t="str">
        <f>Sheet2!$C$12</f>
        <v>New Ramna   33/11KV S/S</v>
      </c>
    </row>
    <row r="55" spans="1:15" x14ac:dyDescent="0.35">
      <c r="A55" s="2019">
        <f>'NORTH-1'!A357</f>
        <v>7</v>
      </c>
      <c r="B55" s="2019" t="str">
        <f>'NORTH-1'!B357</f>
        <v>Pioneer</v>
      </c>
      <c r="C55" s="2019" t="str">
        <f>'NORTH-1'!C357</f>
        <v>11 kV</v>
      </c>
      <c r="D55" s="2019">
        <f>'NORTH-1'!D357</f>
        <v>0</v>
      </c>
      <c r="E55" s="2019" t="str">
        <f>'NORTH-1'!E357</f>
        <v>06604395</v>
      </c>
      <c r="F55" s="791">
        <f>'NORTH-1'!F357</f>
        <v>1</v>
      </c>
      <c r="G55" s="791">
        <f>'NORTH-1'!G357</f>
        <v>23240.92</v>
      </c>
      <c r="H55" s="791">
        <f>'NORTH-1'!H357</f>
        <v>23289.99</v>
      </c>
      <c r="I55" s="791">
        <f>'NORTH-1'!I357</f>
        <v>49.070000000003347</v>
      </c>
      <c r="J55" s="791">
        <f>'NORTH-1'!J357</f>
        <v>8000</v>
      </c>
      <c r="K55" s="791">
        <f>'NORTH-1'!K357</f>
        <v>0</v>
      </c>
      <c r="L55" s="791">
        <f>'NORTH-1'!L357</f>
        <v>392560.00000002678</v>
      </c>
      <c r="M55" s="791">
        <f>'NORTH-1'!M357</f>
        <v>0</v>
      </c>
      <c r="N55" s="2019" t="str">
        <f>'NORTH-1'!N357</f>
        <v>Ramna</v>
      </c>
      <c r="O55" s="2019" t="str">
        <f>Sheet2!$C$15</f>
        <v>Kakrail  33/11KV S/S</v>
      </c>
    </row>
    <row r="56" spans="1:15" x14ac:dyDescent="0.35">
      <c r="A56" s="2019">
        <f>'NORTH-1'!A358</f>
        <v>8</v>
      </c>
      <c r="B56" s="2019" t="str">
        <f>'NORTH-1'!B358</f>
        <v>Pir Saheber Goli</v>
      </c>
      <c r="C56" s="2019" t="str">
        <f>'NORTH-1'!C358</f>
        <v>11 kV</v>
      </c>
      <c r="D56" s="2019">
        <f>'NORTH-1'!D358</f>
        <v>0</v>
      </c>
      <c r="E56" s="2019" t="str">
        <f>'NORTH-1'!E358</f>
        <v>DHK-00102</v>
      </c>
      <c r="F56" s="791">
        <f>'NORTH-1'!F358</f>
        <v>1</v>
      </c>
      <c r="G56" s="791">
        <f>'NORTH-1'!G358</f>
        <v>61973.3</v>
      </c>
      <c r="H56" s="791">
        <f>'NORTH-1'!H358</f>
        <v>63811.8</v>
      </c>
      <c r="I56" s="791">
        <f>'NORTH-1'!I358</f>
        <v>1838.5</v>
      </c>
      <c r="J56" s="791">
        <f>'NORTH-1'!J358</f>
        <v>444.44</v>
      </c>
      <c r="K56" s="791">
        <f>'NORTH-1'!K358</f>
        <v>0</v>
      </c>
      <c r="L56" s="791">
        <f>'NORTH-1'!L358</f>
        <v>817102.94</v>
      </c>
      <c r="M56" s="791">
        <f>'NORTH-1'!M358</f>
        <v>0</v>
      </c>
      <c r="N56" s="2019" t="str">
        <f>'NORTH-1'!N358</f>
        <v>Rajarbag</v>
      </c>
      <c r="O56" s="2019" t="str">
        <f>Sheet2!$C$15</f>
        <v>Kakrail  33/11KV S/S</v>
      </c>
    </row>
    <row r="57" spans="1:15" x14ac:dyDescent="0.35">
      <c r="A57" s="2019">
        <f>'NORTH-1'!A359</f>
        <v>9</v>
      </c>
      <c r="B57" s="2019" t="str">
        <f>'NORTH-1'!B359</f>
        <v>Montri Para</v>
      </c>
      <c r="C57" s="2019" t="str">
        <f>'NORTH-1'!C359</f>
        <v>11 kV</v>
      </c>
      <c r="D57" s="2019">
        <f>'NORTH-1'!D359</f>
        <v>0</v>
      </c>
      <c r="E57" s="2019" t="str">
        <f>'NORTH-1'!E359</f>
        <v>DHK-00110</v>
      </c>
      <c r="F57" s="791">
        <f>'NORTH-1'!F359</f>
        <v>1</v>
      </c>
      <c r="G57" s="791">
        <f>'NORTH-1'!G359</f>
        <v>12145.9</v>
      </c>
      <c r="H57" s="791">
        <f>'NORTH-1'!H359</f>
        <v>12194.6</v>
      </c>
      <c r="I57" s="791">
        <f>'NORTH-1'!I359</f>
        <v>48.700000000000728</v>
      </c>
      <c r="J57" s="791">
        <f>'NORTH-1'!J359</f>
        <v>2222.2199999999998</v>
      </c>
      <c r="K57" s="791">
        <f>'NORTH-1'!K359</f>
        <v>0</v>
      </c>
      <c r="L57" s="791">
        <f>'NORTH-1'!L359</f>
        <v>108222.1140000016</v>
      </c>
      <c r="M57" s="791">
        <f>'NORTH-1'!M359</f>
        <v>0</v>
      </c>
      <c r="N57" s="2019" t="str">
        <f>'NORTH-1'!N359</f>
        <v>Kakrail</v>
      </c>
      <c r="O57" s="2019" t="str">
        <f>Sheet2!$C$15</f>
        <v>Kakrail  33/11KV S/S</v>
      </c>
    </row>
    <row r="58" spans="1:15" x14ac:dyDescent="0.35">
      <c r="A58" s="2019">
        <f>'NORTH-1'!A360</f>
        <v>10</v>
      </c>
      <c r="B58" s="2019" t="str">
        <f>'NORTH-1'!B360</f>
        <v>Baily Road 11 kV Sw/S-2</v>
      </c>
      <c r="C58" s="2019" t="str">
        <f>'NORTH-1'!C360</f>
        <v>11 kV</v>
      </c>
      <c r="D58" s="2019">
        <f>'NORTH-1'!D360</f>
        <v>0</v>
      </c>
      <c r="E58" s="2019">
        <f>'NORTH-1'!E360</f>
        <v>9119865</v>
      </c>
      <c r="F58" s="791">
        <f>'NORTH-1'!F360</f>
        <v>1</v>
      </c>
      <c r="G58" s="791">
        <f>'NORTH-1'!G360</f>
        <v>50852.4</v>
      </c>
      <c r="H58" s="791">
        <f>'NORTH-1'!H360</f>
        <v>52141</v>
      </c>
      <c r="I58" s="791">
        <f>'NORTH-1'!I360</f>
        <v>1288.5999999999985</v>
      </c>
      <c r="J58" s="791">
        <f>'NORTH-1'!J360</f>
        <v>1000</v>
      </c>
      <c r="K58" s="791">
        <f>'NORTH-1'!K360</f>
        <v>0</v>
      </c>
      <c r="L58" s="791">
        <f>'NORTH-1'!L360</f>
        <v>1288599.9999999986</v>
      </c>
      <c r="M58" s="791">
        <f>'NORTH-1'!M360</f>
        <v>0</v>
      </c>
      <c r="N58" s="2019" t="str">
        <f>'NORTH-1'!N360</f>
        <v>Kakrail</v>
      </c>
      <c r="O58" s="2019" t="str">
        <f>Sheet2!$C$15</f>
        <v>Kakrail  33/11KV S/S</v>
      </c>
    </row>
    <row r="59" spans="1:15" x14ac:dyDescent="0.35">
      <c r="A59" s="2019">
        <f>'NORTH-1'!A361</f>
        <v>11</v>
      </c>
      <c r="B59" s="2019" t="str">
        <f>'NORTH-1'!B361</f>
        <v>Jamuna U/G
11 KV Jonaki O/H</v>
      </c>
      <c r="C59" s="2019" t="str">
        <f>'NORTH-1'!C361</f>
        <v>11 kV</v>
      </c>
      <c r="D59" s="2019">
        <f>'NORTH-1'!D361</f>
        <v>0</v>
      </c>
      <c r="E59" s="2019" t="str">
        <f>'NORTH-1'!E361</f>
        <v>D0086136</v>
      </c>
      <c r="F59" s="791">
        <f>'NORTH-1'!F361</f>
        <v>1</v>
      </c>
      <c r="G59" s="791">
        <f>'NORTH-1'!G361</f>
        <v>54118.1</v>
      </c>
      <c r="H59" s="791">
        <f>'NORTH-1'!H361</f>
        <v>54118.1</v>
      </c>
      <c r="I59" s="791">
        <f>'NORTH-1'!I361</f>
        <v>0</v>
      </c>
      <c r="J59" s="791">
        <f>'NORTH-1'!J361</f>
        <v>1000</v>
      </c>
      <c r="K59" s="791">
        <f>'NORTH-1'!K361</f>
        <v>0</v>
      </c>
      <c r="L59" s="791">
        <f>'NORTH-1'!L361</f>
        <v>0</v>
      </c>
      <c r="M59" s="791">
        <f>'NORTH-1'!M361</f>
        <v>0</v>
      </c>
      <c r="N59" s="2019" t="str">
        <f>'NORTH-1'!N361</f>
        <v>Rajarbag</v>
      </c>
      <c r="O59" s="2019" t="str">
        <f>Sheet2!$C$15</f>
        <v>Kakrail  33/11KV S/S</v>
      </c>
    </row>
    <row r="60" spans="1:15" x14ac:dyDescent="0.35">
      <c r="A60" s="2019">
        <f>'NORTH-1'!A362</f>
        <v>12</v>
      </c>
      <c r="B60" s="2019" t="str">
        <f>'NORTH-1'!B362</f>
        <v>High Court</v>
      </c>
      <c r="C60" s="2019" t="str">
        <f>'NORTH-1'!C362</f>
        <v>11 kV</v>
      </c>
      <c r="D60" s="2019">
        <f>'NORTH-1'!D362</f>
        <v>0</v>
      </c>
      <c r="E60" s="2019">
        <f>'NORTH-1'!E362</f>
        <v>1025651</v>
      </c>
      <c r="F60" s="791">
        <f>'NORTH-1'!F362</f>
        <v>1</v>
      </c>
      <c r="G60" s="791">
        <f>'NORTH-1'!G362</f>
        <v>27698.799999999999</v>
      </c>
      <c r="H60" s="791">
        <f>'NORTH-1'!H362</f>
        <v>27805.3</v>
      </c>
      <c r="I60" s="791">
        <f>'NORTH-1'!I362</f>
        <v>106.5</v>
      </c>
      <c r="J60" s="791">
        <f>'NORTH-1'!J362</f>
        <v>1000</v>
      </c>
      <c r="K60" s="791">
        <f>'NORTH-1'!K362</f>
        <v>0</v>
      </c>
      <c r="L60" s="791">
        <f>'NORTH-1'!L362</f>
        <v>106500</v>
      </c>
      <c r="M60" s="791">
        <f>'NORTH-1'!M362</f>
        <v>0</v>
      </c>
      <c r="N60" s="2019" t="str">
        <f>'NORTH-1'!N362</f>
        <v>Ramna</v>
      </c>
      <c r="O60" s="2019" t="str">
        <f>Sheet2!$C$15</f>
        <v>Kakrail  33/11KV S/S</v>
      </c>
    </row>
    <row r="61" spans="1:15" x14ac:dyDescent="0.35">
      <c r="A61" s="2019">
        <f>'NORTH-1'!A363</f>
        <v>13</v>
      </c>
      <c r="B61" s="2019" t="str">
        <f>'NORTH-1'!B363</f>
        <v>Secretaiat</v>
      </c>
      <c r="C61" s="2019" t="str">
        <f>'NORTH-1'!C363</f>
        <v>11 kV</v>
      </c>
      <c r="D61" s="2019">
        <f>'NORTH-1'!D363</f>
        <v>0</v>
      </c>
      <c r="E61" s="2019" t="str">
        <f>'NORTH-1'!E363</f>
        <v>DHK00150</v>
      </c>
      <c r="F61" s="791">
        <f>'NORTH-1'!F363</f>
        <v>1</v>
      </c>
      <c r="G61" s="791">
        <f>'NORTH-1'!G363</f>
        <v>16809.5</v>
      </c>
      <c r="H61" s="791">
        <f>'NORTH-1'!H363</f>
        <v>16809.5</v>
      </c>
      <c r="I61" s="791">
        <f>'NORTH-1'!I363</f>
        <v>0</v>
      </c>
      <c r="J61" s="791">
        <f>'NORTH-1'!J363</f>
        <v>2222.2199999999998</v>
      </c>
      <c r="K61" s="791">
        <f>'NORTH-1'!K363</f>
        <v>0</v>
      </c>
      <c r="L61" s="791">
        <f>'NORTH-1'!L363</f>
        <v>0</v>
      </c>
      <c r="M61" s="791">
        <f>'NORTH-1'!M363</f>
        <v>0</v>
      </c>
      <c r="N61" s="2019" t="str">
        <f>'NORTH-1'!N363</f>
        <v>Ramna</v>
      </c>
      <c r="O61" s="2019" t="str">
        <f>Sheet2!$C$15</f>
        <v>Kakrail  33/11KV S/S</v>
      </c>
    </row>
    <row r="62" spans="1:15" x14ac:dyDescent="0.35">
      <c r="A62" s="2019">
        <f>'NORTH-1'!A364</f>
        <v>16</v>
      </c>
      <c r="B62" s="2019" t="str">
        <f>'NORTH-1'!B364</f>
        <v>Shanti Nagar Bazar</v>
      </c>
      <c r="C62" s="2019" t="str">
        <f>'NORTH-1'!C364</f>
        <v>11 kV</v>
      </c>
      <c r="D62" s="2019">
        <f>'NORTH-1'!D364</f>
        <v>0</v>
      </c>
      <c r="E62" s="2019" t="str">
        <f>'NORTH-1'!E364</f>
        <v>06604402</v>
      </c>
      <c r="F62" s="791">
        <f>'NORTH-1'!F364</f>
        <v>1</v>
      </c>
      <c r="G62" s="791">
        <f>'NORTH-1'!G364</f>
        <v>5434.29</v>
      </c>
      <c r="H62" s="791">
        <f>'NORTH-1'!H364</f>
        <v>5454.68</v>
      </c>
      <c r="I62" s="791">
        <f>'NORTH-1'!I364</f>
        <v>20.390000000000327</v>
      </c>
      <c r="J62" s="791">
        <f>'NORTH-1'!J364</f>
        <v>40000</v>
      </c>
      <c r="K62" s="791">
        <f>'NORTH-1'!K364</f>
        <v>0</v>
      </c>
      <c r="L62" s="791">
        <f>'NORTH-1'!L364</f>
        <v>815600.00000001304</v>
      </c>
      <c r="M62" s="791">
        <f>'NORTH-1'!M364</f>
        <v>0</v>
      </c>
      <c r="N62" s="2019" t="str">
        <f>'NORTH-1'!N364</f>
        <v>Rajarbag</v>
      </c>
      <c r="O62" s="2019" t="str">
        <f>Sheet2!$C$15</f>
        <v>Kakrail  33/11KV S/S</v>
      </c>
    </row>
    <row r="63" spans="1:15" x14ac:dyDescent="0.35">
      <c r="A63" s="2019">
        <f>'NORTH-1'!A365</f>
        <v>17</v>
      </c>
      <c r="B63" s="2019" t="str">
        <f>'NORTH-1'!B365</f>
        <v>Tottho Bhovon</v>
      </c>
      <c r="C63" s="2019" t="str">
        <f>'NORTH-1'!C365</f>
        <v>11 kV</v>
      </c>
      <c r="D63" s="2019">
        <f>'NORTH-1'!D365</f>
        <v>0</v>
      </c>
      <c r="E63" s="2019">
        <f>'NORTH-1'!E365</f>
        <v>9119867</v>
      </c>
      <c r="F63" s="791">
        <f>'NORTH-1'!F365</f>
        <v>1</v>
      </c>
      <c r="G63" s="791">
        <f>'NORTH-1'!G365</f>
        <v>31865.1</v>
      </c>
      <c r="H63" s="791">
        <f>'NORTH-1'!H365</f>
        <v>31865.1</v>
      </c>
      <c r="I63" s="791">
        <f>'NORTH-1'!I365</f>
        <v>0</v>
      </c>
      <c r="J63" s="791">
        <f>'NORTH-1'!J365</f>
        <v>1000</v>
      </c>
      <c r="K63" s="791">
        <f>'NORTH-1'!K365</f>
        <v>0</v>
      </c>
      <c r="L63" s="791">
        <f>'NORTH-1'!L365</f>
        <v>0</v>
      </c>
      <c r="M63" s="791">
        <f>'NORTH-1'!M365</f>
        <v>0</v>
      </c>
      <c r="N63" s="2019" t="str">
        <f>'NORTH-1'!N365</f>
        <v>Kakrail</v>
      </c>
      <c r="O63" s="2019" t="str">
        <f>Sheet2!$C$15</f>
        <v>Kakrail  33/11KV S/S</v>
      </c>
    </row>
    <row r="64" spans="1:15" x14ac:dyDescent="0.35">
      <c r="A64" s="2019">
        <f>'NORTH-1'!A366</f>
        <v>18</v>
      </c>
      <c r="B64" s="2019" t="str">
        <f>'NORTH-1'!B366</f>
        <v>Central Police Hospital/ PNT (Circuit House)</v>
      </c>
      <c r="C64" s="2019" t="str">
        <f>'NORTH-1'!C366</f>
        <v>11 kV</v>
      </c>
      <c r="D64" s="2019">
        <f>'NORTH-1'!D366</f>
        <v>0</v>
      </c>
      <c r="E64" s="2019" t="str">
        <f>'NORTH-1'!E366</f>
        <v>DHK00199</v>
      </c>
      <c r="F64" s="791">
        <f>'NORTH-1'!F366</f>
        <v>1</v>
      </c>
      <c r="G64" s="791">
        <f>'NORTH-1'!G366</f>
        <v>77043.399999999994</v>
      </c>
      <c r="H64" s="791">
        <f>'NORTH-1'!H366</f>
        <v>77043.399999999994</v>
      </c>
      <c r="I64" s="791">
        <f>'NORTH-1'!I366</f>
        <v>0</v>
      </c>
      <c r="J64" s="791">
        <f>'NORTH-1'!J366</f>
        <v>2222.2199999999998</v>
      </c>
      <c r="K64" s="791">
        <f>'NORTH-1'!K366</f>
        <v>0</v>
      </c>
      <c r="L64" s="791">
        <f>'NORTH-1'!L366</f>
        <v>0</v>
      </c>
      <c r="M64" s="791">
        <f>'NORTH-1'!M366</f>
        <v>0</v>
      </c>
      <c r="N64" s="2019" t="str">
        <f>'NORTH-1'!N366</f>
        <v>Kakrail</v>
      </c>
      <c r="O64" s="2019" t="str">
        <f>Sheet2!$C$15</f>
        <v>Kakrail  33/11KV S/S</v>
      </c>
    </row>
    <row r="65" spans="1:15" x14ac:dyDescent="0.35">
      <c r="A65" s="2019">
        <f>'NORTH-1'!A367</f>
        <v>19</v>
      </c>
      <c r="B65" s="2019" t="str">
        <f>'NORTH-1'!B367</f>
        <v>Baily Road 11 kV Sw/S-1</v>
      </c>
      <c r="C65" s="2019" t="str">
        <f>'NORTH-1'!C367</f>
        <v>11 kV</v>
      </c>
      <c r="D65" s="2019">
        <f>'NORTH-1'!D367</f>
        <v>0</v>
      </c>
      <c r="E65" s="2019" t="str">
        <f>'NORTH-1'!E367</f>
        <v>DHK00027</v>
      </c>
      <c r="F65" s="791">
        <f>'NORTH-1'!F367</f>
        <v>1</v>
      </c>
      <c r="G65" s="791">
        <f>'NORTH-1'!G367</f>
        <v>52097.5</v>
      </c>
      <c r="H65" s="791">
        <f>'NORTH-1'!H367</f>
        <v>52539.199999999997</v>
      </c>
      <c r="I65" s="791">
        <f>'NORTH-1'!I367</f>
        <v>441.69999999999709</v>
      </c>
      <c r="J65" s="791">
        <f>'NORTH-1'!J367</f>
        <v>2222.2199999999998</v>
      </c>
      <c r="K65" s="791">
        <f>'NORTH-1'!K367</f>
        <v>0</v>
      </c>
      <c r="L65" s="791">
        <f>'NORTH-1'!L367</f>
        <v>981554.57399999339</v>
      </c>
      <c r="M65" s="791">
        <f>'NORTH-1'!M367</f>
        <v>0</v>
      </c>
      <c r="N65" s="2019" t="str">
        <f>'NORTH-1'!N367</f>
        <v>Kakrail</v>
      </c>
      <c r="O65" s="2019" t="str">
        <f>Sheet2!$C$15</f>
        <v>Kakrail  33/11KV S/S</v>
      </c>
    </row>
    <row r="66" spans="1:15" x14ac:dyDescent="0.35">
      <c r="A66" s="2019">
        <f>'NORTH-1'!A368</f>
        <v>20</v>
      </c>
      <c r="B66" s="2019" t="str">
        <f>'NORTH-1'!B368</f>
        <v>Bijoy Nagar</v>
      </c>
      <c r="C66" s="2019" t="str">
        <f>'NORTH-1'!C368</f>
        <v>11 kV</v>
      </c>
      <c r="D66" s="2019">
        <f>'NORTH-1'!D368</f>
        <v>0</v>
      </c>
      <c r="E66" s="2019" t="str">
        <f>'NORTH-1'!E368</f>
        <v>D1025656</v>
      </c>
      <c r="F66" s="791">
        <f>'NORTH-1'!F368</f>
        <v>1</v>
      </c>
      <c r="G66" s="791">
        <f>'NORTH-1'!G368</f>
        <v>60470</v>
      </c>
      <c r="H66" s="791">
        <f>'NORTH-1'!H368</f>
        <v>61062.400000000001</v>
      </c>
      <c r="I66" s="791">
        <f>'NORTH-1'!I368</f>
        <v>592.40000000000146</v>
      </c>
      <c r="J66" s="791">
        <f>'NORTH-1'!J368</f>
        <v>1000</v>
      </c>
      <c r="K66" s="791">
        <f>'NORTH-1'!K368</f>
        <v>0</v>
      </c>
      <c r="L66" s="791">
        <f>'NORTH-1'!L368</f>
        <v>592400.0000000014</v>
      </c>
      <c r="M66" s="791">
        <f>'NORTH-1'!M368</f>
        <v>0</v>
      </c>
      <c r="N66" s="2019" t="str">
        <f>'NORTH-1'!N368</f>
        <v>Ramna</v>
      </c>
      <c r="O66" s="2019" t="str">
        <f>Sheet2!$C$15</f>
        <v>Kakrail  33/11KV S/S</v>
      </c>
    </row>
    <row r="67" spans="1:15" x14ac:dyDescent="0.35">
      <c r="A67" s="2019">
        <f>'NORTH-1'!A369</f>
        <v>21</v>
      </c>
      <c r="B67" s="2019" t="str">
        <f>'NORTH-1'!B369</f>
        <v>Shilpakala Academy</v>
      </c>
      <c r="C67" s="2019" t="str">
        <f>'NORTH-1'!C369</f>
        <v>11 kV</v>
      </c>
      <c r="D67" s="2019">
        <f>'NORTH-1'!D369</f>
        <v>0</v>
      </c>
      <c r="E67" s="2019" t="str">
        <f>'NORTH-1'!E369</f>
        <v>D0086137</v>
      </c>
      <c r="F67" s="791">
        <f>'NORTH-1'!F369</f>
        <v>1</v>
      </c>
      <c r="G67" s="791">
        <f>'NORTH-1'!G369</f>
        <v>22377.4</v>
      </c>
      <c r="H67" s="791">
        <f>'NORTH-1'!H369</f>
        <v>22519.200000000001</v>
      </c>
      <c r="I67" s="791">
        <f>'NORTH-1'!I369</f>
        <v>141.79999999999927</v>
      </c>
      <c r="J67" s="791">
        <f>'NORTH-1'!J369</f>
        <v>1000</v>
      </c>
      <c r="K67" s="791">
        <f>'NORTH-1'!K369</f>
        <v>0</v>
      </c>
      <c r="L67" s="791">
        <f>'NORTH-1'!L369</f>
        <v>141799.99999999927</v>
      </c>
      <c r="M67" s="791">
        <f>'NORTH-1'!M369</f>
        <v>0</v>
      </c>
      <c r="N67" s="2019" t="str">
        <f>'NORTH-1'!N369</f>
        <v>Ramna</v>
      </c>
      <c r="O67" s="2019" t="str">
        <f>Sheet2!$C$15</f>
        <v>Kakrail  33/11KV S/S</v>
      </c>
    </row>
    <row r="68" spans="1:15" x14ac:dyDescent="0.35">
      <c r="A68" s="2019">
        <f>'NORTH-1'!A370</f>
        <v>22</v>
      </c>
      <c r="B68" s="2019" t="str">
        <f>'NORTH-1'!B370</f>
        <v>Judges Complex</v>
      </c>
      <c r="C68" s="2019" t="str">
        <f>'NORTH-1'!C370</f>
        <v>11 kV</v>
      </c>
      <c r="D68" s="2019">
        <f>'NORTH-1'!D370</f>
        <v>0</v>
      </c>
      <c r="E68" s="2019" t="str">
        <f>'NORTH-1'!E370</f>
        <v>06604344</v>
      </c>
      <c r="F68" s="791">
        <f>'NORTH-1'!F370</f>
        <v>1</v>
      </c>
      <c r="G68" s="791">
        <f>'NORTH-1'!G370</f>
        <v>652.86</v>
      </c>
      <c r="H68" s="791">
        <f>'NORTH-1'!H370</f>
        <v>654.72</v>
      </c>
      <c r="I68" s="791">
        <f>'NORTH-1'!I370</f>
        <v>1.8600000000000136</v>
      </c>
      <c r="J68" s="791">
        <f>'NORTH-1'!J370</f>
        <v>40000</v>
      </c>
      <c r="K68" s="791">
        <f>'NORTH-1'!K370</f>
        <v>0</v>
      </c>
      <c r="L68" s="791">
        <f>'NORTH-1'!L370</f>
        <v>74400.000000000553</v>
      </c>
      <c r="M68" s="791">
        <f>'NORTH-1'!M370</f>
        <v>0</v>
      </c>
      <c r="N68" s="2019" t="str">
        <f>'NORTH-1'!N370</f>
        <v>Kakrail</v>
      </c>
      <c r="O68" s="2019" t="str">
        <f>Sheet2!$C$15</f>
        <v>Kakrail  33/11KV S/S</v>
      </c>
    </row>
    <row r="69" spans="1:15" x14ac:dyDescent="0.35">
      <c r="A69" s="2019">
        <f>'NORTH-1'!A371</f>
        <v>23</v>
      </c>
      <c r="B69" s="2019" t="str">
        <f>'NORTH-1'!B371</f>
        <v>Auxiliary Transformer, AT-1</v>
      </c>
      <c r="C69" s="2019" t="str">
        <f>'NORTH-1'!C371</f>
        <v>0.4 kV</v>
      </c>
      <c r="D69" s="2019">
        <f>'NORTH-1'!D371</f>
        <v>0</v>
      </c>
      <c r="E69" s="2019">
        <f>'NORTH-1'!E371</f>
        <v>39333</v>
      </c>
      <c r="F69" s="791">
        <f>'NORTH-1'!F371</f>
        <v>1</v>
      </c>
      <c r="G69" s="791">
        <f>'NORTH-1'!G371</f>
        <v>475696</v>
      </c>
      <c r="H69" s="791">
        <f>'NORTH-1'!H371</f>
        <v>477481</v>
      </c>
      <c r="I69" s="791">
        <f>'NORTH-1'!I371</f>
        <v>1785</v>
      </c>
      <c r="J69" s="791">
        <f>'NORTH-1'!J371</f>
        <v>1</v>
      </c>
      <c r="K69" s="791">
        <f>'NORTH-1'!K371</f>
        <v>0</v>
      </c>
      <c r="L69" s="791">
        <f>'NORTH-1'!L371</f>
        <v>1785</v>
      </c>
      <c r="M69" s="791">
        <f>'NORTH-1'!M371</f>
        <v>0</v>
      </c>
      <c r="N69" s="2019" t="str">
        <f>'NORTH-1'!N371</f>
        <v>Kakrail</v>
      </c>
      <c r="O69" s="2019" t="str">
        <f>Sheet2!$C$15</f>
        <v>Kakrail  33/11KV S/S</v>
      </c>
    </row>
    <row r="70" spans="1:15" x14ac:dyDescent="0.35">
      <c r="A70" s="2019">
        <f>'NORTH-1'!A372</f>
        <v>24</v>
      </c>
      <c r="B70" s="2019" t="str">
        <f>'NORTH-1'!B372</f>
        <v>Auxiliary Transformer, AT-2</v>
      </c>
      <c r="C70" s="2019" t="str">
        <f>'NORTH-1'!C372</f>
        <v>0.4 kV</v>
      </c>
      <c r="D70" s="2019">
        <f>'NORTH-1'!D372</f>
        <v>0</v>
      </c>
      <c r="E70" s="2019">
        <f>'NORTH-1'!E372</f>
        <v>39254</v>
      </c>
      <c r="F70" s="791">
        <f>'NORTH-1'!F372</f>
        <v>1</v>
      </c>
      <c r="G70" s="791">
        <f>'NORTH-1'!G372</f>
        <v>1191051</v>
      </c>
      <c r="H70" s="791">
        <f>'NORTH-1'!H372</f>
        <v>1192470</v>
      </c>
      <c r="I70" s="791">
        <f>'NORTH-1'!I372</f>
        <v>1419</v>
      </c>
      <c r="J70" s="791">
        <f>'NORTH-1'!J372</f>
        <v>1</v>
      </c>
      <c r="K70" s="791">
        <f>'NORTH-1'!K372</f>
        <v>0</v>
      </c>
      <c r="L70" s="791">
        <f>'NORTH-1'!L372</f>
        <v>1419</v>
      </c>
      <c r="M70" s="791">
        <f>'NORTH-1'!M372</f>
        <v>0</v>
      </c>
      <c r="N70" s="2019" t="str">
        <f>'NORTH-1'!N372</f>
        <v>Kakrail</v>
      </c>
      <c r="O70" s="2019" t="str">
        <f>Sheet2!$C$15</f>
        <v>Kakrail  33/11KV S/S</v>
      </c>
    </row>
    <row r="71" spans="1:15" x14ac:dyDescent="0.35">
      <c r="A71" s="2019">
        <f>'NORTH-1'!A434</f>
        <v>8</v>
      </c>
      <c r="B71" s="2019" t="str">
        <f>'NORTH-1'!B434</f>
        <v>11 kV Jamuna  (F1)</v>
      </c>
      <c r="C71" s="2019" t="str">
        <f>'NORTH-1'!C434</f>
        <v>11 kV</v>
      </c>
      <c r="D71" s="2019">
        <f>'NORTH-1'!D434</f>
        <v>0</v>
      </c>
      <c r="E71" s="2019" t="str">
        <f>'NORTH-1'!E434</f>
        <v>BD017073</v>
      </c>
      <c r="F71" s="791">
        <f>'NORTH-1'!F434</f>
        <v>1</v>
      </c>
      <c r="G71" s="791">
        <f>'NORTH-1'!G434</f>
        <v>0.28239999999999998</v>
      </c>
      <c r="H71" s="791">
        <f>'NORTH-1'!H434</f>
        <v>0.29430000000000001</v>
      </c>
      <c r="I71" s="791">
        <f>'NORTH-1'!I434</f>
        <v>1.1900000000000022E-2</v>
      </c>
      <c r="J71" s="791">
        <f>'NORTH-1'!J434</f>
        <v>2000</v>
      </c>
      <c r="K71" s="791">
        <f>'NORTH-1'!K434</f>
        <v>0</v>
      </c>
      <c r="L71" s="791">
        <f>'NORTH-1'!L434</f>
        <v>23.800000000000043</v>
      </c>
      <c r="M71" s="791">
        <f>'NORTH-1'!M434</f>
        <v>0</v>
      </c>
      <c r="N71" s="2019" t="str">
        <f>'NORTH-1'!N434</f>
        <v>Kakrail</v>
      </c>
      <c r="O71" s="2019" t="str">
        <f>Sheet2!$C$37</f>
        <v>BSMMU 33/11KV S/S</v>
      </c>
    </row>
    <row r="72" spans="1:15" x14ac:dyDescent="0.35">
      <c r="A72" s="2019">
        <f>'NORTH-1'!A435</f>
        <v>9</v>
      </c>
      <c r="B72" s="2019" t="str">
        <f>'NORTH-1'!B435</f>
        <v>11 kV Pukur Par (F2)</v>
      </c>
      <c r="C72" s="2019" t="str">
        <f>'NORTH-1'!C435</f>
        <v>11 kV</v>
      </c>
      <c r="D72" s="2019">
        <f>'NORTH-1'!D435</f>
        <v>0</v>
      </c>
      <c r="E72" s="2019" t="str">
        <f>'NORTH-1'!E435</f>
        <v>BD017074</v>
      </c>
      <c r="F72" s="791">
        <f>'NORTH-1'!F435</f>
        <v>1</v>
      </c>
      <c r="G72" s="791">
        <f>'NORTH-1'!G435</f>
        <v>2758.29</v>
      </c>
      <c r="H72" s="791">
        <f>'NORTH-1'!H435</f>
        <v>2776.49</v>
      </c>
      <c r="I72" s="791">
        <f>'NORTH-1'!I435</f>
        <v>18.199999999999818</v>
      </c>
      <c r="J72" s="791">
        <f>'NORTH-1'!J435</f>
        <v>2000</v>
      </c>
      <c r="K72" s="791">
        <f>'NORTH-1'!K435</f>
        <v>0</v>
      </c>
      <c r="L72" s="791">
        <f>'NORTH-1'!L435</f>
        <v>36399.999999999636</v>
      </c>
      <c r="M72" s="791">
        <f>'NORTH-1'!M435</f>
        <v>0</v>
      </c>
      <c r="N72" s="2019" t="str">
        <f>'NORTH-1'!N435</f>
        <v>Kakrail</v>
      </c>
      <c r="O72" s="2019" t="str">
        <f>Sheet2!$C$37</f>
        <v>BSMMU 33/11KV S/S</v>
      </c>
    </row>
    <row r="73" spans="1:15" x14ac:dyDescent="0.35">
      <c r="A73" s="2019">
        <f>'NORTH-1'!A436</f>
        <v>10</v>
      </c>
      <c r="B73" s="2019" t="str">
        <f>'NORTH-1'!B436</f>
        <v xml:space="preserve">11 kV BSMMU Convention center (F3) </v>
      </c>
      <c r="C73" s="2019" t="str">
        <f>'NORTH-1'!C436</f>
        <v>11 kV</v>
      </c>
      <c r="D73" s="2019">
        <f>'NORTH-1'!D436</f>
        <v>0</v>
      </c>
      <c r="E73" s="2019" t="str">
        <f>'NORTH-1'!E436</f>
        <v>BD017075</v>
      </c>
      <c r="F73" s="791">
        <f>'NORTH-1'!F436</f>
        <v>1</v>
      </c>
      <c r="G73" s="791">
        <f>'NORTH-1'!G436</f>
        <v>1535.7</v>
      </c>
      <c r="H73" s="791">
        <f>'NORTH-1'!H436</f>
        <v>1559.25</v>
      </c>
      <c r="I73" s="791">
        <f>'NORTH-1'!I436</f>
        <v>23.549999999999955</v>
      </c>
      <c r="J73" s="791">
        <f>'NORTH-1'!J436</f>
        <v>2000</v>
      </c>
      <c r="K73" s="791">
        <f>'NORTH-1'!K436</f>
        <v>0</v>
      </c>
      <c r="L73" s="791">
        <f>'NORTH-1'!L436</f>
        <v>47099.999999999913</v>
      </c>
      <c r="M73" s="791">
        <f>'NORTH-1'!M436</f>
        <v>0</v>
      </c>
      <c r="N73" s="2019" t="str">
        <f>'NORTH-1'!N436</f>
        <v>Kakrail</v>
      </c>
      <c r="O73" s="2019" t="str">
        <f>Sheet2!$C$37</f>
        <v>BSMMU 33/11KV S/S</v>
      </c>
    </row>
    <row r="74" spans="1:15" x14ac:dyDescent="0.35">
      <c r="A74" s="2019">
        <f>'NORTH-1'!A437</f>
        <v>11</v>
      </c>
      <c r="B74" s="2019" t="str">
        <f>'NORTH-1'!B437</f>
        <v>11 kV Unique Tower Sw/S-1  (F4)</v>
      </c>
      <c r="C74" s="2019" t="str">
        <f>'NORTH-1'!C437</f>
        <v>11 kV</v>
      </c>
      <c r="D74" s="2019">
        <f>'NORTH-1'!D437</f>
        <v>0</v>
      </c>
      <c r="E74" s="2019" t="str">
        <f>'NORTH-1'!E437</f>
        <v>BD017076</v>
      </c>
      <c r="F74" s="791">
        <f>'NORTH-1'!F437</f>
        <v>1</v>
      </c>
      <c r="G74" s="791">
        <f>'NORTH-1'!G437</f>
        <v>2478.44</v>
      </c>
      <c r="H74" s="791">
        <f>'NORTH-1'!H437</f>
        <v>2526.0500000000002</v>
      </c>
      <c r="I74" s="791">
        <f>'NORTH-1'!I437</f>
        <v>47.610000000000127</v>
      </c>
      <c r="J74" s="791">
        <f>'NORTH-1'!J437</f>
        <v>2000</v>
      </c>
      <c r="K74" s="791">
        <f>'NORTH-1'!K437</f>
        <v>0</v>
      </c>
      <c r="L74" s="791">
        <f>'NORTH-1'!L437</f>
        <v>95220.000000000262</v>
      </c>
      <c r="M74" s="791">
        <f>'NORTH-1'!M437</f>
        <v>0</v>
      </c>
      <c r="N74" s="2019" t="str">
        <f>'NORTH-1'!N437</f>
        <v>Kakrail</v>
      </c>
      <c r="O74" s="2019" t="str">
        <f>Sheet2!$C$37</f>
        <v>BSMMU 33/11KV S/S</v>
      </c>
    </row>
    <row r="75" spans="1:15" x14ac:dyDescent="0.35">
      <c r="A75" s="2019">
        <f>'NORTH-1'!A438</f>
        <v>12</v>
      </c>
      <c r="B75" s="2019" t="str">
        <f>'NORTH-1'!B438</f>
        <v>11 kV Holi Family Feeder (F5)</v>
      </c>
      <c r="C75" s="2019" t="str">
        <f>'NORTH-1'!C438</f>
        <v>11 kV</v>
      </c>
      <c r="D75" s="2019">
        <f>'NORTH-1'!D438</f>
        <v>0</v>
      </c>
      <c r="E75" s="2019" t="str">
        <f>'NORTH-1'!E438</f>
        <v>BD017077</v>
      </c>
      <c r="F75" s="791">
        <f>'NORTH-1'!F438</f>
        <v>1</v>
      </c>
      <c r="G75" s="791">
        <f>'NORTH-1'!G438</f>
        <v>12177.8</v>
      </c>
      <c r="H75" s="791">
        <f>'NORTH-1'!H438</f>
        <v>12376.61</v>
      </c>
      <c r="I75" s="791">
        <f>'NORTH-1'!I438</f>
        <v>198.81000000000131</v>
      </c>
      <c r="J75" s="791">
        <f>'NORTH-1'!J438</f>
        <v>2000</v>
      </c>
      <c r="K75" s="791">
        <f>'NORTH-1'!K438</f>
        <v>0</v>
      </c>
      <c r="L75" s="791">
        <f>'NORTH-1'!L438</f>
        <v>397620.00000000262</v>
      </c>
      <c r="M75" s="791">
        <f>'NORTH-1'!M438</f>
        <v>0</v>
      </c>
      <c r="N75" s="2019" t="str">
        <f>'NORTH-1'!N438</f>
        <v>Kakrail</v>
      </c>
      <c r="O75" s="2019" t="str">
        <f>Sheet2!$C$37</f>
        <v>BSMMU 33/11KV S/S</v>
      </c>
    </row>
    <row r="76" spans="1:15" x14ac:dyDescent="0.35">
      <c r="A76" s="2019">
        <f>'NORTH-1'!A439</f>
        <v>13</v>
      </c>
      <c r="B76" s="2019" t="str">
        <f>'NORTH-1'!B439</f>
        <v>11 kV Navy House Feeder (F6)</v>
      </c>
      <c r="C76" s="2019" t="str">
        <f>'NORTH-1'!C439</f>
        <v>11 kV</v>
      </c>
      <c r="D76" s="2019">
        <f>'NORTH-1'!D439</f>
        <v>0</v>
      </c>
      <c r="E76" s="2019" t="str">
        <f>'NORTH-1'!E439</f>
        <v>BD017078</v>
      </c>
      <c r="F76" s="791">
        <f>'NORTH-1'!F439</f>
        <v>1</v>
      </c>
      <c r="G76" s="791">
        <f>'NORTH-1'!G439</f>
        <v>24598.02</v>
      </c>
      <c r="H76" s="791">
        <f>'NORTH-1'!H439</f>
        <v>24770.54</v>
      </c>
      <c r="I76" s="791">
        <f>'NORTH-1'!I439</f>
        <v>172.52000000000044</v>
      </c>
      <c r="J76" s="791">
        <f>'NORTH-1'!J439</f>
        <v>2000</v>
      </c>
      <c r="K76" s="791">
        <f>'NORTH-1'!K439</f>
        <v>0</v>
      </c>
      <c r="L76" s="791">
        <f>'NORTH-1'!L439</f>
        <v>345040.00000000087</v>
      </c>
      <c r="M76" s="791">
        <f>'NORTH-1'!M439</f>
        <v>0</v>
      </c>
      <c r="N76" s="2019" t="str">
        <f>'NORTH-1'!N439</f>
        <v>Kakrail</v>
      </c>
      <c r="O76" s="2019" t="str">
        <f>Sheet2!$C$37</f>
        <v>BSMMU 33/11KV S/S</v>
      </c>
    </row>
    <row r="77" spans="1:15" x14ac:dyDescent="0.35">
      <c r="A77" s="2019">
        <f>'NORTH-1'!A440</f>
        <v>14</v>
      </c>
      <c r="B77" s="2019" t="str">
        <f>'NORTH-1'!B440</f>
        <v>11 kV Paribagh Feeder (F7)</v>
      </c>
      <c r="C77" s="2019" t="str">
        <f>'NORTH-1'!C440</f>
        <v>11 kV</v>
      </c>
      <c r="D77" s="2019">
        <f>'NORTH-1'!D440</f>
        <v>0</v>
      </c>
      <c r="E77" s="2019" t="str">
        <f>'NORTH-1'!E440</f>
        <v>BD017079</v>
      </c>
      <c r="F77" s="791">
        <f>'NORTH-1'!F440</f>
        <v>1</v>
      </c>
      <c r="G77" s="791">
        <f>'NORTH-1'!G440</f>
        <v>26950.15</v>
      </c>
      <c r="H77" s="791">
        <f>'NORTH-1'!H440</f>
        <v>27394.52</v>
      </c>
      <c r="I77" s="791">
        <f>'NORTH-1'!I440</f>
        <v>444.36999999999898</v>
      </c>
      <c r="J77" s="791">
        <f>'NORTH-1'!J440</f>
        <v>2000</v>
      </c>
      <c r="K77" s="791">
        <f>'NORTH-1'!K440</f>
        <v>0</v>
      </c>
      <c r="L77" s="791">
        <f>'NORTH-1'!L440</f>
        <v>888739.9999999979</v>
      </c>
      <c r="M77" s="791">
        <f>'NORTH-1'!M440</f>
        <v>0</v>
      </c>
      <c r="N77" s="2019" t="str">
        <f>'NORTH-1'!N440</f>
        <v>Paribag</v>
      </c>
      <c r="O77" s="2019" t="str">
        <f>Sheet2!$C$37</f>
        <v>BSMMU 33/11KV S/S</v>
      </c>
    </row>
    <row r="78" spans="1:15" x14ac:dyDescent="0.35">
      <c r="A78" s="2019">
        <f>'NORTH-1'!A441</f>
        <v>15</v>
      </c>
      <c r="B78" s="2019" t="str">
        <f>'NORTH-1'!B441</f>
        <v>11 kV BSMMU C BLOCK Feeder (F8)</v>
      </c>
      <c r="C78" s="2019" t="str">
        <f>'NORTH-1'!C441</f>
        <v>11 kV</v>
      </c>
      <c r="D78" s="2019">
        <f>'NORTH-1'!D441</f>
        <v>0</v>
      </c>
      <c r="E78" s="2019" t="str">
        <f>'NORTH-1'!E441</f>
        <v>BD017080</v>
      </c>
      <c r="F78" s="791">
        <f>'NORTH-1'!F441</f>
        <v>1</v>
      </c>
      <c r="G78" s="791">
        <f>'NORTH-1'!G441</f>
        <v>5142.45</v>
      </c>
      <c r="H78" s="791">
        <f>'NORTH-1'!H441</f>
        <v>5246.08</v>
      </c>
      <c r="I78" s="791">
        <f>'NORTH-1'!I441</f>
        <v>103.63000000000011</v>
      </c>
      <c r="J78" s="791">
        <f>'NORTH-1'!J441</f>
        <v>2000</v>
      </c>
      <c r="K78" s="791">
        <f>'NORTH-1'!K441</f>
        <v>0</v>
      </c>
      <c r="L78" s="791">
        <f>'NORTH-1'!L441</f>
        <v>207260.00000000023</v>
      </c>
      <c r="M78" s="791">
        <f>'NORTH-1'!M441</f>
        <v>0</v>
      </c>
      <c r="N78" s="2019" t="str">
        <f>'NORTH-1'!N441</f>
        <v>Paribag</v>
      </c>
      <c r="O78" s="2019" t="str">
        <f>Sheet2!$C$37</f>
        <v>BSMMU 33/11KV S/S</v>
      </c>
    </row>
    <row r="79" spans="1:15" x14ac:dyDescent="0.35">
      <c r="A79" s="2019">
        <f>'NORTH-1'!A442</f>
        <v>18</v>
      </c>
      <c r="B79" s="2019" t="str">
        <f>'NORTH-1'!B442</f>
        <v>11 kV Oncology Bhaban (F9)</v>
      </c>
      <c r="C79" s="2019" t="str">
        <f>'NORTH-1'!C442</f>
        <v>11 kV</v>
      </c>
      <c r="D79" s="2019">
        <f>'NORTH-1'!D442</f>
        <v>0</v>
      </c>
      <c r="E79" s="2019" t="str">
        <f>'NORTH-1'!E442</f>
        <v>BD017083</v>
      </c>
      <c r="F79" s="791">
        <f>'NORTH-1'!F442</f>
        <v>1</v>
      </c>
      <c r="G79" s="791">
        <f>'NORTH-1'!G442</f>
        <v>1861.51</v>
      </c>
      <c r="H79" s="791">
        <f>'NORTH-1'!H442</f>
        <v>1903.95</v>
      </c>
      <c r="I79" s="791">
        <f>'NORTH-1'!I442</f>
        <v>42.440000000000055</v>
      </c>
      <c r="J79" s="791">
        <f>'NORTH-1'!J442</f>
        <v>2000</v>
      </c>
      <c r="K79" s="791">
        <f>'NORTH-1'!K442</f>
        <v>0</v>
      </c>
      <c r="L79" s="791">
        <f>'NORTH-1'!L442</f>
        <v>84880.000000000116</v>
      </c>
      <c r="M79" s="791">
        <f>'NORTH-1'!M442</f>
        <v>0</v>
      </c>
      <c r="N79" s="2019" t="str">
        <f>'NORTH-1'!N442</f>
        <v>Paribag</v>
      </c>
      <c r="O79" s="2019" t="str">
        <f>Sheet2!$C$37</f>
        <v>BSMMU 33/11KV S/S</v>
      </c>
    </row>
    <row r="80" spans="1:15" x14ac:dyDescent="0.35">
      <c r="A80" s="2019">
        <f>'NORTH-1'!A443</f>
        <v>19</v>
      </c>
      <c r="B80" s="2019" t="str">
        <f>'NORTH-1'!B443</f>
        <v>Rupayan Trade Center</v>
      </c>
      <c r="C80" s="2019" t="str">
        <f>'NORTH-1'!C443</f>
        <v>11 kV</v>
      </c>
      <c r="D80" s="2019">
        <f>'NORTH-1'!D443</f>
        <v>0</v>
      </c>
      <c r="E80" s="2019" t="str">
        <f>'NORTH-1'!E443</f>
        <v>BD017084</v>
      </c>
      <c r="F80" s="791">
        <f>'NORTH-1'!F443</f>
        <v>1</v>
      </c>
      <c r="G80" s="791">
        <f>'NORTH-1'!G443</f>
        <v>357.9</v>
      </c>
      <c r="H80" s="791">
        <f>'NORTH-1'!H443</f>
        <v>431.96</v>
      </c>
      <c r="I80" s="791">
        <f>'NORTH-1'!I443</f>
        <v>74.06</v>
      </c>
      <c r="J80" s="791">
        <f>'NORTH-1'!J443</f>
        <v>2000</v>
      </c>
      <c r="K80" s="791">
        <f>'NORTH-1'!K443</f>
        <v>0</v>
      </c>
      <c r="L80" s="791">
        <f>'NORTH-1'!L443</f>
        <v>148120</v>
      </c>
      <c r="M80" s="791">
        <f>'NORTH-1'!M443</f>
        <v>0</v>
      </c>
      <c r="N80" s="2019" t="str">
        <f>'NORTH-1'!N443</f>
        <v>Kakrail</v>
      </c>
      <c r="O80" s="2019" t="str">
        <f>Sheet2!$C$37</f>
        <v>BSMMU 33/11KV S/S</v>
      </c>
    </row>
    <row r="81" spans="1:15" x14ac:dyDescent="0.35">
      <c r="A81" s="2019">
        <f>'NORTH-1'!A444</f>
        <v>20</v>
      </c>
      <c r="B81" s="2019" t="str">
        <f>'NORTH-1'!B444</f>
        <v>11 kV Unique Tower Sw/S-2 (Secretary Qtr.)  (F11)</v>
      </c>
      <c r="C81" s="2019" t="str">
        <f>'NORTH-1'!C444</f>
        <v>11 kV</v>
      </c>
      <c r="D81" s="2019">
        <f>'NORTH-1'!D444</f>
        <v>0</v>
      </c>
      <c r="E81" s="2019" t="str">
        <f>'NORTH-1'!E444</f>
        <v>BD017085</v>
      </c>
      <c r="F81" s="791">
        <f>'NORTH-1'!F444</f>
        <v>1</v>
      </c>
      <c r="G81" s="791">
        <f>'NORTH-1'!G444</f>
        <v>1729.55</v>
      </c>
      <c r="H81" s="791">
        <f>'NORTH-1'!H444</f>
        <v>1767.69</v>
      </c>
      <c r="I81" s="791">
        <f>'NORTH-1'!I444</f>
        <v>38.1400000000001</v>
      </c>
      <c r="J81" s="791">
        <f>'NORTH-1'!J444</f>
        <v>2000</v>
      </c>
      <c r="K81" s="791">
        <f>'NORTH-1'!K444</f>
        <v>0</v>
      </c>
      <c r="L81" s="791">
        <f>'NORTH-1'!L444</f>
        <v>76280.000000000204</v>
      </c>
      <c r="M81" s="791">
        <f>'NORTH-1'!M444</f>
        <v>0</v>
      </c>
      <c r="N81" s="2019" t="str">
        <f>'NORTH-1'!N444</f>
        <v>Kakrail</v>
      </c>
      <c r="O81" s="2019" t="str">
        <f>Sheet2!$C$37</f>
        <v>BSMMU 33/11KV S/S</v>
      </c>
    </row>
    <row r="82" spans="1:15" x14ac:dyDescent="0.35">
      <c r="A82" s="2019">
        <f>'NORTH-1'!A445</f>
        <v>21</v>
      </c>
      <c r="B82" s="2019" t="str">
        <f>'NORTH-1'!B445</f>
        <v>11 kV BSMMU RMU (F12)</v>
      </c>
      <c r="C82" s="2019" t="str">
        <f>'NORTH-1'!C445</f>
        <v>11 kV</v>
      </c>
      <c r="D82" s="2019">
        <f>'NORTH-1'!D445</f>
        <v>0</v>
      </c>
      <c r="E82" s="2019" t="str">
        <f>'NORTH-1'!E445</f>
        <v>BD017086</v>
      </c>
      <c r="F82" s="791">
        <f>'NORTH-1'!F445</f>
        <v>1</v>
      </c>
      <c r="G82" s="791">
        <f>'NORTH-1'!G445</f>
        <v>1570.28</v>
      </c>
      <c r="H82" s="791">
        <f>'NORTH-1'!H445</f>
        <v>1605.56</v>
      </c>
      <c r="I82" s="791">
        <f>'NORTH-1'!I445</f>
        <v>35.279999999999973</v>
      </c>
      <c r="J82" s="791">
        <f>'NORTH-1'!J445</f>
        <v>2000</v>
      </c>
      <c r="K82" s="791">
        <f>'NORTH-1'!K445</f>
        <v>0</v>
      </c>
      <c r="L82" s="791">
        <f>'NORTH-1'!L445</f>
        <v>70559.999999999942</v>
      </c>
      <c r="M82" s="791">
        <f>'NORTH-1'!M445</f>
        <v>0</v>
      </c>
      <c r="N82" s="2019" t="str">
        <f>'NORTH-1'!N445</f>
        <v>Paribag</v>
      </c>
      <c r="O82" s="2019" t="str">
        <f>Sheet2!$C$37</f>
        <v>BSMMU 33/11KV S/S</v>
      </c>
    </row>
    <row r="83" spans="1:15" x14ac:dyDescent="0.35">
      <c r="A83" s="2019">
        <f>'NORTH-1'!A446</f>
        <v>22</v>
      </c>
      <c r="B83" s="2019" t="str">
        <f>'NORTH-1'!B446</f>
        <v>11 kV  BSMMU Hospital  D BLOCK (F13)</v>
      </c>
      <c r="C83" s="2019" t="str">
        <f>'NORTH-1'!C446</f>
        <v>11 kV</v>
      </c>
      <c r="D83" s="2019">
        <f>'NORTH-1'!D446</f>
        <v>0</v>
      </c>
      <c r="E83" s="2019" t="str">
        <f>'NORTH-1'!E446</f>
        <v>BD017087</v>
      </c>
      <c r="F83" s="791">
        <f>'NORTH-1'!F446</f>
        <v>1</v>
      </c>
      <c r="G83" s="791">
        <f>'NORTH-1'!G446</f>
        <v>3439.4</v>
      </c>
      <c r="H83" s="791">
        <f>'NORTH-1'!H446</f>
        <v>3500.25</v>
      </c>
      <c r="I83" s="791">
        <f>'NORTH-1'!I446</f>
        <v>60.849999999999909</v>
      </c>
      <c r="J83" s="791">
        <f>'NORTH-1'!J446</f>
        <v>2000</v>
      </c>
      <c r="K83" s="791">
        <f>'NORTH-1'!K446</f>
        <v>0</v>
      </c>
      <c r="L83" s="791">
        <f>'NORTH-1'!L446</f>
        <v>121699.99999999983</v>
      </c>
      <c r="M83" s="791">
        <f>'NORTH-1'!M446</f>
        <v>0</v>
      </c>
      <c r="N83" s="2019" t="str">
        <f>'NORTH-1'!N446</f>
        <v>Paribag</v>
      </c>
      <c r="O83" s="2019" t="str">
        <f>Sheet2!$C$37</f>
        <v>BSMMU 33/11KV S/S</v>
      </c>
    </row>
    <row r="84" spans="1:15" x14ac:dyDescent="0.35">
      <c r="A84" s="2019">
        <f>'NORTH-1'!A447</f>
        <v>23</v>
      </c>
      <c r="B84" s="2019" t="str">
        <f>'NORTH-1'!B447</f>
        <v>11 kV BCS Academy RMU (F14)</v>
      </c>
      <c r="C84" s="2019" t="str">
        <f>'NORTH-1'!C447</f>
        <v>11 kV</v>
      </c>
      <c r="D84" s="2019">
        <f>'NORTH-1'!D447</f>
        <v>0</v>
      </c>
      <c r="E84" s="2019" t="str">
        <f>'NORTH-1'!E447</f>
        <v>BD017088</v>
      </c>
      <c r="F84" s="791">
        <f>'NORTH-1'!F447</f>
        <v>1</v>
      </c>
      <c r="G84" s="791">
        <f>'NORTH-1'!G447</f>
        <v>822.24</v>
      </c>
      <c r="H84" s="791">
        <f>'NORTH-1'!H447</f>
        <v>841.25</v>
      </c>
      <c r="I84" s="791">
        <f>'NORTH-1'!I447</f>
        <v>19.009999999999991</v>
      </c>
      <c r="J84" s="791">
        <f>'NORTH-1'!J447</f>
        <v>2000</v>
      </c>
      <c r="K84" s="791">
        <f>'NORTH-1'!K447</f>
        <v>0</v>
      </c>
      <c r="L84" s="791">
        <f>'NORTH-1'!L447</f>
        <v>38019.999999999985</v>
      </c>
      <c r="M84" s="791">
        <f>'NORTH-1'!M447</f>
        <v>0</v>
      </c>
      <c r="N84" s="2019" t="str">
        <f>'NORTH-1'!N447</f>
        <v>Paribag</v>
      </c>
      <c r="O84" s="2019" t="str">
        <f>Sheet2!$C$37</f>
        <v>BSMMU 33/11KV S/S</v>
      </c>
    </row>
    <row r="85" spans="1:15" x14ac:dyDescent="0.35">
      <c r="A85" s="2019">
        <f>'NORTH-1'!A448</f>
        <v>24</v>
      </c>
      <c r="B85" s="2019" t="str">
        <f>'NORTH-1'!B448</f>
        <v>Spare</v>
      </c>
      <c r="C85" s="2019" t="str">
        <f>'NORTH-1'!C448</f>
        <v>11 kV</v>
      </c>
      <c r="D85" s="2019">
        <f>'NORTH-1'!D448</f>
        <v>0</v>
      </c>
      <c r="E85" s="2019" t="str">
        <f>'NORTH-1'!E448</f>
        <v>BD017089</v>
      </c>
      <c r="F85" s="791">
        <f>'NORTH-1'!F448</f>
        <v>1</v>
      </c>
      <c r="G85" s="791">
        <f>'NORTH-1'!G448</f>
        <v>0.05</v>
      </c>
      <c r="H85" s="791">
        <f>'NORTH-1'!H448</f>
        <v>0.05</v>
      </c>
      <c r="I85" s="791">
        <f>'NORTH-1'!I448</f>
        <v>0</v>
      </c>
      <c r="J85" s="791">
        <f>'NORTH-1'!J448</f>
        <v>2000</v>
      </c>
      <c r="K85" s="791">
        <f>'NORTH-1'!K448</f>
        <v>0</v>
      </c>
      <c r="L85" s="791">
        <f>'NORTH-1'!L448</f>
        <v>0</v>
      </c>
      <c r="M85" s="791">
        <f>'NORTH-1'!M448</f>
        <v>0</v>
      </c>
      <c r="N85" s="2019" t="str">
        <f>'NORTH-1'!N448</f>
        <v>Paribag</v>
      </c>
      <c r="O85" s="2019" t="str">
        <f>Sheet2!$C$37</f>
        <v>BSMMU 33/11KV S/S</v>
      </c>
    </row>
    <row r="86" spans="1:15" x14ac:dyDescent="0.35">
      <c r="A86" s="2019">
        <f>'NORTH-1'!A449</f>
        <v>25</v>
      </c>
      <c r="B86" s="2019" t="str">
        <f>'NORTH-1'!B449</f>
        <v>BSMMU Super Specialist Hospital RMU</v>
      </c>
      <c r="C86" s="2019" t="str">
        <f>'NORTH-1'!C449</f>
        <v>11 kV</v>
      </c>
      <c r="D86" s="2019">
        <f>'NORTH-1'!D449</f>
        <v>0</v>
      </c>
      <c r="E86" s="2019" t="str">
        <f>'NORTH-1'!E449</f>
        <v>BD017090</v>
      </c>
      <c r="F86" s="791">
        <f>'NORTH-1'!F449</f>
        <v>1</v>
      </c>
      <c r="G86" s="791">
        <f>'NORTH-1'!G449</f>
        <v>428.54</v>
      </c>
      <c r="H86" s="791">
        <f>'NORTH-1'!H449</f>
        <v>493.23</v>
      </c>
      <c r="I86" s="791">
        <f>'NORTH-1'!I449</f>
        <v>64.69</v>
      </c>
      <c r="J86" s="791">
        <f>'NORTH-1'!J449</f>
        <v>2000</v>
      </c>
      <c r="K86" s="791">
        <f>'NORTH-1'!K449</f>
        <v>0</v>
      </c>
      <c r="L86" s="791">
        <f>'NORTH-1'!L449</f>
        <v>129380</v>
      </c>
      <c r="M86" s="791">
        <f>'NORTH-1'!M449</f>
        <v>0</v>
      </c>
      <c r="N86" s="2019" t="str">
        <f>'NORTH-1'!N449</f>
        <v>Paribag</v>
      </c>
      <c r="O86" s="2019" t="str">
        <f>Sheet2!$C$37</f>
        <v>BSMMU 33/11KV S/S</v>
      </c>
    </row>
    <row r="87" spans="1:15" x14ac:dyDescent="0.35">
      <c r="A87" s="2019">
        <f>'NORTH-1'!A450</f>
        <v>26</v>
      </c>
      <c r="B87" s="2019" t="str">
        <f>'NORTH-1'!B450</f>
        <v>11/0.4 kV Aux. Transformer, AT-1</v>
      </c>
      <c r="C87" s="2019" t="str">
        <f>'NORTH-1'!C450</f>
        <v>0.4 kV</v>
      </c>
      <c r="D87" s="2019">
        <f>'NORTH-1'!D450</f>
        <v>0</v>
      </c>
      <c r="E87" s="2019" t="str">
        <f>'NORTH-1'!E450</f>
        <v>DHKD4418</v>
      </c>
      <c r="F87" s="791">
        <f>'NORTH-1'!F450</f>
        <v>1</v>
      </c>
      <c r="G87" s="791">
        <f>'NORTH-1'!G450</f>
        <v>2217.91</v>
      </c>
      <c r="H87" s="791">
        <f>'NORTH-1'!H450</f>
        <v>2217.91</v>
      </c>
      <c r="I87" s="791">
        <f>'NORTH-1'!I450</f>
        <v>0</v>
      </c>
      <c r="J87" s="791">
        <f>'NORTH-1'!J450</f>
        <v>100</v>
      </c>
      <c r="K87" s="791">
        <f>'NORTH-1'!K450</f>
        <v>0</v>
      </c>
      <c r="L87" s="791">
        <f>'NORTH-1'!L450</f>
        <v>0</v>
      </c>
      <c r="M87" s="791">
        <f>'NORTH-1'!M450</f>
        <v>0</v>
      </c>
      <c r="N87" s="2019" t="str">
        <f>'NORTH-1'!N450</f>
        <v>Paribag</v>
      </c>
      <c r="O87" s="2019" t="str">
        <f>Sheet2!$C$37</f>
        <v>BSMMU 33/11KV S/S</v>
      </c>
    </row>
    <row r="88" spans="1:15" x14ac:dyDescent="0.35">
      <c r="A88" s="2019">
        <f>'NORTH-1'!A451</f>
        <v>27</v>
      </c>
      <c r="B88" s="2019" t="str">
        <f>'NORTH-1'!B451</f>
        <v>11/0.4 kV Aux. Transformer, AT-2</v>
      </c>
      <c r="C88" s="2019" t="str">
        <f>'NORTH-1'!C451</f>
        <v>0.4 kV</v>
      </c>
      <c r="D88" s="2019">
        <f>'NORTH-1'!D451</f>
        <v>0</v>
      </c>
      <c r="E88" s="2019" t="str">
        <f>'NORTH-1'!E451</f>
        <v>DHKH4413</v>
      </c>
      <c r="F88" s="791">
        <f>'NORTH-1'!F451</f>
        <v>1</v>
      </c>
      <c r="G88" s="791">
        <f>'NORTH-1'!G451</f>
        <v>1295.97</v>
      </c>
      <c r="H88" s="791">
        <f>'NORTH-1'!H451</f>
        <v>1368.4</v>
      </c>
      <c r="I88" s="791">
        <f>'NORTH-1'!I451</f>
        <v>72.430000000000064</v>
      </c>
      <c r="J88" s="791">
        <f>'NORTH-1'!J451</f>
        <v>100</v>
      </c>
      <c r="K88" s="791">
        <f>'NORTH-1'!K451</f>
        <v>0</v>
      </c>
      <c r="L88" s="791">
        <f>'NORTH-1'!L451</f>
        <v>7243.0000000000064</v>
      </c>
      <c r="M88" s="791">
        <f>'NORTH-1'!M451</f>
        <v>0</v>
      </c>
      <c r="N88" s="2019" t="str">
        <f>'NORTH-1'!N451</f>
        <v>Paribag</v>
      </c>
      <c r="O88" s="2019" t="str">
        <f>Sheet2!$C$37</f>
        <v>BSMMU 33/11KV S/S</v>
      </c>
    </row>
    <row r="89" spans="1:15" x14ac:dyDescent="0.35">
      <c r="A89" s="2019">
        <f>'NORTH-1'!A560</f>
        <v>3</v>
      </c>
      <c r="B89" s="2019" t="str">
        <f>'NORTH-1'!B560</f>
        <v>Chata Mosjid</v>
      </c>
      <c r="C89" s="2019" t="str">
        <f>'NORTH-1'!C560</f>
        <v>11kV</v>
      </c>
      <c r="D89" s="2019">
        <f>'NORTH-1'!D560</f>
        <v>0</v>
      </c>
      <c r="E89" s="2019">
        <f>'NORTH-1'!E560</f>
        <v>0</v>
      </c>
      <c r="F89" s="791">
        <f>'NORTH-1'!F560</f>
        <v>1</v>
      </c>
      <c r="G89" s="791">
        <f>'NORTH-1'!G560</f>
        <v>153106.20000000001</v>
      </c>
      <c r="H89" s="791">
        <f>'NORTH-1'!H560</f>
        <v>155969.5</v>
      </c>
      <c r="I89" s="791">
        <f>'NORTH-1'!I560</f>
        <v>2863.2999999999884</v>
      </c>
      <c r="J89" s="791">
        <f>'NORTH-1'!J560</f>
        <v>1000</v>
      </c>
      <c r="K89" s="791">
        <f>'NORTH-1'!K560</f>
        <v>0</v>
      </c>
      <c r="L89" s="791">
        <f>'NORTH-1'!L560</f>
        <v>2863299.9999999884</v>
      </c>
      <c r="M89" s="791">
        <f>'NORTH-1'!M560</f>
        <v>0</v>
      </c>
      <c r="N89" s="2019" t="str">
        <f>'NORTH-1'!N560</f>
        <v>Kamrangirchar</v>
      </c>
      <c r="O89" s="2019" t="str">
        <f>Sheet2!$C$30</f>
        <v xml:space="preserve">LALBAGH   33/11 KV S/S </v>
      </c>
    </row>
    <row r="90" spans="1:15" x14ac:dyDescent="0.35">
      <c r="A90" s="2019">
        <f>'NORTH-1'!A561</f>
        <v>4</v>
      </c>
      <c r="B90" s="2019" t="str">
        <f>'NORTH-1'!B561</f>
        <v>AC mosjid</v>
      </c>
      <c r="C90" s="2019" t="str">
        <f>'NORTH-1'!C561</f>
        <v>11kV</v>
      </c>
      <c r="D90" s="2019">
        <f>'NORTH-1'!D561</f>
        <v>0</v>
      </c>
      <c r="E90" s="2019">
        <f>'NORTH-1'!E561</f>
        <v>0</v>
      </c>
      <c r="F90" s="791">
        <f>'NORTH-1'!F561</f>
        <v>1</v>
      </c>
      <c r="G90" s="791">
        <f>'NORTH-1'!G561</f>
        <v>14364.526</v>
      </c>
      <c r="H90" s="791">
        <f>'NORTH-1'!H561</f>
        <v>15632.323</v>
      </c>
      <c r="I90" s="791">
        <f>'NORTH-1'!I561</f>
        <v>1267.7970000000005</v>
      </c>
      <c r="J90" s="791">
        <f>'NORTH-1'!J561</f>
        <v>1000</v>
      </c>
      <c r="K90" s="791">
        <f>'NORTH-1'!K561</f>
        <v>0</v>
      </c>
      <c r="L90" s="791">
        <f>'NORTH-1'!L561</f>
        <v>1267797.0000000005</v>
      </c>
      <c r="M90" s="791">
        <f>'NORTH-1'!M561</f>
        <v>0</v>
      </c>
      <c r="N90" s="2019" t="str">
        <f>'NORTH-1'!N561</f>
        <v>Lalbag</v>
      </c>
      <c r="O90" s="2019" t="str">
        <f>Sheet2!$C$30</f>
        <v xml:space="preserve">LALBAGH   33/11 KV S/S </v>
      </c>
    </row>
    <row r="91" spans="1:15" x14ac:dyDescent="0.35">
      <c r="A91" s="2019">
        <f>'NORTH-1'!A562</f>
        <v>5</v>
      </c>
      <c r="B91" s="2019" t="str">
        <f>'NORTH-1'!B562</f>
        <v>Kazi Reaz Uddin Road</v>
      </c>
      <c r="C91" s="2019" t="str">
        <f>'NORTH-1'!C562</f>
        <v>11kV</v>
      </c>
      <c r="D91" s="2019">
        <f>'NORTH-1'!D562</f>
        <v>0</v>
      </c>
      <c r="E91" s="2019">
        <f>'NORTH-1'!E562</f>
        <v>0</v>
      </c>
      <c r="F91" s="791">
        <f>'NORTH-1'!F562</f>
        <v>1</v>
      </c>
      <c r="G91" s="791">
        <f>'NORTH-1'!G562</f>
        <v>4086.9052000000001</v>
      </c>
      <c r="H91" s="791">
        <f>'NORTH-1'!H562</f>
        <v>6083.9952000000003</v>
      </c>
      <c r="I91" s="791">
        <f>'NORTH-1'!I562</f>
        <v>1997.0900000000001</v>
      </c>
      <c r="J91" s="791">
        <f>'NORTH-1'!J562</f>
        <v>1000</v>
      </c>
      <c r="K91" s="791">
        <f>'NORTH-1'!K562</f>
        <v>0</v>
      </c>
      <c r="L91" s="791">
        <f>'NORTH-1'!L562</f>
        <v>1997090.0000000002</v>
      </c>
      <c r="M91" s="791">
        <f>'NORTH-1'!M562</f>
        <v>0</v>
      </c>
      <c r="N91" s="2019" t="str">
        <f>'NORTH-1'!N562</f>
        <v>Lalbag</v>
      </c>
      <c r="O91" s="2019" t="str">
        <f>Sheet2!$C$30</f>
        <v xml:space="preserve">LALBAGH   33/11 KV S/S </v>
      </c>
    </row>
    <row r="92" spans="1:15" x14ac:dyDescent="0.35">
      <c r="A92" s="2019">
        <f>'NORTH-1'!A563</f>
        <v>6</v>
      </c>
      <c r="B92" s="2019" t="str">
        <f>'NORTH-1'!B563</f>
        <v xml:space="preserve">Nazimuddin </v>
      </c>
      <c r="C92" s="2019" t="str">
        <f>'NORTH-1'!C563</f>
        <v>11kV</v>
      </c>
      <c r="D92" s="2019">
        <f>'NORTH-1'!D563</f>
        <v>0</v>
      </c>
      <c r="E92" s="2019">
        <f>'NORTH-1'!E563</f>
        <v>0</v>
      </c>
      <c r="F92" s="791">
        <f>'NORTH-1'!F563</f>
        <v>1</v>
      </c>
      <c r="G92" s="791">
        <f>'NORTH-1'!G563</f>
        <v>2778.6891999999998</v>
      </c>
      <c r="H92" s="791">
        <f>'NORTH-1'!H563</f>
        <v>2778.69</v>
      </c>
      <c r="I92" s="791">
        <f>'NORTH-1'!I563</f>
        <v>8.0000000025393092E-4</v>
      </c>
      <c r="J92" s="791">
        <f>'NORTH-1'!J563</f>
        <v>1000</v>
      </c>
      <c r="K92" s="791">
        <f>'NORTH-1'!K563</f>
        <v>0</v>
      </c>
      <c r="L92" s="791">
        <f>'NORTH-1'!L563</f>
        <v>0.80000000025393092</v>
      </c>
      <c r="M92" s="791">
        <f>'NORTH-1'!M563</f>
        <v>0</v>
      </c>
      <c r="N92" s="2019" t="str">
        <f>'NORTH-1'!N563</f>
        <v>Lalbag</v>
      </c>
      <c r="O92" s="2019" t="str">
        <f>Sheet2!$C$30</f>
        <v xml:space="preserve">LALBAGH   33/11 KV S/S </v>
      </c>
    </row>
    <row r="93" spans="1:15" x14ac:dyDescent="0.35">
      <c r="A93" s="2019">
        <f>'NORTH-1'!A564</f>
        <v>7</v>
      </c>
      <c r="B93" s="2019" t="str">
        <f>'NORTH-1'!B564</f>
        <v>Kamal Bagh</v>
      </c>
      <c r="C93" s="2019" t="str">
        <f>'NORTH-1'!C564</f>
        <v>11kV</v>
      </c>
      <c r="D93" s="2019">
        <f>'NORTH-1'!D564</f>
        <v>0</v>
      </c>
      <c r="E93" s="2019">
        <f>'NORTH-1'!E564</f>
        <v>0</v>
      </c>
      <c r="F93" s="791">
        <f>'NORTH-1'!F564</f>
        <v>1</v>
      </c>
      <c r="G93" s="791">
        <f>'NORTH-1'!G564</f>
        <v>3198.0111999999999</v>
      </c>
      <c r="H93" s="791">
        <f>'NORTH-1'!H564</f>
        <v>4690.1247999999996</v>
      </c>
      <c r="I93" s="791">
        <f>'NORTH-1'!I564</f>
        <v>1492.1135999999997</v>
      </c>
      <c r="J93" s="791">
        <f>'NORTH-1'!J564</f>
        <v>1000</v>
      </c>
      <c r="K93" s="791">
        <f>'NORTH-1'!K564</f>
        <v>0</v>
      </c>
      <c r="L93" s="791">
        <f>'NORTH-1'!L564</f>
        <v>1492113.5999999996</v>
      </c>
      <c r="M93" s="791">
        <f>'NORTH-1'!M564</f>
        <v>0</v>
      </c>
      <c r="N93" s="2019" t="str">
        <f>'NORTH-1'!N564</f>
        <v>Lalbag</v>
      </c>
      <c r="O93" s="2019" t="str">
        <f>Sheet2!$C$30</f>
        <v xml:space="preserve">LALBAGH   33/11 KV S/S </v>
      </c>
    </row>
    <row r="94" spans="1:15" x14ac:dyDescent="0.35">
      <c r="A94" s="2019">
        <f>'NORTH-1'!A565</f>
        <v>8</v>
      </c>
      <c r="B94" s="2019" t="str">
        <f>'NORTH-1'!B565</f>
        <v>Rahamatganj</v>
      </c>
      <c r="C94" s="2019" t="str">
        <f>'NORTH-1'!C565</f>
        <v>11kV</v>
      </c>
      <c r="D94" s="2019">
        <f>'NORTH-1'!D565</f>
        <v>0</v>
      </c>
      <c r="E94" s="2019">
        <f>'NORTH-1'!E565</f>
        <v>0</v>
      </c>
      <c r="F94" s="791">
        <f>'NORTH-1'!F565</f>
        <v>1</v>
      </c>
      <c r="G94" s="791">
        <f>'NORTH-1'!G565</f>
        <v>28884.624</v>
      </c>
      <c r="H94" s="791">
        <f>'NORTH-1'!H565</f>
        <v>31462.608</v>
      </c>
      <c r="I94" s="791">
        <f>'NORTH-1'!I565</f>
        <v>2577.9840000000004</v>
      </c>
      <c r="J94" s="791">
        <f>'NORTH-1'!J565</f>
        <v>1000</v>
      </c>
      <c r="K94" s="791">
        <f>'NORTH-1'!K565</f>
        <v>0</v>
      </c>
      <c r="L94" s="791">
        <f>'NORTH-1'!L565</f>
        <v>2577984.0000000005</v>
      </c>
      <c r="M94" s="791">
        <f>'NORTH-1'!M565</f>
        <v>0</v>
      </c>
      <c r="N94" s="2019" t="str">
        <f>'NORTH-1'!N565</f>
        <v>Lalbag</v>
      </c>
      <c r="O94" s="2019" t="str">
        <f>Sheet2!$C$30</f>
        <v xml:space="preserve">LALBAGH   33/11 KV S/S </v>
      </c>
    </row>
    <row r="95" spans="1:15" x14ac:dyDescent="0.35">
      <c r="A95" s="2019">
        <f>'NORTH-1'!A566</f>
        <v>9</v>
      </c>
      <c r="B95" s="2019" t="str">
        <f>'NORTH-1'!B566</f>
        <v>Water Works 11kV Sw/S-1</v>
      </c>
      <c r="C95" s="2019" t="str">
        <f>'NORTH-1'!C566</f>
        <v>11kV</v>
      </c>
      <c r="D95" s="2019">
        <f>'NORTH-1'!D566</f>
        <v>0</v>
      </c>
      <c r="E95" s="2019">
        <f>'NORTH-1'!E566</f>
        <v>0</v>
      </c>
      <c r="F95" s="791">
        <f>'NORTH-1'!F566</f>
        <v>1</v>
      </c>
      <c r="G95" s="791">
        <f>'NORTH-1'!G566</f>
        <v>9174.9032000000007</v>
      </c>
      <c r="H95" s="791">
        <f>'NORTH-1'!H566</f>
        <v>10696.022000000001</v>
      </c>
      <c r="I95" s="791">
        <f>'NORTH-1'!I566</f>
        <v>1521.1188000000002</v>
      </c>
      <c r="J95" s="791">
        <f>'NORTH-1'!J566</f>
        <v>1000</v>
      </c>
      <c r="K95" s="791">
        <f>'NORTH-1'!K566</f>
        <v>0</v>
      </c>
      <c r="L95" s="791">
        <f>'NORTH-1'!L566</f>
        <v>1521118.8000000003</v>
      </c>
      <c r="M95" s="791">
        <f>'NORTH-1'!M566</f>
        <v>0</v>
      </c>
      <c r="N95" s="2019" t="str">
        <f>'NORTH-1'!N566</f>
        <v>Lalbag</v>
      </c>
      <c r="O95" s="2019" t="str">
        <f>Sheet2!$C$30</f>
        <v xml:space="preserve">LALBAGH   33/11 KV S/S </v>
      </c>
    </row>
    <row r="96" spans="1:15" x14ac:dyDescent="0.35">
      <c r="A96" s="2019">
        <f>'NORTH-1'!A567</f>
        <v>12</v>
      </c>
      <c r="B96" s="2019" t="str">
        <f>'NORTH-1'!B567</f>
        <v>City Colony</v>
      </c>
      <c r="C96" s="2019" t="str">
        <f>'NORTH-1'!C567</f>
        <v>11kV</v>
      </c>
      <c r="D96" s="2019">
        <f>'NORTH-1'!D567</f>
        <v>0</v>
      </c>
      <c r="E96" s="2019">
        <f>'NORTH-1'!E567</f>
        <v>0</v>
      </c>
      <c r="F96" s="791">
        <f>'NORTH-1'!F567</f>
        <v>1</v>
      </c>
      <c r="G96" s="791">
        <f>'NORTH-1'!G567</f>
        <v>8381.6671999999999</v>
      </c>
      <c r="H96" s="791">
        <f>'NORTH-1'!H567</f>
        <v>10387.808999999999</v>
      </c>
      <c r="I96" s="791">
        <f>'NORTH-1'!I567</f>
        <v>2006.1417999999994</v>
      </c>
      <c r="J96" s="791">
        <f>'NORTH-1'!J567</f>
        <v>1000</v>
      </c>
      <c r="K96" s="791">
        <f>'NORTH-1'!K567</f>
        <v>0</v>
      </c>
      <c r="L96" s="791">
        <f>'NORTH-1'!L567</f>
        <v>2006141.7999999993</v>
      </c>
      <c r="M96" s="791">
        <f>'NORTH-1'!M567</f>
        <v>0</v>
      </c>
      <c r="N96" s="2019" t="str">
        <f>'NORTH-1'!N567</f>
        <v>Lalbag</v>
      </c>
      <c r="O96" s="2019" t="str">
        <f>Sheet2!$C$30</f>
        <v xml:space="preserve">LALBAGH   33/11 KV S/S </v>
      </c>
    </row>
    <row r="97" spans="1:15" x14ac:dyDescent="0.35">
      <c r="A97" s="2019">
        <f>'NORTH-1'!A568</f>
        <v>13</v>
      </c>
      <c r="B97" s="2019" t="str">
        <f>'NORTH-1'!B568</f>
        <v>Water Works 11kV Sw/S-2</v>
      </c>
      <c r="C97" s="2019" t="str">
        <f>'NORTH-1'!C568</f>
        <v>11kV</v>
      </c>
      <c r="D97" s="2019">
        <f>'NORTH-1'!D568</f>
        <v>0</v>
      </c>
      <c r="E97" s="2019">
        <f>'NORTH-1'!E568</f>
        <v>0</v>
      </c>
      <c r="F97" s="791">
        <f>'NORTH-1'!F568</f>
        <v>1</v>
      </c>
      <c r="G97" s="791">
        <f>'NORTH-1'!G568</f>
        <v>14939.794</v>
      </c>
      <c r="H97" s="791">
        <f>'NORTH-1'!H568</f>
        <v>17183.725999999999</v>
      </c>
      <c r="I97" s="791">
        <f>'NORTH-1'!I568</f>
        <v>2243.9319999999989</v>
      </c>
      <c r="J97" s="791">
        <f>'NORTH-1'!J568</f>
        <v>1000</v>
      </c>
      <c r="K97" s="791">
        <f>'NORTH-1'!K568</f>
        <v>0</v>
      </c>
      <c r="L97" s="791">
        <f>'NORTH-1'!L568</f>
        <v>2243931.9999999991</v>
      </c>
      <c r="M97" s="791">
        <f>'NORTH-1'!M568</f>
        <v>0</v>
      </c>
      <c r="N97" s="2019" t="str">
        <f>'NORTH-1'!N568</f>
        <v>Lalbag</v>
      </c>
      <c r="O97" s="2019" t="str">
        <f>Sheet2!$C$30</f>
        <v xml:space="preserve">LALBAGH   33/11 KV S/S </v>
      </c>
    </row>
    <row r="98" spans="1:15" x14ac:dyDescent="0.35">
      <c r="A98" s="2019">
        <f>'NORTH-1'!A569</f>
        <v>14</v>
      </c>
      <c r="B98" s="2019" t="str">
        <f>'NORTH-1'!B569</f>
        <v>Chun Goli</v>
      </c>
      <c r="C98" s="2019" t="str">
        <f>'NORTH-1'!C569</f>
        <v>11kV</v>
      </c>
      <c r="D98" s="2019">
        <f>'NORTH-1'!D569</f>
        <v>0</v>
      </c>
      <c r="E98" s="2019">
        <f>'NORTH-1'!E569</f>
        <v>0</v>
      </c>
      <c r="F98" s="791">
        <f>'NORTH-1'!F569</f>
        <v>1</v>
      </c>
      <c r="G98" s="791">
        <f>'NORTH-1'!G569</f>
        <v>3059.261</v>
      </c>
      <c r="H98" s="791">
        <f>'NORTH-1'!H569</f>
        <v>3164.8278</v>
      </c>
      <c r="I98" s="791">
        <f>'NORTH-1'!I569</f>
        <v>105.56680000000006</v>
      </c>
      <c r="J98" s="791">
        <f>'NORTH-1'!J569</f>
        <v>1000</v>
      </c>
      <c r="K98" s="791">
        <f>'NORTH-1'!K569</f>
        <v>0</v>
      </c>
      <c r="L98" s="791">
        <f>'NORTH-1'!L569</f>
        <v>105566.80000000006</v>
      </c>
      <c r="M98" s="791">
        <f>'NORTH-1'!M569</f>
        <v>0</v>
      </c>
      <c r="N98" s="2019" t="str">
        <f>'NORTH-1'!N569</f>
        <v>Lalbag</v>
      </c>
      <c r="O98" s="2019" t="str">
        <f>Sheet2!$C$30</f>
        <v xml:space="preserve">LALBAGH   33/11 KV S/S </v>
      </c>
    </row>
    <row r="99" spans="1:15" x14ac:dyDescent="0.35">
      <c r="A99" s="2019">
        <f>'NORTH-1'!A570</f>
        <v>15</v>
      </c>
      <c r="B99" s="2019" t="str">
        <f>'NORTH-1'!B570</f>
        <v>Alir Ghat</v>
      </c>
      <c r="C99" s="2019" t="str">
        <f>'NORTH-1'!C570</f>
        <v>11kV</v>
      </c>
      <c r="D99" s="2019">
        <f>'NORTH-1'!D570</f>
        <v>0</v>
      </c>
      <c r="E99" s="2019">
        <f>'NORTH-1'!E570</f>
        <v>0</v>
      </c>
      <c r="F99" s="791">
        <f>'NORTH-1'!F570</f>
        <v>1</v>
      </c>
      <c r="G99" s="791">
        <f>'NORTH-1'!G570</f>
        <v>106094.6</v>
      </c>
      <c r="H99" s="791">
        <f>'NORTH-1'!H570</f>
        <v>108011.7</v>
      </c>
      <c r="I99" s="791">
        <f>'NORTH-1'!I570</f>
        <v>1917.0999999999913</v>
      </c>
      <c r="J99" s="791">
        <f>'NORTH-1'!J570</f>
        <v>1000</v>
      </c>
      <c r="K99" s="791">
        <f>'NORTH-1'!K570</f>
        <v>0</v>
      </c>
      <c r="L99" s="791">
        <f>'NORTH-1'!L570</f>
        <v>1917099.9999999912</v>
      </c>
      <c r="M99" s="791">
        <f>'NORTH-1'!M570</f>
        <v>0</v>
      </c>
      <c r="N99" s="2019" t="str">
        <f>'NORTH-1'!N570</f>
        <v>Lalbag</v>
      </c>
      <c r="O99" s="2019" t="str">
        <f>Sheet2!$C$30</f>
        <v xml:space="preserve">LALBAGH   33/11 KV S/S </v>
      </c>
    </row>
    <row r="100" spans="1:15" x14ac:dyDescent="0.35">
      <c r="A100" s="2019">
        <f>'NORTH-1'!A571</f>
        <v>16</v>
      </c>
      <c r="B100" s="2019" t="str">
        <f>'NORTH-1'!B571</f>
        <v>Club Ghat</v>
      </c>
      <c r="C100" s="2019" t="str">
        <f>'NORTH-1'!C571</f>
        <v>11kV</v>
      </c>
      <c r="D100" s="2019">
        <f>'NORTH-1'!D571</f>
        <v>0</v>
      </c>
      <c r="E100" s="2019">
        <f>'NORTH-1'!E571</f>
        <v>0</v>
      </c>
      <c r="F100" s="791">
        <f>'NORTH-1'!F571</f>
        <v>1</v>
      </c>
      <c r="G100" s="791">
        <f>'NORTH-1'!G571</f>
        <v>31235.56</v>
      </c>
      <c r="H100" s="791">
        <f>'NORTH-1'!H571</f>
        <v>33830.815999999999</v>
      </c>
      <c r="I100" s="791">
        <f>'NORTH-1'!I571</f>
        <v>2595.2559999999976</v>
      </c>
      <c r="J100" s="791">
        <f>'NORTH-1'!J571</f>
        <v>1000</v>
      </c>
      <c r="K100" s="791">
        <f>'NORTH-1'!K571</f>
        <v>0</v>
      </c>
      <c r="L100" s="791">
        <f>'NORTH-1'!L571</f>
        <v>2595255.9999999977</v>
      </c>
      <c r="M100" s="791">
        <f>'NORTH-1'!M571</f>
        <v>0</v>
      </c>
      <c r="N100" s="2019" t="str">
        <f>'NORTH-1'!N571</f>
        <v>Lalbag</v>
      </c>
      <c r="O100" s="2019" t="str">
        <f>Sheet2!$C$30</f>
        <v xml:space="preserve">LALBAGH   33/11 KV S/S </v>
      </c>
    </row>
    <row r="101" spans="1:15" x14ac:dyDescent="0.35">
      <c r="A101" s="2019">
        <f>'NORTH-1'!A572</f>
        <v>17</v>
      </c>
      <c r="B101" s="2019" t="str">
        <f>'NORTH-1'!B572</f>
        <v>Debidas Ghat</v>
      </c>
      <c r="C101" s="2019" t="str">
        <f>'NORTH-1'!C572</f>
        <v>11kV</v>
      </c>
      <c r="D101" s="2019">
        <f>'NORTH-1'!D572</f>
        <v>0</v>
      </c>
      <c r="E101" s="2019">
        <f>'NORTH-1'!E572</f>
        <v>0</v>
      </c>
      <c r="F101" s="791">
        <f>'NORTH-1'!F572</f>
        <v>1</v>
      </c>
      <c r="G101" s="791">
        <f>'NORTH-1'!G572</f>
        <v>9829.1784000000007</v>
      </c>
      <c r="H101" s="791">
        <f>'NORTH-1'!H572</f>
        <v>12497.509</v>
      </c>
      <c r="I101" s="791">
        <f>'NORTH-1'!I572</f>
        <v>2668.3305999999993</v>
      </c>
      <c r="J101" s="791">
        <f>'NORTH-1'!J572</f>
        <v>1000</v>
      </c>
      <c r="K101" s="791">
        <f>'NORTH-1'!K572</f>
        <v>0</v>
      </c>
      <c r="L101" s="791">
        <f>'NORTH-1'!L572</f>
        <v>2668330.5999999992</v>
      </c>
      <c r="M101" s="791">
        <f>'NORTH-1'!M572</f>
        <v>0</v>
      </c>
      <c r="N101" s="2019" t="str">
        <f>'NORTH-1'!N572</f>
        <v>Lalbag</v>
      </c>
      <c r="O101" s="2019" t="str">
        <f>Sheet2!$C$30</f>
        <v xml:space="preserve">LALBAGH   33/11 KV S/S </v>
      </c>
    </row>
    <row r="102" spans="1:15" x14ac:dyDescent="0.35">
      <c r="A102" s="2019">
        <f>'NORTH-1'!A573</f>
        <v>18</v>
      </c>
      <c r="B102" s="2019" t="str">
        <f>'NORTH-1'!B573</f>
        <v>Spare</v>
      </c>
      <c r="C102" s="2019" t="str">
        <f>'NORTH-1'!C573</f>
        <v>11kV</v>
      </c>
      <c r="D102" s="2019">
        <f>'NORTH-1'!D573</f>
        <v>0</v>
      </c>
      <c r="E102" s="2019">
        <f>'NORTH-1'!E573</f>
        <v>0</v>
      </c>
      <c r="F102" s="791">
        <f>'NORTH-1'!F573</f>
        <v>1</v>
      </c>
      <c r="G102" s="791">
        <f>'NORTH-1'!G573</f>
        <v>0</v>
      </c>
      <c r="H102" s="791">
        <f>'NORTH-1'!H573</f>
        <v>0</v>
      </c>
      <c r="I102" s="791">
        <f>'NORTH-1'!I573</f>
        <v>0</v>
      </c>
      <c r="J102" s="791">
        <f>'NORTH-1'!J573</f>
        <v>1000</v>
      </c>
      <c r="K102" s="791">
        <f>'NORTH-1'!K573</f>
        <v>0</v>
      </c>
      <c r="L102" s="791">
        <f>'NORTH-1'!L573</f>
        <v>0</v>
      </c>
      <c r="M102" s="791">
        <f>'NORTH-1'!M573</f>
        <v>0</v>
      </c>
      <c r="N102" s="2019" t="str">
        <f>'NORTH-1'!N573</f>
        <v>Lalbag</v>
      </c>
      <c r="O102" s="2019" t="str">
        <f>Sheet2!$C$30</f>
        <v xml:space="preserve">LALBAGH   33/11 KV S/S </v>
      </c>
    </row>
    <row r="103" spans="1:15" x14ac:dyDescent="0.35">
      <c r="A103" s="2019">
        <f>'NORTH-1'!A644</f>
        <v>15</v>
      </c>
      <c r="B103" s="2019" t="str">
        <f>'NORTH-1'!B644</f>
        <v>Spare</v>
      </c>
      <c r="C103" s="2019" t="str">
        <f>'NORTH-1'!C644</f>
        <v>11 kV</v>
      </c>
      <c r="D103" s="2019">
        <f>'NORTH-1'!D644</f>
        <v>0</v>
      </c>
      <c r="E103" s="2019">
        <f>'NORTH-1'!E644</f>
        <v>0</v>
      </c>
      <c r="F103" s="791">
        <f>'NORTH-1'!F644</f>
        <v>1</v>
      </c>
      <c r="G103" s="791">
        <f>'NORTH-1'!G644</f>
        <v>0</v>
      </c>
      <c r="H103" s="791">
        <f>'NORTH-1'!H644</f>
        <v>0</v>
      </c>
      <c r="I103" s="791">
        <f>'NORTH-1'!I644</f>
        <v>0</v>
      </c>
      <c r="J103" s="791">
        <f>'NORTH-1'!J644</f>
        <v>0</v>
      </c>
      <c r="K103" s="791">
        <f>'NORTH-1'!K644</f>
        <v>0</v>
      </c>
      <c r="L103" s="791">
        <f>'NORTH-1'!L644</f>
        <v>0</v>
      </c>
      <c r="M103" s="791">
        <f>'NORTH-1'!M644</f>
        <v>0</v>
      </c>
      <c r="N103" s="2019" t="str">
        <f>'NORTH-1'!N644</f>
        <v>Lalbag</v>
      </c>
      <c r="O103" s="2019" t="str">
        <f>Sheet2!$C$24</f>
        <v>Lalbagh old 33/11KV S/S</v>
      </c>
    </row>
    <row r="104" spans="1:15" x14ac:dyDescent="0.35">
      <c r="A104" s="2019">
        <f>'NORTH-1'!A645</f>
        <v>16</v>
      </c>
      <c r="B104" s="2019" t="str">
        <f>'NORTH-1'!B645</f>
        <v>Sowari Ghat</v>
      </c>
      <c r="C104" s="2019" t="str">
        <f>'NORTH-1'!C645</f>
        <v>11 kV</v>
      </c>
      <c r="D104" s="2019">
        <f>'NORTH-1'!D645</f>
        <v>0</v>
      </c>
      <c r="E104" s="2019">
        <f>'NORTH-1'!E645</f>
        <v>8838019</v>
      </c>
      <c r="F104" s="791">
        <f>'NORTH-1'!F645</f>
        <v>1</v>
      </c>
      <c r="G104" s="791">
        <f>'NORTH-1'!G645</f>
        <v>56705.9</v>
      </c>
      <c r="H104" s="791">
        <f>'NORTH-1'!H645</f>
        <v>59457</v>
      </c>
      <c r="I104" s="791">
        <f>'NORTH-1'!I645</f>
        <v>2751.0999999999985</v>
      </c>
      <c r="J104" s="791">
        <f>'NORTH-1'!J645</f>
        <v>1000</v>
      </c>
      <c r="K104" s="791">
        <f>'NORTH-1'!K645</f>
        <v>0</v>
      </c>
      <c r="L104" s="791">
        <f>'NORTH-1'!L645</f>
        <v>2751099.9999999986</v>
      </c>
      <c r="M104" s="791">
        <f>'NORTH-1'!M645</f>
        <v>0</v>
      </c>
      <c r="N104" s="2019" t="str">
        <f>'NORTH-1'!N645</f>
        <v>Lalbag</v>
      </c>
      <c r="O104" s="2019" t="str">
        <f>Sheet2!$C$24</f>
        <v>Lalbagh old 33/11KV S/S</v>
      </c>
    </row>
    <row r="105" spans="1:15" x14ac:dyDescent="0.35">
      <c r="A105" s="2019">
        <f>'NORTH-1'!A646</f>
        <v>17</v>
      </c>
      <c r="B105" s="2019" t="str">
        <f>'NORTH-1'!B646</f>
        <v>Novo Kumar  (Kara Odidoptor)</v>
      </c>
      <c r="C105" s="2019" t="str">
        <f>'NORTH-1'!C646</f>
        <v>11 kV</v>
      </c>
      <c r="D105" s="2019">
        <f>'NORTH-1'!D646</f>
        <v>0</v>
      </c>
      <c r="E105" s="2019">
        <f>'NORTH-1'!E646</f>
        <v>8838014</v>
      </c>
      <c r="F105" s="791">
        <f>'NORTH-1'!F646</f>
        <v>1</v>
      </c>
      <c r="G105" s="791">
        <f>'NORTH-1'!G646</f>
        <v>79576.800000000003</v>
      </c>
      <c r="H105" s="791">
        <f>'NORTH-1'!H646</f>
        <v>80187</v>
      </c>
      <c r="I105" s="791">
        <f>'NORTH-1'!I646</f>
        <v>610.19999999999709</v>
      </c>
      <c r="J105" s="791">
        <f>'NORTH-1'!J646</f>
        <v>1000</v>
      </c>
      <c r="K105" s="791">
        <f>'NORTH-1'!K646</f>
        <v>0</v>
      </c>
      <c r="L105" s="791">
        <f>'NORTH-1'!L646</f>
        <v>610199.99999999709</v>
      </c>
      <c r="M105" s="791">
        <f>'NORTH-1'!M646</f>
        <v>0</v>
      </c>
      <c r="N105" s="2019" t="str">
        <f>'NORTH-1'!N646</f>
        <v>Lalbag</v>
      </c>
      <c r="O105" s="2019" t="str">
        <f>Sheet2!$C$24</f>
        <v>Lalbagh old 33/11KV S/S</v>
      </c>
    </row>
    <row r="106" spans="1:15" x14ac:dyDescent="0.35">
      <c r="A106" s="2019">
        <f>'NORTH-1'!A647</f>
        <v>19</v>
      </c>
      <c r="B106" s="2019" t="str">
        <f>'NORTH-1'!B647</f>
        <v>Spare</v>
      </c>
      <c r="C106" s="2019" t="str">
        <f>'NORTH-1'!C647</f>
        <v>11 kV</v>
      </c>
      <c r="D106" s="2019">
        <f>'NORTH-1'!D647</f>
        <v>0</v>
      </c>
      <c r="E106" s="2019">
        <f>'NORTH-1'!E647</f>
        <v>0</v>
      </c>
      <c r="F106" s="791">
        <f>'NORTH-1'!F647</f>
        <v>1</v>
      </c>
      <c r="G106" s="791">
        <f>'NORTH-1'!G647</f>
        <v>0</v>
      </c>
      <c r="H106" s="791">
        <f>'NORTH-1'!H647</f>
        <v>0</v>
      </c>
      <c r="I106" s="791">
        <f>'NORTH-1'!I647</f>
        <v>0</v>
      </c>
      <c r="J106" s="791">
        <f>'NORTH-1'!J647</f>
        <v>0</v>
      </c>
      <c r="K106" s="791">
        <f>'NORTH-1'!K647</f>
        <v>0</v>
      </c>
      <c r="L106" s="791">
        <f>'NORTH-1'!L647</f>
        <v>0</v>
      </c>
      <c r="M106" s="791">
        <f>'NORTH-1'!M647</f>
        <v>0</v>
      </c>
      <c r="N106" s="2019" t="str">
        <f>'NORTH-1'!N647</f>
        <v>Lalbag</v>
      </c>
      <c r="O106" s="2019" t="str">
        <f>Sheet2!$C$24</f>
        <v>Lalbagh old 33/11KV S/S</v>
      </c>
    </row>
    <row r="107" spans="1:15" x14ac:dyDescent="0.35">
      <c r="A107" s="2019">
        <f>'NORTH-1'!A648</f>
        <v>20</v>
      </c>
      <c r="B107" s="2019" t="str">
        <f>'NORTH-1'!B648</f>
        <v>Spare</v>
      </c>
      <c r="C107" s="2019" t="str">
        <f>'NORTH-1'!C648</f>
        <v>11 kV</v>
      </c>
      <c r="D107" s="2019">
        <f>'NORTH-1'!D648</f>
        <v>0</v>
      </c>
      <c r="E107" s="2019">
        <f>'NORTH-1'!E648</f>
        <v>0</v>
      </c>
      <c r="F107" s="791">
        <f>'NORTH-1'!F648</f>
        <v>1</v>
      </c>
      <c r="G107" s="791">
        <f>'NORTH-1'!G648</f>
        <v>0</v>
      </c>
      <c r="H107" s="791">
        <f>'NORTH-1'!H648</f>
        <v>0</v>
      </c>
      <c r="I107" s="791">
        <f>'NORTH-1'!I648</f>
        <v>0</v>
      </c>
      <c r="J107" s="791">
        <f>'NORTH-1'!J648</f>
        <v>0</v>
      </c>
      <c r="K107" s="791">
        <f>'NORTH-1'!K648</f>
        <v>0</v>
      </c>
      <c r="L107" s="791">
        <f>'NORTH-1'!L648</f>
        <v>0</v>
      </c>
      <c r="M107" s="791">
        <f>'NORTH-1'!M648</f>
        <v>0</v>
      </c>
      <c r="N107" s="2019" t="str">
        <f>'NORTH-1'!N648</f>
        <v>Lalbag</v>
      </c>
      <c r="O107" s="2019" t="str">
        <f>Sheet2!$C$24</f>
        <v>Lalbagh old 33/11KV S/S</v>
      </c>
    </row>
    <row r="108" spans="1:15" x14ac:dyDescent="0.35">
      <c r="A108" s="2019">
        <f>'NORTH-1'!A649</f>
        <v>22</v>
      </c>
      <c r="B108" s="2019" t="str">
        <f>'NORTH-1'!B649</f>
        <v>Eidgah</v>
      </c>
      <c r="C108" s="2019" t="str">
        <f>'NORTH-1'!C649</f>
        <v>11 kV</v>
      </c>
      <c r="D108" s="2019">
        <f>'NORTH-1'!D649</f>
        <v>0</v>
      </c>
      <c r="E108" s="2019" t="str">
        <f>'NORTH-1'!E649</f>
        <v>06604339</v>
      </c>
      <c r="F108" s="791">
        <f>'NORTH-1'!F649</f>
        <v>1</v>
      </c>
      <c r="G108" s="791">
        <f>'NORTH-1'!G649</f>
        <v>18579.25</v>
      </c>
      <c r="H108" s="791">
        <f>'NORTH-1'!H649</f>
        <v>18579.25</v>
      </c>
      <c r="I108" s="791">
        <f>'NORTH-1'!I649</f>
        <v>0</v>
      </c>
      <c r="J108" s="791">
        <f>'NORTH-1'!J649</f>
        <v>8000</v>
      </c>
      <c r="K108" s="791">
        <f>'NORTH-1'!K649</f>
        <v>0</v>
      </c>
      <c r="L108" s="791">
        <f>'NORTH-1'!L649</f>
        <v>0</v>
      </c>
      <c r="M108" s="791">
        <f>'NORTH-1'!M649</f>
        <v>0</v>
      </c>
      <c r="N108" s="2019" t="str">
        <f>'NORTH-1'!N649</f>
        <v>Lalbag</v>
      </c>
      <c r="O108" s="2019" t="str">
        <f>Sheet2!$C$24</f>
        <v>Lalbagh old 33/11KV S/S</v>
      </c>
    </row>
    <row r="109" spans="1:15" x14ac:dyDescent="0.35">
      <c r="A109" s="2019">
        <f>'NORTH-1'!A650</f>
        <v>23</v>
      </c>
      <c r="B109" s="2019" t="str">
        <f>'NORTH-1'!B650</f>
        <v>Spare</v>
      </c>
      <c r="C109" s="2019" t="str">
        <f>'NORTH-1'!C650</f>
        <v>11 kV</v>
      </c>
      <c r="D109" s="2019">
        <f>'NORTH-1'!D650</f>
        <v>0</v>
      </c>
      <c r="E109" s="2019">
        <f>'NORTH-1'!E650</f>
        <v>0</v>
      </c>
      <c r="F109" s="791">
        <f>'NORTH-1'!F650</f>
        <v>1</v>
      </c>
      <c r="G109" s="791">
        <f>'NORTH-1'!G650</f>
        <v>0</v>
      </c>
      <c r="H109" s="791">
        <f>'NORTH-1'!H650</f>
        <v>0</v>
      </c>
      <c r="I109" s="791">
        <f>'NORTH-1'!I650</f>
        <v>0</v>
      </c>
      <c r="J109" s="791">
        <f>'NORTH-1'!J650</f>
        <v>0</v>
      </c>
      <c r="K109" s="791">
        <f>'NORTH-1'!K650</f>
        <v>0</v>
      </c>
      <c r="L109" s="791">
        <f>'NORTH-1'!L650</f>
        <v>0</v>
      </c>
      <c r="M109" s="791">
        <f>'NORTH-1'!M650</f>
        <v>0</v>
      </c>
      <c r="N109" s="2019" t="str">
        <f>'NORTH-1'!N650</f>
        <v>Lalbag</v>
      </c>
      <c r="O109" s="2019" t="str">
        <f>Sheet2!$C$24</f>
        <v>Lalbagh old 33/11KV S/S</v>
      </c>
    </row>
    <row r="110" spans="1:15" x14ac:dyDescent="0.35">
      <c r="A110" s="2019">
        <f>'NORTH-1'!A651</f>
        <v>24</v>
      </c>
      <c r="B110" s="2019" t="str">
        <f>'NORTH-1'!B651</f>
        <v>Modumoti</v>
      </c>
      <c r="C110" s="2019" t="str">
        <f>'NORTH-1'!C651</f>
        <v>11 kV</v>
      </c>
      <c r="D110" s="2019">
        <f>'NORTH-1'!D651</f>
        <v>0</v>
      </c>
      <c r="E110" s="2019">
        <f>'NORTH-1'!E651</f>
        <v>0</v>
      </c>
      <c r="F110" s="791">
        <f>'NORTH-1'!F651</f>
        <v>1</v>
      </c>
      <c r="G110" s="791">
        <f>'NORTH-1'!G651</f>
        <v>53905.5</v>
      </c>
      <c r="H110" s="791">
        <f>'NORTH-1'!H651</f>
        <v>58520.800000000003</v>
      </c>
      <c r="I110" s="791">
        <f>'NORTH-1'!I651</f>
        <v>4615.3000000000029</v>
      </c>
      <c r="J110" s="791">
        <f>'NORTH-1'!J651</f>
        <v>444.44</v>
      </c>
      <c r="K110" s="791">
        <f>'NORTH-1'!K651</f>
        <v>0</v>
      </c>
      <c r="L110" s="791">
        <f>'NORTH-1'!L651</f>
        <v>2051223.9320000012</v>
      </c>
      <c r="M110" s="791">
        <f>'NORTH-1'!M651</f>
        <v>0</v>
      </c>
      <c r="N110" s="2019" t="str">
        <f>'NORTH-1'!N651</f>
        <v>Lalbag</v>
      </c>
      <c r="O110" s="2019" t="str">
        <f>Sheet2!$C$24</f>
        <v>Lalbagh old 33/11KV S/S</v>
      </c>
    </row>
    <row r="111" spans="1:15" x14ac:dyDescent="0.35">
      <c r="A111" s="2019">
        <f>'NORTH-1'!A652</f>
        <v>25</v>
      </c>
      <c r="B111" s="2019" t="str">
        <f>'NORTH-1'!B652</f>
        <v>Lalbagh O/H</v>
      </c>
      <c r="C111" s="2019" t="str">
        <f>'NORTH-1'!C652</f>
        <v>11 kV</v>
      </c>
      <c r="D111" s="2019">
        <f>'NORTH-1'!D652</f>
        <v>0</v>
      </c>
      <c r="E111" s="2019">
        <f>'NORTH-1'!E652</f>
        <v>61389152</v>
      </c>
      <c r="F111" s="791">
        <f>'NORTH-1'!F652</f>
        <v>1</v>
      </c>
      <c r="G111" s="791">
        <f>'NORTH-1'!G652</f>
        <v>436819</v>
      </c>
      <c r="H111" s="791">
        <f>'NORTH-1'!H652</f>
        <v>437191</v>
      </c>
      <c r="I111" s="791">
        <f>'NORTH-1'!I652</f>
        <v>372</v>
      </c>
      <c r="J111" s="791">
        <f>'NORTH-1'!J652</f>
        <v>1000</v>
      </c>
      <c r="K111" s="791">
        <f>'NORTH-1'!K652</f>
        <v>0</v>
      </c>
      <c r="L111" s="791">
        <f>'NORTH-1'!L652</f>
        <v>372000</v>
      </c>
      <c r="M111" s="791">
        <f>'NORTH-1'!M652</f>
        <v>0</v>
      </c>
      <c r="N111" s="2019" t="str">
        <f>'NORTH-1'!N652</f>
        <v>Lalbag</v>
      </c>
      <c r="O111" s="2019" t="str">
        <f>Sheet2!$C$24</f>
        <v>Lalbagh old 33/11KV S/S</v>
      </c>
    </row>
    <row r="112" spans="1:15" x14ac:dyDescent="0.35">
      <c r="A112" s="2019">
        <f>'NORTH-1'!A653</f>
        <v>26</v>
      </c>
      <c r="B112" s="2019" t="str">
        <f>'NORTH-1'!B653</f>
        <v>Spare</v>
      </c>
      <c r="C112" s="2019" t="str">
        <f>'NORTH-1'!C653</f>
        <v>11 kV</v>
      </c>
      <c r="D112" s="2019">
        <f>'NORTH-1'!D653</f>
        <v>0</v>
      </c>
      <c r="E112" s="2019">
        <f>'NORTH-1'!E653</f>
        <v>0</v>
      </c>
      <c r="F112" s="791">
        <f>'NORTH-1'!F653</f>
        <v>1</v>
      </c>
      <c r="G112" s="791">
        <f>'NORTH-1'!G653</f>
        <v>0</v>
      </c>
      <c r="H112" s="791">
        <f>'NORTH-1'!H653</f>
        <v>0</v>
      </c>
      <c r="I112" s="791">
        <f>'NORTH-1'!I653</f>
        <v>0</v>
      </c>
      <c r="J112" s="791">
        <f>'NORTH-1'!J653</f>
        <v>0</v>
      </c>
      <c r="K112" s="791">
        <f>'NORTH-1'!K653</f>
        <v>0</v>
      </c>
      <c r="L112" s="791">
        <f>'NORTH-1'!L653</f>
        <v>0</v>
      </c>
      <c r="M112" s="791">
        <f>'NORTH-1'!M653</f>
        <v>0</v>
      </c>
      <c r="N112" s="2019" t="str">
        <f>'NORTH-1'!N653</f>
        <v>Lalbag</v>
      </c>
      <c r="O112" s="2019" t="str">
        <f>Sheet2!$C$24</f>
        <v>Lalbagh old 33/11KV S/S</v>
      </c>
    </row>
    <row r="113" spans="1:15" x14ac:dyDescent="0.35">
      <c r="A113" s="2019">
        <f>'NORTH-1'!A654</f>
        <v>29</v>
      </c>
      <c r="B113" s="2019" t="str">
        <f>'NORTH-1'!B654</f>
        <v>Spare</v>
      </c>
      <c r="C113" s="2019" t="str">
        <f>'NORTH-1'!C654</f>
        <v>11 kV</v>
      </c>
      <c r="D113" s="2019">
        <f>'NORTH-1'!D654</f>
        <v>0</v>
      </c>
      <c r="E113" s="2019">
        <f>'NORTH-1'!E654</f>
        <v>0</v>
      </c>
      <c r="F113" s="791">
        <f>'NORTH-1'!F654</f>
        <v>1</v>
      </c>
      <c r="G113" s="791">
        <f>'NORTH-1'!G654</f>
        <v>0</v>
      </c>
      <c r="H113" s="791">
        <f>'NORTH-1'!H654</f>
        <v>0</v>
      </c>
      <c r="I113" s="791">
        <f>'NORTH-1'!I654</f>
        <v>0</v>
      </c>
      <c r="J113" s="791">
        <f>'NORTH-1'!J654</f>
        <v>0</v>
      </c>
      <c r="K113" s="791">
        <f>'NORTH-1'!K654</f>
        <v>0</v>
      </c>
      <c r="L113" s="791">
        <f>'NORTH-1'!L654</f>
        <v>0</v>
      </c>
      <c r="M113" s="791">
        <f>'NORTH-1'!M654</f>
        <v>0</v>
      </c>
      <c r="N113" s="2019" t="str">
        <f>'NORTH-1'!N654</f>
        <v>Lalbag</v>
      </c>
      <c r="O113" s="2019" t="str">
        <f>Sheet2!$C$24</f>
        <v>Lalbagh old 33/11KV S/S</v>
      </c>
    </row>
    <row r="114" spans="1:15" x14ac:dyDescent="0.35">
      <c r="A114" s="2019">
        <f>'NORTH-1'!A655</f>
        <v>30</v>
      </c>
      <c r="B114" s="2019" t="str">
        <f>'NORTH-1'!B655</f>
        <v>Water Works 11 kV Sw/S-2</v>
      </c>
      <c r="C114" s="2019" t="str">
        <f>'NORTH-1'!C655</f>
        <v>11 kV</v>
      </c>
      <c r="D114" s="2019">
        <f>'NORTH-1'!D655</f>
        <v>0</v>
      </c>
      <c r="E114" s="2019">
        <f>'NORTH-1'!E655</f>
        <v>61389109</v>
      </c>
      <c r="F114" s="791">
        <f>'NORTH-1'!F655</f>
        <v>1</v>
      </c>
      <c r="G114" s="791">
        <f>'NORTH-1'!G655</f>
        <v>394307</v>
      </c>
      <c r="H114" s="791">
        <f>'NORTH-1'!H655</f>
        <v>395179</v>
      </c>
      <c r="I114" s="791">
        <f>'NORTH-1'!I655</f>
        <v>872</v>
      </c>
      <c r="J114" s="791">
        <f>'NORTH-1'!J655</f>
        <v>1000</v>
      </c>
      <c r="K114" s="791">
        <f>'NORTH-1'!K655</f>
        <v>0</v>
      </c>
      <c r="L114" s="791">
        <f>'NORTH-1'!L655</f>
        <v>872000</v>
      </c>
      <c r="M114" s="791">
        <f>'NORTH-1'!M655</f>
        <v>0</v>
      </c>
      <c r="N114" s="2019" t="str">
        <f>'NORTH-1'!N655</f>
        <v>Lalbag</v>
      </c>
      <c r="O114" s="2019" t="str">
        <f>Sheet2!$C$24</f>
        <v>Lalbagh old 33/11KV S/S</v>
      </c>
    </row>
    <row r="115" spans="1:15" x14ac:dyDescent="0.35">
      <c r="A115" s="2019">
        <f>'NORTH-1'!A656</f>
        <v>31</v>
      </c>
      <c r="B115" s="2019" t="str">
        <f>'NORTH-1'!B656</f>
        <v>Islambagh</v>
      </c>
      <c r="C115" s="2019" t="str">
        <f>'NORTH-1'!C656</f>
        <v>11 kV</v>
      </c>
      <c r="D115" s="2019">
        <f>'NORTH-1'!D656</f>
        <v>0</v>
      </c>
      <c r="E115" s="2019">
        <f>'NORTH-1'!E656</f>
        <v>61389186</v>
      </c>
      <c r="F115" s="791">
        <f>'NORTH-1'!F656</f>
        <v>1</v>
      </c>
      <c r="G115" s="791">
        <f>'NORTH-1'!G656</f>
        <v>490246</v>
      </c>
      <c r="H115" s="791">
        <f>'NORTH-1'!H656</f>
        <v>491899</v>
      </c>
      <c r="I115" s="791">
        <f>'NORTH-1'!I656</f>
        <v>1653</v>
      </c>
      <c r="J115" s="791">
        <f>'NORTH-1'!J656</f>
        <v>1000</v>
      </c>
      <c r="K115" s="791">
        <f>'NORTH-1'!K656</f>
        <v>0</v>
      </c>
      <c r="L115" s="791">
        <f>'NORTH-1'!L656</f>
        <v>1653000</v>
      </c>
      <c r="M115" s="791">
        <f>'NORTH-1'!M656</f>
        <v>0</v>
      </c>
      <c r="N115" s="2019" t="str">
        <f>'NORTH-1'!N656</f>
        <v>Lalbag</v>
      </c>
      <c r="O115" s="2019" t="str">
        <f>Sheet2!$C$24</f>
        <v>Lalbagh old 33/11KV S/S</v>
      </c>
    </row>
    <row r="116" spans="1:15" x14ac:dyDescent="0.35">
      <c r="A116" s="2019">
        <f>'NORTH-1'!A657</f>
        <v>32</v>
      </c>
      <c r="B116" s="2019" t="str">
        <f>'NORTH-1'!B657</f>
        <v>Spare</v>
      </c>
      <c r="C116" s="2019" t="str">
        <f>'NORTH-1'!C657</f>
        <v>11 kV</v>
      </c>
      <c r="D116" s="2019">
        <f>'NORTH-1'!D657</f>
        <v>0</v>
      </c>
      <c r="E116" s="2019">
        <f>'NORTH-1'!E657</f>
        <v>0</v>
      </c>
      <c r="F116" s="791">
        <f>'NORTH-1'!F657</f>
        <v>1</v>
      </c>
      <c r="G116" s="791">
        <f>'NORTH-1'!G657</f>
        <v>0</v>
      </c>
      <c r="H116" s="791">
        <f>'NORTH-1'!H657</f>
        <v>0</v>
      </c>
      <c r="I116" s="791">
        <f>'NORTH-1'!I657</f>
        <v>0</v>
      </c>
      <c r="J116" s="791">
        <f>'NORTH-1'!J657</f>
        <v>0</v>
      </c>
      <c r="K116" s="791">
        <f>'NORTH-1'!K657</f>
        <v>0</v>
      </c>
      <c r="L116" s="791">
        <f>'NORTH-1'!L657</f>
        <v>0</v>
      </c>
      <c r="M116" s="791">
        <f>'NORTH-1'!M657</f>
        <v>0</v>
      </c>
      <c r="N116" s="2019" t="str">
        <f>'NORTH-1'!N657</f>
        <v>Lalbag</v>
      </c>
      <c r="O116" s="2019" t="str">
        <f>Sheet2!$C$24</f>
        <v>Lalbagh old 33/11KV S/S</v>
      </c>
    </row>
    <row r="117" spans="1:15" x14ac:dyDescent="0.35">
      <c r="A117" s="2019">
        <f>'NORTH-1'!A658</f>
        <v>33</v>
      </c>
      <c r="B117" s="2019" t="str">
        <f>'NORTH-1'!B658</f>
        <v>WASA Low Lift Pump</v>
      </c>
      <c r="C117" s="2019" t="str">
        <f>'NORTH-1'!C658</f>
        <v>11 kV</v>
      </c>
      <c r="D117" s="2019">
        <f>'NORTH-1'!D658</f>
        <v>0</v>
      </c>
      <c r="E117" s="2019">
        <f>'NORTH-1'!E658</f>
        <v>61389202</v>
      </c>
      <c r="F117" s="791">
        <f>'NORTH-1'!F658</f>
        <v>1</v>
      </c>
      <c r="G117" s="791">
        <f>'NORTH-1'!G658</f>
        <v>15171</v>
      </c>
      <c r="H117" s="791">
        <f>'NORTH-1'!H658</f>
        <v>15220</v>
      </c>
      <c r="I117" s="791">
        <f>'NORTH-1'!I658</f>
        <v>49</v>
      </c>
      <c r="J117" s="791">
        <f>'NORTH-1'!J658</f>
        <v>1000</v>
      </c>
      <c r="K117" s="791">
        <f>'NORTH-1'!K658</f>
        <v>0</v>
      </c>
      <c r="L117" s="791">
        <f>'NORTH-1'!L658</f>
        <v>49000</v>
      </c>
      <c r="M117" s="791">
        <f>'NORTH-1'!M658</f>
        <v>0</v>
      </c>
      <c r="N117" s="2019" t="str">
        <f>'NORTH-1'!N658</f>
        <v>Lalbag</v>
      </c>
      <c r="O117" s="2019" t="str">
        <f>Sheet2!$C$24</f>
        <v>Lalbagh old 33/11KV S/S</v>
      </c>
    </row>
    <row r="118" spans="1:15" x14ac:dyDescent="0.35">
      <c r="A118" s="2019">
        <f>'NORTH-1'!A659</f>
        <v>34</v>
      </c>
      <c r="B118" s="2019" t="str">
        <f>'NORTH-1'!B659</f>
        <v>Shahi Mosjid</v>
      </c>
      <c r="C118" s="2019" t="str">
        <f>'NORTH-1'!C659</f>
        <v>11 kV</v>
      </c>
      <c r="D118" s="2019">
        <f>'NORTH-1'!D659</f>
        <v>0</v>
      </c>
      <c r="E118" s="2019" t="str">
        <f>'NORTH-1'!E659</f>
        <v>06604459</v>
      </c>
      <c r="F118" s="791">
        <f>'NORTH-1'!F659</f>
        <v>1</v>
      </c>
      <c r="G118" s="791">
        <f>'NORTH-1'!G659</f>
        <v>34604.019999999997</v>
      </c>
      <c r="H118" s="791">
        <f>'NORTH-1'!H659</f>
        <v>34741.9</v>
      </c>
      <c r="I118" s="791">
        <f>'NORTH-1'!I659</f>
        <v>137.88000000000466</v>
      </c>
      <c r="J118" s="791">
        <f>'NORTH-1'!J659</f>
        <v>8000</v>
      </c>
      <c r="K118" s="791">
        <f>'NORTH-1'!K659</f>
        <v>0</v>
      </c>
      <c r="L118" s="791">
        <f>'NORTH-1'!L659</f>
        <v>1103040.0000000373</v>
      </c>
      <c r="M118" s="791">
        <f>'NORTH-1'!M659</f>
        <v>0</v>
      </c>
      <c r="N118" s="2019" t="str">
        <f>'NORTH-1'!N659</f>
        <v>Azimpur</v>
      </c>
      <c r="O118" s="2019" t="str">
        <f>Sheet2!$C$24</f>
        <v>Lalbagh old 33/11KV S/S</v>
      </c>
    </row>
    <row r="119" spans="1:15" x14ac:dyDescent="0.35">
      <c r="A119" s="2019">
        <f>'NORTH-1'!A660</f>
        <v>35</v>
      </c>
      <c r="B119" s="2019" t="str">
        <f>'NORTH-1'!B660</f>
        <v>Spare</v>
      </c>
      <c r="C119" s="2019" t="str">
        <f>'NORTH-1'!C660</f>
        <v>11 kV</v>
      </c>
      <c r="D119" s="2019">
        <f>'NORTH-1'!D660</f>
        <v>0</v>
      </c>
      <c r="E119" s="2019">
        <f>'NORTH-1'!E660</f>
        <v>0</v>
      </c>
      <c r="F119" s="791">
        <f>'NORTH-1'!F660</f>
        <v>1</v>
      </c>
      <c r="G119" s="791">
        <f>'NORTH-1'!G660</f>
        <v>0</v>
      </c>
      <c r="H119" s="791">
        <f>'NORTH-1'!H660</f>
        <v>0</v>
      </c>
      <c r="I119" s="791">
        <f>'NORTH-1'!I660</f>
        <v>0</v>
      </c>
      <c r="J119" s="791">
        <f>'NORTH-1'!J660</f>
        <v>0</v>
      </c>
      <c r="K119" s="791">
        <f>'NORTH-1'!K660</f>
        <v>0</v>
      </c>
      <c r="L119" s="791">
        <f>'NORTH-1'!L660</f>
        <v>0</v>
      </c>
      <c r="M119" s="791">
        <f>'NORTH-1'!M660</f>
        <v>0</v>
      </c>
      <c r="N119" s="2019" t="str">
        <f>'NORTH-1'!N660</f>
        <v>Lalbag</v>
      </c>
      <c r="O119" s="2019" t="str">
        <f>Sheet2!$C$24</f>
        <v>Lalbagh old 33/11KV S/S</v>
      </c>
    </row>
    <row r="120" spans="1:15" x14ac:dyDescent="0.35">
      <c r="A120" s="2019">
        <f>'NORTH-1'!A661</f>
        <v>36</v>
      </c>
      <c r="B120" s="2019" t="str">
        <f>'NORTH-1'!B661</f>
        <v>33/0.4 kV Auxiliary Transformer</v>
      </c>
      <c r="C120" s="2019" t="str">
        <f>'NORTH-1'!C661</f>
        <v>0.4 kV</v>
      </c>
      <c r="D120" s="2019">
        <f>'NORTH-1'!D661</f>
        <v>0</v>
      </c>
      <c r="E120" s="2019">
        <f>'NORTH-1'!E661</f>
        <v>5395822</v>
      </c>
      <c r="F120" s="791">
        <f>'NORTH-1'!F661</f>
        <v>1</v>
      </c>
      <c r="G120" s="791">
        <f>'NORTH-1'!G661</f>
        <v>4320805</v>
      </c>
      <c r="H120" s="791">
        <f>'NORTH-1'!H661</f>
        <v>4333296</v>
      </c>
      <c r="I120" s="791">
        <f>'NORTH-1'!I661</f>
        <v>12491</v>
      </c>
      <c r="J120" s="791">
        <f>'NORTH-1'!J661</f>
        <v>1</v>
      </c>
      <c r="K120" s="791">
        <f>'NORTH-1'!K661</f>
        <v>0</v>
      </c>
      <c r="L120" s="791">
        <f>'NORTH-1'!L661</f>
        <v>12491</v>
      </c>
      <c r="M120" s="791">
        <f>'NORTH-1'!M661</f>
        <v>0</v>
      </c>
      <c r="N120" s="2019" t="str">
        <f>'NORTH-1'!N661</f>
        <v>Lalbag</v>
      </c>
      <c r="O120" s="2019" t="str">
        <f>Sheet2!$C$24</f>
        <v>Lalbagh old 33/11KV S/S</v>
      </c>
    </row>
    <row r="121" spans="1:15" x14ac:dyDescent="0.35">
      <c r="A121" s="2019">
        <f>'NORTH-1'!A723</f>
        <v>7</v>
      </c>
      <c r="B121" s="2019" t="str">
        <f>'NORTH-1'!B723</f>
        <v>Spare</v>
      </c>
      <c r="C121" s="2019" t="str">
        <f>'NORTH-1'!C723</f>
        <v>11 kV</v>
      </c>
      <c r="D121" s="2019">
        <f>'NORTH-1'!D723</f>
        <v>0</v>
      </c>
      <c r="E121" s="2019" t="str">
        <f>'NORTH-1'!E723</f>
        <v>DHK-66483</v>
      </c>
      <c r="F121" s="791">
        <f>'NORTH-1'!F723</f>
        <v>1</v>
      </c>
      <c r="G121" s="791">
        <f>'NORTH-1'!G723</f>
        <v>0</v>
      </c>
      <c r="H121" s="791">
        <f>'NORTH-1'!H723</f>
        <v>0</v>
      </c>
      <c r="I121" s="791">
        <f>'NORTH-1'!I723</f>
        <v>0</v>
      </c>
      <c r="J121" s="791">
        <f>'NORTH-1'!J723</f>
        <v>60000</v>
      </c>
      <c r="K121" s="791">
        <f>'NORTH-1'!K723</f>
        <v>0</v>
      </c>
      <c r="L121" s="791">
        <f>'NORTH-1'!L723</f>
        <v>0</v>
      </c>
      <c r="M121" s="791">
        <f>'NORTH-1'!M723</f>
        <v>0</v>
      </c>
      <c r="N121" s="2019">
        <f>'NORTH-1'!N723</f>
        <v>0</v>
      </c>
      <c r="O121" s="2019" t="str">
        <f>Sheet2!$C$76</f>
        <v>Mitford 33/11 kV</v>
      </c>
    </row>
    <row r="122" spans="1:15" x14ac:dyDescent="0.35">
      <c r="A122" s="2019">
        <f>'NORTH-1'!A724</f>
        <v>8</v>
      </c>
      <c r="B122" s="2019" t="str">
        <f>'NORTH-1'!B724</f>
        <v>Spare</v>
      </c>
      <c r="C122" s="2019" t="str">
        <f>'NORTH-1'!C724</f>
        <v>11 kV</v>
      </c>
      <c r="D122" s="2019">
        <f>'NORTH-1'!D724</f>
        <v>0</v>
      </c>
      <c r="E122" s="2019" t="str">
        <f>'NORTH-1'!E724</f>
        <v>DHK-66478</v>
      </c>
      <c r="F122" s="791">
        <f>'NORTH-1'!F724</f>
        <v>1</v>
      </c>
      <c r="G122" s="791">
        <f>'NORTH-1'!G724</f>
        <v>0</v>
      </c>
      <c r="H122" s="791">
        <f>'NORTH-1'!H724</f>
        <v>0</v>
      </c>
      <c r="I122" s="791">
        <f>'NORTH-1'!I724</f>
        <v>0</v>
      </c>
      <c r="J122" s="791">
        <f>'NORTH-1'!J724</f>
        <v>60000</v>
      </c>
      <c r="K122" s="791">
        <f>'NORTH-1'!K724</f>
        <v>0</v>
      </c>
      <c r="L122" s="791">
        <f>'NORTH-1'!L724</f>
        <v>0</v>
      </c>
      <c r="M122" s="791">
        <f>'NORTH-1'!M724</f>
        <v>0</v>
      </c>
      <c r="N122" s="2019">
        <f>'NORTH-1'!N724</f>
        <v>0</v>
      </c>
      <c r="O122" s="2019" t="str">
        <f>Sheet2!$C$76</f>
        <v>Mitford 33/11 kV</v>
      </c>
    </row>
    <row r="123" spans="1:15" x14ac:dyDescent="0.35">
      <c r="A123" s="2019">
        <f>'NORTH-1'!A725</f>
        <v>9</v>
      </c>
      <c r="B123" s="2019" t="str">
        <f>'NORTH-1'!B725</f>
        <v>Chawk Bazar</v>
      </c>
      <c r="C123" s="2019" t="str">
        <f>'NORTH-1'!C725</f>
        <v>11 kV</v>
      </c>
      <c r="D123" s="2019">
        <f>'NORTH-1'!D725</f>
        <v>0</v>
      </c>
      <c r="E123" s="2019" t="str">
        <f>'NORTH-1'!E725</f>
        <v>DHK-60904</v>
      </c>
      <c r="F123" s="791">
        <f>'NORTH-1'!F725</f>
        <v>1</v>
      </c>
      <c r="G123" s="791">
        <f>'NORTH-1'!G725</f>
        <v>926277.3</v>
      </c>
      <c r="H123" s="791">
        <f>'NORTH-1'!H725</f>
        <v>926277.3</v>
      </c>
      <c r="I123" s="791">
        <f>'NORTH-1'!I725</f>
        <v>0</v>
      </c>
      <c r="J123" s="791">
        <f>'NORTH-1'!J725</f>
        <v>60</v>
      </c>
      <c r="K123" s="791">
        <f>'NORTH-1'!K725</f>
        <v>0</v>
      </c>
      <c r="L123" s="791">
        <f>'NORTH-1'!L725</f>
        <v>0</v>
      </c>
      <c r="M123" s="791">
        <f>'NORTH-1'!M725</f>
        <v>0</v>
      </c>
      <c r="N123" s="2019" t="str">
        <f>'NORTH-1'!N725</f>
        <v>Lalbag</v>
      </c>
      <c r="O123" s="2019" t="str">
        <f>Sheet2!$C$76</f>
        <v>Mitford 33/11 kV</v>
      </c>
    </row>
    <row r="124" spans="1:15" x14ac:dyDescent="0.35">
      <c r="A124" s="2019">
        <f>'NORTH-1'!A726</f>
        <v>10</v>
      </c>
      <c r="B124" s="2019" t="str">
        <f>'NORTH-1'!B726</f>
        <v>Spare</v>
      </c>
      <c r="C124" s="2019" t="str">
        <f>'NORTH-1'!C726</f>
        <v>11 kV</v>
      </c>
      <c r="D124" s="2019">
        <f>'NORTH-1'!D726</f>
        <v>0</v>
      </c>
      <c r="E124" s="2019" t="str">
        <f>'NORTH-1'!E726</f>
        <v>DHK-66482</v>
      </c>
      <c r="F124" s="791">
        <f>'NORTH-1'!F726</f>
        <v>1</v>
      </c>
      <c r="G124" s="791">
        <f>'NORTH-1'!G726</f>
        <v>0</v>
      </c>
      <c r="H124" s="791">
        <f>'NORTH-1'!H726</f>
        <v>0</v>
      </c>
      <c r="I124" s="791">
        <f>'NORTH-1'!I726</f>
        <v>0</v>
      </c>
      <c r="J124" s="791">
        <f>'NORTH-1'!J726</f>
        <v>0</v>
      </c>
      <c r="K124" s="791">
        <f>'NORTH-1'!K726</f>
        <v>0</v>
      </c>
      <c r="L124" s="791">
        <f>'NORTH-1'!L726</f>
        <v>0</v>
      </c>
      <c r="M124" s="791">
        <f>'NORTH-1'!M726</f>
        <v>0</v>
      </c>
      <c r="N124" s="2019">
        <f>'NORTH-1'!N726</f>
        <v>0</v>
      </c>
      <c r="O124" s="2019" t="str">
        <f>Sheet2!$C$76</f>
        <v>Mitford 33/11 kV</v>
      </c>
    </row>
    <row r="125" spans="1:15" x14ac:dyDescent="0.35">
      <c r="A125" s="2019">
        <f>'NORTH-1'!A727</f>
        <v>11</v>
      </c>
      <c r="B125" s="2019" t="str">
        <f>'NORTH-1'!B727</f>
        <v>Chatrabas</v>
      </c>
      <c r="C125" s="2019" t="str">
        <f>'NORTH-1'!C727</f>
        <v>11 kV</v>
      </c>
      <c r="D125" s="2019">
        <f>'NORTH-1'!D727</f>
        <v>0</v>
      </c>
      <c r="E125" s="2019" t="str">
        <f>'NORTH-1'!E727</f>
        <v>DHK-66485</v>
      </c>
      <c r="F125" s="791">
        <f>'NORTH-1'!F727</f>
        <v>1</v>
      </c>
      <c r="G125" s="791">
        <f>'NORTH-1'!G727</f>
        <v>756321</v>
      </c>
      <c r="H125" s="791">
        <f>'NORTH-1'!H727</f>
        <v>760039</v>
      </c>
      <c r="I125" s="791">
        <f>'NORTH-1'!I727</f>
        <v>3718</v>
      </c>
      <c r="J125" s="791">
        <f>'NORTH-1'!J727</f>
        <v>60</v>
      </c>
      <c r="K125" s="791">
        <f>'NORTH-1'!K727</f>
        <v>0</v>
      </c>
      <c r="L125" s="791">
        <f>'NORTH-1'!L727</f>
        <v>223080</v>
      </c>
      <c r="M125" s="791">
        <f>'NORTH-1'!M727</f>
        <v>0</v>
      </c>
      <c r="N125" s="2019" t="str">
        <f>'NORTH-1'!N727</f>
        <v>Bangshal</v>
      </c>
      <c r="O125" s="2019" t="str">
        <f>Sheet2!$C$76</f>
        <v>Mitford 33/11 kV</v>
      </c>
    </row>
    <row r="126" spans="1:15" x14ac:dyDescent="0.35">
      <c r="A126" s="2019">
        <f>'NORTH-1'!A728</f>
        <v>12</v>
      </c>
      <c r="B126" s="2019" t="str">
        <f>'NORTH-1'!B728</f>
        <v>Begum Bazar</v>
      </c>
      <c r="C126" s="2019" t="str">
        <f>'NORTH-1'!C728</f>
        <v>11 kV</v>
      </c>
      <c r="D126" s="2019">
        <f>'NORTH-1'!D728</f>
        <v>0</v>
      </c>
      <c r="E126" s="2019" t="str">
        <f>'NORTH-1'!E728</f>
        <v>DHK-66481</v>
      </c>
      <c r="F126" s="791">
        <f>'NORTH-1'!F728</f>
        <v>1</v>
      </c>
      <c r="G126" s="791">
        <f>'NORTH-1'!G728</f>
        <v>3410121</v>
      </c>
      <c r="H126" s="791">
        <f>'NORTH-1'!H728</f>
        <v>3434374</v>
      </c>
      <c r="I126" s="791">
        <f>'NORTH-1'!I728</f>
        <v>24253</v>
      </c>
      <c r="J126" s="791">
        <f>'NORTH-1'!J728</f>
        <v>60</v>
      </c>
      <c r="K126" s="791">
        <f>'NORTH-1'!K728</f>
        <v>0</v>
      </c>
      <c r="L126" s="791">
        <f>'NORTH-1'!L728</f>
        <v>1455180</v>
      </c>
      <c r="M126" s="791">
        <f>'NORTH-1'!M728</f>
        <v>0</v>
      </c>
      <c r="N126" s="2019" t="str">
        <f>'NORTH-1'!N728</f>
        <v>Bangshal</v>
      </c>
      <c r="O126" s="2019" t="str">
        <f>Sheet2!$C$76</f>
        <v>Mitford 33/11 kV</v>
      </c>
    </row>
    <row r="127" spans="1:15" x14ac:dyDescent="0.35">
      <c r="A127" s="2019">
        <f>'NORTH-1'!A729</f>
        <v>13</v>
      </c>
      <c r="B127" s="2019" t="str">
        <f>'NORTH-1'!B729</f>
        <v>SCC ROAD</v>
      </c>
      <c r="C127" s="2019" t="str">
        <f>'NORTH-1'!C729</f>
        <v>11 kV</v>
      </c>
      <c r="D127" s="2019">
        <f>'NORTH-1'!D729</f>
        <v>0</v>
      </c>
      <c r="E127" s="2019" t="str">
        <f>'NORTH-1'!E729</f>
        <v>DHK-60901</v>
      </c>
      <c r="F127" s="791">
        <f>'NORTH-1'!F729</f>
        <v>1</v>
      </c>
      <c r="G127" s="791">
        <f>'NORTH-1'!G729</f>
        <v>887880.8</v>
      </c>
      <c r="H127" s="791">
        <f>'NORTH-1'!H729</f>
        <v>908158.5</v>
      </c>
      <c r="I127" s="791">
        <f>'NORTH-1'!I729</f>
        <v>20277.699999999953</v>
      </c>
      <c r="J127" s="791">
        <f>'NORTH-1'!J729</f>
        <v>60</v>
      </c>
      <c r="K127" s="791">
        <f>'NORTH-1'!K729</f>
        <v>0</v>
      </c>
      <c r="L127" s="791">
        <f>'NORTH-1'!L729</f>
        <v>1216661.9999999972</v>
      </c>
      <c r="M127" s="791">
        <f>'NORTH-1'!M729</f>
        <v>0</v>
      </c>
      <c r="N127" s="2019" t="str">
        <f>'NORTH-1'!N729</f>
        <v>Bangshal</v>
      </c>
      <c r="O127" s="2019" t="str">
        <f>Sheet2!$C$76</f>
        <v>Mitford 33/11 kV</v>
      </c>
    </row>
    <row r="128" spans="1:15" x14ac:dyDescent="0.35">
      <c r="A128" s="2019">
        <f>'NORTH-1'!A730</f>
        <v>16</v>
      </c>
      <c r="B128" s="2019" t="str">
        <f>'NORTH-1'!B730</f>
        <v>Spare</v>
      </c>
      <c r="C128" s="2019" t="str">
        <f>'NORTH-1'!C730</f>
        <v>11 kV</v>
      </c>
      <c r="D128" s="2019">
        <f>'NORTH-1'!D730</f>
        <v>0</v>
      </c>
      <c r="E128" s="2019" t="str">
        <f>'NORTH-1'!E730</f>
        <v>DHK-66483</v>
      </c>
      <c r="F128" s="791">
        <f>'NORTH-1'!F730</f>
        <v>1</v>
      </c>
      <c r="G128" s="791">
        <f>'NORTH-1'!G730</f>
        <v>0</v>
      </c>
      <c r="H128" s="791">
        <f>'NORTH-1'!H730</f>
        <v>0</v>
      </c>
      <c r="I128" s="791">
        <f>'NORTH-1'!I730</f>
        <v>0</v>
      </c>
      <c r="J128" s="791">
        <f>'NORTH-1'!J730</f>
        <v>0</v>
      </c>
      <c r="K128" s="791">
        <f>'NORTH-1'!K730</f>
        <v>0</v>
      </c>
      <c r="L128" s="791">
        <f>'NORTH-1'!L730</f>
        <v>0</v>
      </c>
      <c r="M128" s="791">
        <f>'NORTH-1'!M730</f>
        <v>0</v>
      </c>
      <c r="N128" s="2019">
        <f>'NORTH-1'!N730</f>
        <v>0</v>
      </c>
      <c r="O128" s="2019" t="str">
        <f>Sheet2!$C$76</f>
        <v>Mitford 33/11 kV</v>
      </c>
    </row>
    <row r="129" spans="1:15" x14ac:dyDescent="0.35">
      <c r="A129" s="2019">
        <f>'NORTH-1'!A731</f>
        <v>17</v>
      </c>
      <c r="B129" s="2019" t="str">
        <f>'NORTH-1'!B731</f>
        <v>Armanitola</v>
      </c>
      <c r="C129" s="2019" t="str">
        <f>'NORTH-1'!C731</f>
        <v>11 kV</v>
      </c>
      <c r="D129" s="2019">
        <f>'NORTH-1'!D731</f>
        <v>0</v>
      </c>
      <c r="E129" s="2019" t="str">
        <f>'NORTH-1'!E731</f>
        <v>DHK-61104</v>
      </c>
      <c r="F129" s="791">
        <f>'NORTH-1'!F731</f>
        <v>1</v>
      </c>
      <c r="G129" s="791">
        <f>'NORTH-1'!G731</f>
        <v>584063.19999999995</v>
      </c>
      <c r="H129" s="791">
        <f>'NORTH-1'!H731</f>
        <v>592778.4</v>
      </c>
      <c r="I129" s="791">
        <f>'NORTH-1'!I731</f>
        <v>8715.2000000000698</v>
      </c>
      <c r="J129" s="791">
        <f>'NORTH-1'!J731</f>
        <v>60</v>
      </c>
      <c r="K129" s="791">
        <f>'NORTH-1'!K731</f>
        <v>0</v>
      </c>
      <c r="L129" s="791">
        <f>'NORTH-1'!L731</f>
        <v>522912.00000000419</v>
      </c>
      <c r="M129" s="791">
        <f>'NORTH-1'!M731</f>
        <v>0</v>
      </c>
      <c r="N129" s="2019" t="str">
        <f>'NORTH-1'!N731</f>
        <v>Bangshal</v>
      </c>
      <c r="O129" s="2019" t="str">
        <f>Sheet2!$C$76</f>
        <v>Mitford 33/11 kV</v>
      </c>
    </row>
    <row r="130" spans="1:15" x14ac:dyDescent="0.35">
      <c r="A130" s="2019">
        <f>'NORTH-1'!A732</f>
        <v>18</v>
      </c>
      <c r="B130" s="2019" t="str">
        <f>'NORTH-1'!B732</f>
        <v>Mitford Hospital (RMU)</v>
      </c>
      <c r="C130" s="2019" t="str">
        <f>'NORTH-1'!C732</f>
        <v>11 kV</v>
      </c>
      <c r="D130" s="2019">
        <f>'NORTH-1'!D732</f>
        <v>0</v>
      </c>
      <c r="E130" s="2019" t="str">
        <f>'NORTH-1'!E732</f>
        <v>DHK-61101</v>
      </c>
      <c r="F130" s="791">
        <f>'NORTH-1'!F732</f>
        <v>1</v>
      </c>
      <c r="G130" s="791">
        <f>'NORTH-1'!G732</f>
        <v>345474.3</v>
      </c>
      <c r="H130" s="791">
        <f>'NORTH-1'!H732</f>
        <v>345474.3</v>
      </c>
      <c r="I130" s="791">
        <f>'NORTH-1'!I732</f>
        <v>0</v>
      </c>
      <c r="J130" s="791">
        <f>'NORTH-1'!J732</f>
        <v>60</v>
      </c>
      <c r="K130" s="791">
        <f>'NORTH-1'!K732</f>
        <v>0</v>
      </c>
      <c r="L130" s="791">
        <f>'NORTH-1'!L732</f>
        <v>0</v>
      </c>
      <c r="M130" s="791">
        <f>'NORTH-1'!M732</f>
        <v>0</v>
      </c>
      <c r="N130" s="2019" t="str">
        <f>'NORTH-1'!N732</f>
        <v>Bangshal</v>
      </c>
      <c r="O130" s="2019" t="str">
        <f>Sheet2!$C$76</f>
        <v>Mitford 33/11 kV</v>
      </c>
    </row>
    <row r="131" spans="1:15" x14ac:dyDescent="0.35">
      <c r="A131" s="2019">
        <f>'NORTH-1'!A733</f>
        <v>19</v>
      </c>
      <c r="B131" s="2019" t="str">
        <f>'NORTH-1'!B733</f>
        <v>Emamganj</v>
      </c>
      <c r="C131" s="2019" t="str">
        <f>'NORTH-1'!C733</f>
        <v>11 kV</v>
      </c>
      <c r="D131" s="2019">
        <f>'NORTH-1'!D733</f>
        <v>0</v>
      </c>
      <c r="E131" s="2019" t="str">
        <f>'NORTH-1'!E733</f>
        <v>DHK-68130</v>
      </c>
      <c r="F131" s="791">
        <f>'NORTH-1'!F733</f>
        <v>1</v>
      </c>
      <c r="G131" s="791">
        <f>'NORTH-1'!G733</f>
        <v>1350.13</v>
      </c>
      <c r="H131" s="791">
        <f>'NORTH-1'!H733</f>
        <v>1362.07</v>
      </c>
      <c r="I131" s="791">
        <f>'NORTH-1'!I733</f>
        <v>11.939999999999827</v>
      </c>
      <c r="J131" s="791">
        <f>'NORTH-1'!J733</f>
        <v>60000</v>
      </c>
      <c r="K131" s="791">
        <f>'NORTH-1'!K733</f>
        <v>0</v>
      </c>
      <c r="L131" s="791">
        <f>'NORTH-1'!L733</f>
        <v>716399.99999998964</v>
      </c>
      <c r="M131" s="791">
        <f>'NORTH-1'!M733</f>
        <v>0</v>
      </c>
      <c r="N131" s="2019" t="str">
        <f>'NORTH-1'!N733</f>
        <v>Bangshal</v>
      </c>
      <c r="O131" s="2019" t="str">
        <f>Sheet2!$C$76</f>
        <v>Mitford 33/11 kV</v>
      </c>
    </row>
    <row r="132" spans="1:15" x14ac:dyDescent="0.35">
      <c r="A132" s="2019">
        <f>'NORTH-1'!A734</f>
        <v>20</v>
      </c>
      <c r="B132" s="2019" t="str">
        <f>'NORTH-1'!B734</f>
        <v>Kamal Dho Road</v>
      </c>
      <c r="C132" s="2019" t="str">
        <f>'NORTH-1'!C734</f>
        <v>11 kV</v>
      </c>
      <c r="D132" s="2019">
        <f>'NORTH-1'!D734</f>
        <v>0</v>
      </c>
      <c r="E132" s="2019" t="str">
        <f>'NORTH-1'!E734</f>
        <v>DHK-68129</v>
      </c>
      <c r="F132" s="791">
        <f>'NORTH-1'!F734</f>
        <v>1</v>
      </c>
      <c r="G132" s="791">
        <f>'NORTH-1'!G734</f>
        <v>1170.03</v>
      </c>
      <c r="H132" s="791">
        <f>'NORTH-1'!H734</f>
        <v>1170.03</v>
      </c>
      <c r="I132" s="791">
        <f>'NORTH-1'!I734</f>
        <v>0</v>
      </c>
      <c r="J132" s="791">
        <f>'NORTH-1'!J734</f>
        <v>60000</v>
      </c>
      <c r="K132" s="791">
        <f>'NORTH-1'!K734</f>
        <v>0</v>
      </c>
      <c r="L132" s="791">
        <f>'NORTH-1'!L734</f>
        <v>0</v>
      </c>
      <c r="M132" s="791">
        <f>'NORTH-1'!M734</f>
        <v>0</v>
      </c>
      <c r="N132" s="2019" t="str">
        <f>'NORTH-1'!N734</f>
        <v>Lalbag</v>
      </c>
      <c r="O132" s="2019" t="str">
        <f>Sheet2!$C$76</f>
        <v>Mitford 33/11 kV</v>
      </c>
    </row>
    <row r="133" spans="1:15" x14ac:dyDescent="0.35">
      <c r="A133" s="2019">
        <f>'NORTH-1'!A735</f>
        <v>21</v>
      </c>
      <c r="B133" s="2019" t="str">
        <f>'NORTH-1'!B735</f>
        <v>Spare</v>
      </c>
      <c r="C133" s="2019" t="str">
        <f>'NORTH-1'!C735</f>
        <v>11 kV</v>
      </c>
      <c r="D133" s="2019">
        <f>'NORTH-1'!D735</f>
        <v>0</v>
      </c>
      <c r="E133" s="2019" t="str">
        <f>'NORTH-1'!E735</f>
        <v>DHK-68128</v>
      </c>
      <c r="F133" s="791">
        <f>'NORTH-1'!F735</f>
        <v>1</v>
      </c>
      <c r="G133" s="791">
        <f>'NORTH-1'!G735</f>
        <v>0</v>
      </c>
      <c r="H133" s="791">
        <f>'NORTH-1'!H735</f>
        <v>0</v>
      </c>
      <c r="I133" s="791">
        <f>'NORTH-1'!I735</f>
        <v>0</v>
      </c>
      <c r="J133" s="791">
        <f>'NORTH-1'!J735</f>
        <v>0</v>
      </c>
      <c r="K133" s="791">
        <f>'NORTH-1'!K735</f>
        <v>0</v>
      </c>
      <c r="L133" s="791">
        <f>'NORTH-1'!L735</f>
        <v>0</v>
      </c>
      <c r="M133" s="791">
        <f>'NORTH-1'!M735</f>
        <v>0</v>
      </c>
      <c r="N133" s="2019">
        <f>'NORTH-1'!N735</f>
        <v>0</v>
      </c>
      <c r="O133" s="2019" t="str">
        <f>Sheet2!$C$76</f>
        <v>Mitford 33/11 kV</v>
      </c>
    </row>
    <row r="134" spans="1:15" x14ac:dyDescent="0.35">
      <c r="A134" s="2019">
        <f>'NORTH-1'!A736</f>
        <v>22</v>
      </c>
      <c r="B134" s="2019" t="str">
        <f>'NORTH-1'!B736</f>
        <v>Panghat</v>
      </c>
      <c r="C134" s="2019" t="str">
        <f>'NORTH-1'!C736</f>
        <v>11 kV</v>
      </c>
      <c r="D134" s="2019">
        <f>'NORTH-1'!D736</f>
        <v>0</v>
      </c>
      <c r="E134" s="2019" t="str">
        <f>'NORTH-1'!E736</f>
        <v>DHK-68127</v>
      </c>
      <c r="F134" s="791">
        <f>'NORTH-1'!F736</f>
        <v>1</v>
      </c>
      <c r="G134" s="791">
        <f>'NORTH-1'!G736</f>
        <v>1362.1</v>
      </c>
      <c r="H134" s="791">
        <f>'NORTH-1'!H736</f>
        <v>1379.48</v>
      </c>
      <c r="I134" s="791">
        <f>'NORTH-1'!I736</f>
        <v>17.380000000000109</v>
      </c>
      <c r="J134" s="791">
        <f>'NORTH-1'!J736</f>
        <v>60000</v>
      </c>
      <c r="K134" s="791">
        <f>'NORTH-1'!K736</f>
        <v>0</v>
      </c>
      <c r="L134" s="791">
        <f>'NORTH-1'!L736</f>
        <v>1042800.0000000065</v>
      </c>
      <c r="M134" s="791">
        <f>'NORTH-1'!M736</f>
        <v>0</v>
      </c>
      <c r="N134" s="2019" t="str">
        <f>'NORTH-1'!N736</f>
        <v>Bangshal</v>
      </c>
      <c r="O134" s="2019" t="str">
        <f>Sheet2!$C$76</f>
        <v>Mitford 33/11 kV</v>
      </c>
    </row>
    <row r="135" spans="1:15" x14ac:dyDescent="0.35">
      <c r="A135" s="2019">
        <f>'NORTH-1'!A737</f>
        <v>23</v>
      </c>
      <c r="B135" s="2019" t="str">
        <f>'NORTH-1'!B737</f>
        <v>11/0.4 kV Auxiliary Transformer</v>
      </c>
      <c r="C135" s="2019" t="str">
        <f>'NORTH-1'!C737</f>
        <v>0.4 kV</v>
      </c>
      <c r="D135" s="2019">
        <f>'NORTH-1'!D737</f>
        <v>0</v>
      </c>
      <c r="E135" s="2019" t="str">
        <f>'NORTH-1'!E737</f>
        <v>U0004460</v>
      </c>
      <c r="F135" s="791">
        <f>'NORTH-1'!F737</f>
        <v>1</v>
      </c>
      <c r="G135" s="791">
        <f>'NORTH-1'!G737</f>
        <v>5246.95</v>
      </c>
      <c r="H135" s="791">
        <f>'NORTH-1'!H737</f>
        <v>5289.31</v>
      </c>
      <c r="I135" s="791">
        <f>'NORTH-1'!I737</f>
        <v>42.360000000000582</v>
      </c>
      <c r="J135" s="791">
        <f>'NORTH-1'!J737</f>
        <v>100</v>
      </c>
      <c r="K135" s="791">
        <f>'NORTH-1'!K737</f>
        <v>0</v>
      </c>
      <c r="L135" s="791">
        <f>'NORTH-1'!L737</f>
        <v>4236.0000000000582</v>
      </c>
      <c r="M135" s="791">
        <f>'NORTH-1'!M737</f>
        <v>0</v>
      </c>
      <c r="N135" s="2019" t="str">
        <f>'NORTH-1'!N737</f>
        <v>Bangshal</v>
      </c>
      <c r="O135" s="2019" t="str">
        <f>Sheet2!$C$76</f>
        <v>Mitford 33/11 kV</v>
      </c>
    </row>
    <row r="136" spans="1:15" x14ac:dyDescent="0.35">
      <c r="A136" s="2019">
        <f>'NORTH-1'!A801</f>
        <v>7</v>
      </c>
      <c r="B136" s="2019" t="str">
        <f>'NORTH-1'!B801</f>
        <v>Chadni chwok</v>
      </c>
      <c r="C136" s="2019" t="str">
        <f>'NORTH-1'!C801</f>
        <v>11 kV</v>
      </c>
      <c r="D136" s="2019">
        <f>'NORTH-1'!D801</f>
        <v>0</v>
      </c>
      <c r="E136" s="2019" t="str">
        <f>'NORTH-1'!E801</f>
        <v>DHK60916</v>
      </c>
      <c r="F136" s="791">
        <f>'NORTH-1'!F801</f>
        <v>1</v>
      </c>
      <c r="G136" s="791">
        <f>'NORTH-1'!G801</f>
        <v>323065</v>
      </c>
      <c r="H136" s="791">
        <f>'NORTH-1'!H801</f>
        <v>331303</v>
      </c>
      <c r="I136" s="791">
        <f>'NORTH-1'!I801</f>
        <v>8238</v>
      </c>
      <c r="J136" s="791">
        <f>'NORTH-1'!J801</f>
        <v>60</v>
      </c>
      <c r="K136" s="791">
        <f>'NORTH-1'!K801</f>
        <v>0</v>
      </c>
      <c r="L136" s="791">
        <f>'NORTH-1'!L801</f>
        <v>494280</v>
      </c>
      <c r="M136" s="791">
        <f>'NORTH-1'!M801</f>
        <v>0</v>
      </c>
      <c r="N136" s="2019" t="str">
        <f>'NORTH-1'!N801</f>
        <v>Paribag</v>
      </c>
      <c r="O136" s="2019" t="str">
        <f>Sheet2!$C$27</f>
        <v>Azimpur 33/11 KV</v>
      </c>
    </row>
    <row r="137" spans="1:15" x14ac:dyDescent="0.35">
      <c r="A137" s="2019">
        <f>'NORTH-1'!A802</f>
        <v>8</v>
      </c>
      <c r="B137" s="2019" t="str">
        <f>'NORTH-1'!B802</f>
        <v>BGB</v>
      </c>
      <c r="C137" s="2019" t="str">
        <f>'NORTH-1'!C802</f>
        <v>11 kV</v>
      </c>
      <c r="D137" s="2019">
        <f>'NORTH-1'!D802</f>
        <v>0</v>
      </c>
      <c r="E137" s="2019" t="str">
        <f>'NORTH-1'!E802</f>
        <v>DHK61090</v>
      </c>
      <c r="F137" s="791">
        <f>'NORTH-1'!F802</f>
        <v>1</v>
      </c>
      <c r="G137" s="791">
        <f>'NORTH-1'!G802</f>
        <v>643633</v>
      </c>
      <c r="H137" s="791">
        <f>'NORTH-1'!H802</f>
        <v>645335</v>
      </c>
      <c r="I137" s="791">
        <f>'NORTH-1'!I802</f>
        <v>1702</v>
      </c>
      <c r="J137" s="791">
        <f>'NORTH-1'!J802</f>
        <v>60</v>
      </c>
      <c r="K137" s="791">
        <f>'NORTH-1'!K802</f>
        <v>0</v>
      </c>
      <c r="L137" s="791">
        <f>'NORTH-1'!L802</f>
        <v>102120</v>
      </c>
      <c r="M137" s="791">
        <f>'NORTH-1'!M802</f>
        <v>0</v>
      </c>
      <c r="N137" s="2019" t="str">
        <f>'NORTH-1'!N802</f>
        <v>Jigatola</v>
      </c>
      <c r="O137" s="2019" t="str">
        <f>Sheet2!$C$27</f>
        <v>Azimpur 33/11 KV</v>
      </c>
    </row>
    <row r="138" spans="1:15" x14ac:dyDescent="0.35">
      <c r="A138" s="2019">
        <f>'NORTH-1'!A803</f>
        <v>9</v>
      </c>
      <c r="B138" s="2019" t="str">
        <f>'NORTH-1'!B803</f>
        <v>Pari Bibi Mazar</v>
      </c>
      <c r="C138" s="2019" t="str">
        <f>'NORTH-1'!C803</f>
        <v>11 kV</v>
      </c>
      <c r="D138" s="2019">
        <f>'NORTH-1'!D803</f>
        <v>0</v>
      </c>
      <c r="E138" s="2019" t="str">
        <f>'NORTH-1'!E803</f>
        <v>DHK61091</v>
      </c>
      <c r="F138" s="791">
        <f>'NORTH-1'!F803</f>
        <v>1</v>
      </c>
      <c r="G138" s="791">
        <f>'NORTH-1'!G803</f>
        <v>539083</v>
      </c>
      <c r="H138" s="791">
        <f>'NORTH-1'!H803</f>
        <v>559817</v>
      </c>
      <c r="I138" s="791">
        <f>'NORTH-1'!I803</f>
        <v>20734</v>
      </c>
      <c r="J138" s="791">
        <f>'NORTH-1'!J803</f>
        <v>60</v>
      </c>
      <c r="K138" s="791">
        <f>'NORTH-1'!K803</f>
        <v>0</v>
      </c>
      <c r="L138" s="791">
        <f>'NORTH-1'!L803</f>
        <v>1244040</v>
      </c>
      <c r="M138" s="791">
        <f>'NORTH-1'!M803</f>
        <v>0</v>
      </c>
      <c r="N138" s="2019" t="str">
        <f>'NORTH-1'!N803</f>
        <v>Azimpur</v>
      </c>
      <c r="O138" s="2019" t="str">
        <f>Sheet2!$C$27</f>
        <v>Azimpur 33/11 KV</v>
      </c>
    </row>
    <row r="139" spans="1:15" x14ac:dyDescent="0.35">
      <c r="A139" s="2019">
        <f>'NORTH-1'!A804</f>
        <v>10</v>
      </c>
      <c r="B139" s="2019" t="str">
        <f>'NORTH-1'!B804</f>
        <v>Azimpur</v>
      </c>
      <c r="C139" s="2019" t="str">
        <f>'NORTH-1'!C804</f>
        <v>11 kV</v>
      </c>
      <c r="D139" s="2019">
        <f>'NORTH-1'!D804</f>
        <v>0</v>
      </c>
      <c r="E139" s="2019" t="str">
        <f>'NORTH-1'!E804</f>
        <v>DHK61086</v>
      </c>
      <c r="F139" s="791">
        <f>'NORTH-1'!F804</f>
        <v>1</v>
      </c>
      <c r="G139" s="791">
        <f>'NORTH-1'!G804</f>
        <v>183662</v>
      </c>
      <c r="H139" s="791">
        <f>'NORTH-1'!H804</f>
        <v>194712</v>
      </c>
      <c r="I139" s="791">
        <f>'NORTH-1'!I804</f>
        <v>11050</v>
      </c>
      <c r="J139" s="791">
        <f>'NORTH-1'!J804</f>
        <v>60</v>
      </c>
      <c r="K139" s="791">
        <f>'NORTH-1'!K804</f>
        <v>0</v>
      </c>
      <c r="L139" s="791">
        <f>'NORTH-1'!L804</f>
        <v>663000</v>
      </c>
      <c r="M139" s="791">
        <f>'NORTH-1'!M804</f>
        <v>0</v>
      </c>
      <c r="N139" s="2019" t="str">
        <f>'NORTH-1'!N804</f>
        <v>Azimpur</v>
      </c>
      <c r="O139" s="2019" t="str">
        <f>Sheet2!$C$27</f>
        <v>Azimpur 33/11 KV</v>
      </c>
    </row>
    <row r="140" spans="1:15" x14ac:dyDescent="0.35">
      <c r="A140" s="2019">
        <f>'NORTH-1'!A805</f>
        <v>11</v>
      </c>
      <c r="B140" s="2019" t="str">
        <f>'NORTH-1'!B805</f>
        <v>Aazd</v>
      </c>
      <c r="C140" s="2019" t="str">
        <f>'NORTH-1'!C805</f>
        <v>11 kV</v>
      </c>
      <c r="D140" s="2019">
        <f>'NORTH-1'!D805</f>
        <v>0</v>
      </c>
      <c r="E140" s="2019" t="str">
        <f>'NORTH-1'!E805</f>
        <v>DHK61089</v>
      </c>
      <c r="F140" s="791">
        <f>'NORTH-1'!F805</f>
        <v>1</v>
      </c>
      <c r="G140" s="791">
        <f>'NORTH-1'!G805</f>
        <v>847504</v>
      </c>
      <c r="H140" s="791">
        <f>'NORTH-1'!H805</f>
        <v>860380</v>
      </c>
      <c r="I140" s="791">
        <f>'NORTH-1'!I805</f>
        <v>12876</v>
      </c>
      <c r="J140" s="791">
        <f>'NORTH-1'!J805</f>
        <v>60</v>
      </c>
      <c r="K140" s="791">
        <f>'NORTH-1'!K805</f>
        <v>0</v>
      </c>
      <c r="L140" s="791">
        <f>'NORTH-1'!L805</f>
        <v>772560</v>
      </c>
      <c r="M140" s="791">
        <f>'NORTH-1'!M805</f>
        <v>0</v>
      </c>
      <c r="N140" s="2019" t="str">
        <f>'NORTH-1'!N805</f>
        <v>Azimpur</v>
      </c>
      <c r="O140" s="2019" t="str">
        <f>Sheet2!$C$27</f>
        <v>Azimpur 33/11 KV</v>
      </c>
    </row>
    <row r="141" spans="1:15" x14ac:dyDescent="0.35">
      <c r="A141" s="2019">
        <f>'NORTH-1'!A806</f>
        <v>12</v>
      </c>
      <c r="B141" s="2019" t="str">
        <f>'NORTH-1'!B806</f>
        <v>Dayra Sharif</v>
      </c>
      <c r="C141" s="2019" t="str">
        <f>'NORTH-1'!C806</f>
        <v>11 kV</v>
      </c>
      <c r="D141" s="2019">
        <f>'NORTH-1'!D806</f>
        <v>0</v>
      </c>
      <c r="E141" s="2019" t="str">
        <f>'NORTH-1'!E806</f>
        <v>DHK61088</v>
      </c>
      <c r="F141" s="791">
        <f>'NORTH-1'!F806</f>
        <v>1</v>
      </c>
      <c r="G141" s="791">
        <f>'NORTH-1'!G806</f>
        <v>408335</v>
      </c>
      <c r="H141" s="791">
        <f>'NORTH-1'!H806</f>
        <v>417772</v>
      </c>
      <c r="I141" s="791">
        <f>'NORTH-1'!I806</f>
        <v>9437</v>
      </c>
      <c r="J141" s="791">
        <f>'NORTH-1'!J806</f>
        <v>60</v>
      </c>
      <c r="K141" s="791">
        <f>'NORTH-1'!K806</f>
        <v>0</v>
      </c>
      <c r="L141" s="791">
        <f>'NORTH-1'!L806</f>
        <v>566220</v>
      </c>
      <c r="M141" s="791">
        <f>'NORTH-1'!M806</f>
        <v>0</v>
      </c>
      <c r="N141" s="2019" t="str">
        <f>'NORTH-1'!N806</f>
        <v>Azimpur</v>
      </c>
      <c r="O141" s="2019" t="str">
        <f>Sheet2!$C$27</f>
        <v>Azimpur 33/11 KV</v>
      </c>
    </row>
    <row r="142" spans="1:15" x14ac:dyDescent="0.35">
      <c r="A142" s="2019">
        <f>'NORTH-1'!A807</f>
        <v>13</v>
      </c>
      <c r="B142" s="2019" t="str">
        <f>'NORTH-1'!B807</f>
        <v>Naya palton</v>
      </c>
      <c r="C142" s="2019" t="str">
        <f>'NORTH-1'!C807</f>
        <v>11 kV</v>
      </c>
      <c r="D142" s="2019">
        <f>'NORTH-1'!D807</f>
        <v>0</v>
      </c>
      <c r="E142" s="2019" t="str">
        <f>'NORTH-1'!E807</f>
        <v>DHK86065</v>
      </c>
      <c r="F142" s="791">
        <f>'NORTH-1'!F807</f>
        <v>1</v>
      </c>
      <c r="G142" s="791">
        <f>'NORTH-1'!G807</f>
        <v>1706.59</v>
      </c>
      <c r="H142" s="791">
        <f>'NORTH-1'!H807</f>
        <v>1726.47</v>
      </c>
      <c r="I142" s="791">
        <f>'NORTH-1'!I807</f>
        <v>19.880000000000109</v>
      </c>
      <c r="J142" s="791">
        <f>'NORTH-1'!J807</f>
        <v>60000</v>
      </c>
      <c r="K142" s="791">
        <f>'NORTH-1'!K807</f>
        <v>0</v>
      </c>
      <c r="L142" s="791">
        <f>'NORTH-1'!L807</f>
        <v>1192800.0000000065</v>
      </c>
      <c r="M142" s="791">
        <f>'NORTH-1'!M807</f>
        <v>0</v>
      </c>
      <c r="N142" s="2019" t="str">
        <f>'NORTH-1'!N807</f>
        <v>Azimpur</v>
      </c>
      <c r="O142" s="2019" t="str">
        <f>Sheet2!$C$27</f>
        <v>Azimpur 33/11 KV</v>
      </c>
    </row>
    <row r="143" spans="1:15" x14ac:dyDescent="0.35">
      <c r="A143" s="2019">
        <f>'NORTH-1'!A808</f>
        <v>16</v>
      </c>
      <c r="B143" s="2019" t="str">
        <f>'NORTH-1'!B808</f>
        <v>Viqarunnisa Noon School</v>
      </c>
      <c r="C143" s="2019" t="str">
        <f>'NORTH-1'!C808</f>
        <v>11 kV</v>
      </c>
      <c r="D143" s="2019">
        <f>'NORTH-1'!D808</f>
        <v>0</v>
      </c>
      <c r="E143" s="2019" t="str">
        <f>'NORTH-1'!E808</f>
        <v>DHK66477</v>
      </c>
      <c r="F143" s="791">
        <f>'NORTH-1'!F808</f>
        <v>1</v>
      </c>
      <c r="G143" s="791">
        <f>'NORTH-1'!G808</f>
        <v>1459606</v>
      </c>
      <c r="H143" s="791">
        <f>'NORTH-1'!H808</f>
        <v>1472823</v>
      </c>
      <c r="I143" s="791">
        <f>'NORTH-1'!I808</f>
        <v>13217</v>
      </c>
      <c r="J143" s="791">
        <f>'NORTH-1'!J808</f>
        <v>60</v>
      </c>
      <c r="K143" s="791">
        <f>'NORTH-1'!K808</f>
        <v>0</v>
      </c>
      <c r="L143" s="791">
        <f>'NORTH-1'!L808</f>
        <v>793020</v>
      </c>
      <c r="M143" s="791">
        <f>'NORTH-1'!M808</f>
        <v>0</v>
      </c>
      <c r="N143" s="2019" t="str">
        <f>'NORTH-1'!N808</f>
        <v>Azimpur</v>
      </c>
      <c r="O143" s="2019" t="str">
        <f>Sheet2!$C$27</f>
        <v>Azimpur 33/11 KV</v>
      </c>
    </row>
    <row r="144" spans="1:15" x14ac:dyDescent="0.35">
      <c r="A144" s="2019">
        <f>'NORTH-1'!A809</f>
        <v>17</v>
      </c>
      <c r="B144" s="2019" t="str">
        <f>'NORTH-1'!B809</f>
        <v>Subal Das Lane</v>
      </c>
      <c r="C144" s="2019" t="str">
        <f>'NORTH-1'!C809</f>
        <v>11 kV</v>
      </c>
      <c r="D144" s="2019">
        <f>'NORTH-1'!D809</f>
        <v>0</v>
      </c>
      <c r="E144" s="2019" t="str">
        <f>'NORTH-1'!E809</f>
        <v>DHK66480</v>
      </c>
      <c r="F144" s="791">
        <f>'NORTH-1'!F809</f>
        <v>1</v>
      </c>
      <c r="G144" s="791">
        <f>'NORTH-1'!G809</f>
        <v>3840483</v>
      </c>
      <c r="H144" s="791">
        <f>'NORTH-1'!H809</f>
        <v>3854615</v>
      </c>
      <c r="I144" s="791">
        <f>'NORTH-1'!I809</f>
        <v>14132</v>
      </c>
      <c r="J144" s="791">
        <f>'NORTH-1'!J809</f>
        <v>60</v>
      </c>
      <c r="K144" s="791">
        <f>'NORTH-1'!K809</f>
        <v>0</v>
      </c>
      <c r="L144" s="791">
        <f>'NORTH-1'!L809</f>
        <v>847920</v>
      </c>
      <c r="M144" s="791">
        <f>'NORTH-1'!M809</f>
        <v>0</v>
      </c>
      <c r="N144" s="2019" t="str">
        <f>'NORTH-1'!N809</f>
        <v>Azimpur</v>
      </c>
      <c r="O144" s="2019" t="str">
        <f>Sheet2!$C$27</f>
        <v>Azimpur 33/11 KV</v>
      </c>
    </row>
    <row r="145" spans="1:15" x14ac:dyDescent="0.35">
      <c r="A145" s="2019">
        <f>'NORTH-1'!A810</f>
        <v>18</v>
      </c>
      <c r="B145" s="2019" t="str">
        <f>'NORTH-1'!B810</f>
        <v>Lalbagh</v>
      </c>
      <c r="C145" s="2019" t="str">
        <f>'NORTH-1'!C810</f>
        <v>11 kV</v>
      </c>
      <c r="D145" s="2019">
        <f>'NORTH-1'!D810</f>
        <v>0</v>
      </c>
      <c r="E145" s="2019" t="str">
        <f>'NORTH-1'!E810</f>
        <v>DHK61093</v>
      </c>
      <c r="F145" s="791">
        <f>'NORTH-1'!F810</f>
        <v>1</v>
      </c>
      <c r="G145" s="791">
        <f>'NORTH-1'!G810</f>
        <v>468309</v>
      </c>
      <c r="H145" s="791">
        <f>'NORTH-1'!H810</f>
        <v>492459</v>
      </c>
      <c r="I145" s="791">
        <f>'NORTH-1'!I810</f>
        <v>24150</v>
      </c>
      <c r="J145" s="791">
        <f>'NORTH-1'!J810</f>
        <v>60</v>
      </c>
      <c r="K145" s="791">
        <f>'NORTH-1'!K810</f>
        <v>0</v>
      </c>
      <c r="L145" s="791">
        <f>'NORTH-1'!L810</f>
        <v>1449000</v>
      </c>
      <c r="M145" s="791">
        <f>'NORTH-1'!M810</f>
        <v>0</v>
      </c>
      <c r="N145" s="2019" t="str">
        <f>'NORTH-1'!N810</f>
        <v>Azimpur</v>
      </c>
      <c r="O145" s="2019" t="str">
        <f>Sheet2!$C$27</f>
        <v>Azimpur 33/11 KV</v>
      </c>
    </row>
    <row r="146" spans="1:15" x14ac:dyDescent="0.35">
      <c r="A146" s="2019">
        <f>'NORTH-1'!A811</f>
        <v>19</v>
      </c>
      <c r="B146" s="2019" t="str">
        <f>'NORTH-1'!B811</f>
        <v>Zahrul Haque Hall</v>
      </c>
      <c r="C146" s="2019" t="str">
        <f>'NORTH-1'!C811</f>
        <v>11 kV</v>
      </c>
      <c r="D146" s="2019">
        <f>'NORTH-1'!D811</f>
        <v>0</v>
      </c>
      <c r="E146" s="2019" t="str">
        <f>'NORTH-1'!E811</f>
        <v>DHK66497</v>
      </c>
      <c r="F146" s="791">
        <f>'NORTH-1'!F811</f>
        <v>1</v>
      </c>
      <c r="G146" s="791">
        <f>'NORTH-1'!G811</f>
        <v>1170958</v>
      </c>
      <c r="H146" s="791">
        <f>'NORTH-1'!H811</f>
        <v>1173571</v>
      </c>
      <c r="I146" s="791">
        <f>'NORTH-1'!I811</f>
        <v>2613</v>
      </c>
      <c r="J146" s="791">
        <f>'NORTH-1'!J811</f>
        <v>60</v>
      </c>
      <c r="K146" s="791">
        <f>'NORTH-1'!K811</f>
        <v>0</v>
      </c>
      <c r="L146" s="791">
        <f>'NORTH-1'!L811</f>
        <v>156780</v>
      </c>
      <c r="M146" s="791">
        <f>'NORTH-1'!M811</f>
        <v>0</v>
      </c>
      <c r="N146" s="2019" t="str">
        <f>'NORTH-1'!N811</f>
        <v>Ramna</v>
      </c>
      <c r="O146" s="2019" t="str">
        <f>Sheet2!$C$27</f>
        <v>Azimpur 33/11 KV</v>
      </c>
    </row>
    <row r="147" spans="1:15" x14ac:dyDescent="0.35">
      <c r="A147" s="2019">
        <f>'NORTH-1'!A812</f>
        <v>20</v>
      </c>
      <c r="B147" s="2019" t="str">
        <f>'NORTH-1'!B812</f>
        <v>Eden College</v>
      </c>
      <c r="C147" s="2019" t="str">
        <f>'NORTH-1'!C812</f>
        <v>11 kV</v>
      </c>
      <c r="D147" s="2019">
        <f>'NORTH-1'!D812</f>
        <v>0</v>
      </c>
      <c r="E147" s="2019" t="str">
        <f>'NORTH-1'!E812</f>
        <v>DHK60917</v>
      </c>
      <c r="F147" s="791">
        <f>'NORTH-1'!F812</f>
        <v>1</v>
      </c>
      <c r="G147" s="791">
        <f>'NORTH-1'!G812</f>
        <v>886319</v>
      </c>
      <c r="H147" s="791">
        <f>'NORTH-1'!H812</f>
        <v>890683</v>
      </c>
      <c r="I147" s="791">
        <f>'NORTH-1'!I812</f>
        <v>4364</v>
      </c>
      <c r="J147" s="791">
        <f>'NORTH-1'!J812</f>
        <v>60</v>
      </c>
      <c r="K147" s="791">
        <f>'NORTH-1'!K812</f>
        <v>0</v>
      </c>
      <c r="L147" s="791">
        <f>'NORTH-1'!L812</f>
        <v>261840</v>
      </c>
      <c r="M147" s="791">
        <f>'NORTH-1'!M812</f>
        <v>0</v>
      </c>
      <c r="N147" s="2019" t="str">
        <f>'NORTH-1'!N812</f>
        <v>Azimpur</v>
      </c>
      <c r="O147" s="2019" t="str">
        <f>Sheet2!$C$27</f>
        <v>Azimpur 33/11 KV</v>
      </c>
    </row>
    <row r="148" spans="1:15" x14ac:dyDescent="0.35">
      <c r="A148" s="2019">
        <f>'NORTH-1'!A813</f>
        <v>21</v>
      </c>
      <c r="B148" s="2019" t="str">
        <f>'NORTH-1'!B813</f>
        <v>Nilkhet/ PWD-01</v>
      </c>
      <c r="C148" s="2019" t="str">
        <f>'NORTH-1'!C813</f>
        <v>11 kV</v>
      </c>
      <c r="D148" s="2019">
        <f>'NORTH-1'!D813</f>
        <v>0</v>
      </c>
      <c r="E148" s="2019" t="str">
        <f>'NORTH-1'!E813</f>
        <v>DHK60918</v>
      </c>
      <c r="F148" s="791">
        <f>'NORTH-1'!F813</f>
        <v>1</v>
      </c>
      <c r="G148" s="791">
        <f>'NORTH-1'!G813</f>
        <v>406489</v>
      </c>
      <c r="H148" s="791">
        <f>'NORTH-1'!H813</f>
        <v>413335</v>
      </c>
      <c r="I148" s="791">
        <f>'NORTH-1'!I813</f>
        <v>6846</v>
      </c>
      <c r="J148" s="791">
        <f>'NORTH-1'!J813</f>
        <v>60</v>
      </c>
      <c r="K148" s="791">
        <f>'NORTH-1'!K813</f>
        <v>0</v>
      </c>
      <c r="L148" s="791">
        <f>'NORTH-1'!L813</f>
        <v>410760</v>
      </c>
      <c r="M148" s="791">
        <f>'NORTH-1'!M813</f>
        <v>0</v>
      </c>
      <c r="N148" s="2019" t="str">
        <f>'NORTH-1'!N813</f>
        <v>Azimpur</v>
      </c>
      <c r="O148" s="2019" t="str">
        <f>Sheet2!$C$27</f>
        <v>Azimpur 33/11 KV</v>
      </c>
    </row>
    <row r="149" spans="1:15" x14ac:dyDescent="0.35">
      <c r="A149" s="2019">
        <f>'NORTH-1'!A814</f>
        <v>22</v>
      </c>
      <c r="B149" s="2019" t="str">
        <f>'NORTH-1'!B814</f>
        <v>BUET</v>
      </c>
      <c r="C149" s="2019" t="str">
        <f>'NORTH-1'!C814</f>
        <v>11 kV</v>
      </c>
      <c r="D149" s="2019">
        <f>'NORTH-1'!D814</f>
        <v>0</v>
      </c>
      <c r="E149" s="2019" t="str">
        <f>'NORTH-1'!E814</f>
        <v>DHK66496</v>
      </c>
      <c r="F149" s="791">
        <f>'NORTH-1'!F814</f>
        <v>1</v>
      </c>
      <c r="G149" s="791">
        <f>'NORTH-1'!G814</f>
        <v>865579</v>
      </c>
      <c r="H149" s="791">
        <f>'NORTH-1'!H814</f>
        <v>868892</v>
      </c>
      <c r="I149" s="791">
        <f>'NORTH-1'!I814</f>
        <v>3313</v>
      </c>
      <c r="J149" s="791">
        <f>'NORTH-1'!J814</f>
        <v>60</v>
      </c>
      <c r="K149" s="791">
        <f>'NORTH-1'!K814</f>
        <v>0</v>
      </c>
      <c r="L149" s="791">
        <f>'NORTH-1'!L814</f>
        <v>198780</v>
      </c>
      <c r="M149" s="791">
        <f>'NORTH-1'!M814</f>
        <v>0</v>
      </c>
      <c r="N149" s="2019" t="str">
        <f>'NORTH-1'!N814</f>
        <v>Ramna</v>
      </c>
      <c r="O149" s="2019" t="str">
        <f>Sheet2!$C$27</f>
        <v>Azimpur 33/11 KV</v>
      </c>
    </row>
    <row r="150" spans="1:15" x14ac:dyDescent="0.35">
      <c r="A150" s="2019">
        <f>'NORTH-1'!A815</f>
        <v>23</v>
      </c>
      <c r="B150" s="2019" t="str">
        <f>'NORTH-1'!B815</f>
        <v>11/0.4 kV Auxiliary Transformer</v>
      </c>
      <c r="C150" s="2019" t="str">
        <f>'NORTH-1'!C815</f>
        <v>0.4 kV</v>
      </c>
      <c r="D150" s="2019">
        <f>'NORTH-1'!D815</f>
        <v>0</v>
      </c>
      <c r="E150" s="2019" t="str">
        <f>'NORTH-1'!E815</f>
        <v>ELIG2780</v>
      </c>
      <c r="F150" s="791">
        <f>'NORTH-1'!F815</f>
        <v>1</v>
      </c>
      <c r="G150" s="791">
        <f>'NORTH-1'!G815</f>
        <v>368570</v>
      </c>
      <c r="H150" s="791">
        <f>'NORTH-1'!H815</f>
        <v>369778</v>
      </c>
      <c r="I150" s="791">
        <f>'NORTH-1'!I815</f>
        <v>1208</v>
      </c>
      <c r="J150" s="791">
        <f>'NORTH-1'!J815</f>
        <v>1</v>
      </c>
      <c r="K150" s="791">
        <f>'NORTH-1'!K815</f>
        <v>0</v>
      </c>
      <c r="L150" s="791">
        <f>'NORTH-1'!L815</f>
        <v>1208</v>
      </c>
      <c r="M150" s="791">
        <f>'NORTH-1'!M815</f>
        <v>0</v>
      </c>
      <c r="N150" s="2019" t="str">
        <f>'NORTH-1'!N815</f>
        <v>Azimpur</v>
      </c>
      <c r="O150" s="2019" t="str">
        <f>Sheet2!$C$27</f>
        <v>Azimpur 33/11 KV</v>
      </c>
    </row>
    <row r="151" spans="1:15" x14ac:dyDescent="0.35">
      <c r="A151" s="2019">
        <f>'NORTH-1'!A927</f>
        <v>4</v>
      </c>
      <c r="B151" s="2019" t="str">
        <f>'NORTH-1'!B927</f>
        <v>Rasulpur</v>
      </c>
      <c r="C151" s="2019" t="str">
        <f>'NORTH-1'!C927</f>
        <v xml:space="preserve">11 kV </v>
      </c>
      <c r="D151" s="2019">
        <f>'NORTH-1'!D927</f>
        <v>0</v>
      </c>
      <c r="E151" s="2019" t="str">
        <f>'NORTH-1'!E927</f>
        <v>HA-021101042-02</v>
      </c>
      <c r="F151" s="791">
        <f>'NORTH-1'!F927</f>
        <v>1</v>
      </c>
      <c r="G151" s="791">
        <f>'NORTH-1'!G927</f>
        <v>83464089</v>
      </c>
      <c r="H151" s="791">
        <f>'NORTH-1'!H927</f>
        <v>84303651</v>
      </c>
      <c r="I151" s="791">
        <f>'NORTH-1'!I927</f>
        <v>839562</v>
      </c>
      <c r="J151" s="791">
        <f>'NORTH-1'!J927</f>
        <v>1</v>
      </c>
      <c r="K151" s="791">
        <f>'NORTH-1'!K927</f>
        <v>0</v>
      </c>
      <c r="L151" s="791">
        <f>'NORTH-1'!L927</f>
        <v>839562</v>
      </c>
      <c r="M151" s="791">
        <f>'NORTH-1'!M927</f>
        <v>0</v>
      </c>
      <c r="N151" s="2019" t="str">
        <f>'NORTH-1'!N927</f>
        <v>Kamrangirchar</v>
      </c>
      <c r="O151" s="2019" t="str">
        <f>Sheet2!$C$23</f>
        <v>Kamrangirchar 33/11KV S/S</v>
      </c>
    </row>
    <row r="152" spans="1:15" x14ac:dyDescent="0.35">
      <c r="A152" s="2019">
        <f>'NORTH-1'!A928</f>
        <v>5</v>
      </c>
      <c r="B152" s="2019" t="str">
        <f>'NORTH-1'!B928</f>
        <v>Bheribadh</v>
      </c>
      <c r="C152" s="2019" t="str">
        <f>'NORTH-1'!C928</f>
        <v xml:space="preserve">11 kV </v>
      </c>
      <c r="D152" s="2019">
        <f>'NORTH-1'!D928</f>
        <v>0</v>
      </c>
      <c r="E152" s="2019" t="str">
        <f>'NORTH-1'!E928</f>
        <v>HA-021101105-02</v>
      </c>
      <c r="F152" s="791">
        <f>'NORTH-1'!F928</f>
        <v>1</v>
      </c>
      <c r="G152" s="791">
        <f>'NORTH-1'!G928</f>
        <v>47248668</v>
      </c>
      <c r="H152" s="791">
        <f>'NORTH-1'!H928</f>
        <v>49042156</v>
      </c>
      <c r="I152" s="791">
        <f>'NORTH-1'!I928</f>
        <v>1793488</v>
      </c>
      <c r="J152" s="791">
        <f>'NORTH-1'!J928</f>
        <v>1</v>
      </c>
      <c r="K152" s="791">
        <f>'NORTH-1'!K928</f>
        <v>0</v>
      </c>
      <c r="L152" s="791">
        <f>'NORTH-1'!L928</f>
        <v>1793488</v>
      </c>
      <c r="M152" s="791">
        <f>'NORTH-1'!M928</f>
        <v>0</v>
      </c>
      <c r="N152" s="2019" t="str">
        <f>'NORTH-1'!N928</f>
        <v>Kamrangirchar</v>
      </c>
      <c r="O152" s="2019" t="str">
        <f>Sheet2!$C$23</f>
        <v>Kamrangirchar 33/11KV S/S</v>
      </c>
    </row>
    <row r="153" spans="1:15" x14ac:dyDescent="0.35">
      <c r="A153" s="2019">
        <f>'NORTH-1'!A929</f>
        <v>7</v>
      </c>
      <c r="B153" s="2019" t="str">
        <f>'NORTH-1'!B929</f>
        <v>Panna Tower
11 KV Faridpur Tower Express</v>
      </c>
      <c r="C153" s="2019" t="str">
        <f>'NORTH-1'!C929</f>
        <v xml:space="preserve">11 kV </v>
      </c>
      <c r="D153" s="2019">
        <f>'NORTH-1'!D929</f>
        <v>0</v>
      </c>
      <c r="E153" s="2019">
        <f>'NORTH-1'!E929</f>
        <v>30799521</v>
      </c>
      <c r="F153" s="791">
        <f>'NORTH-1'!F929</f>
        <v>1</v>
      </c>
      <c r="G153" s="791">
        <f>'NORTH-1'!G929</f>
        <v>2584.75</v>
      </c>
      <c r="H153" s="791">
        <f>'NORTH-1'!H929</f>
        <v>2590.17</v>
      </c>
      <c r="I153" s="791">
        <f>'NORTH-1'!I929</f>
        <v>5.4200000000000728</v>
      </c>
      <c r="J153" s="791">
        <f>'NORTH-1'!J929</f>
        <v>60000</v>
      </c>
      <c r="K153" s="791">
        <f>'NORTH-1'!K929</f>
        <v>0</v>
      </c>
      <c r="L153" s="791">
        <f>'NORTH-1'!L929</f>
        <v>325200.00000000437</v>
      </c>
      <c r="M153" s="791">
        <f>'NORTH-1'!M929</f>
        <v>0</v>
      </c>
      <c r="N153" s="2019" t="str">
        <f>'NORTH-1'!N929</f>
        <v>Kamrangirchar</v>
      </c>
      <c r="O153" s="2019" t="str">
        <f>Sheet2!$C$23</f>
        <v>Kamrangirchar 33/11KV S/S</v>
      </c>
    </row>
    <row r="154" spans="1:15" x14ac:dyDescent="0.35">
      <c r="A154" s="2019">
        <f>'NORTH-1'!A930</f>
        <v>8</v>
      </c>
      <c r="B154" s="2019" t="str">
        <f>'NORTH-1'!B930</f>
        <v>Panna Battery Express</v>
      </c>
      <c r="C154" s="2019" t="str">
        <f>'NORTH-1'!C930</f>
        <v xml:space="preserve">11 kV </v>
      </c>
      <c r="D154" s="2019">
        <f>'NORTH-1'!D930</f>
        <v>0</v>
      </c>
      <c r="E154" s="2019" t="str">
        <f>'NORTH-1'!E930</f>
        <v>DHK15431</v>
      </c>
      <c r="F154" s="791">
        <f>'NORTH-1'!F930</f>
        <v>1</v>
      </c>
      <c r="G154" s="791">
        <f>'NORTH-1'!G930</f>
        <v>5150.79</v>
      </c>
      <c r="H154" s="791">
        <f>'NORTH-1'!H930</f>
        <v>5166.01</v>
      </c>
      <c r="I154" s="791">
        <f>'NORTH-1'!I930</f>
        <v>15.220000000000255</v>
      </c>
      <c r="J154" s="791">
        <f>'NORTH-1'!J930</f>
        <v>60000</v>
      </c>
      <c r="K154" s="791">
        <f>'NORTH-1'!K930</f>
        <v>0</v>
      </c>
      <c r="L154" s="791">
        <f>'NORTH-1'!L930</f>
        <v>913200.00000001525</v>
      </c>
      <c r="M154" s="791">
        <f>'NORTH-1'!M930</f>
        <v>0</v>
      </c>
      <c r="N154" s="2019" t="str">
        <f>'NORTH-1'!N930</f>
        <v>Kamrangirchar</v>
      </c>
      <c r="O154" s="2019" t="str">
        <f>Sheet2!$C$23</f>
        <v>Kamrangirchar 33/11KV S/S</v>
      </c>
    </row>
    <row r="155" spans="1:15" x14ac:dyDescent="0.35">
      <c r="A155" s="2019">
        <f>'NORTH-1'!A931</f>
        <v>9</v>
      </c>
      <c r="B155" s="2019" t="str">
        <f>'NORTH-1'!B931</f>
        <v>Eidgah</v>
      </c>
      <c r="C155" s="2019" t="str">
        <f>'NORTH-1'!C931</f>
        <v xml:space="preserve">11 kV </v>
      </c>
      <c r="D155" s="2019">
        <f>'NORTH-1'!D931</f>
        <v>0</v>
      </c>
      <c r="E155" s="2019">
        <f>'NORTH-1'!E931</f>
        <v>30799460</v>
      </c>
      <c r="F155" s="791">
        <f>'NORTH-1'!F931</f>
        <v>1</v>
      </c>
      <c r="G155" s="791">
        <f>'NORTH-1'!G931</f>
        <v>5095.25</v>
      </c>
      <c r="H155" s="791">
        <f>'NORTH-1'!H931</f>
        <v>5125.55</v>
      </c>
      <c r="I155" s="791">
        <f>'NORTH-1'!I931</f>
        <v>30.300000000000182</v>
      </c>
      <c r="J155" s="791">
        <f>'NORTH-1'!J931</f>
        <v>60000</v>
      </c>
      <c r="K155" s="791">
        <f>'NORTH-1'!K931</f>
        <v>0</v>
      </c>
      <c r="L155" s="791">
        <f>'NORTH-1'!L931</f>
        <v>1818000.0000000109</v>
      </c>
      <c r="M155" s="791">
        <f>'NORTH-1'!M931</f>
        <v>0</v>
      </c>
      <c r="N155" s="2019" t="str">
        <f>'NORTH-1'!N931</f>
        <v>Kamrangirchar</v>
      </c>
      <c r="O155" s="2019" t="str">
        <f>Sheet2!$C$23</f>
        <v>Kamrangirchar 33/11KV S/S</v>
      </c>
    </row>
    <row r="156" spans="1:15" x14ac:dyDescent="0.35">
      <c r="A156" s="2019">
        <f>'NORTH-1'!A932</f>
        <v>10</v>
      </c>
      <c r="B156" s="2019" t="str">
        <f>'NORTH-1'!B932</f>
        <v>Bot Tola Mazar</v>
      </c>
      <c r="C156" s="2019" t="str">
        <f>'NORTH-1'!C932</f>
        <v xml:space="preserve">11 kV </v>
      </c>
      <c r="D156" s="2019">
        <f>'NORTH-1'!D932</f>
        <v>0</v>
      </c>
      <c r="E156" s="2019">
        <f>'NORTH-1'!E932</f>
        <v>0</v>
      </c>
      <c r="F156" s="791">
        <f>'NORTH-1'!F932</f>
        <v>1</v>
      </c>
      <c r="G156" s="791">
        <f>'NORTH-1'!G932</f>
        <v>11130</v>
      </c>
      <c r="H156" s="791">
        <f>'NORTH-1'!H932</f>
        <v>11130</v>
      </c>
      <c r="I156" s="791">
        <f>'NORTH-1'!I932</f>
        <v>0</v>
      </c>
      <c r="J156" s="791">
        <f>'NORTH-1'!J932</f>
        <v>1</v>
      </c>
      <c r="K156" s="791">
        <f>'NORTH-1'!K932</f>
        <v>0</v>
      </c>
      <c r="L156" s="791">
        <f>'NORTH-1'!L932</f>
        <v>0</v>
      </c>
      <c r="M156" s="791">
        <f>'NORTH-1'!M932</f>
        <v>0</v>
      </c>
      <c r="N156" s="2019" t="str">
        <f>'NORTH-1'!N932</f>
        <v>Jigatola</v>
      </c>
      <c r="O156" s="2019" t="str">
        <f>Sheet2!$C$23</f>
        <v>Kamrangirchar 33/11KV S/S</v>
      </c>
    </row>
    <row r="157" spans="1:15" x14ac:dyDescent="0.35">
      <c r="A157" s="2019">
        <f>'NORTH-1'!A933</f>
        <v>12</v>
      </c>
      <c r="B157" s="2019" t="str">
        <f>'NORTH-1'!B933</f>
        <v>Huzur Para</v>
      </c>
      <c r="C157" s="2019" t="str">
        <f>'NORTH-1'!C933</f>
        <v xml:space="preserve">11 kV </v>
      </c>
      <c r="D157" s="2019">
        <f>'NORTH-1'!D933</f>
        <v>0</v>
      </c>
      <c r="E157" s="2019" t="str">
        <f>'NORTH-1'!E933</f>
        <v>HA-021101055-02</v>
      </c>
      <c r="F157" s="791">
        <f>'NORTH-1'!F933</f>
        <v>1</v>
      </c>
      <c r="G157" s="791">
        <f>'NORTH-1'!G933</f>
        <v>85992209</v>
      </c>
      <c r="H157" s="791">
        <f>'NORTH-1'!H933</f>
        <v>88626758</v>
      </c>
      <c r="I157" s="791">
        <f>'NORTH-1'!I933</f>
        <v>2634549</v>
      </c>
      <c r="J157" s="791">
        <f>'NORTH-1'!J933</f>
        <v>1</v>
      </c>
      <c r="K157" s="791">
        <f>'NORTH-1'!K933</f>
        <v>0</v>
      </c>
      <c r="L157" s="791">
        <f>'NORTH-1'!L933</f>
        <v>2634549</v>
      </c>
      <c r="M157" s="791">
        <f>'NORTH-1'!M933</f>
        <v>0</v>
      </c>
      <c r="N157" s="2019" t="str">
        <f>'NORTH-1'!N933</f>
        <v>Kamrangirchar</v>
      </c>
      <c r="O157" s="2019" t="str">
        <f>Sheet2!$C$23</f>
        <v>Kamrangirchar 33/11KV S/S</v>
      </c>
    </row>
    <row r="158" spans="1:15" x14ac:dyDescent="0.35">
      <c r="A158" s="2019">
        <f>'NORTH-1'!A934</f>
        <v>13</v>
      </c>
      <c r="B158" s="2019" t="str">
        <f>'NORTH-1'!B934</f>
        <v>Kamrangirchar</v>
      </c>
      <c r="C158" s="2019" t="str">
        <f>'NORTH-1'!C934</f>
        <v xml:space="preserve">11 kV </v>
      </c>
      <c r="D158" s="2019">
        <f>'NORTH-1'!D934</f>
        <v>0</v>
      </c>
      <c r="E158" s="2019" t="str">
        <f>'NORTH-1'!E934</f>
        <v>HA-021101015-02</v>
      </c>
      <c r="F158" s="791">
        <f>'NORTH-1'!F934</f>
        <v>1</v>
      </c>
      <c r="G158" s="791">
        <f>'NORTH-1'!G934</f>
        <v>8502366</v>
      </c>
      <c r="H158" s="791">
        <f>'NORTH-1'!H934</f>
        <v>10235169</v>
      </c>
      <c r="I158" s="791">
        <f>'NORTH-1'!I934</f>
        <v>1732803</v>
      </c>
      <c r="J158" s="791">
        <f>'NORTH-1'!J934</f>
        <v>1</v>
      </c>
      <c r="K158" s="791">
        <f>'NORTH-1'!K934</f>
        <v>0</v>
      </c>
      <c r="L158" s="791">
        <f>'NORTH-1'!L934</f>
        <v>1732803</v>
      </c>
      <c r="M158" s="791">
        <f>'NORTH-1'!M934</f>
        <v>0</v>
      </c>
      <c r="N158" s="2019" t="str">
        <f>'NORTH-1'!N934</f>
        <v>Kamrangirchar</v>
      </c>
      <c r="O158" s="2019" t="str">
        <f>Sheet2!$C$23</f>
        <v>Kamrangirchar 33/11KV S/S</v>
      </c>
    </row>
    <row r="159" spans="1:15" x14ac:dyDescent="0.35">
      <c r="A159" s="2019">
        <f>'NORTH-1'!A935</f>
        <v>14</v>
      </c>
      <c r="B159" s="2019" t="str">
        <f>'NORTH-1'!B935</f>
        <v>Munshihati</v>
      </c>
      <c r="C159" s="2019" t="str">
        <f>'NORTH-1'!C935</f>
        <v xml:space="preserve">11 kV </v>
      </c>
      <c r="D159" s="2019">
        <f>'NORTH-1'!D935</f>
        <v>0</v>
      </c>
      <c r="E159" s="2019" t="str">
        <f>'NORTH-1'!E935</f>
        <v>HA-021100854-02</v>
      </c>
      <c r="F159" s="791">
        <f>'NORTH-1'!F935</f>
        <v>1</v>
      </c>
      <c r="G159" s="791">
        <f>'NORTH-1'!G935</f>
        <v>43134665</v>
      </c>
      <c r="H159" s="791">
        <f>'NORTH-1'!H935</f>
        <v>43867082</v>
      </c>
      <c r="I159" s="791">
        <f>'NORTH-1'!I935</f>
        <v>732417</v>
      </c>
      <c r="J159" s="791">
        <f>'NORTH-1'!J935</f>
        <v>1</v>
      </c>
      <c r="K159" s="791">
        <f>'NORTH-1'!K935</f>
        <v>0</v>
      </c>
      <c r="L159" s="791">
        <f>'NORTH-1'!L935</f>
        <v>732417</v>
      </c>
      <c r="M159" s="791">
        <f>'NORTH-1'!M935</f>
        <v>0</v>
      </c>
      <c r="N159" s="2019" t="str">
        <f>'NORTH-1'!N935</f>
        <v>Kamrangirchar</v>
      </c>
      <c r="O159" s="2019" t="str">
        <f>Sheet2!$C$23</f>
        <v>Kamrangirchar 33/11KV S/S</v>
      </c>
    </row>
    <row r="160" spans="1:15" x14ac:dyDescent="0.35">
      <c r="A160" s="2019">
        <f>'NORTH-1'!A936</f>
        <v>15</v>
      </c>
      <c r="B160" s="2019" t="str">
        <f>'NORTH-1'!B936</f>
        <v>Jhawchar</v>
      </c>
      <c r="C160" s="2019" t="str">
        <f>'NORTH-1'!C936</f>
        <v xml:space="preserve">11 kV </v>
      </c>
      <c r="D160" s="2019">
        <f>'NORTH-1'!D936</f>
        <v>0</v>
      </c>
      <c r="E160" s="2019" t="str">
        <f>'NORTH-1'!E936</f>
        <v>HA-021101028-02</v>
      </c>
      <c r="F160" s="791">
        <f>'NORTH-1'!F936</f>
        <v>1</v>
      </c>
      <c r="G160" s="791">
        <f>'NORTH-1'!G936</f>
        <v>89160562</v>
      </c>
      <c r="H160" s="791">
        <f>'NORTH-1'!H936</f>
        <v>89160562</v>
      </c>
      <c r="I160" s="791">
        <f>'NORTH-1'!I936</f>
        <v>0</v>
      </c>
      <c r="J160" s="791">
        <f>'NORTH-1'!J936</f>
        <v>1</v>
      </c>
      <c r="K160" s="791">
        <f>'NORTH-1'!K936</f>
        <v>0</v>
      </c>
      <c r="L160" s="791">
        <f>'NORTH-1'!L936</f>
        <v>0</v>
      </c>
      <c r="M160" s="791">
        <f>'NORTH-1'!M936</f>
        <v>0</v>
      </c>
      <c r="N160" s="2019" t="str">
        <f>'NORTH-1'!N936</f>
        <v>Kamrangirchar</v>
      </c>
      <c r="O160" s="2019" t="str">
        <f>Sheet2!$C$23</f>
        <v>Kamrangirchar 33/11KV S/S</v>
      </c>
    </row>
    <row r="161" spans="1:15" x14ac:dyDescent="0.35">
      <c r="A161" s="2019">
        <f>'NORTH-1'!A937</f>
        <v>16</v>
      </c>
      <c r="B161" s="2019" t="str">
        <f>'NORTH-1'!B937</f>
        <v>RMU Express</v>
      </c>
      <c r="C161" s="2019" t="str">
        <f>'NORTH-1'!C937</f>
        <v xml:space="preserve">11 kV </v>
      </c>
      <c r="D161" s="2019">
        <f>'NORTH-1'!D937</f>
        <v>0</v>
      </c>
      <c r="E161" s="2019" t="str">
        <f>'NORTH-1'!E937</f>
        <v>HA-021101248-02</v>
      </c>
      <c r="F161" s="791">
        <f>'NORTH-1'!F937</f>
        <v>1</v>
      </c>
      <c r="G161" s="791">
        <f>'NORTH-1'!G937</f>
        <v>99315820</v>
      </c>
      <c r="H161" s="791">
        <f>'NORTH-1'!H937</f>
        <v>99315820</v>
      </c>
      <c r="I161" s="791">
        <f>'NORTH-1'!I937</f>
        <v>0</v>
      </c>
      <c r="J161" s="791">
        <f>'NORTH-1'!J937</f>
        <v>1</v>
      </c>
      <c r="K161" s="791">
        <f>'NORTH-1'!K937</f>
        <v>0</v>
      </c>
      <c r="L161" s="791">
        <f>'NORTH-1'!L937</f>
        <v>0</v>
      </c>
      <c r="M161" s="791">
        <f>'NORTH-1'!M937</f>
        <v>0</v>
      </c>
      <c r="N161" s="2019" t="str">
        <f>'NORTH-1'!N937</f>
        <v>Kamrangirchar</v>
      </c>
      <c r="O161" s="2019" t="str">
        <f>Sheet2!$C$23</f>
        <v>Kamrangirchar 33/11KV S/S</v>
      </c>
    </row>
    <row r="162" spans="1:15" x14ac:dyDescent="0.35">
      <c r="A162" s="2019">
        <f>'NORTH-1'!A938</f>
        <v>17</v>
      </c>
      <c r="B162" s="2019" t="str">
        <f>'NORTH-1'!B938</f>
        <v>Koyla Ghat</v>
      </c>
      <c r="C162" s="2019" t="str">
        <f>'NORTH-1'!C938</f>
        <v xml:space="preserve">11 kV </v>
      </c>
      <c r="D162" s="2019">
        <f>'NORTH-1'!D938</f>
        <v>0</v>
      </c>
      <c r="E162" s="2019" t="str">
        <f>'NORTH-1'!E938</f>
        <v>HA-021101259-02</v>
      </c>
      <c r="F162" s="791">
        <f>'NORTH-1'!F938</f>
        <v>1.5</v>
      </c>
      <c r="G162" s="791">
        <f>'NORTH-1'!G938</f>
        <v>3370541</v>
      </c>
      <c r="H162" s="791">
        <f>'NORTH-1'!H938</f>
        <v>5320157</v>
      </c>
      <c r="I162" s="791">
        <f>'NORTH-1'!I938</f>
        <v>1949616</v>
      </c>
      <c r="J162" s="791">
        <f>'NORTH-1'!J938</f>
        <v>1</v>
      </c>
      <c r="K162" s="791">
        <f>'NORTH-1'!K938</f>
        <v>0</v>
      </c>
      <c r="L162" s="791">
        <f>'NORTH-1'!L938</f>
        <v>2924424</v>
      </c>
      <c r="M162" s="791">
        <f>'NORTH-1'!M938</f>
        <v>0</v>
      </c>
      <c r="N162" s="2019" t="str">
        <f>'NORTH-1'!N938</f>
        <v>Kamrangirchar</v>
      </c>
      <c r="O162" s="2019" t="str">
        <f>Sheet2!$C$23</f>
        <v>Kamrangirchar 33/11KV S/S</v>
      </c>
    </row>
    <row r="163" spans="1:15" x14ac:dyDescent="0.35">
      <c r="A163" s="2019">
        <f>'NORTH-1'!A939</f>
        <v>18</v>
      </c>
      <c r="B163" s="2019" t="str">
        <f>'NORTH-1'!B939</f>
        <v>Muslimbagh</v>
      </c>
      <c r="C163" s="2019" t="str">
        <f>'NORTH-1'!C939</f>
        <v xml:space="preserve">11 kV </v>
      </c>
      <c r="D163" s="2019">
        <f>'NORTH-1'!D939</f>
        <v>0</v>
      </c>
      <c r="E163" s="2019" t="str">
        <f>'NORTH-1'!E939</f>
        <v>HA-021100908-02</v>
      </c>
      <c r="F163" s="791">
        <f>'NORTH-1'!F939</f>
        <v>1</v>
      </c>
      <c r="G163" s="791">
        <f>'NORTH-1'!G939</f>
        <v>12357818</v>
      </c>
      <c r="H163" s="791">
        <f>'NORTH-1'!H939</f>
        <v>14095111</v>
      </c>
      <c r="I163" s="791">
        <f>'NORTH-1'!I939</f>
        <v>1737293</v>
      </c>
      <c r="J163" s="791">
        <f>'NORTH-1'!J939</f>
        <v>1</v>
      </c>
      <c r="K163" s="791">
        <f>'NORTH-1'!K939</f>
        <v>0</v>
      </c>
      <c r="L163" s="791">
        <f>'NORTH-1'!L939</f>
        <v>1737293</v>
      </c>
      <c r="M163" s="791">
        <f>'NORTH-1'!M939</f>
        <v>0</v>
      </c>
      <c r="N163" s="2019" t="str">
        <f>'NORTH-1'!N939</f>
        <v>Kamrangirchar</v>
      </c>
      <c r="O163" s="2019" t="str">
        <f>Sheet2!$C$23</f>
        <v>Kamrangirchar 33/11KV S/S</v>
      </c>
    </row>
    <row r="164" spans="1:15" x14ac:dyDescent="0.35">
      <c r="A164" s="2019">
        <f>'NORTH-1'!A940</f>
        <v>19</v>
      </c>
      <c r="B164" s="2019" t="str">
        <f>'NORTH-1'!B940</f>
        <v>Noyagaon</v>
      </c>
      <c r="C164" s="2019" t="str">
        <f>'NORTH-1'!C940</f>
        <v xml:space="preserve">11 kV </v>
      </c>
      <c r="D164" s="2019">
        <f>'NORTH-1'!D940</f>
        <v>0</v>
      </c>
      <c r="E164" s="2019" t="str">
        <f>'NORTH-1'!E940</f>
        <v>HA-021101087-02</v>
      </c>
      <c r="F164" s="791">
        <f>'NORTH-1'!F940</f>
        <v>1</v>
      </c>
      <c r="G164" s="791">
        <f>'NORTH-1'!G940</f>
        <v>83113409</v>
      </c>
      <c r="H164" s="791">
        <f>'NORTH-1'!H940</f>
        <v>83113409</v>
      </c>
      <c r="I164" s="791">
        <f>'NORTH-1'!I940</f>
        <v>0</v>
      </c>
      <c r="J164" s="791">
        <f>'NORTH-1'!J940</f>
        <v>1</v>
      </c>
      <c r="K164" s="791">
        <f>'NORTH-1'!K940</f>
        <v>0</v>
      </c>
      <c r="L164" s="791">
        <f>'NORTH-1'!L940</f>
        <v>0</v>
      </c>
      <c r="M164" s="791">
        <f>'NORTH-1'!M940</f>
        <v>0</v>
      </c>
      <c r="N164" s="2019" t="str">
        <f>'NORTH-1'!N940</f>
        <v>Kamrangirchar</v>
      </c>
      <c r="O164" s="2019" t="str">
        <f>Sheet2!$C$23</f>
        <v>Kamrangirchar 33/11KV S/S</v>
      </c>
    </row>
    <row r="165" spans="1:15" x14ac:dyDescent="0.35">
      <c r="A165" s="2019">
        <f>'NORTH-1'!A941</f>
        <v>20</v>
      </c>
      <c r="B165" s="2019" t="str">
        <f>'NORTH-1'!B941</f>
        <v>Nurbagh</v>
      </c>
      <c r="C165" s="2019" t="str">
        <f>'NORTH-1'!C941</f>
        <v xml:space="preserve">11 kV </v>
      </c>
      <c r="D165" s="2019">
        <f>'NORTH-1'!D941</f>
        <v>0</v>
      </c>
      <c r="E165" s="2019" t="str">
        <f>'NORTH-1'!E941</f>
        <v>HA-021100982-02</v>
      </c>
      <c r="F165" s="791">
        <f>'NORTH-1'!F941</f>
        <v>1</v>
      </c>
      <c r="G165" s="791">
        <f>'NORTH-1'!G941</f>
        <v>6839499</v>
      </c>
      <c r="H165" s="791">
        <f>'NORTH-1'!H941</f>
        <v>8850972</v>
      </c>
      <c r="I165" s="791">
        <f>'NORTH-1'!I941</f>
        <v>2011473</v>
      </c>
      <c r="J165" s="791">
        <f>'NORTH-1'!J941</f>
        <v>1</v>
      </c>
      <c r="K165" s="791">
        <f>'NORTH-1'!K941</f>
        <v>0</v>
      </c>
      <c r="L165" s="791">
        <f>'NORTH-1'!L941</f>
        <v>2011473</v>
      </c>
      <c r="M165" s="791">
        <f>'NORTH-1'!M941</f>
        <v>0</v>
      </c>
      <c r="N165" s="2019" t="str">
        <f>'NORTH-1'!N941</f>
        <v>Kamrangirchar</v>
      </c>
      <c r="O165" s="2019" t="str">
        <f>Sheet2!$C$23</f>
        <v>Kamrangirchar 33/11KV S/S</v>
      </c>
    </row>
    <row r="166" spans="1:15" x14ac:dyDescent="0.35">
      <c r="A166" s="2019">
        <f>'NORTH-1'!A942</f>
        <v>21</v>
      </c>
      <c r="B166" s="2019" t="str">
        <f>'NORTH-1'!B942</f>
        <v>Ali Nagar</v>
      </c>
      <c r="C166" s="2019" t="str">
        <f>'NORTH-1'!C942</f>
        <v xml:space="preserve">11 kV </v>
      </c>
      <c r="D166" s="2019">
        <f>'NORTH-1'!D942</f>
        <v>0</v>
      </c>
      <c r="E166" s="2019" t="str">
        <f>'NORTH-1'!E942</f>
        <v>HA-021101022-02</v>
      </c>
      <c r="F166" s="791">
        <f>'NORTH-1'!F942</f>
        <v>1</v>
      </c>
      <c r="G166" s="791">
        <f>'NORTH-1'!G942</f>
        <v>4895719</v>
      </c>
      <c r="H166" s="791">
        <f>'NORTH-1'!H942</f>
        <v>6470953</v>
      </c>
      <c r="I166" s="791">
        <f>'NORTH-1'!I942</f>
        <v>1575234</v>
      </c>
      <c r="J166" s="791">
        <f>'NORTH-1'!J942</f>
        <v>1</v>
      </c>
      <c r="K166" s="791">
        <f>'NORTH-1'!K942</f>
        <v>0</v>
      </c>
      <c r="L166" s="791">
        <f>'NORTH-1'!L942</f>
        <v>1575234</v>
      </c>
      <c r="M166" s="791">
        <f>'NORTH-1'!M942</f>
        <v>0</v>
      </c>
      <c r="N166" s="2019" t="str">
        <f>'NORTH-1'!N942</f>
        <v>Kamrangirchar</v>
      </c>
      <c r="O166" s="2019" t="str">
        <f>Sheet2!$C$23</f>
        <v>Kamrangirchar 33/11KV S/S</v>
      </c>
    </row>
    <row r="167" spans="1:15" x14ac:dyDescent="0.35">
      <c r="A167" s="2019">
        <f>'NORTH-1'!A1006</f>
        <v>12</v>
      </c>
      <c r="B167" s="2019" t="str">
        <f>'NORTH-1'!B1006</f>
        <v>Spare</v>
      </c>
      <c r="C167" s="2019" t="str">
        <f>'NORTH-1'!C1006</f>
        <v xml:space="preserve">11 kV </v>
      </c>
      <c r="D167" s="2019">
        <f>'NORTH-1'!D1006</f>
        <v>0</v>
      </c>
      <c r="E167" s="2019">
        <f>'NORTH-1'!E1006</f>
        <v>0</v>
      </c>
      <c r="F167" s="791">
        <f>'NORTH-1'!F1006</f>
        <v>1</v>
      </c>
      <c r="G167" s="791">
        <f>'NORTH-1'!G1006</f>
        <v>0</v>
      </c>
      <c r="H167" s="791">
        <f>'NORTH-1'!H1006</f>
        <v>0</v>
      </c>
      <c r="I167" s="791">
        <f>'NORTH-1'!I1006</f>
        <v>0</v>
      </c>
      <c r="J167" s="791">
        <f>'NORTH-1'!J1006</f>
        <v>1</v>
      </c>
      <c r="K167" s="791">
        <f>'NORTH-1'!K1006</f>
        <v>0</v>
      </c>
      <c r="L167" s="791">
        <f>'NORTH-1'!L1006</f>
        <v>0</v>
      </c>
      <c r="M167" s="791">
        <f>'NORTH-1'!M1006</f>
        <v>0</v>
      </c>
      <c r="N167" s="2019">
        <f>'NORTH-1'!N1006</f>
        <v>0</v>
      </c>
      <c r="O167" s="2019" t="str">
        <f>Sheet2!$C$42</f>
        <v>BGB 33/11 KV S/S</v>
      </c>
    </row>
    <row r="168" spans="1:15" x14ac:dyDescent="0.35">
      <c r="A168" s="2019">
        <f>'NORTH-1'!A1007</f>
        <v>13</v>
      </c>
      <c r="B168" s="2019" t="str">
        <f>'NORTH-1'!B1007</f>
        <v>Spare</v>
      </c>
      <c r="C168" s="2019" t="str">
        <f>'NORTH-1'!C1007</f>
        <v xml:space="preserve">11 kV </v>
      </c>
      <c r="D168" s="2019">
        <f>'NORTH-1'!D1007</f>
        <v>0</v>
      </c>
      <c r="E168" s="2019">
        <f>'NORTH-1'!E1007</f>
        <v>0</v>
      </c>
      <c r="F168" s="791">
        <f>'NORTH-1'!F1007</f>
        <v>1</v>
      </c>
      <c r="G168" s="791">
        <f>'NORTH-1'!G1007</f>
        <v>0</v>
      </c>
      <c r="H168" s="791">
        <f>'NORTH-1'!H1007</f>
        <v>0</v>
      </c>
      <c r="I168" s="791">
        <f>'NORTH-1'!I1007</f>
        <v>0</v>
      </c>
      <c r="J168" s="791">
        <f>'NORTH-1'!J1007</f>
        <v>1</v>
      </c>
      <c r="K168" s="791">
        <f>'NORTH-1'!K1007</f>
        <v>0</v>
      </c>
      <c r="L168" s="791">
        <f>'NORTH-1'!L1007</f>
        <v>0</v>
      </c>
      <c r="M168" s="791">
        <f>'NORTH-1'!M1007</f>
        <v>0</v>
      </c>
      <c r="N168" s="2019">
        <f>'NORTH-1'!N1007</f>
        <v>0</v>
      </c>
      <c r="O168" s="2019" t="str">
        <f>Sheet2!$C$42</f>
        <v>BGB 33/11 KV S/S</v>
      </c>
    </row>
    <row r="169" spans="1:15" x14ac:dyDescent="0.35">
      <c r="A169" s="2019">
        <f>'NORTH-1'!A1008</f>
        <v>14</v>
      </c>
      <c r="B169" s="2019" t="str">
        <f>'NORTH-1'!B1008</f>
        <v>Spare</v>
      </c>
      <c r="C169" s="2019" t="str">
        <f>'NORTH-1'!C1008</f>
        <v xml:space="preserve">11 kV </v>
      </c>
      <c r="D169" s="2019">
        <f>'NORTH-1'!D1008</f>
        <v>0</v>
      </c>
      <c r="E169" s="2019">
        <f>'NORTH-1'!E1008</f>
        <v>0</v>
      </c>
      <c r="F169" s="791">
        <f>'NORTH-1'!F1008</f>
        <v>1</v>
      </c>
      <c r="G169" s="791">
        <f>'NORTH-1'!G1008</f>
        <v>0</v>
      </c>
      <c r="H169" s="791">
        <f>'NORTH-1'!H1008</f>
        <v>0</v>
      </c>
      <c r="I169" s="791">
        <f>'NORTH-1'!I1008</f>
        <v>0</v>
      </c>
      <c r="J169" s="791">
        <f>'NORTH-1'!J1008</f>
        <v>1</v>
      </c>
      <c r="K169" s="791">
        <f>'NORTH-1'!K1008</f>
        <v>0</v>
      </c>
      <c r="L169" s="791">
        <f>'NORTH-1'!L1008</f>
        <v>0</v>
      </c>
      <c r="M169" s="791">
        <f>'NORTH-1'!M1008</f>
        <v>0</v>
      </c>
      <c r="N169" s="2019">
        <f>'NORTH-1'!N1008</f>
        <v>0</v>
      </c>
      <c r="O169" s="2019" t="str">
        <f>Sheet2!$C$42</f>
        <v>BGB 33/11 KV S/S</v>
      </c>
    </row>
    <row r="170" spans="1:15" x14ac:dyDescent="0.35">
      <c r="A170" s="2019">
        <f>'NORTH-1'!A1009</f>
        <v>15</v>
      </c>
      <c r="B170" s="2019" t="str">
        <f>'NORTH-1'!B1009</f>
        <v>Nababgonj Park</v>
      </c>
      <c r="C170" s="2019" t="str">
        <f>'NORTH-1'!C1009</f>
        <v xml:space="preserve">11 kV </v>
      </c>
      <c r="D170" s="2019">
        <f>'NORTH-1'!D1009</f>
        <v>0</v>
      </c>
      <c r="E170" s="2019">
        <f>'NORTH-1'!E1009</f>
        <v>0</v>
      </c>
      <c r="F170" s="791">
        <f>'NORTH-1'!F1009</f>
        <v>1</v>
      </c>
      <c r="G170" s="791">
        <f>'NORTH-1'!G1009</f>
        <v>1179134</v>
      </c>
      <c r="H170" s="791">
        <f>'NORTH-1'!H1009</f>
        <v>1784511</v>
      </c>
      <c r="I170" s="791">
        <f>'NORTH-1'!I1009</f>
        <v>605377</v>
      </c>
      <c r="J170" s="791">
        <f>'NORTH-1'!J1009</f>
        <v>1</v>
      </c>
      <c r="K170" s="791">
        <f>'NORTH-1'!K1009</f>
        <v>0</v>
      </c>
      <c r="L170" s="791">
        <f>'NORTH-1'!L1009</f>
        <v>605377</v>
      </c>
      <c r="M170" s="791">
        <f>'NORTH-1'!M1009</f>
        <v>0</v>
      </c>
      <c r="N170" s="2019" t="str">
        <f>'NORTH-1'!N1009</f>
        <v>Azimpur</v>
      </c>
      <c r="O170" s="2019" t="str">
        <f>Sheet2!$C$42</f>
        <v>BGB 33/11 KV S/S</v>
      </c>
    </row>
    <row r="171" spans="1:15" x14ac:dyDescent="0.35">
      <c r="A171" s="2019">
        <f>'NORTH-1'!A1010</f>
        <v>16</v>
      </c>
      <c r="B171" s="2019" t="str">
        <f>'NORTH-1'!B1010</f>
        <v>Kholamura Ghat</v>
      </c>
      <c r="C171" s="2019" t="str">
        <f>'NORTH-1'!C1010</f>
        <v xml:space="preserve">11 kV </v>
      </c>
      <c r="D171" s="2019">
        <f>'NORTH-1'!D1010</f>
        <v>0</v>
      </c>
      <c r="E171" s="2019">
        <f>'NORTH-1'!E1010</f>
        <v>0</v>
      </c>
      <c r="F171" s="791">
        <f>'NORTH-1'!F1010</f>
        <v>1</v>
      </c>
      <c r="G171" s="791">
        <f>'NORTH-1'!G1010</f>
        <v>56405080</v>
      </c>
      <c r="H171" s="791">
        <f>'NORTH-1'!H1010</f>
        <v>58920840</v>
      </c>
      <c r="I171" s="791">
        <f>'NORTH-1'!I1010</f>
        <v>2515760</v>
      </c>
      <c r="J171" s="791">
        <f>'NORTH-1'!J1010</f>
        <v>1</v>
      </c>
      <c r="K171" s="791">
        <f>'NORTH-1'!K1010</f>
        <v>0</v>
      </c>
      <c r="L171" s="791">
        <f>'NORTH-1'!L1010</f>
        <v>2515760</v>
      </c>
      <c r="M171" s="791">
        <f>'NORTH-1'!M1010</f>
        <v>0</v>
      </c>
      <c r="N171" s="2019" t="str">
        <f>'NORTH-1'!N1010</f>
        <v>Kamrangirchar</v>
      </c>
      <c r="O171" s="2019" t="str">
        <f>Sheet2!$C$42</f>
        <v>BGB 33/11 KV S/S</v>
      </c>
    </row>
    <row r="172" spans="1:15" x14ac:dyDescent="0.35">
      <c r="A172" s="2019">
        <f>'NORTH-1'!A1011</f>
        <v>17</v>
      </c>
      <c r="B172" s="2019" t="str">
        <f>'NORTH-1'!B1011</f>
        <v>Khalpar</v>
      </c>
      <c r="C172" s="2019" t="str">
        <f>'NORTH-1'!C1011</f>
        <v xml:space="preserve">11 kV </v>
      </c>
      <c r="D172" s="2019">
        <f>'NORTH-1'!D1011</f>
        <v>0</v>
      </c>
      <c r="E172" s="2019">
        <f>'NORTH-1'!E1011</f>
        <v>0</v>
      </c>
      <c r="F172" s="791">
        <f>'NORTH-1'!F1011</f>
        <v>1</v>
      </c>
      <c r="G172" s="791">
        <f>'NORTH-1'!G1011</f>
        <v>72510848</v>
      </c>
      <c r="H172" s="791">
        <f>'NORTH-1'!H1011</f>
        <v>74601168</v>
      </c>
      <c r="I172" s="791">
        <f>'NORTH-1'!I1011</f>
        <v>2090320</v>
      </c>
      <c r="J172" s="791">
        <f>'NORTH-1'!J1011</f>
        <v>1</v>
      </c>
      <c r="K172" s="791">
        <f>'NORTH-1'!K1011</f>
        <v>0</v>
      </c>
      <c r="L172" s="791">
        <f>'NORTH-1'!L1011</f>
        <v>2090320</v>
      </c>
      <c r="M172" s="791">
        <f>'NORTH-1'!M1011</f>
        <v>0</v>
      </c>
      <c r="N172" s="2019" t="str">
        <f>'NORTH-1'!N1011</f>
        <v>Kamrangirchar</v>
      </c>
      <c r="O172" s="2019" t="str">
        <f>Sheet2!$C$42</f>
        <v>BGB 33/11 KV S/S</v>
      </c>
    </row>
    <row r="173" spans="1:15" x14ac:dyDescent="0.35">
      <c r="A173" s="2019">
        <f>'NORTH-1'!A1012</f>
        <v>18</v>
      </c>
      <c r="B173" s="2019" t="str">
        <f>'NORTH-1'!B1012</f>
        <v>Shahidnagar</v>
      </c>
      <c r="C173" s="2019" t="str">
        <f>'NORTH-1'!C1012</f>
        <v xml:space="preserve">11 kV </v>
      </c>
      <c r="D173" s="2019">
        <f>'NORTH-1'!D1012</f>
        <v>0</v>
      </c>
      <c r="E173" s="2019">
        <f>'NORTH-1'!E1012</f>
        <v>0</v>
      </c>
      <c r="F173" s="791">
        <f>'NORTH-1'!F1012</f>
        <v>1</v>
      </c>
      <c r="G173" s="791">
        <f>'NORTH-1'!G1012</f>
        <v>2767563</v>
      </c>
      <c r="H173" s="791">
        <f>'NORTH-1'!H1012</f>
        <v>4320282</v>
      </c>
      <c r="I173" s="791">
        <f>'NORTH-1'!I1012</f>
        <v>1552719</v>
      </c>
      <c r="J173" s="791">
        <f>'NORTH-1'!J1012</f>
        <v>1</v>
      </c>
      <c r="K173" s="791">
        <f>'NORTH-1'!K1012</f>
        <v>0</v>
      </c>
      <c r="L173" s="791">
        <f>'NORTH-1'!L1012</f>
        <v>1552719</v>
      </c>
      <c r="M173" s="791">
        <f>'NORTH-1'!M1012</f>
        <v>0</v>
      </c>
      <c r="N173" s="2019" t="str">
        <f>'NORTH-1'!N1012</f>
        <v>Azimpur</v>
      </c>
      <c r="O173" s="2019" t="str">
        <f>Sheet2!$C$42</f>
        <v>BGB 33/11 KV S/S</v>
      </c>
    </row>
    <row r="174" spans="1:15" x14ac:dyDescent="0.35">
      <c r="A174" s="2019">
        <f>'NORTH-1'!A1013</f>
        <v>19</v>
      </c>
      <c r="B174" s="2019" t="str">
        <f>'NORTH-1'!B1013</f>
        <v>BGB 1  No Gate</v>
      </c>
      <c r="C174" s="2019" t="str">
        <f>'NORTH-1'!C1013</f>
        <v xml:space="preserve">11 kV </v>
      </c>
      <c r="D174" s="2019">
        <f>'NORTH-1'!D1013</f>
        <v>0</v>
      </c>
      <c r="E174" s="2019">
        <f>'NORTH-1'!E1013</f>
        <v>0</v>
      </c>
      <c r="F174" s="791">
        <f>'NORTH-1'!F1013</f>
        <v>1</v>
      </c>
      <c r="G174" s="791">
        <f>'NORTH-1'!G1013</f>
        <v>23717000</v>
      </c>
      <c r="H174" s="791">
        <f>'NORTH-1'!H1013</f>
        <v>24498900</v>
      </c>
      <c r="I174" s="791">
        <f>'NORTH-1'!I1013</f>
        <v>781900</v>
      </c>
      <c r="J174" s="791">
        <f>'NORTH-1'!J1013</f>
        <v>1</v>
      </c>
      <c r="K174" s="791">
        <f>'NORTH-1'!K1013</f>
        <v>0</v>
      </c>
      <c r="L174" s="791">
        <f>'NORTH-1'!L1013</f>
        <v>781900</v>
      </c>
      <c r="M174" s="791">
        <f>'NORTH-1'!M1013</f>
        <v>0</v>
      </c>
      <c r="N174" s="2019" t="str">
        <f>'NORTH-1'!N1013</f>
        <v>Azimpur</v>
      </c>
      <c r="O174" s="2019" t="str">
        <f>Sheet2!$C$42</f>
        <v>BGB 33/11 KV S/S</v>
      </c>
    </row>
    <row r="175" spans="1:15" x14ac:dyDescent="0.35">
      <c r="A175" s="2019">
        <f>'NORTH-1'!A1014</f>
        <v>21</v>
      </c>
      <c r="B175" s="2019" t="str">
        <f>'NORTH-1'!B1014</f>
        <v>Ganaktuli</v>
      </c>
      <c r="C175" s="2019" t="str">
        <f>'NORTH-1'!C1014</f>
        <v xml:space="preserve">11 kV </v>
      </c>
      <c r="D175" s="2019">
        <f>'NORTH-1'!D1014</f>
        <v>0</v>
      </c>
      <c r="E175" s="2019">
        <f>'NORTH-1'!E1014</f>
        <v>0</v>
      </c>
      <c r="F175" s="791">
        <f>'NORTH-1'!F1014</f>
        <v>1</v>
      </c>
      <c r="G175" s="791">
        <f>'NORTH-1'!G1014</f>
        <v>18407070</v>
      </c>
      <c r="H175" s="791">
        <f>'NORTH-1'!H1014</f>
        <v>18834870</v>
      </c>
      <c r="I175" s="791">
        <f>'NORTH-1'!I1014</f>
        <v>427800</v>
      </c>
      <c r="J175" s="791">
        <f>'NORTH-1'!J1014</f>
        <v>1</v>
      </c>
      <c r="K175" s="791">
        <f>'NORTH-1'!K1014</f>
        <v>0</v>
      </c>
      <c r="L175" s="791">
        <f>'NORTH-1'!L1014</f>
        <v>427800</v>
      </c>
      <c r="M175" s="791">
        <f>'NORTH-1'!M1014</f>
        <v>0</v>
      </c>
      <c r="N175" s="2019" t="str">
        <f>'NORTH-1'!N1014</f>
        <v xml:space="preserve">Jigatola </v>
      </c>
      <c r="O175" s="2019" t="str">
        <f>Sheet2!$C$42</f>
        <v>BGB 33/11 KV S/S</v>
      </c>
    </row>
    <row r="176" spans="1:15" x14ac:dyDescent="0.35">
      <c r="A176" s="2019">
        <f>'NORTH-1'!A1015</f>
        <v>22</v>
      </c>
      <c r="B176" s="2019" t="str">
        <f>'NORTH-1'!B1015</f>
        <v>Thana</v>
      </c>
      <c r="C176" s="2019" t="str">
        <f>'NORTH-1'!C1015</f>
        <v xml:space="preserve">11 kV </v>
      </c>
      <c r="D176" s="2019">
        <f>'NORTH-1'!D1015</f>
        <v>0</v>
      </c>
      <c r="E176" s="2019">
        <f>'NORTH-1'!E1015</f>
        <v>0</v>
      </c>
      <c r="F176" s="791">
        <f>'NORTH-1'!F1015</f>
        <v>1</v>
      </c>
      <c r="G176" s="791">
        <f>'NORTH-1'!G1015</f>
        <v>0</v>
      </c>
      <c r="H176" s="791">
        <f>'NORTH-1'!H1015</f>
        <v>0</v>
      </c>
      <c r="I176" s="791">
        <f>'NORTH-1'!I1015</f>
        <v>0</v>
      </c>
      <c r="J176" s="791">
        <f>'NORTH-1'!J1015</f>
        <v>1</v>
      </c>
      <c r="K176" s="791">
        <f>'NORTH-1'!K1015</f>
        <v>0</v>
      </c>
      <c r="L176" s="791">
        <f>'NORTH-1'!L1015</f>
        <v>0</v>
      </c>
      <c r="M176" s="791">
        <f>'NORTH-1'!M1015</f>
        <v>0</v>
      </c>
      <c r="N176" s="2019">
        <f>'NORTH-1'!N1015</f>
        <v>0</v>
      </c>
      <c r="O176" s="2019" t="str">
        <f>Sheet2!$C$42</f>
        <v>BGB 33/11 KV S/S</v>
      </c>
    </row>
    <row r="177" spans="1:15" x14ac:dyDescent="0.35">
      <c r="A177" s="2019">
        <f>'NORTH-1'!A1016</f>
        <v>23</v>
      </c>
      <c r="B177" s="2019" t="str">
        <f>'NORTH-1'!B1016</f>
        <v>Bot Tola Mazar</v>
      </c>
      <c r="C177" s="2019" t="str">
        <f>'NORTH-1'!C1016</f>
        <v xml:space="preserve">11 kV </v>
      </c>
      <c r="D177" s="2019">
        <f>'NORTH-1'!D1016</f>
        <v>0</v>
      </c>
      <c r="E177" s="2019">
        <f>'NORTH-1'!E1016</f>
        <v>0</v>
      </c>
      <c r="F177" s="791">
        <f>'NORTH-1'!F1016</f>
        <v>1</v>
      </c>
      <c r="G177" s="791">
        <f>'NORTH-1'!G1016</f>
        <v>19846892</v>
      </c>
      <c r="H177" s="791">
        <f>'NORTH-1'!H1016</f>
        <v>20879095</v>
      </c>
      <c r="I177" s="791">
        <f>'NORTH-1'!I1016</f>
        <v>1032203</v>
      </c>
      <c r="J177" s="791">
        <f>'NORTH-1'!J1016</f>
        <v>1</v>
      </c>
      <c r="K177" s="791">
        <f>'NORTH-1'!K1016</f>
        <v>0</v>
      </c>
      <c r="L177" s="791">
        <f>'NORTH-1'!L1016</f>
        <v>1032203</v>
      </c>
      <c r="M177" s="791">
        <f>'NORTH-1'!M1016</f>
        <v>0</v>
      </c>
      <c r="N177" s="2019" t="str">
        <f>'NORTH-1'!N1016</f>
        <v xml:space="preserve">Jigatola </v>
      </c>
      <c r="O177" s="2019" t="str">
        <f>Sheet2!$C$42</f>
        <v>BGB 33/11 KV S/S</v>
      </c>
    </row>
    <row r="178" spans="1:15" x14ac:dyDescent="0.35">
      <c r="A178" s="2019">
        <f>'NORTH-1'!A1017</f>
        <v>24</v>
      </c>
      <c r="B178" s="2019" t="str">
        <f>'NORTH-1'!B1017</f>
        <v>Sikder Medical</v>
      </c>
      <c r="C178" s="2019" t="str">
        <f>'NORTH-1'!C1017</f>
        <v xml:space="preserve">11 kV </v>
      </c>
      <c r="D178" s="2019">
        <f>'NORTH-1'!D1017</f>
        <v>0</v>
      </c>
      <c r="E178" s="2019">
        <f>'NORTH-1'!E1017</f>
        <v>0</v>
      </c>
      <c r="F178" s="791">
        <f>'NORTH-1'!F1017</f>
        <v>1</v>
      </c>
      <c r="G178" s="791">
        <f>'NORTH-1'!G1017</f>
        <v>27315780</v>
      </c>
      <c r="H178" s="791">
        <f>'NORTH-1'!H1017</f>
        <v>28097670</v>
      </c>
      <c r="I178" s="791">
        <f>'NORTH-1'!I1017</f>
        <v>781890</v>
      </c>
      <c r="J178" s="791">
        <f>'NORTH-1'!J1017</f>
        <v>1</v>
      </c>
      <c r="K178" s="791">
        <f>'NORTH-1'!K1017</f>
        <v>0</v>
      </c>
      <c r="L178" s="791">
        <f>'NORTH-1'!L1017</f>
        <v>781890</v>
      </c>
      <c r="M178" s="791">
        <f>'NORTH-1'!M1017</f>
        <v>0</v>
      </c>
      <c r="N178" s="2019" t="str">
        <f>'NORTH-1'!N1017</f>
        <v xml:space="preserve">Jigatola </v>
      </c>
      <c r="O178" s="2019" t="str">
        <f>Sheet2!$C$42</f>
        <v>BGB 33/11 KV S/S</v>
      </c>
    </row>
    <row r="179" spans="1:15" x14ac:dyDescent="0.35">
      <c r="A179" s="2019">
        <f>'NORTH-1'!A1018</f>
        <v>25</v>
      </c>
      <c r="B179" s="2019" t="str">
        <f>'NORTH-1'!B1018</f>
        <v>Gas Field</v>
      </c>
      <c r="C179" s="2019" t="str">
        <f>'NORTH-1'!C1018</f>
        <v xml:space="preserve">11 kV </v>
      </c>
      <c r="D179" s="2019">
        <f>'NORTH-1'!D1018</f>
        <v>0</v>
      </c>
      <c r="E179" s="2019">
        <f>'NORTH-1'!E1018</f>
        <v>0</v>
      </c>
      <c r="F179" s="791">
        <f>'NORTH-1'!F1018</f>
        <v>1</v>
      </c>
      <c r="G179" s="791">
        <f>'NORTH-1'!G1018</f>
        <v>40331520</v>
      </c>
      <c r="H179" s="791">
        <f>'NORTH-1'!H1018</f>
        <v>41550400</v>
      </c>
      <c r="I179" s="791">
        <f>'NORTH-1'!I1018</f>
        <v>1218880</v>
      </c>
      <c r="J179" s="791">
        <f>'NORTH-1'!J1018</f>
        <v>1</v>
      </c>
      <c r="K179" s="791">
        <f>'NORTH-1'!K1018</f>
        <v>0</v>
      </c>
      <c r="L179" s="791">
        <f>'NORTH-1'!L1018</f>
        <v>1218880</v>
      </c>
      <c r="M179" s="791">
        <f>'NORTH-1'!M1018</f>
        <v>0</v>
      </c>
      <c r="N179" s="2019" t="str">
        <f>'NORTH-1'!N1018</f>
        <v>Kamrangirchar</v>
      </c>
      <c r="O179" s="2019" t="str">
        <f>Sheet2!$C$42</f>
        <v>BGB 33/11 KV S/S</v>
      </c>
    </row>
    <row r="180" spans="1:15" x14ac:dyDescent="0.35">
      <c r="A180" s="2019">
        <f>'NORTH-1'!A1019</f>
        <v>26</v>
      </c>
      <c r="B180" s="2019" t="str">
        <f>'NORTH-1'!B1019</f>
        <v>Hazaribagh</v>
      </c>
      <c r="C180" s="2019" t="str">
        <f>'NORTH-1'!C1019</f>
        <v xml:space="preserve">11 kV </v>
      </c>
      <c r="D180" s="2019">
        <f>'NORTH-1'!D1019</f>
        <v>0</v>
      </c>
      <c r="E180" s="2019">
        <f>'NORTH-1'!E1019</f>
        <v>0</v>
      </c>
      <c r="F180" s="791">
        <f>'NORTH-1'!F1019</f>
        <v>1</v>
      </c>
      <c r="G180" s="791">
        <f>'NORTH-1'!G1019</f>
        <v>30057520</v>
      </c>
      <c r="H180" s="791">
        <f>'NORTH-1'!H1019</f>
        <v>30923590</v>
      </c>
      <c r="I180" s="791">
        <f>'NORTH-1'!I1019</f>
        <v>866070</v>
      </c>
      <c r="J180" s="791">
        <f>'NORTH-1'!J1019</f>
        <v>1</v>
      </c>
      <c r="K180" s="791">
        <f>'NORTH-1'!K1019</f>
        <v>0</v>
      </c>
      <c r="L180" s="791">
        <f>'NORTH-1'!L1019</f>
        <v>866070</v>
      </c>
      <c r="M180" s="791">
        <f>'NORTH-1'!M1019</f>
        <v>0</v>
      </c>
      <c r="N180" s="2019" t="str">
        <f>'NORTH-1'!N1019</f>
        <v xml:space="preserve">Jigatola </v>
      </c>
      <c r="O180" s="2019" t="str">
        <f>Sheet2!$C$42</f>
        <v>BGB 33/11 KV S/S</v>
      </c>
    </row>
    <row r="181" spans="1:15" x14ac:dyDescent="0.35">
      <c r="A181" s="2019">
        <f>'NORTH-1'!A1020</f>
        <v>27</v>
      </c>
      <c r="B181" s="2019" t="str">
        <f>'NORTH-1'!B1020</f>
        <v>Spare</v>
      </c>
      <c r="C181" s="2019" t="str">
        <f>'NORTH-1'!C1020</f>
        <v xml:space="preserve">11 kV </v>
      </c>
      <c r="D181" s="2019">
        <f>'NORTH-1'!D1020</f>
        <v>0</v>
      </c>
      <c r="E181" s="2019">
        <f>'NORTH-1'!E1020</f>
        <v>0</v>
      </c>
      <c r="F181" s="791">
        <f>'NORTH-1'!F1020</f>
        <v>1</v>
      </c>
      <c r="G181" s="791">
        <f>'NORTH-1'!G1020</f>
        <v>0</v>
      </c>
      <c r="H181" s="791">
        <f>'NORTH-1'!H1020</f>
        <v>0</v>
      </c>
      <c r="I181" s="791">
        <f>'NORTH-1'!I1020</f>
        <v>0</v>
      </c>
      <c r="J181" s="791">
        <f>'NORTH-1'!J1020</f>
        <v>1</v>
      </c>
      <c r="K181" s="791">
        <f>'NORTH-1'!K1020</f>
        <v>0</v>
      </c>
      <c r="L181" s="791">
        <f>'NORTH-1'!L1020</f>
        <v>0</v>
      </c>
      <c r="M181" s="791">
        <f>'NORTH-1'!M1020</f>
        <v>0</v>
      </c>
      <c r="N181" s="2019">
        <f>'NORTH-1'!N1020</f>
        <v>0</v>
      </c>
      <c r="O181" s="2019" t="str">
        <f>Sheet2!$C$42</f>
        <v>BGB 33/11 KV S/S</v>
      </c>
    </row>
    <row r="182" spans="1:15" x14ac:dyDescent="0.35">
      <c r="A182" s="2019">
        <f>'NORTH-1'!A1021</f>
        <v>28</v>
      </c>
      <c r="B182" s="2019" t="str">
        <f>'NORTH-1'!B1021</f>
        <v>Spare</v>
      </c>
      <c r="C182" s="2019" t="str">
        <f>'NORTH-1'!C1021</f>
        <v xml:space="preserve">11 kV </v>
      </c>
      <c r="D182" s="2019">
        <f>'NORTH-1'!D1021</f>
        <v>0</v>
      </c>
      <c r="E182" s="2019">
        <f>'NORTH-1'!E1021</f>
        <v>0</v>
      </c>
      <c r="F182" s="791">
        <f>'NORTH-1'!F1021</f>
        <v>1</v>
      </c>
      <c r="G182" s="791">
        <f>'NORTH-1'!G1021</f>
        <v>0</v>
      </c>
      <c r="H182" s="791">
        <f>'NORTH-1'!H1021</f>
        <v>0</v>
      </c>
      <c r="I182" s="791">
        <f>'NORTH-1'!I1021</f>
        <v>0</v>
      </c>
      <c r="J182" s="791">
        <f>'NORTH-1'!J1021</f>
        <v>1</v>
      </c>
      <c r="K182" s="791">
        <f>'NORTH-1'!K1021</f>
        <v>0</v>
      </c>
      <c r="L182" s="791">
        <f>'NORTH-1'!L1021</f>
        <v>0</v>
      </c>
      <c r="M182" s="791">
        <f>'NORTH-1'!M1021</f>
        <v>0</v>
      </c>
      <c r="N182" s="2019">
        <f>'NORTH-1'!N1021</f>
        <v>0</v>
      </c>
      <c r="O182" s="2019" t="str">
        <f>Sheet2!$C$42</f>
        <v>BGB 33/11 KV S/S</v>
      </c>
    </row>
    <row r="183" spans="1:15" x14ac:dyDescent="0.35">
      <c r="A183" s="2019">
        <f>'NORTH-1'!A1022</f>
        <v>31</v>
      </c>
      <c r="B183" s="2019" t="str">
        <f>'NORTH-1'!B1022</f>
        <v>11/0.4 kV Aux. Transformer AT-1</v>
      </c>
      <c r="C183" s="2019" t="str">
        <f>'NORTH-1'!C1022</f>
        <v>0.4 kV</v>
      </c>
      <c r="D183" s="2019">
        <f>'NORTH-1'!D1022</f>
        <v>0</v>
      </c>
      <c r="E183" s="2019">
        <f>'NORTH-1'!E1022</f>
        <v>0</v>
      </c>
      <c r="F183" s="791">
        <f>'NORTH-1'!F1022</f>
        <v>1</v>
      </c>
      <c r="G183" s="791">
        <f>'NORTH-1'!G1022</f>
        <v>1687.35</v>
      </c>
      <c r="H183" s="791">
        <f>'NORTH-1'!H1022</f>
        <v>1732.84</v>
      </c>
      <c r="I183" s="791">
        <f>'NORTH-1'!I1022</f>
        <v>45.490000000000009</v>
      </c>
      <c r="J183" s="791">
        <f>'NORTH-1'!J1022</f>
        <v>10</v>
      </c>
      <c r="K183" s="791">
        <f>'NORTH-1'!K1022</f>
        <v>0</v>
      </c>
      <c r="L183" s="791">
        <f>'NORTH-1'!L1022</f>
        <v>454.90000000000009</v>
      </c>
      <c r="M183" s="791">
        <f>'NORTH-1'!M1022</f>
        <v>0</v>
      </c>
      <c r="N183" s="2019">
        <f>'NORTH-1'!N1022</f>
        <v>0</v>
      </c>
      <c r="O183" s="2019" t="str">
        <f>Sheet2!$C$42</f>
        <v>BGB 33/11 KV S/S</v>
      </c>
    </row>
    <row r="184" spans="1:15" x14ac:dyDescent="0.35">
      <c r="A184" s="2019">
        <f>'NORTH-1'!A1023</f>
        <v>32</v>
      </c>
      <c r="B184" s="2019" t="str">
        <f>'NORTH-1'!B1023</f>
        <v>11/0.4 kV Aux. Transformer AT-2</v>
      </c>
      <c r="C184" s="2019" t="str">
        <f>'NORTH-1'!C1023</f>
        <v>0.4 kV</v>
      </c>
      <c r="D184" s="2019">
        <f>'NORTH-1'!D1023</f>
        <v>0</v>
      </c>
      <c r="E184" s="2019">
        <f>'NORTH-1'!E1023</f>
        <v>0</v>
      </c>
      <c r="F184" s="791">
        <f>'NORTH-1'!F1023</f>
        <v>1</v>
      </c>
      <c r="G184" s="791">
        <f>'NORTH-1'!G1023</f>
        <v>1298.42</v>
      </c>
      <c r="H184" s="791">
        <f>'NORTH-1'!H1023</f>
        <v>1342.14</v>
      </c>
      <c r="I184" s="791">
        <f>'NORTH-1'!I1023</f>
        <v>43.720000000000027</v>
      </c>
      <c r="J184" s="791">
        <f>'NORTH-1'!J1023</f>
        <v>10</v>
      </c>
      <c r="K184" s="791">
        <f>'NORTH-1'!K1023</f>
        <v>0</v>
      </c>
      <c r="L184" s="791">
        <f>'NORTH-1'!L1023</f>
        <v>437.20000000000027</v>
      </c>
      <c r="M184" s="791">
        <f>'NORTH-1'!M1023</f>
        <v>0</v>
      </c>
      <c r="N184" s="2019">
        <f>'NORTH-1'!N1023</f>
        <v>0</v>
      </c>
      <c r="O184" s="2019" t="str">
        <f>Sheet2!$C$42</f>
        <v>BGB 33/11 KV S/S</v>
      </c>
    </row>
    <row r="185" spans="1:15" x14ac:dyDescent="0.35">
      <c r="A185" s="2019">
        <f>'NORTH-1'!A1132</f>
        <v>0</v>
      </c>
      <c r="B185" s="2019" t="str">
        <f>'NORTH-1'!B1132</f>
        <v>Salek Garden</v>
      </c>
      <c r="C185" s="2019" t="str">
        <f>'NORTH-1'!C1132</f>
        <v>11 kV</v>
      </c>
      <c r="D185" s="2019">
        <f>'NORTH-1'!D1132</f>
        <v>0</v>
      </c>
      <c r="E185" s="2019">
        <f>'NORTH-1'!E1132</f>
        <v>2761</v>
      </c>
      <c r="F185" s="791">
        <f>'NORTH-1'!F1132</f>
        <v>1</v>
      </c>
      <c r="G185" s="791">
        <f>'NORTH-1'!G1132</f>
        <v>325.64999999999998</v>
      </c>
      <c r="H185" s="791">
        <f>'NORTH-1'!H1132</f>
        <v>348.37</v>
      </c>
      <c r="I185" s="791">
        <f>'NORTH-1'!I1132</f>
        <v>22.720000000000027</v>
      </c>
      <c r="J185" s="791">
        <f>'NORTH-1'!J1132</f>
        <v>60000</v>
      </c>
      <c r="K185" s="791">
        <f>'NORTH-1'!K1132</f>
        <v>0</v>
      </c>
      <c r="L185" s="791">
        <f>'NORTH-1'!L1132</f>
        <v>1363200.0000000016</v>
      </c>
      <c r="M185" s="791">
        <f>'NORTH-1'!M1132</f>
        <v>0</v>
      </c>
      <c r="N185" s="2019" t="str">
        <f>'NORTH-1'!N1132</f>
        <v>Jigatola</v>
      </c>
      <c r="O185" s="2019" t="str">
        <f>Sheet2!$C$45</f>
        <v>Jigatola New 33/11 KV S/S</v>
      </c>
    </row>
    <row r="186" spans="1:15" x14ac:dyDescent="0.35">
      <c r="A186" s="2019">
        <f>'NORTH-1'!A1133</f>
        <v>4</v>
      </c>
      <c r="B186" s="2019" t="str">
        <f>'NORTH-1'!B1133</f>
        <v>Jigatola Local</v>
      </c>
      <c r="C186" s="2019" t="str">
        <f>'NORTH-1'!C1133</f>
        <v>11 kV</v>
      </c>
      <c r="D186" s="2019">
        <f>'NORTH-1'!D1133</f>
        <v>0</v>
      </c>
      <c r="E186" s="2019">
        <f>'NORTH-1'!E1133</f>
        <v>2850</v>
      </c>
      <c r="F186" s="791">
        <f>'NORTH-1'!F1133</f>
        <v>1</v>
      </c>
      <c r="G186" s="791">
        <f>'NORTH-1'!G1133</f>
        <v>279.51</v>
      </c>
      <c r="H186" s="791">
        <f>'NORTH-1'!H1133</f>
        <v>296.52</v>
      </c>
      <c r="I186" s="791">
        <f>'NORTH-1'!I1133</f>
        <v>17.009999999999991</v>
      </c>
      <c r="J186" s="791">
        <f>'NORTH-1'!J1133</f>
        <v>60000</v>
      </c>
      <c r="K186" s="791">
        <f>'NORTH-1'!K1133</f>
        <v>0</v>
      </c>
      <c r="L186" s="791">
        <f>'NORTH-1'!L1133</f>
        <v>1020599.9999999994</v>
      </c>
      <c r="M186" s="791">
        <f>'NORTH-1'!M1133</f>
        <v>0</v>
      </c>
      <c r="N186" s="2019" t="str">
        <f>'NORTH-1'!N1133</f>
        <v>Jigatola</v>
      </c>
      <c r="O186" s="2019" t="str">
        <f>Sheet2!$C$45</f>
        <v>Jigatola New 33/11 KV S/S</v>
      </c>
    </row>
    <row r="187" spans="1:15" x14ac:dyDescent="0.35">
      <c r="A187" s="2019">
        <f>'NORTH-1'!A1134</f>
        <v>5</v>
      </c>
      <c r="B187" s="2019" t="str">
        <f>'NORTH-1'!B1134</f>
        <v>Modina Rayer Bazar</v>
      </c>
      <c r="C187" s="2019" t="str">
        <f>'NORTH-1'!C1134</f>
        <v>11 kV</v>
      </c>
      <c r="D187" s="2019">
        <f>'NORTH-1'!D1134</f>
        <v>0</v>
      </c>
      <c r="E187" s="2019">
        <f>'NORTH-1'!E1134</f>
        <v>2851</v>
      </c>
      <c r="F187" s="791">
        <f>'NORTH-1'!F1134</f>
        <v>1</v>
      </c>
      <c r="G187" s="791">
        <f>'NORTH-1'!G1134</f>
        <v>491.39</v>
      </c>
      <c r="H187" s="791">
        <f>'NORTH-1'!H1134</f>
        <v>520.61</v>
      </c>
      <c r="I187" s="791">
        <f>'NORTH-1'!I1134</f>
        <v>29.220000000000027</v>
      </c>
      <c r="J187" s="791">
        <f>'NORTH-1'!J1134</f>
        <v>60000</v>
      </c>
      <c r="K187" s="791">
        <f>'NORTH-1'!K1134</f>
        <v>0</v>
      </c>
      <c r="L187" s="791">
        <f>'NORTH-1'!L1134</f>
        <v>1753200.0000000016</v>
      </c>
      <c r="M187" s="791">
        <f>'NORTH-1'!M1134</f>
        <v>0</v>
      </c>
      <c r="N187" s="2019" t="str">
        <f>'NORTH-1'!N1134</f>
        <v>Jigatola _ Dhanmondi</v>
      </c>
      <c r="O187" s="2019" t="str">
        <f>Sheet2!$C$45</f>
        <v>Jigatola New 33/11 KV S/S</v>
      </c>
    </row>
    <row r="188" spans="1:15" x14ac:dyDescent="0.35">
      <c r="A188" s="2019">
        <f>'NORTH-1'!A1135</f>
        <v>6</v>
      </c>
      <c r="B188" s="2019" t="str">
        <f>'NORTH-1'!B1135</f>
        <v>City College</v>
      </c>
      <c r="C188" s="2019" t="str">
        <f>'NORTH-1'!C1135</f>
        <v>11 kV</v>
      </c>
      <c r="D188" s="2019">
        <f>'NORTH-1'!D1135</f>
        <v>0</v>
      </c>
      <c r="E188" s="2019">
        <f>'NORTH-1'!E1135</f>
        <v>2784</v>
      </c>
      <c r="F188" s="791">
        <f>'NORTH-1'!F1135</f>
        <v>1</v>
      </c>
      <c r="G188" s="791">
        <f>'NORTH-1'!G1135</f>
        <v>300.27999999999997</v>
      </c>
      <c r="H188" s="791">
        <f>'NORTH-1'!H1135</f>
        <v>318.7</v>
      </c>
      <c r="I188" s="791">
        <f>'NORTH-1'!I1135</f>
        <v>18.420000000000016</v>
      </c>
      <c r="J188" s="791">
        <f>'NORTH-1'!J1135</f>
        <v>60000</v>
      </c>
      <c r="K188" s="791">
        <f>'NORTH-1'!K1135</f>
        <v>0</v>
      </c>
      <c r="L188" s="791">
        <f>'NORTH-1'!L1135</f>
        <v>1105200.0000000009</v>
      </c>
      <c r="M188" s="791">
        <f>'NORTH-1'!M1135</f>
        <v>0</v>
      </c>
      <c r="N188" s="2019" t="str">
        <f>'NORTH-1'!N1135</f>
        <v>Jigatola</v>
      </c>
      <c r="O188" s="2019" t="str">
        <f>Sheet2!$C$45</f>
        <v>Jigatola New 33/11 KV S/S</v>
      </c>
    </row>
    <row r="189" spans="1:15" x14ac:dyDescent="0.35">
      <c r="A189" s="2019">
        <f>'NORTH-1'!A1136</f>
        <v>7</v>
      </c>
      <c r="B189" s="2019" t="str">
        <f>'NORTH-1'!B1136</f>
        <v>Spare</v>
      </c>
      <c r="C189" s="2019" t="str">
        <f>'NORTH-1'!C1136</f>
        <v>11 kV</v>
      </c>
      <c r="D189" s="2019">
        <f>'NORTH-1'!D1136</f>
        <v>0</v>
      </c>
      <c r="E189" s="2019">
        <f>'NORTH-1'!E1136</f>
        <v>2799</v>
      </c>
      <c r="F189" s="791">
        <f>'NORTH-1'!F1136</f>
        <v>1</v>
      </c>
      <c r="G189" s="791">
        <f>'NORTH-1'!G1136</f>
        <v>0</v>
      </c>
      <c r="H189" s="791">
        <f>'NORTH-1'!H1136</f>
        <v>0</v>
      </c>
      <c r="I189" s="791">
        <f>'NORTH-1'!I1136</f>
        <v>0</v>
      </c>
      <c r="J189" s="791">
        <f>'NORTH-1'!J1136</f>
        <v>60000</v>
      </c>
      <c r="K189" s="791">
        <f>'NORTH-1'!K1136</f>
        <v>0</v>
      </c>
      <c r="L189" s="791">
        <f>'NORTH-1'!L1136</f>
        <v>0</v>
      </c>
      <c r="M189" s="791">
        <f>'NORTH-1'!M1136</f>
        <v>0</v>
      </c>
      <c r="N189" s="2019" t="str">
        <f>'NORTH-1'!N1136</f>
        <v>Jigatola</v>
      </c>
      <c r="O189" s="2019" t="str">
        <f>Sheet2!$C$45</f>
        <v>Jigatola New 33/11 KV S/S</v>
      </c>
    </row>
    <row r="190" spans="1:15" x14ac:dyDescent="0.35">
      <c r="A190" s="2019">
        <f>'NORTH-1'!A1137</f>
        <v>8</v>
      </c>
      <c r="B190" s="2019" t="str">
        <f>'NORTH-1'!B1137</f>
        <v>Spare</v>
      </c>
      <c r="C190" s="2019" t="str">
        <f>'NORTH-1'!C1137</f>
        <v>11 kV</v>
      </c>
      <c r="D190" s="2019">
        <f>'NORTH-1'!D1137</f>
        <v>0</v>
      </c>
      <c r="E190" s="2019">
        <f>'NORTH-1'!E1137</f>
        <v>2775</v>
      </c>
      <c r="F190" s="791">
        <f>'NORTH-1'!F1137</f>
        <v>1</v>
      </c>
      <c r="G190" s="791">
        <f>'NORTH-1'!G1137</f>
        <v>0</v>
      </c>
      <c r="H190" s="791">
        <f>'NORTH-1'!H1137</f>
        <v>0</v>
      </c>
      <c r="I190" s="791">
        <f>'NORTH-1'!I1137</f>
        <v>0</v>
      </c>
      <c r="J190" s="791">
        <f>'NORTH-1'!J1137</f>
        <v>60000</v>
      </c>
      <c r="K190" s="791">
        <f>'NORTH-1'!K1137</f>
        <v>0</v>
      </c>
      <c r="L190" s="791">
        <f>'NORTH-1'!L1137</f>
        <v>0</v>
      </c>
      <c r="M190" s="791">
        <f>'NORTH-1'!M1137</f>
        <v>0</v>
      </c>
      <c r="N190" s="2019" t="str">
        <f>'NORTH-1'!N1137</f>
        <v>Jigatola</v>
      </c>
      <c r="O190" s="2019" t="str">
        <f>Sheet2!$C$45</f>
        <v>Jigatola New 33/11 KV S/S</v>
      </c>
    </row>
    <row r="191" spans="1:15" x14ac:dyDescent="0.35">
      <c r="A191" s="2019">
        <f>'NORTH-1'!A1138</f>
        <v>10</v>
      </c>
      <c r="B191" s="2019" t="str">
        <f>'NORTH-1'!B1138</f>
        <v xml:space="preserve">Post Office </v>
      </c>
      <c r="C191" s="2019" t="str">
        <f>'NORTH-1'!C1138</f>
        <v>11 kV</v>
      </c>
      <c r="D191" s="2019">
        <f>'NORTH-1'!D1138</f>
        <v>0</v>
      </c>
      <c r="E191" s="2019">
        <f>'NORTH-1'!E1138</f>
        <v>2836</v>
      </c>
      <c r="F191" s="791">
        <f>'NORTH-1'!F1138</f>
        <v>1</v>
      </c>
      <c r="G191" s="791">
        <f>'NORTH-1'!G1138</f>
        <v>209.05</v>
      </c>
      <c r="H191" s="791">
        <f>'NORTH-1'!H1138</f>
        <v>225.66</v>
      </c>
      <c r="I191" s="791">
        <f>'NORTH-1'!I1138</f>
        <v>16.609999999999985</v>
      </c>
      <c r="J191" s="791">
        <f>'NORTH-1'!J1138</f>
        <v>60000</v>
      </c>
      <c r="K191" s="791">
        <f>'NORTH-1'!K1138</f>
        <v>0</v>
      </c>
      <c r="L191" s="791">
        <f>'NORTH-1'!L1138</f>
        <v>996599.99999999907</v>
      </c>
      <c r="M191" s="791">
        <f>'NORTH-1'!M1138</f>
        <v>0</v>
      </c>
      <c r="N191" s="2019" t="str">
        <f>'NORTH-1'!N1138</f>
        <v>Jigatola</v>
      </c>
      <c r="O191" s="2019" t="str">
        <f>Sheet2!$C$45</f>
        <v>Jigatola New 33/11 KV S/S</v>
      </c>
    </row>
    <row r="192" spans="1:15" x14ac:dyDescent="0.35">
      <c r="A192" s="2019">
        <f>'NORTH-1'!A1139</f>
        <v>11</v>
      </c>
      <c r="B192" s="2019" t="str">
        <f>'NORTH-1'!B1139</f>
        <v>Leather Institute</v>
      </c>
      <c r="C192" s="2019" t="str">
        <f>'NORTH-1'!C1139</f>
        <v>11 kV</v>
      </c>
      <c r="D192" s="2019">
        <f>'NORTH-1'!D1139</f>
        <v>0</v>
      </c>
      <c r="E192" s="2019">
        <f>'NORTH-1'!E1139</f>
        <v>2835</v>
      </c>
      <c r="F192" s="791">
        <f>'NORTH-1'!F1139</f>
        <v>1</v>
      </c>
      <c r="G192" s="791">
        <f>'NORTH-1'!G1139</f>
        <v>41.72</v>
      </c>
      <c r="H192" s="791">
        <f>'NORTH-1'!H1139</f>
        <v>44.71</v>
      </c>
      <c r="I192" s="791">
        <f>'NORTH-1'!I1139</f>
        <v>2.990000000000002</v>
      </c>
      <c r="J192" s="791">
        <f>'NORTH-1'!J1139</f>
        <v>60000</v>
      </c>
      <c r="K192" s="791">
        <f>'NORTH-1'!K1139</f>
        <v>0</v>
      </c>
      <c r="L192" s="791">
        <f>'NORTH-1'!L1139</f>
        <v>179400.00000000012</v>
      </c>
      <c r="M192" s="791">
        <f>'NORTH-1'!M1139</f>
        <v>0</v>
      </c>
      <c r="N192" s="2019" t="str">
        <f>'NORTH-1'!N1139</f>
        <v>Jigatola</v>
      </c>
      <c r="O192" s="2019" t="str">
        <f>Sheet2!$C$45</f>
        <v>Jigatola New 33/11 KV S/S</v>
      </c>
    </row>
    <row r="193" spans="1:15" x14ac:dyDescent="0.35">
      <c r="A193" s="2019">
        <f>'NORTH-1'!A1140</f>
        <v>12</v>
      </c>
      <c r="B193" s="2019" t="str">
        <f>'NORTH-1'!B1140</f>
        <v>Mina Bazar</v>
      </c>
      <c r="C193" s="2019" t="str">
        <f>'NORTH-1'!C1140</f>
        <v>11 kV</v>
      </c>
      <c r="D193" s="2019">
        <f>'NORTH-1'!D1140</f>
        <v>0</v>
      </c>
      <c r="E193" s="2019">
        <f>'NORTH-1'!E1140</f>
        <v>2853</v>
      </c>
      <c r="F193" s="791">
        <f>'NORTH-1'!F1140</f>
        <v>1</v>
      </c>
      <c r="G193" s="791">
        <f>'NORTH-1'!G1140</f>
        <v>116.66</v>
      </c>
      <c r="H193" s="791">
        <f>'NORTH-1'!H1140</f>
        <v>123.56</v>
      </c>
      <c r="I193" s="791">
        <f>'NORTH-1'!I1140</f>
        <v>6.9000000000000057</v>
      </c>
      <c r="J193" s="791">
        <f>'NORTH-1'!J1140</f>
        <v>60000</v>
      </c>
      <c r="K193" s="791">
        <f>'NORTH-1'!K1140</f>
        <v>0</v>
      </c>
      <c r="L193" s="791">
        <f>'NORTH-1'!L1140</f>
        <v>414000.00000000035</v>
      </c>
      <c r="M193" s="791">
        <f>'NORTH-1'!M1140</f>
        <v>0</v>
      </c>
      <c r="N193" s="2019" t="str">
        <f>'NORTH-1'!N1140</f>
        <v>Jigatola</v>
      </c>
      <c r="O193" s="2019" t="str">
        <f>Sheet2!$C$45</f>
        <v>Jigatola New 33/11 KV S/S</v>
      </c>
    </row>
    <row r="194" spans="1:15" x14ac:dyDescent="0.35">
      <c r="A194" s="2019">
        <f>'NORTH-1'!A1141</f>
        <v>13</v>
      </c>
      <c r="B194" s="2019" t="str">
        <f>'NORTH-1'!B1141</f>
        <v>Mitali</v>
      </c>
      <c r="C194" s="2019" t="str">
        <f>'NORTH-1'!C1141</f>
        <v>11 kV</v>
      </c>
      <c r="D194" s="2019">
        <f>'NORTH-1'!D1141</f>
        <v>0</v>
      </c>
      <c r="E194" s="2019">
        <f>'NORTH-1'!E1141</f>
        <v>2852</v>
      </c>
      <c r="F194" s="791">
        <f>'NORTH-1'!F1141</f>
        <v>1</v>
      </c>
      <c r="G194" s="791">
        <f>'NORTH-1'!G1141</f>
        <v>179.98</v>
      </c>
      <c r="H194" s="791">
        <f>'NORTH-1'!H1141</f>
        <v>179.98</v>
      </c>
      <c r="I194" s="791">
        <f>'NORTH-1'!I1141</f>
        <v>0</v>
      </c>
      <c r="J194" s="791">
        <f>'NORTH-1'!J1141</f>
        <v>60000</v>
      </c>
      <c r="K194" s="791">
        <f>'NORTH-1'!K1141</f>
        <v>0</v>
      </c>
      <c r="L194" s="791">
        <f>'NORTH-1'!L1141</f>
        <v>0</v>
      </c>
      <c r="M194" s="791">
        <f>'NORTH-1'!M1141</f>
        <v>0</v>
      </c>
      <c r="N194" s="2019" t="str">
        <f>'NORTH-1'!N1141</f>
        <v>Jigatola</v>
      </c>
      <c r="O194" s="2019" t="str">
        <f>Sheet2!$C$45</f>
        <v>Jigatola New 33/11 KV S/S</v>
      </c>
    </row>
    <row r="195" spans="1:15" x14ac:dyDescent="0.35">
      <c r="A195" s="2019">
        <f>'NORTH-1'!A1142</f>
        <v>14</v>
      </c>
      <c r="B195" s="2019" t="str">
        <f>'NORTH-1'!B1142</f>
        <v>Road-2</v>
      </c>
      <c r="C195" s="2019" t="str">
        <f>'NORTH-1'!C1142</f>
        <v>11 kV</v>
      </c>
      <c r="D195" s="2019">
        <f>'NORTH-1'!D1142</f>
        <v>0</v>
      </c>
      <c r="E195" s="2019">
        <f>'NORTH-1'!E1142</f>
        <v>2839</v>
      </c>
      <c r="F195" s="791">
        <f>'NORTH-1'!F1142</f>
        <v>1</v>
      </c>
      <c r="G195" s="791">
        <f>'NORTH-1'!G1142</f>
        <v>367.56</v>
      </c>
      <c r="H195" s="791">
        <f>'NORTH-1'!H1142</f>
        <v>390.6</v>
      </c>
      <c r="I195" s="791">
        <f>'NORTH-1'!I1142</f>
        <v>23.04000000000002</v>
      </c>
      <c r="J195" s="791">
        <f>'NORTH-1'!J1142</f>
        <v>60000</v>
      </c>
      <c r="K195" s="791">
        <f>'NORTH-1'!K1142</f>
        <v>0</v>
      </c>
      <c r="L195" s="791">
        <f>'NORTH-1'!L1142</f>
        <v>1382400.0000000012</v>
      </c>
      <c r="M195" s="791">
        <f>'NORTH-1'!M1142</f>
        <v>0</v>
      </c>
      <c r="N195" s="2019" t="str">
        <f>'NORTH-1'!N1142</f>
        <v>Jigatola</v>
      </c>
      <c r="O195" s="2019" t="str">
        <f>Sheet2!$C$45</f>
        <v>Jigatola New 33/11 KV S/S</v>
      </c>
    </row>
    <row r="196" spans="1:15" x14ac:dyDescent="0.35">
      <c r="A196" s="2019">
        <f>'NORTH-1'!A1143</f>
        <v>15</v>
      </c>
      <c r="B196" s="2019" t="str">
        <f>'NORTH-1'!B1143</f>
        <v>SS-2</v>
      </c>
      <c r="C196" s="2019" t="str">
        <f>'NORTH-1'!C1143</f>
        <v>11 kV</v>
      </c>
      <c r="D196" s="2019">
        <f>'NORTH-1'!D1143</f>
        <v>0</v>
      </c>
      <c r="E196" s="2019">
        <f>'NORTH-1'!E1143</f>
        <v>2838</v>
      </c>
      <c r="F196" s="791">
        <f>'NORTH-1'!F1143</f>
        <v>1</v>
      </c>
      <c r="G196" s="791">
        <f>'NORTH-1'!G1143</f>
        <v>155.84</v>
      </c>
      <c r="H196" s="791">
        <f>'NORTH-1'!H1143</f>
        <v>170.27</v>
      </c>
      <c r="I196" s="791">
        <f>'NORTH-1'!I1143</f>
        <v>14.430000000000007</v>
      </c>
      <c r="J196" s="791">
        <f>'NORTH-1'!J1143</f>
        <v>60000</v>
      </c>
      <c r="K196" s="791">
        <f>'NORTH-1'!K1143</f>
        <v>0</v>
      </c>
      <c r="L196" s="791">
        <f>'NORTH-1'!L1143</f>
        <v>865800.00000000047</v>
      </c>
      <c r="M196" s="791">
        <f>'NORTH-1'!M1143</f>
        <v>0</v>
      </c>
      <c r="N196" s="2019" t="str">
        <f>'NORTH-1'!N1143</f>
        <v>Jigatola</v>
      </c>
      <c r="O196" s="2019" t="str">
        <f>Sheet2!$C$45</f>
        <v>Jigatola New 33/11 KV S/S</v>
      </c>
    </row>
    <row r="197" spans="1:15" x14ac:dyDescent="0.35">
      <c r="A197" s="2019">
        <f>'NORTH-1'!A1144</f>
        <v>16</v>
      </c>
      <c r="B197" s="2019" t="str">
        <f>'NORTH-1'!B1144</f>
        <v>Spare</v>
      </c>
      <c r="C197" s="2019" t="str">
        <f>'NORTH-1'!C1144</f>
        <v>11 kV</v>
      </c>
      <c r="D197" s="2019">
        <f>'NORTH-1'!D1144</f>
        <v>0</v>
      </c>
      <c r="E197" s="2019">
        <f>'NORTH-1'!E1144</f>
        <v>2772</v>
      </c>
      <c r="F197" s="791">
        <f>'NORTH-1'!F1144</f>
        <v>1</v>
      </c>
      <c r="G197" s="791">
        <f>'NORTH-1'!G1144</f>
        <v>0</v>
      </c>
      <c r="H197" s="791">
        <f>'NORTH-1'!H1144</f>
        <v>0</v>
      </c>
      <c r="I197" s="791">
        <f>'NORTH-1'!I1144</f>
        <v>0</v>
      </c>
      <c r="J197" s="791">
        <f>'NORTH-1'!J1144</f>
        <v>60000</v>
      </c>
      <c r="K197" s="791">
        <f>'NORTH-1'!K1144</f>
        <v>0</v>
      </c>
      <c r="L197" s="791">
        <f>'NORTH-1'!L1144</f>
        <v>0</v>
      </c>
      <c r="M197" s="791">
        <f>'NORTH-1'!M1144</f>
        <v>0</v>
      </c>
      <c r="N197" s="2019" t="str">
        <f>'NORTH-1'!N1144</f>
        <v>Jigatola</v>
      </c>
      <c r="O197" s="2019" t="str">
        <f>Sheet2!$C$45</f>
        <v>Jigatola New 33/11 KV S/S</v>
      </c>
    </row>
    <row r="198" spans="1:15" x14ac:dyDescent="0.35">
      <c r="A198" s="2019">
        <f>'NORTH-1'!A1145</f>
        <v>17</v>
      </c>
      <c r="B198" s="2019" t="str">
        <f>'NORTH-1'!B1145</f>
        <v>Bou Bazar</v>
      </c>
      <c r="C198" s="2019" t="str">
        <f>'NORTH-1'!C1145</f>
        <v>11 kV</v>
      </c>
      <c r="D198" s="2019">
        <f>'NORTH-1'!D1145</f>
        <v>0</v>
      </c>
      <c r="E198" s="2019">
        <f>'NORTH-1'!E1145</f>
        <v>2843</v>
      </c>
      <c r="F198" s="791">
        <f>'NORTH-1'!F1145</f>
        <v>1</v>
      </c>
      <c r="G198" s="791">
        <f>'NORTH-1'!G1145</f>
        <v>296.3</v>
      </c>
      <c r="H198" s="791">
        <f>'NORTH-1'!H1145</f>
        <v>314.63</v>
      </c>
      <c r="I198" s="791">
        <f>'NORTH-1'!I1145</f>
        <v>18.329999999999984</v>
      </c>
      <c r="J198" s="791">
        <f>'NORTH-1'!J1145</f>
        <v>60000</v>
      </c>
      <c r="K198" s="791">
        <f>'NORTH-1'!K1145</f>
        <v>0</v>
      </c>
      <c r="L198" s="791">
        <f>'NORTH-1'!L1145</f>
        <v>1099799.9999999991</v>
      </c>
      <c r="M198" s="791">
        <f>'NORTH-1'!M1145</f>
        <v>0</v>
      </c>
      <c r="N198" s="2019" t="str">
        <f>'NORTH-1'!N1145</f>
        <v>Jigatola</v>
      </c>
      <c r="O198" s="2019" t="str">
        <f>Sheet2!$C$45</f>
        <v>Jigatola New 33/11 KV S/S</v>
      </c>
    </row>
    <row r="199" spans="1:15" x14ac:dyDescent="0.35">
      <c r="A199" s="2019">
        <f>'NORTH-1'!A1146</f>
        <v>18</v>
      </c>
      <c r="B199" s="2019" t="str">
        <f>'NORTH-1'!B1146</f>
        <v>BGB</v>
      </c>
      <c r="C199" s="2019" t="str">
        <f>'NORTH-1'!C1146</f>
        <v>11 kV</v>
      </c>
      <c r="D199" s="2019">
        <f>'NORTH-1'!D1146</f>
        <v>0</v>
      </c>
      <c r="E199" s="2019">
        <f>'NORTH-1'!E1146</f>
        <v>2764</v>
      </c>
      <c r="F199" s="791">
        <f>'NORTH-1'!F1146</f>
        <v>1</v>
      </c>
      <c r="G199" s="791">
        <f>'NORTH-1'!G1146</f>
        <v>90.83</v>
      </c>
      <c r="H199" s="791">
        <f>'NORTH-1'!H1146</f>
        <v>97.95</v>
      </c>
      <c r="I199" s="791">
        <f>'NORTH-1'!I1146</f>
        <v>7.1200000000000045</v>
      </c>
      <c r="J199" s="791">
        <f>'NORTH-1'!J1146</f>
        <v>60000</v>
      </c>
      <c r="K199" s="791">
        <f>'NORTH-1'!K1146</f>
        <v>0</v>
      </c>
      <c r="L199" s="791">
        <f>'NORTH-1'!L1146</f>
        <v>427200.00000000029</v>
      </c>
      <c r="M199" s="791">
        <f>'NORTH-1'!M1146</f>
        <v>0</v>
      </c>
      <c r="N199" s="2019" t="str">
        <f>'NORTH-1'!N1146</f>
        <v>Jigatola</v>
      </c>
      <c r="O199" s="2019" t="str">
        <f>Sheet2!$C$45</f>
        <v>Jigatola New 33/11 KV S/S</v>
      </c>
    </row>
    <row r="200" spans="1:15" x14ac:dyDescent="0.35">
      <c r="A200" s="2019">
        <f>'NORTH-1'!A1147</f>
        <v>19</v>
      </c>
      <c r="B200" s="2019" t="str">
        <f>'NORTH-1'!B1147</f>
        <v>Dhamondi-12</v>
      </c>
      <c r="C200" s="2019" t="str">
        <f>'NORTH-1'!C1147</f>
        <v>11 kV</v>
      </c>
      <c r="D200" s="2019">
        <f>'NORTH-1'!D1147</f>
        <v>0</v>
      </c>
      <c r="E200" s="2019">
        <f>'NORTH-1'!E1147</f>
        <v>2763</v>
      </c>
      <c r="F200" s="791">
        <f>'NORTH-1'!F1147</f>
        <v>1</v>
      </c>
      <c r="G200" s="791">
        <f>'NORTH-1'!G1147</f>
        <v>233.1</v>
      </c>
      <c r="H200" s="791">
        <f>'NORTH-1'!H1147</f>
        <v>250.49</v>
      </c>
      <c r="I200" s="791">
        <f>'NORTH-1'!I1147</f>
        <v>17.390000000000015</v>
      </c>
      <c r="J200" s="791">
        <f>'NORTH-1'!J1147</f>
        <v>60000</v>
      </c>
      <c r="K200" s="791">
        <f>'NORTH-1'!K1147</f>
        <v>0</v>
      </c>
      <c r="L200" s="791">
        <f>'NORTH-1'!L1147</f>
        <v>1043400.0000000009</v>
      </c>
      <c r="M200" s="791">
        <f>'NORTH-1'!M1147</f>
        <v>0</v>
      </c>
      <c r="N200" s="2019" t="str">
        <f>'NORTH-1'!N1147</f>
        <v>Dhanmondi</v>
      </c>
      <c r="O200" s="2019" t="str">
        <f>Sheet2!$C$45</f>
        <v>Jigatola New 33/11 KV S/S</v>
      </c>
    </row>
    <row r="201" spans="1:15" x14ac:dyDescent="0.35">
      <c r="A201" s="2019">
        <f>'NORTH-1'!A1212</f>
        <v>6</v>
      </c>
      <c r="B201" s="2019" t="str">
        <f>'NORTH-1'!B1212</f>
        <v>Lalmatia Sw/S(Dhanmondi Road 12A)</v>
      </c>
      <c r="C201" s="2019" t="str">
        <f>'NORTH-1'!C1212</f>
        <v xml:space="preserve">11 kV </v>
      </c>
      <c r="D201" s="2019">
        <f>'NORTH-1'!D1212</f>
        <v>0</v>
      </c>
      <c r="E201" s="2019" t="str">
        <f>'NORTH-1'!E1212</f>
        <v>DHK60907</v>
      </c>
      <c r="F201" s="791">
        <f>'NORTH-1'!F1212</f>
        <v>1</v>
      </c>
      <c r="G201" s="791">
        <f>'NORTH-1'!G1212</f>
        <v>419.75</v>
      </c>
      <c r="H201" s="791">
        <f>'NORTH-1'!H1212</f>
        <v>419.75</v>
      </c>
      <c r="I201" s="791">
        <f>'NORTH-1'!I1212</f>
        <v>0</v>
      </c>
      <c r="J201" s="791">
        <f>'NORTH-1'!J1212</f>
        <v>60000</v>
      </c>
      <c r="K201" s="791">
        <f>'NORTH-1'!K1212</f>
        <v>0</v>
      </c>
      <c r="L201" s="791">
        <f>'NORTH-1'!L1212</f>
        <v>0</v>
      </c>
      <c r="M201" s="791">
        <f>'NORTH-1'!M1212</f>
        <v>0</v>
      </c>
      <c r="N201" s="2019" t="str">
        <f>'NORTH-1'!N1212</f>
        <v>Lalmatia SW</v>
      </c>
      <c r="O201" s="2019" t="str">
        <f>Sheet2!$C$20</f>
        <v>Jigatola 33/11KV S/S</v>
      </c>
    </row>
    <row r="202" spans="1:15" x14ac:dyDescent="0.35">
      <c r="A202" s="2019">
        <f>'NORTH-1'!A1213</f>
        <v>0</v>
      </c>
      <c r="B202" s="2019" t="str">
        <f>'NORTH-1'!B1213</f>
        <v>Mitali Road</v>
      </c>
      <c r="C202" s="2019" t="str">
        <f>'NORTH-1'!C1213</f>
        <v xml:space="preserve">11 kV </v>
      </c>
      <c r="D202" s="2019">
        <f>'NORTH-1'!D1213</f>
        <v>0</v>
      </c>
      <c r="E202" s="2019" t="str">
        <f>'NORTH-1'!E1213</f>
        <v>DHK66479</v>
      </c>
      <c r="F202" s="791">
        <f>'NORTH-1'!F1213</f>
        <v>1</v>
      </c>
      <c r="G202" s="791">
        <f>'NORTH-1'!G1213</f>
        <v>1881260</v>
      </c>
      <c r="H202" s="791">
        <f>'NORTH-1'!H1213</f>
        <v>1881260</v>
      </c>
      <c r="I202" s="791">
        <f>'NORTH-1'!I1213</f>
        <v>0</v>
      </c>
      <c r="J202" s="791">
        <f>'NORTH-1'!J1213</f>
        <v>60</v>
      </c>
      <c r="K202" s="791">
        <f>'NORTH-1'!K1213</f>
        <v>0</v>
      </c>
      <c r="L202" s="791">
        <f>'NORTH-1'!L1213</f>
        <v>0</v>
      </c>
      <c r="M202" s="791">
        <f>'NORTH-1'!M1213</f>
        <v>0</v>
      </c>
      <c r="N202" s="2019" t="str">
        <f>'NORTH-1'!N1213</f>
        <v>Jigatola</v>
      </c>
      <c r="O202" s="2019" t="str">
        <f>Sheet2!$C$20</f>
        <v>Jigatola 33/11KV S/S</v>
      </c>
    </row>
    <row r="203" spans="1:15" x14ac:dyDescent="0.35">
      <c r="A203" s="2019">
        <f>'NORTH-1'!A1214</f>
        <v>7</v>
      </c>
      <c r="B203" s="2019" t="str">
        <f>'NORTH-1'!B1214</f>
        <v>Bou Bazar</v>
      </c>
      <c r="C203" s="2019" t="str">
        <f>'NORTH-1'!C1214</f>
        <v xml:space="preserve">11 kV </v>
      </c>
      <c r="D203" s="2019">
        <f>'NORTH-1'!D1214</f>
        <v>0</v>
      </c>
      <c r="E203" s="2019">
        <f>'NORTH-1'!E1214</f>
        <v>0</v>
      </c>
      <c r="F203" s="791">
        <f>'NORTH-1'!F1214</f>
        <v>1</v>
      </c>
      <c r="G203" s="791">
        <f>'NORTH-1'!G1214</f>
        <v>3016.79</v>
      </c>
      <c r="H203" s="791">
        <f>'NORTH-1'!H1214</f>
        <v>3016.79</v>
      </c>
      <c r="I203" s="791">
        <f>'NORTH-1'!I1214</f>
        <v>0</v>
      </c>
      <c r="J203" s="791">
        <f>'NORTH-1'!J1214</f>
        <v>60000</v>
      </c>
      <c r="K203" s="791">
        <f>'NORTH-1'!K1214</f>
        <v>0</v>
      </c>
      <c r="L203" s="791">
        <f>'NORTH-1'!L1214</f>
        <v>0</v>
      </c>
      <c r="M203" s="791">
        <f>'NORTH-1'!M1214</f>
        <v>0</v>
      </c>
      <c r="N203" s="2019" t="str">
        <f>'NORTH-1'!N1214</f>
        <v>Jigatola</v>
      </c>
      <c r="O203" s="2019" t="str">
        <f>Sheet2!$C$20</f>
        <v>Jigatola 33/11KV S/S</v>
      </c>
    </row>
    <row r="204" spans="1:15" x14ac:dyDescent="0.35">
      <c r="A204" s="2019">
        <f>'NORTH-1'!A1215</f>
        <v>8</v>
      </c>
      <c r="B204" s="2019" t="str">
        <f>'NORTH-1'!B1215</f>
        <v>Mina Bazar</v>
      </c>
      <c r="C204" s="2019" t="str">
        <f>'NORTH-1'!C1215</f>
        <v xml:space="preserve">11 kV </v>
      </c>
      <c r="D204" s="2019">
        <f>'NORTH-1'!D1215</f>
        <v>0</v>
      </c>
      <c r="E204" s="2019" t="str">
        <f>'NORTH-1'!E1215</f>
        <v>DHK</v>
      </c>
      <c r="F204" s="791">
        <f>'NORTH-1'!F1215</f>
        <v>1</v>
      </c>
      <c r="G204" s="791">
        <f>'NORTH-1'!G1215</f>
        <v>1269937</v>
      </c>
      <c r="H204" s="791">
        <f>'NORTH-1'!H1215</f>
        <v>1269937</v>
      </c>
      <c r="I204" s="791">
        <f>'NORTH-1'!I1215</f>
        <v>0</v>
      </c>
      <c r="J204" s="791">
        <f>'NORTH-1'!J1215</f>
        <v>60</v>
      </c>
      <c r="K204" s="791">
        <f>'NORTH-1'!K1215</f>
        <v>0</v>
      </c>
      <c r="L204" s="791">
        <f>'NORTH-1'!L1215</f>
        <v>0</v>
      </c>
      <c r="M204" s="791">
        <f>'NORTH-1'!M1215</f>
        <v>0</v>
      </c>
      <c r="N204" s="2019" t="str">
        <f>'NORTH-1'!N1215</f>
        <v>Jigatola</v>
      </c>
      <c r="O204" s="2019" t="str">
        <f>Sheet2!$C$20</f>
        <v>Jigatola 33/11KV S/S</v>
      </c>
    </row>
    <row r="205" spans="1:15" x14ac:dyDescent="0.35">
      <c r="A205" s="2019">
        <f>'NORTH-1'!A1216</f>
        <v>10</v>
      </c>
      <c r="B205" s="2019" t="str">
        <f>'NORTH-1'!B1216</f>
        <v>Spare</v>
      </c>
      <c r="C205" s="2019" t="str">
        <f>'NORTH-1'!C1216</f>
        <v xml:space="preserve">11 kV </v>
      </c>
      <c r="D205" s="2019">
        <f>'NORTH-1'!D1216</f>
        <v>0</v>
      </c>
      <c r="E205" s="2019">
        <f>'NORTH-1'!E1216</f>
        <v>0</v>
      </c>
      <c r="F205" s="791">
        <f>'NORTH-1'!F1216</f>
        <v>1</v>
      </c>
      <c r="G205" s="791">
        <f>'NORTH-1'!G1216</f>
        <v>0</v>
      </c>
      <c r="H205" s="791">
        <f>'NORTH-1'!H1216</f>
        <v>0</v>
      </c>
      <c r="I205" s="791">
        <f>'NORTH-1'!I1216</f>
        <v>0</v>
      </c>
      <c r="J205" s="791">
        <f>'NORTH-1'!J1216</f>
        <v>60000</v>
      </c>
      <c r="K205" s="791">
        <f>'NORTH-1'!K1216</f>
        <v>0</v>
      </c>
      <c r="L205" s="791">
        <f>'NORTH-1'!L1216</f>
        <v>0</v>
      </c>
      <c r="M205" s="791">
        <f>'NORTH-1'!M1216</f>
        <v>0</v>
      </c>
      <c r="N205" s="2019" t="str">
        <f>'NORTH-1'!N1216</f>
        <v>Jigatola</v>
      </c>
      <c r="O205" s="2019" t="str">
        <f>Sheet2!$C$20</f>
        <v>Jigatola 33/11KV S/S</v>
      </c>
    </row>
    <row r="206" spans="1:15" x14ac:dyDescent="0.35">
      <c r="A206" s="2019">
        <f>'NORTH-1'!A1217</f>
        <v>11</v>
      </c>
      <c r="B206" s="2019" t="str">
        <f>'NORTH-1'!B1217</f>
        <v>Simanto Square</v>
      </c>
      <c r="C206" s="2019" t="str">
        <f>'NORTH-1'!C1217</f>
        <v xml:space="preserve">11 kV </v>
      </c>
      <c r="D206" s="2019">
        <f>'NORTH-1'!D1217</f>
        <v>0</v>
      </c>
      <c r="E206" s="2019" t="str">
        <f>'NORTH-1'!E1217</f>
        <v>DHK60946</v>
      </c>
      <c r="F206" s="791">
        <f>'NORTH-1'!F1217</f>
        <v>1</v>
      </c>
      <c r="G206" s="791">
        <f>'NORTH-1'!G1217</f>
        <v>1038.93</v>
      </c>
      <c r="H206" s="791">
        <f>'NORTH-1'!H1217</f>
        <v>1050.29</v>
      </c>
      <c r="I206" s="791">
        <f>'NORTH-1'!I1217</f>
        <v>11.3599999999999</v>
      </c>
      <c r="J206" s="791">
        <f>'NORTH-1'!J1217</f>
        <v>60000</v>
      </c>
      <c r="K206" s="791">
        <f>'NORTH-1'!K1217</f>
        <v>0</v>
      </c>
      <c r="L206" s="791">
        <f>'NORTH-1'!L1217</f>
        <v>681599.99999999395</v>
      </c>
      <c r="M206" s="791">
        <f>'NORTH-1'!M1217</f>
        <v>0</v>
      </c>
      <c r="N206" s="2019" t="str">
        <f>'NORTH-1'!N1217</f>
        <v>Jigatola</v>
      </c>
      <c r="O206" s="2019" t="str">
        <f>Sheet2!$C$20</f>
        <v>Jigatola 33/11KV S/S</v>
      </c>
    </row>
    <row r="207" spans="1:15" x14ac:dyDescent="0.35">
      <c r="A207" s="2019">
        <f>'NORTH-1'!A1218</f>
        <v>12</v>
      </c>
      <c r="B207" s="2019" t="str">
        <f>'NORTH-1'!B1218</f>
        <v>Post Office</v>
      </c>
      <c r="C207" s="2019" t="str">
        <f>'NORTH-1'!C1218</f>
        <v xml:space="preserve">11 kV </v>
      </c>
      <c r="D207" s="2019">
        <f>'NORTH-1'!D1218</f>
        <v>0</v>
      </c>
      <c r="E207" s="2019" t="str">
        <f>'NORTH-1'!E1218</f>
        <v>DHK61074</v>
      </c>
      <c r="F207" s="791">
        <f>'NORTH-1'!F1218</f>
        <v>1</v>
      </c>
      <c r="G207" s="791">
        <f>'NORTH-1'!G1218</f>
        <v>2646.35</v>
      </c>
      <c r="H207" s="791">
        <f>'NORTH-1'!H1218</f>
        <v>2646.35</v>
      </c>
      <c r="I207" s="791">
        <f>'NORTH-1'!I1218</f>
        <v>0</v>
      </c>
      <c r="J207" s="791">
        <f>'NORTH-1'!J1218</f>
        <v>60000</v>
      </c>
      <c r="K207" s="791">
        <f>'NORTH-1'!K1218</f>
        <v>0</v>
      </c>
      <c r="L207" s="791">
        <f>'NORTH-1'!L1218</f>
        <v>0</v>
      </c>
      <c r="M207" s="791">
        <f>'NORTH-1'!M1218</f>
        <v>0</v>
      </c>
      <c r="N207" s="2019" t="str">
        <f>'NORTH-1'!N1218</f>
        <v>Jigatola</v>
      </c>
      <c r="O207" s="2019" t="str">
        <f>Sheet2!$C$20</f>
        <v>Jigatola 33/11KV S/S</v>
      </c>
    </row>
    <row r="208" spans="1:15" x14ac:dyDescent="0.35">
      <c r="A208" s="2019">
        <f>'NORTH-1'!A1219</f>
        <v>13</v>
      </c>
      <c r="B208" s="2019" t="str">
        <f>'NORTH-1'!B1219</f>
        <v>Hazaribagh Sw/S-2</v>
      </c>
      <c r="C208" s="2019" t="str">
        <f>'NORTH-1'!C1219</f>
        <v xml:space="preserve">11 kV </v>
      </c>
      <c r="D208" s="2019">
        <f>'NORTH-1'!D1219</f>
        <v>0</v>
      </c>
      <c r="E208" s="2019">
        <f>'NORTH-1'!E1219</f>
        <v>0</v>
      </c>
      <c r="F208" s="791">
        <f>'NORTH-1'!F1219</f>
        <v>1</v>
      </c>
      <c r="G208" s="791">
        <f>'NORTH-1'!G1219</f>
        <v>3248.23</v>
      </c>
      <c r="H208" s="791">
        <f>'NORTH-1'!H1219</f>
        <v>3248.23</v>
      </c>
      <c r="I208" s="791">
        <f>'NORTH-1'!I1219</f>
        <v>0</v>
      </c>
      <c r="J208" s="791">
        <f>'NORTH-1'!J1219</f>
        <v>60000</v>
      </c>
      <c r="K208" s="791">
        <f>'NORTH-1'!K1219</f>
        <v>0</v>
      </c>
      <c r="L208" s="791">
        <f>'NORTH-1'!L1219</f>
        <v>0</v>
      </c>
      <c r="M208" s="791">
        <f>'NORTH-1'!M1219</f>
        <v>0</v>
      </c>
      <c r="N208" s="2019" t="str">
        <f>'NORTH-1'!N1219</f>
        <v>Jigatola</v>
      </c>
      <c r="O208" s="2019" t="str">
        <f>Sheet2!$C$20</f>
        <v>Jigatola 33/11KV S/S</v>
      </c>
    </row>
    <row r="209" spans="1:15" x14ac:dyDescent="0.35">
      <c r="A209" s="2019">
        <f>'NORTH-1'!A1220</f>
        <v>14</v>
      </c>
      <c r="B209" s="2019" t="str">
        <f>'NORTH-1'!B1220</f>
        <v>Green Road Via Park</v>
      </c>
      <c r="C209" s="2019" t="str">
        <f>'NORTH-1'!C1220</f>
        <v xml:space="preserve">11 kV </v>
      </c>
      <c r="D209" s="2019">
        <f>'NORTH-1'!D1220</f>
        <v>0</v>
      </c>
      <c r="E209" s="2019" t="str">
        <f>'NORTH-1'!E1220</f>
        <v>DHK61070</v>
      </c>
      <c r="F209" s="791">
        <f>'NORTH-1'!F1220</f>
        <v>1</v>
      </c>
      <c r="G209" s="791">
        <f>'NORTH-1'!G1220</f>
        <v>3342.82</v>
      </c>
      <c r="H209" s="791">
        <f>'NORTH-1'!H1220</f>
        <v>3351.51</v>
      </c>
      <c r="I209" s="791">
        <f>'NORTH-1'!I1220</f>
        <v>8.6900000000000546</v>
      </c>
      <c r="J209" s="791">
        <f>'NORTH-1'!J1220</f>
        <v>60000</v>
      </c>
      <c r="K209" s="791">
        <f>'NORTH-1'!K1220</f>
        <v>0</v>
      </c>
      <c r="L209" s="791">
        <f>'NORTH-1'!L1220</f>
        <v>521400.00000000326</v>
      </c>
      <c r="M209" s="791">
        <f>'NORTH-1'!M1220</f>
        <v>0</v>
      </c>
      <c r="N209" s="2019" t="str">
        <f>'NORTH-1'!N1220</f>
        <v>Jigatola</v>
      </c>
      <c r="O209" s="2019" t="str">
        <f>Sheet2!$C$20</f>
        <v>Jigatola 33/11KV S/S</v>
      </c>
    </row>
    <row r="210" spans="1:15" x14ac:dyDescent="0.35">
      <c r="A210" s="2019">
        <f>'NORTH-1'!A1221</f>
        <v>15</v>
      </c>
      <c r="B210" s="2019" t="str">
        <f>'NORTH-1'!B1221</f>
        <v>PWD Quarters 
11 kV Saleq Grand</v>
      </c>
      <c r="C210" s="2019" t="str">
        <f>'NORTH-1'!C1221</f>
        <v xml:space="preserve">11 kV </v>
      </c>
      <c r="D210" s="2019">
        <f>'NORTH-1'!D1221</f>
        <v>0</v>
      </c>
      <c r="E210" s="2019" t="str">
        <f>'NORTH-1'!E1221</f>
        <v>DHK61028</v>
      </c>
      <c r="F210" s="791">
        <f>'NORTH-1'!F1221</f>
        <v>1</v>
      </c>
      <c r="G210" s="791">
        <f>'NORTH-1'!G1221</f>
        <v>3623.87</v>
      </c>
      <c r="H210" s="791">
        <f>'NORTH-1'!H1221</f>
        <v>3624.13</v>
      </c>
      <c r="I210" s="791">
        <f>'NORTH-1'!I1221</f>
        <v>0.26000000000021828</v>
      </c>
      <c r="J210" s="791">
        <f>'NORTH-1'!J1221</f>
        <v>60000</v>
      </c>
      <c r="K210" s="791">
        <f>'NORTH-1'!K1221</f>
        <v>0</v>
      </c>
      <c r="L210" s="791">
        <f>'NORTH-1'!L1221</f>
        <v>15600.000000013097</v>
      </c>
      <c r="M210" s="791">
        <f>'NORTH-1'!M1221</f>
        <v>0</v>
      </c>
      <c r="N210" s="2019" t="str">
        <f>'NORTH-1'!N1221</f>
        <v>Jigatola</v>
      </c>
      <c r="O210" s="2019" t="str">
        <f>Sheet2!$C$20</f>
        <v>Jigatola 33/11KV S/S</v>
      </c>
    </row>
    <row r="211" spans="1:15" x14ac:dyDescent="0.35">
      <c r="A211" s="2019">
        <f>'NORTH-1'!A1222</f>
        <v>18</v>
      </c>
      <c r="B211" s="2019" t="str">
        <f>'NORTH-1'!B1222</f>
        <v>Road No.-2</v>
      </c>
      <c r="C211" s="2019" t="str">
        <f>'NORTH-1'!C1222</f>
        <v xml:space="preserve">11 kV </v>
      </c>
      <c r="D211" s="2019">
        <f>'NORTH-1'!D1222</f>
        <v>0</v>
      </c>
      <c r="E211" s="2019" t="str">
        <f>'NORTH-1'!E1222</f>
        <v>DHK61035</v>
      </c>
      <c r="F211" s="791">
        <f>'NORTH-1'!F1222</f>
        <v>1</v>
      </c>
      <c r="G211" s="791">
        <f>'NORTH-1'!G1222</f>
        <v>3030.42</v>
      </c>
      <c r="H211" s="791">
        <f>'NORTH-1'!H1222</f>
        <v>3030.42</v>
      </c>
      <c r="I211" s="791">
        <f>'NORTH-1'!I1222</f>
        <v>0</v>
      </c>
      <c r="J211" s="791">
        <f>'NORTH-1'!J1222</f>
        <v>60000</v>
      </c>
      <c r="K211" s="791">
        <f>'NORTH-1'!K1222</f>
        <v>0</v>
      </c>
      <c r="L211" s="791">
        <f>'NORTH-1'!L1222</f>
        <v>0</v>
      </c>
      <c r="M211" s="791">
        <f>'NORTH-1'!M1222</f>
        <v>0</v>
      </c>
      <c r="N211" s="2019" t="str">
        <f>'NORTH-1'!N1222</f>
        <v>Jigatola</v>
      </c>
      <c r="O211" s="2019" t="str">
        <f>Sheet2!$C$20</f>
        <v>Jigatola 33/11KV S/S</v>
      </c>
    </row>
    <row r="212" spans="1:15" x14ac:dyDescent="0.35">
      <c r="A212" s="2019">
        <f>'NORTH-1'!A1223</f>
        <v>19</v>
      </c>
      <c r="B212" s="2019" t="str">
        <f>'NORTH-1'!B1223</f>
        <v>Hzaribagh O/H</v>
      </c>
      <c r="C212" s="2019" t="str">
        <f>'NORTH-1'!C1223</f>
        <v xml:space="preserve">11 kV </v>
      </c>
      <c r="D212" s="2019">
        <f>'NORTH-1'!D1223</f>
        <v>0</v>
      </c>
      <c r="E212" s="2019" t="str">
        <f>'NORTH-1'!E1223</f>
        <v>DHK61033</v>
      </c>
      <c r="F212" s="791">
        <f>'NORTH-1'!F1223</f>
        <v>1</v>
      </c>
      <c r="G212" s="791">
        <f>'NORTH-1'!G1223</f>
        <v>3258.12</v>
      </c>
      <c r="H212" s="791">
        <f>'NORTH-1'!H1223</f>
        <v>3258.12</v>
      </c>
      <c r="I212" s="791">
        <f>'NORTH-1'!I1223</f>
        <v>0</v>
      </c>
      <c r="J212" s="791">
        <f>'NORTH-1'!J1223</f>
        <v>60000</v>
      </c>
      <c r="K212" s="791">
        <f>'NORTH-1'!K1223</f>
        <v>0</v>
      </c>
      <c r="L212" s="791">
        <f>'NORTH-1'!L1223</f>
        <v>0</v>
      </c>
      <c r="M212" s="791">
        <f>'NORTH-1'!M1223</f>
        <v>0</v>
      </c>
      <c r="N212" s="2019" t="str">
        <f>'NORTH-1'!N1223</f>
        <v>Jigatola</v>
      </c>
      <c r="O212" s="2019" t="str">
        <f>Sheet2!$C$20</f>
        <v>Jigatola 33/11KV S/S</v>
      </c>
    </row>
    <row r="213" spans="1:15" x14ac:dyDescent="0.35">
      <c r="A213" s="2019">
        <f>'NORTH-1'!A1224</f>
        <v>20</v>
      </c>
      <c r="B213" s="2019" t="str">
        <f>'NORTH-1'!B1224</f>
        <v>B.G.B</v>
      </c>
      <c r="C213" s="2019" t="str">
        <f>'NORTH-1'!C1224</f>
        <v xml:space="preserve">11 kV </v>
      </c>
      <c r="D213" s="2019">
        <f>'NORTH-1'!D1224</f>
        <v>0</v>
      </c>
      <c r="E213" s="2019" t="str">
        <f>'NORTH-1'!E1224</f>
        <v>DHK61030</v>
      </c>
      <c r="F213" s="791">
        <f>'NORTH-1'!F1224</f>
        <v>1</v>
      </c>
      <c r="G213" s="791">
        <f>'NORTH-1'!G1224</f>
        <v>1018.31</v>
      </c>
      <c r="H213" s="791">
        <f>'NORTH-1'!H1224</f>
        <v>1018.31</v>
      </c>
      <c r="I213" s="791">
        <f>'NORTH-1'!I1224</f>
        <v>0</v>
      </c>
      <c r="J213" s="791">
        <f>'NORTH-1'!J1224</f>
        <v>60000</v>
      </c>
      <c r="K213" s="791">
        <f>'NORTH-1'!K1224</f>
        <v>0</v>
      </c>
      <c r="L213" s="791">
        <f>'NORTH-1'!L1224</f>
        <v>0</v>
      </c>
      <c r="M213" s="791">
        <f>'NORTH-1'!M1224</f>
        <v>0</v>
      </c>
      <c r="N213" s="2019" t="str">
        <f>'NORTH-1'!N1224</f>
        <v>Jigatola</v>
      </c>
      <c r="O213" s="2019" t="str">
        <f>Sheet2!$C$20</f>
        <v>Jigatola 33/11KV S/S</v>
      </c>
    </row>
    <row r="214" spans="1:15" x14ac:dyDescent="0.35">
      <c r="A214" s="2019">
        <f>'NORTH-1'!A1225</f>
        <v>21</v>
      </c>
      <c r="B214" s="2019" t="str">
        <f>'NORTH-1'!B1225</f>
        <v>11 kV City College</v>
      </c>
      <c r="C214" s="2019" t="str">
        <f>'NORTH-1'!C1225</f>
        <v xml:space="preserve">11 kV </v>
      </c>
      <c r="D214" s="2019">
        <f>'NORTH-1'!D1225</f>
        <v>0</v>
      </c>
      <c r="E214" s="2019" t="str">
        <f>'NORTH-1'!E1225</f>
        <v>DHK61031</v>
      </c>
      <c r="F214" s="791">
        <f>'NORTH-1'!F1225</f>
        <v>1</v>
      </c>
      <c r="G214" s="791">
        <f>'NORTH-1'!G1225</f>
        <v>2400.7600000000002</v>
      </c>
      <c r="H214" s="791">
        <f>'NORTH-1'!H1225</f>
        <v>2400.7600000000002</v>
      </c>
      <c r="I214" s="791">
        <f>'NORTH-1'!I1225</f>
        <v>0</v>
      </c>
      <c r="J214" s="791">
        <f>'NORTH-1'!J1225</f>
        <v>60000</v>
      </c>
      <c r="K214" s="791">
        <f>'NORTH-1'!K1225</f>
        <v>0</v>
      </c>
      <c r="L214" s="791">
        <f>'NORTH-1'!L1225</f>
        <v>0</v>
      </c>
      <c r="M214" s="791">
        <f>'NORTH-1'!M1225</f>
        <v>0</v>
      </c>
      <c r="N214" s="2019" t="str">
        <f>'NORTH-1'!N1225</f>
        <v>Jigatola</v>
      </c>
      <c r="O214" s="2019" t="str">
        <f>Sheet2!$C$20</f>
        <v>Jigatola 33/11KV S/S</v>
      </c>
    </row>
    <row r="215" spans="1:15" x14ac:dyDescent="0.35">
      <c r="A215" s="2019">
        <f>'NORTH-1'!A1226</f>
        <v>22</v>
      </c>
      <c r="B215" s="2019" t="str">
        <f>'NORTH-1'!B1226</f>
        <v>Modina Rayer Bazar</v>
      </c>
      <c r="C215" s="2019" t="str">
        <f>'NORTH-1'!C1226</f>
        <v xml:space="preserve">11 kV </v>
      </c>
      <c r="D215" s="2019">
        <f>'NORTH-1'!D1226</f>
        <v>0</v>
      </c>
      <c r="E215" s="2019" t="str">
        <f>'NORTH-1'!E1226</f>
        <v>DHK61032</v>
      </c>
      <c r="F215" s="791">
        <f>'NORTH-1'!F1226</f>
        <v>1</v>
      </c>
      <c r="G215" s="791">
        <f>'NORTH-1'!G1226</f>
        <v>25153.3</v>
      </c>
      <c r="H215" s="791">
        <f>'NORTH-1'!H1226</f>
        <v>25153.3</v>
      </c>
      <c r="I215" s="791">
        <f>'NORTH-1'!I1226</f>
        <v>0</v>
      </c>
      <c r="J215" s="791">
        <f>'NORTH-1'!J1226</f>
        <v>60</v>
      </c>
      <c r="K215" s="791">
        <f>'NORTH-1'!K1226</f>
        <v>0</v>
      </c>
      <c r="L215" s="791">
        <f>'NORTH-1'!L1226</f>
        <v>0</v>
      </c>
      <c r="M215" s="791">
        <f>'NORTH-1'!M1226</f>
        <v>0</v>
      </c>
      <c r="N215" s="2019" t="str">
        <f>'NORTH-1'!N1226</f>
        <v>Hazaribagh
 11 kv s/s</v>
      </c>
      <c r="O215" s="2019" t="str">
        <f>Sheet2!$C$20</f>
        <v>Jigatola 33/11KV S/S</v>
      </c>
    </row>
    <row r="216" spans="1:15" x14ac:dyDescent="0.35">
      <c r="A216" s="2019">
        <f>'NORTH-1'!A1227</f>
        <v>23</v>
      </c>
      <c r="B216" s="2019" t="str">
        <f>'NORTH-1'!B1227</f>
        <v>Jigatala Local</v>
      </c>
      <c r="C216" s="2019" t="str">
        <f>'NORTH-1'!C1227</f>
        <v xml:space="preserve">11 kV </v>
      </c>
      <c r="D216" s="2019">
        <f>'NORTH-1'!D1227</f>
        <v>0</v>
      </c>
      <c r="E216" s="2019" t="str">
        <f>'NORTH-1'!E1227</f>
        <v>DHK61069</v>
      </c>
      <c r="F216" s="791">
        <f>'NORTH-1'!F1227</f>
        <v>1</v>
      </c>
      <c r="G216" s="791">
        <f>'NORTH-1'!G1227</f>
        <v>2503.2199999999998</v>
      </c>
      <c r="H216" s="791">
        <f>'NORTH-1'!H1227</f>
        <v>2503.2199999999998</v>
      </c>
      <c r="I216" s="791">
        <f>'NORTH-1'!I1227</f>
        <v>0</v>
      </c>
      <c r="J216" s="791">
        <f>'NORTH-1'!J1227</f>
        <v>60000</v>
      </c>
      <c r="K216" s="791">
        <f>'NORTH-1'!K1227</f>
        <v>0</v>
      </c>
      <c r="L216" s="791">
        <f>'NORTH-1'!L1227</f>
        <v>0</v>
      </c>
      <c r="M216" s="791">
        <f>'NORTH-1'!M1227</f>
        <v>0</v>
      </c>
      <c r="N216" s="2019" t="str">
        <f>'NORTH-1'!N1227</f>
        <v>Jigatola</v>
      </c>
      <c r="O216" s="2019" t="str">
        <f>Sheet2!$C$20</f>
        <v>Jigatola 33/11KV S/S</v>
      </c>
    </row>
    <row r="217" spans="1:15" x14ac:dyDescent="0.35">
      <c r="A217" s="2019">
        <f>'NORTH-1'!A1228</f>
        <v>24</v>
      </c>
      <c r="B217" s="2019" t="str">
        <f>'NORTH-1'!B1228</f>
        <v>33/0.4 kV Aux. Transformer AT-1</v>
      </c>
      <c r="C217" s="2019" t="str">
        <f>'NORTH-1'!C1228</f>
        <v>0.4 kV</v>
      </c>
      <c r="D217" s="2019">
        <f>'NORTH-1'!D1228</f>
        <v>0</v>
      </c>
      <c r="E217" s="2019">
        <f>'NORTH-1'!E1228</f>
        <v>243284</v>
      </c>
      <c r="F217" s="791">
        <f>'NORTH-1'!F1228</f>
        <v>1</v>
      </c>
      <c r="G217" s="791">
        <f>'NORTH-1'!G1228</f>
        <v>82605</v>
      </c>
      <c r="H217" s="791">
        <f>'NORTH-1'!H1228</f>
        <v>82605</v>
      </c>
      <c r="I217" s="791">
        <f>'NORTH-1'!I1228</f>
        <v>0</v>
      </c>
      <c r="J217" s="791">
        <f>'NORTH-1'!J1228</f>
        <v>10</v>
      </c>
      <c r="K217" s="791">
        <f>'NORTH-1'!K1228</f>
        <v>0</v>
      </c>
      <c r="L217" s="791">
        <f>'NORTH-1'!L1228</f>
        <v>0</v>
      </c>
      <c r="M217" s="791">
        <f>'NORTH-1'!M1228</f>
        <v>0</v>
      </c>
      <c r="N217" s="2019" t="str">
        <f>'NORTH-1'!N1228</f>
        <v>Jigatola</v>
      </c>
      <c r="O217" s="2019" t="str">
        <f>Sheet2!$C$20</f>
        <v>Jigatola 33/11KV S/S</v>
      </c>
    </row>
    <row r="218" spans="1:15" x14ac:dyDescent="0.35">
      <c r="A218" s="2019">
        <f>'NORTH-1'!A1229</f>
        <v>25</v>
      </c>
      <c r="B218" s="2019" t="str">
        <f>'NORTH-1'!B1229</f>
        <v>33/0.4 kV Aux. Transformer AT-2</v>
      </c>
      <c r="C218" s="2019" t="str">
        <f>'NORTH-1'!C1229</f>
        <v>0.4 kV</v>
      </c>
      <c r="D218" s="2019">
        <f>'NORTH-1'!D1229</f>
        <v>0</v>
      </c>
      <c r="E218" s="2019">
        <f>'NORTH-1'!E1229</f>
        <v>412277</v>
      </c>
      <c r="F218" s="791">
        <f>'NORTH-1'!F1229</f>
        <v>1</v>
      </c>
      <c r="G218" s="791">
        <f>'NORTH-1'!G1229</f>
        <v>37930</v>
      </c>
      <c r="H218" s="791">
        <f>'NORTH-1'!H1229</f>
        <v>38578</v>
      </c>
      <c r="I218" s="791">
        <f>'NORTH-1'!I1229</f>
        <v>648</v>
      </c>
      <c r="J218" s="791">
        <f>'NORTH-1'!J1229</f>
        <v>10</v>
      </c>
      <c r="K218" s="791">
        <f>'NORTH-1'!K1229</f>
        <v>0</v>
      </c>
      <c r="L218" s="791">
        <f>'NORTH-1'!L1229</f>
        <v>6480</v>
      </c>
      <c r="M218" s="791">
        <f>'NORTH-1'!M1229</f>
        <v>0</v>
      </c>
      <c r="N218" s="2019" t="str">
        <f>'NORTH-1'!N1229</f>
        <v>Jigatola</v>
      </c>
      <c r="O218" s="2019" t="str">
        <f>Sheet2!$C$20</f>
        <v>Jigatola 33/11KV S/S</v>
      </c>
    </row>
    <row r="219" spans="1:15" x14ac:dyDescent="0.35">
      <c r="A219" s="2019">
        <f>'NORTH-1'!A1294</f>
        <v>7</v>
      </c>
      <c r="B219" s="2019" t="str">
        <f>'NORTH-1'!B1294</f>
        <v>Spare</v>
      </c>
      <c r="C219" s="2019" t="str">
        <f>'NORTH-1'!C1294</f>
        <v>11 kV</v>
      </c>
      <c r="D219" s="2019">
        <f>'NORTH-1'!D1294</f>
        <v>0</v>
      </c>
      <c r="E219" s="2019" t="str">
        <f>'NORTH-1'!E1294</f>
        <v>BD014030</v>
      </c>
      <c r="F219" s="791">
        <f>'NORTH-1'!F1294</f>
        <v>1</v>
      </c>
      <c r="G219" s="791">
        <f>'NORTH-1'!G1294</f>
        <v>0</v>
      </c>
      <c r="H219" s="791">
        <f>'NORTH-1'!H1294</f>
        <v>0</v>
      </c>
      <c r="I219" s="791">
        <f>'NORTH-1'!I1294</f>
        <v>0</v>
      </c>
      <c r="J219" s="791">
        <f>'NORTH-1'!J1294</f>
        <v>1000</v>
      </c>
      <c r="K219" s="791">
        <f>'NORTH-1'!K1294</f>
        <v>0</v>
      </c>
      <c r="L219" s="791">
        <f>'NORTH-1'!L1294</f>
        <v>0</v>
      </c>
      <c r="M219" s="791">
        <f>'NORTH-1'!M1294</f>
        <v>0</v>
      </c>
      <c r="N219" s="2019" t="str">
        <f>'NORTH-1'!N1294</f>
        <v>Adabor</v>
      </c>
      <c r="O219" s="2019" t="str">
        <f>Sheet2!$C$38</f>
        <v>Dhaka Uddyan 33/11 KV S/S</v>
      </c>
    </row>
    <row r="220" spans="1:15" x14ac:dyDescent="0.35">
      <c r="A220" s="2019">
        <f>'NORTH-1'!A1295</f>
        <v>0</v>
      </c>
      <c r="B220" s="2019" t="str">
        <f>'NORTH-1'!B1295</f>
        <v>D Block dhaka uddyan</v>
      </c>
      <c r="C220" s="2019" t="str">
        <f>'NORTH-1'!C1295</f>
        <v>11 kV</v>
      </c>
      <c r="D220" s="2019">
        <f>'NORTH-1'!D1295</f>
        <v>0</v>
      </c>
      <c r="E220" s="2019" t="str">
        <f>'NORTH-1'!E1295</f>
        <v>BD014031</v>
      </c>
      <c r="F220" s="791">
        <f>'NORTH-1'!F1295</f>
        <v>1</v>
      </c>
      <c r="G220" s="791">
        <f>'NORTH-1'!G1295</f>
        <v>46429.84</v>
      </c>
      <c r="H220" s="791">
        <f>'NORTH-1'!H1295</f>
        <v>46734.94</v>
      </c>
      <c r="I220" s="791">
        <f>'NORTH-1'!I1295</f>
        <v>305.10000000000582</v>
      </c>
      <c r="J220" s="791">
        <f>'NORTH-1'!J1295</f>
        <v>1000</v>
      </c>
      <c r="K220" s="791">
        <f>'NORTH-1'!K1295</f>
        <v>0</v>
      </c>
      <c r="L220" s="791">
        <f>'NORTH-1'!L1295</f>
        <v>305100.00000000582</v>
      </c>
      <c r="M220" s="791">
        <f>'NORTH-1'!M1295</f>
        <v>0</v>
      </c>
      <c r="N220" s="2019" t="str">
        <f>'NORTH-1'!N1295</f>
        <v>Adabor</v>
      </c>
      <c r="O220" s="2019" t="str">
        <f>Sheet2!$C$38</f>
        <v>Dhaka Uddyan 33/11 KV S/S</v>
      </c>
    </row>
    <row r="221" spans="1:15" x14ac:dyDescent="0.35">
      <c r="A221" s="2019">
        <f>'NORTH-1'!A1296</f>
        <v>8</v>
      </c>
      <c r="B221" s="2019" t="str">
        <f>'NORTH-1'!B1296</f>
        <v>Dill Mohammad O/H</v>
      </c>
      <c r="C221" s="2019" t="str">
        <f>'NORTH-1'!C1296</f>
        <v>11 kV</v>
      </c>
      <c r="D221" s="2019">
        <f>'NORTH-1'!D1296</f>
        <v>0</v>
      </c>
      <c r="E221" s="2019" t="str">
        <f>'NORTH-1'!E1296</f>
        <v>BD014027</v>
      </c>
      <c r="F221" s="791">
        <f>'NORTH-1'!F1296</f>
        <v>1</v>
      </c>
      <c r="G221" s="791">
        <f>'NORTH-1'!G1296</f>
        <v>5572.66</v>
      </c>
      <c r="H221" s="791">
        <f>'NORTH-1'!H1296</f>
        <v>6720.46</v>
      </c>
      <c r="I221" s="791">
        <f>'NORTH-1'!I1296</f>
        <v>1147.8000000000002</v>
      </c>
      <c r="J221" s="791">
        <f>'NORTH-1'!J1296</f>
        <v>1000</v>
      </c>
      <c r="K221" s="791">
        <f>'NORTH-1'!K1296</f>
        <v>0</v>
      </c>
      <c r="L221" s="791">
        <f>'NORTH-1'!L1296</f>
        <v>1147800.0000000002</v>
      </c>
      <c r="M221" s="791">
        <f>'NORTH-1'!M1296</f>
        <v>0</v>
      </c>
      <c r="N221" s="2019" t="str">
        <f>'NORTH-1'!N1296</f>
        <v>Adabor</v>
      </c>
      <c r="O221" s="2019" t="str">
        <f>Sheet2!$C$38</f>
        <v>Dhaka Uddyan 33/11 KV S/S</v>
      </c>
    </row>
    <row r="222" spans="1:15" x14ac:dyDescent="0.35">
      <c r="A222" s="2019">
        <f>'NORTH-1'!A1297</f>
        <v>9</v>
      </c>
      <c r="B222" s="2019" t="str">
        <f>'NORTH-1'!B1297</f>
        <v>Turag O/H</v>
      </c>
      <c r="C222" s="2019" t="str">
        <f>'NORTH-1'!C1297</f>
        <v>11 kV</v>
      </c>
      <c r="D222" s="2019">
        <f>'NORTH-1'!D1297</f>
        <v>0</v>
      </c>
      <c r="E222" s="2019" t="str">
        <f>'NORTH-1'!E1297</f>
        <v>BD014028</v>
      </c>
      <c r="F222" s="791">
        <f>'NORTH-1'!F1297</f>
        <v>1</v>
      </c>
      <c r="G222" s="791">
        <f>'NORTH-1'!G1297</f>
        <v>21956.34</v>
      </c>
      <c r="H222" s="791">
        <f>'NORTH-1'!H1297</f>
        <v>22434.23</v>
      </c>
      <c r="I222" s="791">
        <f>'NORTH-1'!I1297</f>
        <v>477.88999999999942</v>
      </c>
      <c r="J222" s="791">
        <f>'NORTH-1'!J1297</f>
        <v>1000</v>
      </c>
      <c r="K222" s="791">
        <f>'NORTH-1'!K1297</f>
        <v>0</v>
      </c>
      <c r="L222" s="791">
        <f>'NORTH-1'!L1297</f>
        <v>477889.99999999942</v>
      </c>
      <c r="M222" s="791">
        <f>'NORTH-1'!M1297</f>
        <v>0</v>
      </c>
      <c r="N222" s="2019" t="str">
        <f>'NORTH-1'!N1297</f>
        <v>Adabor</v>
      </c>
      <c r="O222" s="2019" t="str">
        <f>Sheet2!$C$38</f>
        <v>Dhaka Uddyan 33/11 KV S/S</v>
      </c>
    </row>
    <row r="223" spans="1:15" x14ac:dyDescent="0.35">
      <c r="A223" s="2019">
        <f>'NORTH-1'!A1298</f>
        <v>10</v>
      </c>
      <c r="B223" s="2019" t="str">
        <f>'NORTH-1'!B1298</f>
        <v>Nabadoy O/H</v>
      </c>
      <c r="C223" s="2019" t="str">
        <f>'NORTH-1'!C1298</f>
        <v>11 kV</v>
      </c>
      <c r="D223" s="2019">
        <f>'NORTH-1'!D1298</f>
        <v>0</v>
      </c>
      <c r="E223" s="2019" t="str">
        <f>'NORTH-1'!E1298</f>
        <v>BD014025</v>
      </c>
      <c r="F223" s="791">
        <f>'NORTH-1'!F1298</f>
        <v>1</v>
      </c>
      <c r="G223" s="791">
        <f>'NORTH-1'!G1298</f>
        <v>29930.2</v>
      </c>
      <c r="H223" s="791">
        <f>'NORTH-1'!H1298</f>
        <v>30410.9</v>
      </c>
      <c r="I223" s="791">
        <f>'NORTH-1'!I1298</f>
        <v>480.70000000000073</v>
      </c>
      <c r="J223" s="791">
        <f>'NORTH-1'!J1298</f>
        <v>1000</v>
      </c>
      <c r="K223" s="791">
        <f>'NORTH-1'!K1298</f>
        <v>0</v>
      </c>
      <c r="L223" s="791">
        <f>'NORTH-1'!L1298</f>
        <v>480700.0000000007</v>
      </c>
      <c r="M223" s="791">
        <f>'NORTH-1'!M1298</f>
        <v>0</v>
      </c>
      <c r="N223" s="2019" t="str">
        <f>'NORTH-1'!N1298</f>
        <v>Adabor</v>
      </c>
      <c r="O223" s="2019" t="str">
        <f>Sheet2!$C$38</f>
        <v>Dhaka Uddyan 33/11 KV S/S</v>
      </c>
    </row>
    <row r="224" spans="1:15" x14ac:dyDescent="0.35">
      <c r="A224" s="2019">
        <f>'NORTH-1'!A1299</f>
        <v>11</v>
      </c>
      <c r="B224" s="2019" t="str">
        <f>'NORTH-1'!B1299</f>
        <v>Chandrima O/H</v>
      </c>
      <c r="C224" s="2019" t="str">
        <f>'NORTH-1'!C1299</f>
        <v>11 kV</v>
      </c>
      <c r="D224" s="2019">
        <f>'NORTH-1'!D1299</f>
        <v>0</v>
      </c>
      <c r="E224" s="2019" t="str">
        <f>'NORTH-1'!E1299</f>
        <v>BD014024</v>
      </c>
      <c r="F224" s="791">
        <f>'NORTH-1'!F1299</f>
        <v>1</v>
      </c>
      <c r="G224" s="791">
        <f>'NORTH-1'!G1299</f>
        <v>0</v>
      </c>
      <c r="H224" s="791">
        <f>'NORTH-1'!H1299</f>
        <v>0</v>
      </c>
      <c r="I224" s="791">
        <f>'NORTH-1'!I1299</f>
        <v>0</v>
      </c>
      <c r="J224" s="791">
        <f>'NORTH-1'!J1299</f>
        <v>1000</v>
      </c>
      <c r="K224" s="791">
        <f>'NORTH-1'!K1299</f>
        <v>0</v>
      </c>
      <c r="L224" s="791">
        <f>'NORTH-1'!L1299</f>
        <v>0</v>
      </c>
      <c r="M224" s="791">
        <f>'NORTH-1'!M1299</f>
        <v>0</v>
      </c>
      <c r="N224" s="2019" t="str">
        <f>'NORTH-1'!N1299</f>
        <v>Adabor</v>
      </c>
      <c r="O224" s="2019" t="str">
        <f>Sheet2!$C$38</f>
        <v>Dhaka Uddyan 33/11 KV S/S</v>
      </c>
    </row>
    <row r="225" spans="1:15" x14ac:dyDescent="0.35">
      <c r="A225" s="2019">
        <f>'NORTH-1'!A1300</f>
        <v>12</v>
      </c>
      <c r="B225" s="2019" t="str">
        <f>'NORTH-1'!B1300</f>
        <v>Shyamoli Housing Project-2</v>
      </c>
      <c r="C225" s="2019" t="str">
        <f>'NORTH-1'!C1300</f>
        <v>11 kV</v>
      </c>
      <c r="D225" s="2019">
        <f>'NORTH-1'!D1300</f>
        <v>0</v>
      </c>
      <c r="E225" s="2019" t="str">
        <f>'NORTH-1'!E1300</f>
        <v>BD014029</v>
      </c>
      <c r="F225" s="791">
        <f>'NORTH-1'!F1300</f>
        <v>1</v>
      </c>
      <c r="G225" s="791">
        <f>'NORTH-1'!G1300</f>
        <v>13134.86</v>
      </c>
      <c r="H225" s="791">
        <f>'NORTH-1'!H1300</f>
        <v>14530.46</v>
      </c>
      <c r="I225" s="791">
        <f>'NORTH-1'!I1300</f>
        <v>1395.5999999999985</v>
      </c>
      <c r="J225" s="791">
        <f>'NORTH-1'!J1300</f>
        <v>1000</v>
      </c>
      <c r="K225" s="791">
        <f>'NORTH-1'!K1300</f>
        <v>0</v>
      </c>
      <c r="L225" s="791">
        <f>'NORTH-1'!L1300</f>
        <v>1395599.9999999986</v>
      </c>
      <c r="M225" s="791">
        <f>'NORTH-1'!M1300</f>
        <v>0</v>
      </c>
      <c r="N225" s="2019" t="str">
        <f>'NORTH-1'!N1300</f>
        <v>Adabor</v>
      </c>
      <c r="O225" s="2019" t="str">
        <f>Sheet2!$C$38</f>
        <v>Dhaka Uddyan 33/11 KV S/S</v>
      </c>
    </row>
    <row r="226" spans="1:15" x14ac:dyDescent="0.35">
      <c r="A226" s="2019">
        <f>'NORTH-1'!A1301</f>
        <v>13</v>
      </c>
      <c r="B226" s="2019" t="str">
        <f>'NORTH-1'!B1301</f>
        <v>Spare</v>
      </c>
      <c r="C226" s="2019" t="str">
        <f>'NORTH-1'!C1301</f>
        <v>11 kV</v>
      </c>
      <c r="D226" s="2019">
        <f>'NORTH-1'!D1301</f>
        <v>0</v>
      </c>
      <c r="E226" s="2019" t="str">
        <f>'NORTH-1'!E1301</f>
        <v>BD014022</v>
      </c>
      <c r="F226" s="791">
        <f>'NORTH-1'!F1301</f>
        <v>1</v>
      </c>
      <c r="G226" s="791">
        <f>'NORTH-1'!G1301</f>
        <v>0</v>
      </c>
      <c r="H226" s="791">
        <f>'NORTH-1'!H1301</f>
        <v>0</v>
      </c>
      <c r="I226" s="791">
        <f>'NORTH-1'!I1301</f>
        <v>0</v>
      </c>
      <c r="J226" s="791">
        <f>'NORTH-1'!J1301</f>
        <v>1000</v>
      </c>
      <c r="K226" s="791">
        <f>'NORTH-1'!K1301</f>
        <v>0</v>
      </c>
      <c r="L226" s="791">
        <f>'NORTH-1'!L1301</f>
        <v>0</v>
      </c>
      <c r="M226" s="791">
        <f>'NORTH-1'!M1301</f>
        <v>0</v>
      </c>
      <c r="N226" s="2019" t="str">
        <f>'NORTH-1'!N1301</f>
        <v>Adabor</v>
      </c>
      <c r="O226" s="2019" t="str">
        <f>Sheet2!$C$38</f>
        <v>Dhaka Uddyan 33/11 KV S/S</v>
      </c>
    </row>
    <row r="227" spans="1:15" x14ac:dyDescent="0.35">
      <c r="A227" s="2019">
        <f>'NORTH-1'!A1302</f>
        <v>16</v>
      </c>
      <c r="B227" s="2019" t="str">
        <f>'NORTH-1'!B1302</f>
        <v>Spare</v>
      </c>
      <c r="C227" s="2019" t="str">
        <f>'NORTH-1'!C1302</f>
        <v>11 kV</v>
      </c>
      <c r="D227" s="2019">
        <f>'NORTH-1'!D1302</f>
        <v>0</v>
      </c>
      <c r="E227" s="2019" t="str">
        <f>'NORTH-1'!E1302</f>
        <v>BD014026</v>
      </c>
      <c r="F227" s="791">
        <f>'NORTH-1'!F1302</f>
        <v>1</v>
      </c>
      <c r="G227" s="791">
        <f>'NORTH-1'!G1302</f>
        <v>0</v>
      </c>
      <c r="H227" s="791">
        <f>'NORTH-1'!H1302</f>
        <v>0</v>
      </c>
      <c r="I227" s="791">
        <f>'NORTH-1'!I1302</f>
        <v>0</v>
      </c>
      <c r="J227" s="791">
        <f>'NORTH-1'!J1302</f>
        <v>1000</v>
      </c>
      <c r="K227" s="791">
        <f>'NORTH-1'!K1302</f>
        <v>0</v>
      </c>
      <c r="L227" s="791">
        <f>'NORTH-1'!L1302</f>
        <v>0</v>
      </c>
      <c r="M227" s="791">
        <f>'NORTH-1'!M1302</f>
        <v>0</v>
      </c>
      <c r="N227" s="2019" t="str">
        <f>'NORTH-1'!N1302</f>
        <v>Adabor</v>
      </c>
      <c r="O227" s="2019" t="str">
        <f>Sheet2!$C$38</f>
        <v>Dhaka Uddyan 33/11 KV S/S</v>
      </c>
    </row>
    <row r="228" spans="1:15" x14ac:dyDescent="0.35">
      <c r="A228" s="2019">
        <f>'NORTH-1'!A1303</f>
        <v>17</v>
      </c>
      <c r="B228" s="2019" t="str">
        <f>'NORTH-1'!B1303</f>
        <v>Spare</v>
      </c>
      <c r="C228" s="2019" t="str">
        <f>'NORTH-1'!C1303</f>
        <v>11 kV</v>
      </c>
      <c r="D228" s="2019">
        <f>'NORTH-1'!D1303</f>
        <v>0</v>
      </c>
      <c r="E228" s="2019" t="str">
        <f>'NORTH-1'!E1303</f>
        <v>BD014023</v>
      </c>
      <c r="F228" s="791">
        <f>'NORTH-1'!F1303</f>
        <v>1</v>
      </c>
      <c r="G228" s="791">
        <f>'NORTH-1'!G1303</f>
        <v>0</v>
      </c>
      <c r="H228" s="791">
        <f>'NORTH-1'!H1303</f>
        <v>0</v>
      </c>
      <c r="I228" s="791">
        <f>'NORTH-1'!I1303</f>
        <v>0</v>
      </c>
      <c r="J228" s="791">
        <f>'NORTH-1'!J1303</f>
        <v>1000</v>
      </c>
      <c r="K228" s="791">
        <f>'NORTH-1'!K1303</f>
        <v>0</v>
      </c>
      <c r="L228" s="791">
        <f>'NORTH-1'!L1303</f>
        <v>0</v>
      </c>
      <c r="M228" s="791">
        <f>'NORTH-1'!M1303</f>
        <v>0</v>
      </c>
      <c r="N228" s="2019" t="str">
        <f>'NORTH-1'!N1303</f>
        <v>Adabor</v>
      </c>
      <c r="O228" s="2019" t="str">
        <f>Sheet2!$C$38</f>
        <v>Dhaka Uddyan 33/11 KV S/S</v>
      </c>
    </row>
    <row r="229" spans="1:15" x14ac:dyDescent="0.35">
      <c r="A229" s="2019">
        <f>'NORTH-1'!A1304</f>
        <v>18</v>
      </c>
      <c r="B229" s="2019" t="str">
        <f>'NORTH-1'!B1304</f>
        <v>U Lab</v>
      </c>
      <c r="C229" s="2019" t="str">
        <f>'NORTH-1'!C1304</f>
        <v>11 kV</v>
      </c>
      <c r="D229" s="2019">
        <f>'NORTH-1'!D1304</f>
        <v>0</v>
      </c>
      <c r="E229" s="2019" t="str">
        <f>'NORTH-1'!E1304</f>
        <v>BD013959</v>
      </c>
      <c r="F229" s="791">
        <f>'NORTH-1'!F1304</f>
        <v>1</v>
      </c>
      <c r="G229" s="791">
        <f>'NORTH-1'!G1304</f>
        <v>25820.65</v>
      </c>
      <c r="H229" s="791">
        <f>'NORTH-1'!H1304</f>
        <v>26385.67</v>
      </c>
      <c r="I229" s="791">
        <f>'NORTH-1'!I1304</f>
        <v>565.0199999999968</v>
      </c>
      <c r="J229" s="791">
        <f>'NORTH-1'!J1304</f>
        <v>1000</v>
      </c>
      <c r="K229" s="791">
        <f>'NORTH-1'!K1304</f>
        <v>0</v>
      </c>
      <c r="L229" s="791">
        <f>'NORTH-1'!L1304</f>
        <v>565019.99999999674</v>
      </c>
      <c r="M229" s="791">
        <f>'NORTH-1'!M1304</f>
        <v>0</v>
      </c>
      <c r="N229" s="2019" t="str">
        <f>'NORTH-1'!N1304</f>
        <v>Satmasjid</v>
      </c>
      <c r="O229" s="2019" t="str">
        <f>Sheet2!$C$38</f>
        <v>Dhaka Uddyan 33/11 KV S/S</v>
      </c>
    </row>
    <row r="230" spans="1:15" x14ac:dyDescent="0.35">
      <c r="A230" s="2019">
        <f>'NORTH-1'!A1305</f>
        <v>19</v>
      </c>
      <c r="B230" s="2019" t="str">
        <f>'NORTH-1'!B1305</f>
        <v>Akota</v>
      </c>
      <c r="C230" s="2019" t="str">
        <f>'NORTH-1'!C1305</f>
        <v>11 kV</v>
      </c>
      <c r="D230" s="2019">
        <f>'NORTH-1'!D1305</f>
        <v>0</v>
      </c>
      <c r="E230" s="2019" t="str">
        <f>'NORTH-1'!E1305</f>
        <v>BD014020</v>
      </c>
      <c r="F230" s="791">
        <f>'NORTH-1'!F1305</f>
        <v>1</v>
      </c>
      <c r="G230" s="791">
        <f>'NORTH-1'!G1305</f>
        <v>2736.1</v>
      </c>
      <c r="H230" s="791">
        <f>'NORTH-1'!H1305</f>
        <v>3028</v>
      </c>
      <c r="I230" s="791">
        <f>'NORTH-1'!I1305</f>
        <v>291.90000000000009</v>
      </c>
      <c r="J230" s="791">
        <f>'NORTH-1'!J1305</f>
        <v>1000</v>
      </c>
      <c r="K230" s="791">
        <f>'NORTH-1'!K1305</f>
        <v>0</v>
      </c>
      <c r="L230" s="791">
        <f>'NORTH-1'!L1305</f>
        <v>291900.00000000012</v>
      </c>
      <c r="M230" s="791">
        <f>'NORTH-1'!M1305</f>
        <v>0</v>
      </c>
      <c r="N230" s="2019" t="str">
        <f>'NORTH-1'!N1305</f>
        <v>Adabor</v>
      </c>
      <c r="O230" s="2019" t="str">
        <f>Sheet2!$C$38</f>
        <v>Dhaka Uddyan 33/11 KV S/S</v>
      </c>
    </row>
    <row r="231" spans="1:15" x14ac:dyDescent="0.35">
      <c r="A231" s="2019">
        <f>'NORTH-1'!A1306</f>
        <v>20</v>
      </c>
      <c r="B231" s="2019" t="str">
        <f>'NORTH-1'!B1306</f>
        <v xml:space="preserve"> Burigonga O/H</v>
      </c>
      <c r="C231" s="2019" t="str">
        <f>'NORTH-1'!C1306</f>
        <v>11 kV</v>
      </c>
      <c r="D231" s="2019">
        <f>'NORTH-1'!D1306</f>
        <v>0</v>
      </c>
      <c r="E231" s="2019" t="str">
        <f>'NORTH-1'!E1306</f>
        <v>BD014019</v>
      </c>
      <c r="F231" s="791">
        <f>'NORTH-1'!F1306</f>
        <v>1</v>
      </c>
      <c r="G231" s="791">
        <f>'NORTH-1'!G1306</f>
        <v>2171.2600000000002</v>
      </c>
      <c r="H231" s="791">
        <f>'NORTH-1'!H1306</f>
        <v>2384.02</v>
      </c>
      <c r="I231" s="791">
        <f>'NORTH-1'!I1306</f>
        <v>212.75999999999976</v>
      </c>
      <c r="J231" s="791">
        <f>'NORTH-1'!J1306</f>
        <v>1000</v>
      </c>
      <c r="K231" s="791">
        <f>'NORTH-1'!K1306</f>
        <v>0</v>
      </c>
      <c r="L231" s="791">
        <f>'NORTH-1'!L1306</f>
        <v>212759.99999999977</v>
      </c>
      <c r="M231" s="791">
        <f>'NORTH-1'!M1306</f>
        <v>0</v>
      </c>
      <c r="N231" s="2019" t="str">
        <f>'NORTH-1'!N1306</f>
        <v>Adabor</v>
      </c>
      <c r="O231" s="2019" t="str">
        <f>Sheet2!$C$38</f>
        <v>Dhaka Uddyan 33/11 KV S/S</v>
      </c>
    </row>
    <row r="232" spans="1:15" x14ac:dyDescent="0.35">
      <c r="A232" s="2019">
        <f>'NORTH-1'!A1307</f>
        <v>21</v>
      </c>
      <c r="B232" s="2019" t="str">
        <f>'NORTH-1'!B1307</f>
        <v>Garden City</v>
      </c>
      <c r="C232" s="2019" t="str">
        <f>'NORTH-1'!C1307</f>
        <v>11 kV</v>
      </c>
      <c r="D232" s="2019">
        <f>'NORTH-1'!D1307</f>
        <v>0</v>
      </c>
      <c r="E232" s="2019" t="str">
        <f>'NORTH-1'!E1307</f>
        <v>BD014021</v>
      </c>
      <c r="F232" s="791">
        <f>'NORTH-1'!F1307</f>
        <v>1</v>
      </c>
      <c r="G232" s="791">
        <f>'NORTH-1'!G1307</f>
        <v>68136.759999999995</v>
      </c>
      <c r="H232" s="791">
        <f>'NORTH-1'!H1307</f>
        <v>69586.149999999994</v>
      </c>
      <c r="I232" s="791">
        <f>'NORTH-1'!I1307</f>
        <v>1449.3899999999994</v>
      </c>
      <c r="J232" s="791">
        <f>'NORTH-1'!J1307</f>
        <v>1000</v>
      </c>
      <c r="K232" s="791">
        <f>'NORTH-1'!K1307</f>
        <v>0</v>
      </c>
      <c r="L232" s="791">
        <f>'NORTH-1'!L1307</f>
        <v>1449389.9999999995</v>
      </c>
      <c r="M232" s="791">
        <f>'NORTH-1'!M1307</f>
        <v>0</v>
      </c>
      <c r="N232" s="2019" t="str">
        <f>'NORTH-1'!N1307</f>
        <v>Satmasjid</v>
      </c>
      <c r="O232" s="2019" t="str">
        <f>Sheet2!$C$38</f>
        <v>Dhaka Uddyan 33/11 KV S/S</v>
      </c>
    </row>
    <row r="233" spans="1:15" x14ac:dyDescent="0.35">
      <c r="A233" s="2019">
        <f>'NORTH-1'!A1308</f>
        <v>22</v>
      </c>
      <c r="B233" s="2019" t="str">
        <f>'NORTH-1'!B1308</f>
        <v xml:space="preserve"> Avenue O/H</v>
      </c>
      <c r="C233" s="2019" t="str">
        <f>'NORTH-1'!C1308</f>
        <v>11 kV</v>
      </c>
      <c r="D233" s="2019">
        <f>'NORTH-1'!D1308</f>
        <v>0</v>
      </c>
      <c r="E233" s="2019" t="str">
        <f>'NORTH-1'!E1308</f>
        <v>BD014017</v>
      </c>
      <c r="F233" s="791">
        <f>'NORTH-1'!F1308</f>
        <v>1</v>
      </c>
      <c r="G233" s="791">
        <f>'NORTH-1'!G1308</f>
        <v>6099.05</v>
      </c>
      <c r="H233" s="791">
        <f>'NORTH-1'!H1308</f>
        <v>6996.19</v>
      </c>
      <c r="I233" s="791">
        <f>'NORTH-1'!I1308</f>
        <v>897.13999999999942</v>
      </c>
      <c r="J233" s="791">
        <f>'NORTH-1'!J1308</f>
        <v>1000</v>
      </c>
      <c r="K233" s="791">
        <f>'NORTH-1'!K1308</f>
        <v>0</v>
      </c>
      <c r="L233" s="791">
        <f>'NORTH-1'!L1308</f>
        <v>897139.99999999942</v>
      </c>
      <c r="M233" s="791">
        <f>'NORTH-1'!M1308</f>
        <v>0</v>
      </c>
      <c r="N233" s="2019" t="str">
        <f>'NORTH-1'!N1308</f>
        <v>Adabor</v>
      </c>
      <c r="O233" s="2019" t="str">
        <f>Sheet2!$C$38</f>
        <v>Dhaka Uddyan 33/11 KV S/S</v>
      </c>
    </row>
    <row r="234" spans="1:15" x14ac:dyDescent="0.35">
      <c r="A234" s="2019">
        <f>'NORTH-1'!A1309</f>
        <v>23</v>
      </c>
      <c r="B234" s="2019" t="str">
        <f>'NORTH-1'!B1309</f>
        <v>Chand Uddyan</v>
      </c>
      <c r="C234" s="2019" t="str">
        <f>'NORTH-1'!C1309</f>
        <v>11 kV</v>
      </c>
      <c r="D234" s="2019">
        <f>'NORTH-1'!D1309</f>
        <v>0</v>
      </c>
      <c r="E234" s="2019" t="str">
        <f>'NORTH-1'!E1309</f>
        <v>BD014018</v>
      </c>
      <c r="F234" s="791">
        <f>'NORTH-1'!F1309</f>
        <v>1</v>
      </c>
      <c r="G234" s="791">
        <f>'NORTH-1'!G1309</f>
        <v>4804.99</v>
      </c>
      <c r="H234" s="791">
        <f>'NORTH-1'!H1309</f>
        <v>5058.3599999999997</v>
      </c>
      <c r="I234" s="791">
        <f>'NORTH-1'!I1309</f>
        <v>253.36999999999989</v>
      </c>
      <c r="J234" s="791">
        <f>'NORTH-1'!J1309</f>
        <v>1000</v>
      </c>
      <c r="K234" s="791">
        <f>'NORTH-1'!K1309</f>
        <v>0</v>
      </c>
      <c r="L234" s="791">
        <f>'NORTH-1'!L1309</f>
        <v>253369.99999999988</v>
      </c>
      <c r="M234" s="791">
        <f>'NORTH-1'!M1309</f>
        <v>0</v>
      </c>
      <c r="N234" s="2019" t="str">
        <f>'NORTH-1'!N1309</f>
        <v>Satmasjid</v>
      </c>
      <c r="O234" s="2019" t="str">
        <f>Sheet2!$C$38</f>
        <v>Dhaka Uddyan 33/11 KV S/S</v>
      </c>
    </row>
    <row r="235" spans="1:15" x14ac:dyDescent="0.35">
      <c r="A235" s="2019">
        <f>'NORTH-1'!A1310</f>
        <v>24</v>
      </c>
      <c r="B235" s="2019" t="str">
        <f>'NORTH-1'!B1310</f>
        <v>11/0.4 kV Aux. Transformer, AT-1</v>
      </c>
      <c r="C235" s="2019" t="str">
        <f>'NORTH-1'!C1310</f>
        <v>0.4 kV</v>
      </c>
      <c r="D235" s="2019">
        <f>'NORTH-1'!D1310</f>
        <v>0</v>
      </c>
      <c r="E235" s="2019" t="str">
        <f>'NORTH-1'!E1310</f>
        <v>DHKH4416</v>
      </c>
      <c r="F235" s="791">
        <f>'NORTH-1'!F1310</f>
        <v>1</v>
      </c>
      <c r="G235" s="791">
        <f>'NORTH-1'!G1310</f>
        <v>1571.64</v>
      </c>
      <c r="H235" s="791">
        <f>'NORTH-1'!H1310</f>
        <v>1595.71</v>
      </c>
      <c r="I235" s="791">
        <f>'NORTH-1'!I1310</f>
        <v>24.069999999999936</v>
      </c>
      <c r="J235" s="791">
        <f>'NORTH-1'!J1310</f>
        <v>100</v>
      </c>
      <c r="K235" s="791">
        <f>'NORTH-1'!K1310</f>
        <v>0</v>
      </c>
      <c r="L235" s="791">
        <f>'NORTH-1'!L1310</f>
        <v>2406.9999999999936</v>
      </c>
      <c r="M235" s="791">
        <f>'NORTH-1'!M1310</f>
        <v>0</v>
      </c>
      <c r="N235" s="2019" t="str">
        <f>'NORTH-1'!N1310</f>
        <v>Adabor</v>
      </c>
      <c r="O235" s="2019" t="str">
        <f>Sheet2!$C$38</f>
        <v>Dhaka Uddyan 33/11 KV S/S</v>
      </c>
    </row>
    <row r="236" spans="1:15" x14ac:dyDescent="0.35">
      <c r="A236" s="2019">
        <f>'NORTH-1'!A1311</f>
        <v>25</v>
      </c>
      <c r="B236" s="2019" t="str">
        <f>'NORTH-1'!B1311</f>
        <v>11/0.4 kV Aux. Transformer, AT-2</v>
      </c>
      <c r="C236" s="2019" t="str">
        <f>'NORTH-1'!C1311</f>
        <v>0.4 kV</v>
      </c>
      <c r="D236" s="2019">
        <f>'NORTH-1'!D1311</f>
        <v>0</v>
      </c>
      <c r="E236" s="2019" t="str">
        <f>'NORTH-1'!E1311</f>
        <v>DHKH4412</v>
      </c>
      <c r="F236" s="791">
        <f>'NORTH-1'!F1311</f>
        <v>1</v>
      </c>
      <c r="G236" s="791">
        <f>'NORTH-1'!G1311</f>
        <v>227.66</v>
      </c>
      <c r="H236" s="791">
        <f>'NORTH-1'!H1311</f>
        <v>227.66</v>
      </c>
      <c r="I236" s="791">
        <f>'NORTH-1'!I1311</f>
        <v>0</v>
      </c>
      <c r="J236" s="791">
        <f>'NORTH-1'!J1311</f>
        <v>100</v>
      </c>
      <c r="K236" s="791">
        <f>'NORTH-1'!K1311</f>
        <v>0</v>
      </c>
      <c r="L236" s="791">
        <f>'NORTH-1'!L1311</f>
        <v>0</v>
      </c>
      <c r="M236" s="791">
        <f>'NORTH-1'!M1311</f>
        <v>0</v>
      </c>
      <c r="N236" s="2019" t="str">
        <f>'NORTH-1'!N1311</f>
        <v>Adabor</v>
      </c>
      <c r="O236" s="2019" t="str">
        <f>Sheet2!$C$38</f>
        <v>Dhaka Uddyan 33/11 KV S/S</v>
      </c>
    </row>
    <row r="237" spans="1:15" x14ac:dyDescent="0.35">
      <c r="A237" s="2019">
        <f>'NORTH-1'!A1416</f>
        <v>16</v>
      </c>
      <c r="B237" s="2019" t="str">
        <f>'NORTH-1'!B1416</f>
        <v>Lalmatia O/H</v>
      </c>
      <c r="C237" s="2019" t="str">
        <f>'NORTH-1'!C1416</f>
        <v>11 kV</v>
      </c>
      <c r="D237" s="2019">
        <f>'NORTH-1'!D1416</f>
        <v>0</v>
      </c>
      <c r="E237" s="2019" t="str">
        <f>'NORTH-1'!E1416</f>
        <v>DHK61042</v>
      </c>
      <c r="F237" s="791">
        <f>'NORTH-1'!F1416</f>
        <v>1</v>
      </c>
      <c r="G237" s="791">
        <f>'NORTH-1'!G1416</f>
        <v>2992.51</v>
      </c>
      <c r="H237" s="791">
        <f>'NORTH-1'!H1416</f>
        <v>3003.34</v>
      </c>
      <c r="I237" s="791">
        <f>'NORTH-1'!I1416</f>
        <v>10.829999999999927</v>
      </c>
      <c r="J237" s="791">
        <f>'NORTH-1'!J1416</f>
        <v>60000</v>
      </c>
      <c r="K237" s="791">
        <f>'NORTH-1'!K1416</f>
        <v>0</v>
      </c>
      <c r="L237" s="791">
        <f>'NORTH-1'!L1416</f>
        <v>649799.99999999558</v>
      </c>
      <c r="M237" s="791">
        <f>'NORTH-1'!M1416</f>
        <v>0</v>
      </c>
      <c r="N237" s="2019" t="str">
        <f>'NORTH-1'!N1416</f>
        <v>Satmasjid</v>
      </c>
      <c r="O237" s="2019" t="str">
        <f>Sheet2!$C$19</f>
        <v>Satmasjid 33/11KV S/S</v>
      </c>
    </row>
    <row r="238" spans="1:15" x14ac:dyDescent="0.35">
      <c r="A238" s="2019">
        <f>'NORTH-1'!A1417</f>
        <v>16</v>
      </c>
      <c r="B238" s="2019" t="str">
        <f>'NORTH-1'!B1417</f>
        <v>Asad Avenue (South)</v>
      </c>
      <c r="C238" s="2019" t="str">
        <f>'NORTH-1'!C1417</f>
        <v>11 kV</v>
      </c>
      <c r="D238" s="2019">
        <f>'NORTH-1'!D1417</f>
        <v>0</v>
      </c>
      <c r="E238" s="2019" t="str">
        <f>'NORTH-1'!E1417</f>
        <v>DHK 60999</v>
      </c>
      <c r="F238" s="791">
        <f>'NORTH-1'!F1417</f>
        <v>1</v>
      </c>
      <c r="G238" s="791">
        <f>'NORTH-1'!G1417</f>
        <v>2814.81</v>
      </c>
      <c r="H238" s="791">
        <f>'NORTH-1'!H1417</f>
        <v>2826.15</v>
      </c>
      <c r="I238" s="791">
        <f>'NORTH-1'!I1417</f>
        <v>11.340000000000146</v>
      </c>
      <c r="J238" s="791">
        <f>'NORTH-1'!J1417</f>
        <v>60000</v>
      </c>
      <c r="K238" s="791">
        <f>'NORTH-1'!K1417</f>
        <v>0</v>
      </c>
      <c r="L238" s="791">
        <f>'NORTH-1'!L1417</f>
        <v>680400.00000000873</v>
      </c>
      <c r="M238" s="791">
        <f>'NORTH-1'!M1417</f>
        <v>0</v>
      </c>
      <c r="N238" s="2019" t="str">
        <f>'NORTH-1'!N1417</f>
        <v>Satmasjid</v>
      </c>
      <c r="O238" s="2019" t="str">
        <f>Sheet2!$C$19</f>
        <v>Satmasjid 33/11KV S/S</v>
      </c>
    </row>
    <row r="239" spans="1:15" x14ac:dyDescent="0.35">
      <c r="A239" s="2019">
        <f>'NORTH-1'!A1418</f>
        <v>17</v>
      </c>
      <c r="B239" s="2019" t="str">
        <f>'NORTH-1'!B1418</f>
        <v>Madrasha Road</v>
      </c>
      <c r="C239" s="2019" t="str">
        <f>'NORTH-1'!C1418</f>
        <v>11 kV</v>
      </c>
      <c r="D239" s="2019">
        <f>'NORTH-1'!D1418</f>
        <v>0</v>
      </c>
      <c r="E239" s="2019" t="str">
        <f>'NORTH-1'!E1418</f>
        <v>DHK61004</v>
      </c>
      <c r="F239" s="791">
        <f>'NORTH-1'!F1418</f>
        <v>1</v>
      </c>
      <c r="G239" s="791">
        <f>'NORTH-1'!G1418</f>
        <v>119.23</v>
      </c>
      <c r="H239" s="791">
        <f>'NORTH-1'!H1418</f>
        <v>119.23</v>
      </c>
      <c r="I239" s="791">
        <f>'NORTH-1'!I1418</f>
        <v>0</v>
      </c>
      <c r="J239" s="791">
        <f>'NORTH-1'!J1418</f>
        <v>60000</v>
      </c>
      <c r="K239" s="791">
        <f>'NORTH-1'!K1418</f>
        <v>0</v>
      </c>
      <c r="L239" s="791">
        <f>'NORTH-1'!L1418</f>
        <v>0</v>
      </c>
      <c r="M239" s="791">
        <f>'NORTH-1'!M1418</f>
        <v>0</v>
      </c>
      <c r="N239" s="2019" t="str">
        <f>'NORTH-1'!N1418</f>
        <v>Shyamoli</v>
      </c>
      <c r="O239" s="2019" t="str">
        <f>Sheet2!$C$19</f>
        <v>Satmasjid 33/11KV S/S</v>
      </c>
    </row>
    <row r="240" spans="1:15" x14ac:dyDescent="0.35">
      <c r="A240" s="2019">
        <f>'NORTH-1'!A1419</f>
        <v>18</v>
      </c>
      <c r="B240" s="2019" t="str">
        <f>'NORTH-1'!B1419</f>
        <v>Bashbari</v>
      </c>
      <c r="C240" s="2019" t="str">
        <f>'NORTH-1'!C1419</f>
        <v>11 kV</v>
      </c>
      <c r="D240" s="2019">
        <f>'NORTH-1'!D1419</f>
        <v>0</v>
      </c>
      <c r="E240" s="2019" t="str">
        <f>'NORTH-1'!E1419</f>
        <v>DHK61002</v>
      </c>
      <c r="F240" s="791">
        <f>'NORTH-1'!F1419</f>
        <v>1</v>
      </c>
      <c r="G240" s="791">
        <f>'NORTH-1'!G1419</f>
        <v>2201.0100000000002</v>
      </c>
      <c r="H240" s="791">
        <f>'NORTH-1'!H1419</f>
        <v>2215.6999999999998</v>
      </c>
      <c r="I240" s="791">
        <f>'NORTH-1'!I1419</f>
        <v>14.6899999999996</v>
      </c>
      <c r="J240" s="791">
        <f>'NORTH-1'!J1419</f>
        <v>60000</v>
      </c>
      <c r="K240" s="791">
        <f>'NORTH-1'!K1419</f>
        <v>0</v>
      </c>
      <c r="L240" s="791">
        <f>'NORTH-1'!L1419</f>
        <v>881399.99999997602</v>
      </c>
      <c r="M240" s="791">
        <f>'NORTH-1'!M1419</f>
        <v>0</v>
      </c>
      <c r="N240" s="2019" t="str">
        <f>'NORTH-1'!N1419</f>
        <v>Satmasjid</v>
      </c>
      <c r="O240" s="2019" t="str">
        <f>Sheet2!$C$19</f>
        <v>Satmasjid 33/11KV S/S</v>
      </c>
    </row>
    <row r="241" spans="1:15" x14ac:dyDescent="0.35">
      <c r="A241" s="2019">
        <f>'NORTH-1'!A1420</f>
        <v>19</v>
      </c>
      <c r="B241" s="2019" t="str">
        <f>'NORTH-1'!B1420</f>
        <v>Road-27</v>
      </c>
      <c r="C241" s="2019" t="str">
        <f>'NORTH-1'!C1420</f>
        <v>11 kV</v>
      </c>
      <c r="D241" s="2019">
        <f>'NORTH-1'!D1420</f>
        <v>0</v>
      </c>
      <c r="E241" s="2019" t="str">
        <f>'NORTH-1'!E1420</f>
        <v>DHK61001</v>
      </c>
      <c r="F241" s="791">
        <f>'NORTH-1'!F1420</f>
        <v>1</v>
      </c>
      <c r="G241" s="791">
        <f>'NORTH-1'!G1420</f>
        <v>1375.9</v>
      </c>
      <c r="H241" s="791">
        <f>'NORTH-1'!H1420</f>
        <v>1379.73</v>
      </c>
      <c r="I241" s="791">
        <f>'NORTH-1'!I1420</f>
        <v>3.8299999999999272</v>
      </c>
      <c r="J241" s="791">
        <f>'NORTH-1'!J1420</f>
        <v>60000</v>
      </c>
      <c r="K241" s="791">
        <f>'NORTH-1'!K1420</f>
        <v>0</v>
      </c>
      <c r="L241" s="791">
        <f>'NORTH-1'!L1420</f>
        <v>229799.99999999563</v>
      </c>
      <c r="M241" s="791">
        <f>'NORTH-1'!M1420</f>
        <v>0</v>
      </c>
      <c r="N241" s="2019" t="str">
        <f>'NORTH-1'!N1420</f>
        <v>Satmasjid</v>
      </c>
      <c r="O241" s="2019" t="str">
        <f>Sheet2!$C$19</f>
        <v>Satmasjid 33/11KV S/S</v>
      </c>
    </row>
    <row r="242" spans="1:15" x14ac:dyDescent="0.35">
      <c r="A242" s="2019">
        <f>'NORTH-1'!A1421</f>
        <v>20</v>
      </c>
      <c r="B242" s="2019" t="str">
        <f>'NORTH-1'!B1421</f>
        <v>Boishakhi O/H</v>
      </c>
      <c r="C242" s="2019" t="str">
        <f>'NORTH-1'!C1421</f>
        <v>11 kV</v>
      </c>
      <c r="D242" s="2019">
        <f>'NORTH-1'!D1421</f>
        <v>0</v>
      </c>
      <c r="E242" s="2019" t="str">
        <f>'NORTH-1'!E1421</f>
        <v>DHK61024</v>
      </c>
      <c r="F242" s="791">
        <f>'NORTH-1'!F1421</f>
        <v>1</v>
      </c>
      <c r="G242" s="791">
        <f>'NORTH-1'!G1421</f>
        <v>3778.37</v>
      </c>
      <c r="H242" s="791">
        <f>'NORTH-1'!H1421</f>
        <v>3805.74</v>
      </c>
      <c r="I242" s="791">
        <f>'NORTH-1'!I1421</f>
        <v>27.369999999999891</v>
      </c>
      <c r="J242" s="791">
        <f>'NORTH-1'!J1421</f>
        <v>60000</v>
      </c>
      <c r="K242" s="791">
        <f>'NORTH-1'!K1421</f>
        <v>0</v>
      </c>
      <c r="L242" s="791">
        <f>'NORTH-1'!L1421</f>
        <v>1642199.9999999935</v>
      </c>
      <c r="M242" s="791">
        <f>'NORTH-1'!M1421</f>
        <v>0</v>
      </c>
      <c r="N242" s="2019" t="str">
        <f>'NORTH-1'!N1421</f>
        <v>Dhanmondi</v>
      </c>
      <c r="O242" s="2019" t="str">
        <f>Sheet2!$C$19</f>
        <v>Satmasjid 33/11KV S/S</v>
      </c>
    </row>
    <row r="243" spans="1:15" x14ac:dyDescent="0.35">
      <c r="A243" s="2019">
        <f>'NORTH-1'!A1422</f>
        <v>21</v>
      </c>
      <c r="B243" s="2019" t="str">
        <f>'NORTH-1'!B1422</f>
        <v>Katasur O/H</v>
      </c>
      <c r="C243" s="2019" t="str">
        <f>'NORTH-1'!C1422</f>
        <v>11 kV</v>
      </c>
      <c r="D243" s="2019">
        <f>'NORTH-1'!D1422</f>
        <v>0</v>
      </c>
      <c r="E243" s="2019" t="str">
        <f>'NORTH-1'!E1422</f>
        <v>DHK61003</v>
      </c>
      <c r="F243" s="791">
        <f>'NORTH-1'!F1422</f>
        <v>1</v>
      </c>
      <c r="G243" s="791">
        <f>'NORTH-1'!G1422</f>
        <v>3456.22</v>
      </c>
      <c r="H243" s="791">
        <f>'NORTH-1'!H1422</f>
        <v>3468.74</v>
      </c>
      <c r="I243" s="791">
        <f>'NORTH-1'!I1422</f>
        <v>12.519999999999982</v>
      </c>
      <c r="J243" s="791">
        <f>'NORTH-1'!J1422</f>
        <v>60000</v>
      </c>
      <c r="K243" s="791">
        <f>'NORTH-1'!K1422</f>
        <v>0</v>
      </c>
      <c r="L243" s="791">
        <f>'NORTH-1'!L1422</f>
        <v>751199.99999999895</v>
      </c>
      <c r="M243" s="791">
        <f>'NORTH-1'!M1422</f>
        <v>0</v>
      </c>
      <c r="N243" s="2019" t="str">
        <f>'NORTH-1'!N1422</f>
        <v>Satmasjid</v>
      </c>
      <c r="O243" s="2019" t="str">
        <f>Sheet2!$C$19</f>
        <v>Satmasjid 33/11KV S/S</v>
      </c>
    </row>
    <row r="244" spans="1:15" x14ac:dyDescent="0.35">
      <c r="A244" s="2019">
        <f>'NORTH-1'!A1423</f>
        <v>22</v>
      </c>
      <c r="B244" s="2019" t="str">
        <f>'NORTH-1'!B1423</f>
        <v>Nurjahan Road</v>
      </c>
      <c r="C244" s="2019" t="str">
        <f>'NORTH-1'!C1423</f>
        <v>11 kV</v>
      </c>
      <c r="D244" s="2019">
        <f>'NORTH-1'!D1423</f>
        <v>0</v>
      </c>
      <c r="E244" s="2019" t="str">
        <f>'NORTH-1'!E1423</f>
        <v>DHK61000</v>
      </c>
      <c r="F244" s="791">
        <f>'NORTH-1'!F1423</f>
        <v>1</v>
      </c>
      <c r="G244" s="791">
        <f>'NORTH-1'!G1423</f>
        <v>1670.81</v>
      </c>
      <c r="H244" s="791">
        <f>'NORTH-1'!H1423</f>
        <v>1683.49</v>
      </c>
      <c r="I244" s="791">
        <f>'NORTH-1'!I1423</f>
        <v>12.680000000000064</v>
      </c>
      <c r="J244" s="791">
        <f>'NORTH-1'!J1423</f>
        <v>60000</v>
      </c>
      <c r="K244" s="791">
        <f>'NORTH-1'!K1423</f>
        <v>0</v>
      </c>
      <c r="L244" s="791">
        <f>'NORTH-1'!L1423</f>
        <v>760800.00000000384</v>
      </c>
      <c r="M244" s="791">
        <f>'NORTH-1'!M1423</f>
        <v>0</v>
      </c>
      <c r="N244" s="2019" t="str">
        <f>'NORTH-1'!N1423</f>
        <v>Shyamoli</v>
      </c>
      <c r="O244" s="2019" t="str">
        <f>Sheet2!$C$19</f>
        <v>Satmasjid 33/11KV S/S</v>
      </c>
    </row>
    <row r="245" spans="1:15" x14ac:dyDescent="0.35">
      <c r="A245" s="2019">
        <f>'NORTH-1'!A1424</f>
        <v>25</v>
      </c>
      <c r="B245" s="2019" t="str">
        <f>'NORTH-1'!B1424</f>
        <v xml:space="preserve">polpar over head </v>
      </c>
      <c r="C245" s="2019" t="str">
        <f>'NORTH-1'!C1424</f>
        <v>11 kV</v>
      </c>
      <c r="D245" s="2019">
        <f>'NORTH-1'!D1424</f>
        <v>0</v>
      </c>
      <c r="E245" s="2019" t="str">
        <f>'NORTH-1'!E1424</f>
        <v>DHK61003</v>
      </c>
      <c r="F245" s="791">
        <f>'NORTH-1'!F1424</f>
        <v>1</v>
      </c>
      <c r="G245" s="791">
        <f>'NORTH-1'!G1424</f>
        <v>1573.23</v>
      </c>
      <c r="H245" s="791">
        <f>'NORTH-1'!H1424</f>
        <v>1593.35</v>
      </c>
      <c r="I245" s="791">
        <f>'NORTH-1'!I1424</f>
        <v>20.119999999999891</v>
      </c>
      <c r="J245" s="791">
        <f>'NORTH-1'!J1424</f>
        <v>60000</v>
      </c>
      <c r="K245" s="791">
        <f>'NORTH-1'!K1424</f>
        <v>0</v>
      </c>
      <c r="L245" s="791">
        <f>'NORTH-1'!L1424</f>
        <v>1207199.9999999935</v>
      </c>
      <c r="M245" s="791">
        <f>'NORTH-1'!M1424</f>
        <v>0</v>
      </c>
      <c r="N245" s="2019" t="str">
        <f>'NORTH-1'!N1424</f>
        <v>Dhanmondi</v>
      </c>
      <c r="O245" s="2019" t="str">
        <f>Sheet2!$C$19</f>
        <v>Satmasjid 33/11KV S/S</v>
      </c>
    </row>
    <row r="246" spans="1:15" x14ac:dyDescent="0.35">
      <c r="A246" s="2019">
        <f>'NORTH-1'!A1425</f>
        <v>26</v>
      </c>
      <c r="B246" s="2019" t="str">
        <f>'NORTH-1'!B1425</f>
        <v>Satmosjid Housing</v>
      </c>
      <c r="C246" s="2019" t="str">
        <f>'NORTH-1'!C1425</f>
        <v>11 kV</v>
      </c>
      <c r="D246" s="2019">
        <f>'NORTH-1'!D1425</f>
        <v>0</v>
      </c>
      <c r="E246" s="2019" t="str">
        <f>'NORTH-1'!E1425</f>
        <v>DHK61043</v>
      </c>
      <c r="F246" s="791">
        <f>'NORTH-1'!F1425</f>
        <v>1</v>
      </c>
      <c r="G246" s="791">
        <f>'NORTH-1'!G1425</f>
        <v>2717.57</v>
      </c>
      <c r="H246" s="791">
        <f>'NORTH-1'!H1425</f>
        <v>2732.83</v>
      </c>
      <c r="I246" s="791">
        <f>'NORTH-1'!I1425</f>
        <v>15.259999999999764</v>
      </c>
      <c r="J246" s="791">
        <f>'NORTH-1'!J1425</f>
        <v>60000</v>
      </c>
      <c r="K246" s="791">
        <f>'NORTH-1'!K1425</f>
        <v>0</v>
      </c>
      <c r="L246" s="791">
        <f>'NORTH-1'!L1425</f>
        <v>915599.9999999858</v>
      </c>
      <c r="M246" s="791">
        <f>'NORTH-1'!M1425</f>
        <v>0</v>
      </c>
      <c r="N246" s="2019" t="str">
        <f>'NORTH-1'!N1425</f>
        <v>Satmasjid</v>
      </c>
      <c r="O246" s="2019" t="str">
        <f>Sheet2!$C$19</f>
        <v>Satmasjid 33/11KV S/S</v>
      </c>
    </row>
    <row r="247" spans="1:15" x14ac:dyDescent="0.35">
      <c r="A247" s="2019">
        <f>'NORTH-1'!A1426</f>
        <v>27</v>
      </c>
      <c r="B247" s="2019" t="str">
        <f>'NORTH-1'!B1426</f>
        <v>Physical College</v>
      </c>
      <c r="C247" s="2019" t="str">
        <f>'NORTH-1'!C1426</f>
        <v>11 kV</v>
      </c>
      <c r="D247" s="2019">
        <f>'NORTH-1'!D1426</f>
        <v>0</v>
      </c>
      <c r="E247" s="2019" t="str">
        <f>'NORTH-1'!E1426</f>
        <v>DHK61041</v>
      </c>
      <c r="F247" s="791">
        <f>'NORTH-1'!F1426</f>
        <v>1</v>
      </c>
      <c r="G247" s="791">
        <f>'NORTH-1'!G1426</f>
        <v>3010.85</v>
      </c>
      <c r="H247" s="791">
        <f>'NORTH-1'!H1426</f>
        <v>3031.69</v>
      </c>
      <c r="I247" s="791">
        <f>'NORTH-1'!I1426</f>
        <v>20.840000000000146</v>
      </c>
      <c r="J247" s="791">
        <f>'NORTH-1'!J1426</f>
        <v>60000</v>
      </c>
      <c r="K247" s="791">
        <f>'NORTH-1'!K1426</f>
        <v>0</v>
      </c>
      <c r="L247" s="791">
        <f>'NORTH-1'!L1426</f>
        <v>1250400.0000000088</v>
      </c>
      <c r="M247" s="791">
        <f>'NORTH-1'!M1426</f>
        <v>0</v>
      </c>
      <c r="N247" s="2019" t="str">
        <f>'NORTH-1'!N1426</f>
        <v>Satmasjid</v>
      </c>
      <c r="O247" s="2019" t="str">
        <f>Sheet2!$C$19</f>
        <v>Satmasjid 33/11KV S/S</v>
      </c>
    </row>
    <row r="248" spans="1:15" x14ac:dyDescent="0.35">
      <c r="A248" s="2019">
        <f>'NORTH-1'!A1427</f>
        <v>28</v>
      </c>
      <c r="B248" s="2019" t="str">
        <f>'NORTH-1'!B1427</f>
        <v>Asad Avenue (North)</v>
      </c>
      <c r="C248" s="2019" t="str">
        <f>'NORTH-1'!C1427</f>
        <v>11 kV</v>
      </c>
      <c r="D248" s="2019">
        <f>'NORTH-1'!D1427</f>
        <v>0</v>
      </c>
      <c r="E248" s="2019" t="str">
        <f>'NORTH-1'!E1427</f>
        <v>DHK61022</v>
      </c>
      <c r="F248" s="791">
        <f>'NORTH-1'!F1427</f>
        <v>1</v>
      </c>
      <c r="G248" s="791">
        <f>'NORTH-1'!G1427</f>
        <v>2662.07</v>
      </c>
      <c r="H248" s="791">
        <f>'NORTH-1'!H1427</f>
        <v>2676.27</v>
      </c>
      <c r="I248" s="791">
        <f>'NORTH-1'!I1427</f>
        <v>14.199999999999818</v>
      </c>
      <c r="J248" s="791">
        <f>'NORTH-1'!J1427</f>
        <v>60000</v>
      </c>
      <c r="K248" s="791">
        <f>'NORTH-1'!K1427</f>
        <v>0</v>
      </c>
      <c r="L248" s="791">
        <f>'NORTH-1'!L1427</f>
        <v>851999.99999998906</v>
      </c>
      <c r="M248" s="791">
        <f>'NORTH-1'!M1427</f>
        <v>0</v>
      </c>
      <c r="N248" s="2019" t="str">
        <f>'NORTH-1'!N1427</f>
        <v>Shyamoli</v>
      </c>
      <c r="O248" s="2019" t="str">
        <f>Sheet2!$C$19</f>
        <v>Satmasjid 33/11KV S/S</v>
      </c>
    </row>
    <row r="249" spans="1:15" x14ac:dyDescent="0.35">
      <c r="A249" s="2019">
        <f>'NORTH-1'!A1428</f>
        <v>29</v>
      </c>
      <c r="B249" s="2019" t="str">
        <f>'NORTH-1'!B1428</f>
        <v>Spare Feeder</v>
      </c>
      <c r="C249" s="2019" t="str">
        <f>'NORTH-1'!C1428</f>
        <v>11 kV</v>
      </c>
      <c r="D249" s="2019">
        <f>'NORTH-1'!D1428</f>
        <v>0</v>
      </c>
      <c r="E249" s="2019" t="str">
        <f>'NORTH-1'!E1428</f>
        <v>DHK61025</v>
      </c>
      <c r="F249" s="791">
        <f>'NORTH-1'!F1428</f>
        <v>1</v>
      </c>
      <c r="G249" s="791">
        <f>'NORTH-1'!G1428</f>
        <v>0</v>
      </c>
      <c r="H249" s="791">
        <f>'NORTH-1'!H1428</f>
        <v>0</v>
      </c>
      <c r="I249" s="791">
        <f>'NORTH-1'!I1428</f>
        <v>0</v>
      </c>
      <c r="J249" s="791">
        <f>'NORTH-1'!J1428</f>
        <v>60000</v>
      </c>
      <c r="K249" s="791">
        <f>'NORTH-1'!K1428</f>
        <v>0</v>
      </c>
      <c r="L249" s="791">
        <f>'NORTH-1'!L1428</f>
        <v>0</v>
      </c>
      <c r="M249" s="791">
        <f>'NORTH-1'!M1428</f>
        <v>0</v>
      </c>
      <c r="N249" s="2019" t="str">
        <f>'NORTH-1'!N1428</f>
        <v>Satmasjid</v>
      </c>
      <c r="O249" s="2019" t="str">
        <f>Sheet2!$C$19</f>
        <v>Satmasjid 33/11KV S/S</v>
      </c>
    </row>
    <row r="250" spans="1:15" x14ac:dyDescent="0.35">
      <c r="A250" s="2019">
        <f>'NORTH-1'!A1429</f>
        <v>30</v>
      </c>
      <c r="B250" s="2019" t="str">
        <f>'NORTH-1'!B1429</f>
        <v xml:space="preserve">Ghraphic artch college </v>
      </c>
      <c r="C250" s="2019" t="str">
        <f>'NORTH-1'!C1429</f>
        <v>11 kV</v>
      </c>
      <c r="D250" s="2019">
        <f>'NORTH-1'!D1429</f>
        <v>0</v>
      </c>
      <c r="E250" s="2019" t="str">
        <f>'NORTH-1'!E1429</f>
        <v>DHK61023</v>
      </c>
      <c r="F250" s="791">
        <f>'NORTH-1'!F1429</f>
        <v>1</v>
      </c>
      <c r="G250" s="791">
        <f>'NORTH-1'!G1429</f>
        <v>892.26</v>
      </c>
      <c r="H250" s="791">
        <f>'NORTH-1'!H1429</f>
        <v>905.94</v>
      </c>
      <c r="I250" s="791">
        <f>'NORTH-1'!I1429</f>
        <v>13.680000000000064</v>
      </c>
      <c r="J250" s="791">
        <f>'NORTH-1'!J1429</f>
        <v>60000</v>
      </c>
      <c r="K250" s="791">
        <f>'NORTH-1'!K1429</f>
        <v>0</v>
      </c>
      <c r="L250" s="791">
        <f>'NORTH-1'!L1429</f>
        <v>820800.00000000384</v>
      </c>
      <c r="M250" s="791">
        <f>'NORTH-1'!M1429</f>
        <v>0</v>
      </c>
      <c r="N250" s="2019" t="str">
        <f>'NORTH-1'!N1429</f>
        <v>Dhanmondi</v>
      </c>
      <c r="O250" s="2019" t="str">
        <f>Sheet2!$C$19</f>
        <v>Satmasjid 33/11KV S/S</v>
      </c>
    </row>
    <row r="251" spans="1:15" x14ac:dyDescent="0.35">
      <c r="A251" s="2019">
        <f>'NORTH-1'!A1430</f>
        <v>31</v>
      </c>
      <c r="B251" s="2019" t="str">
        <f>'NORTH-1'!B1430</f>
        <v>Mohammadpur O/H</v>
      </c>
      <c r="C251" s="2019" t="str">
        <f>'NORTH-1'!C1430</f>
        <v>11 kV</v>
      </c>
      <c r="D251" s="2019">
        <f>'NORTH-1'!D1430</f>
        <v>0</v>
      </c>
      <c r="E251" s="2019" t="str">
        <f>'NORTH-1'!E1430</f>
        <v>DHK61025</v>
      </c>
      <c r="F251" s="791">
        <f>'NORTH-1'!F1430</f>
        <v>1</v>
      </c>
      <c r="G251" s="791">
        <f>'NORTH-1'!G1430</f>
        <v>1997.44</v>
      </c>
      <c r="H251" s="791">
        <f>'NORTH-1'!H1430</f>
        <v>2007.78</v>
      </c>
      <c r="I251" s="791">
        <f>'NORTH-1'!I1430</f>
        <v>10.339999999999918</v>
      </c>
      <c r="J251" s="791">
        <f>'NORTH-1'!J1430</f>
        <v>60000</v>
      </c>
      <c r="K251" s="791">
        <f>'NORTH-1'!K1430</f>
        <v>0</v>
      </c>
      <c r="L251" s="791">
        <f>'NORTH-1'!L1430</f>
        <v>620399.99999999511</v>
      </c>
      <c r="M251" s="791">
        <f>'NORTH-1'!M1430</f>
        <v>0</v>
      </c>
      <c r="N251" s="2019" t="str">
        <f>'NORTH-1'!N1430</f>
        <v>Shyamoli</v>
      </c>
      <c r="O251" s="2019" t="str">
        <f>Sheet2!$C$19</f>
        <v>Satmasjid 33/11KV S/S</v>
      </c>
    </row>
    <row r="252" spans="1:15" x14ac:dyDescent="0.35">
      <c r="A252" s="2019">
        <f>'NORTH-1'!A1431</f>
        <v>32</v>
      </c>
      <c r="B252" s="2019" t="str">
        <f>'NORTH-1'!B1431</f>
        <v>Bosila Feeder</v>
      </c>
      <c r="C252" s="2019" t="str">
        <f>'NORTH-1'!C1431</f>
        <v>11 kV</v>
      </c>
      <c r="D252" s="2019">
        <f>'NORTH-1'!D1431</f>
        <v>0</v>
      </c>
      <c r="E252" s="2019" t="str">
        <f>'NORTH-1'!E1431</f>
        <v>DHK60997</v>
      </c>
      <c r="F252" s="791">
        <f>'NORTH-1'!F1431</f>
        <v>1</v>
      </c>
      <c r="G252" s="791">
        <f>'NORTH-1'!G1431</f>
        <v>3744</v>
      </c>
      <c r="H252" s="791">
        <f>'NORTH-1'!H1431</f>
        <v>3771.32</v>
      </c>
      <c r="I252" s="791">
        <f>'NORTH-1'!I1431</f>
        <v>27.320000000000164</v>
      </c>
      <c r="J252" s="791">
        <f>'NORTH-1'!J1431</f>
        <v>60000</v>
      </c>
      <c r="K252" s="791">
        <f>'NORTH-1'!K1431</f>
        <v>0</v>
      </c>
      <c r="L252" s="791">
        <f>'NORTH-1'!L1431</f>
        <v>1639200.0000000098</v>
      </c>
      <c r="M252" s="791">
        <f>'NORTH-1'!M1431</f>
        <v>0</v>
      </c>
      <c r="N252" s="2019" t="str">
        <f>'NORTH-1'!N1431</f>
        <v>Satmasjid</v>
      </c>
      <c r="O252" s="2019" t="str">
        <f>Sheet2!$C$19</f>
        <v>Satmasjid 33/11KV S/S</v>
      </c>
    </row>
    <row r="253" spans="1:15" x14ac:dyDescent="0.35">
      <c r="A253" s="2019">
        <f>'NORTH-1'!A1432</f>
        <v>33</v>
      </c>
      <c r="B253" s="2019" t="str">
        <f>'NORTH-1'!B1432</f>
        <v>11/0.4 kV Auxiliary Transformer</v>
      </c>
      <c r="C253" s="2019" t="str">
        <f>'NORTH-1'!C1432</f>
        <v>0.4 kV</v>
      </c>
      <c r="D253" s="2019">
        <f>'NORTH-1'!D1432</f>
        <v>0</v>
      </c>
      <c r="E253" s="2019" t="str">
        <f>'NORTH-1'!E1432</f>
        <v>ELIB 7375</v>
      </c>
      <c r="F253" s="791">
        <f>'NORTH-1'!F1432</f>
        <v>1</v>
      </c>
      <c r="G253" s="791">
        <f>'NORTH-1'!G1432</f>
        <v>4896.8500000000004</v>
      </c>
      <c r="H253" s="791">
        <f>'NORTH-1'!H1432</f>
        <v>4959.53</v>
      </c>
      <c r="I253" s="791">
        <f>'NORTH-1'!I1432</f>
        <v>62.679999999999382</v>
      </c>
      <c r="J253" s="791">
        <f>'NORTH-1'!J1432</f>
        <v>60</v>
      </c>
      <c r="K253" s="791">
        <f>'NORTH-1'!K1432</f>
        <v>0</v>
      </c>
      <c r="L253" s="791">
        <f>'NORTH-1'!L1432</f>
        <v>3760.7999999999629</v>
      </c>
      <c r="M253" s="791">
        <f>'NORTH-1'!M1432</f>
        <v>0</v>
      </c>
      <c r="N253" s="2019" t="str">
        <f>'NORTH-1'!N1432</f>
        <v>Satmasjid</v>
      </c>
      <c r="O253" s="2019" t="str">
        <f>Sheet2!$C$19</f>
        <v>Satmasjid 33/11KV S/S</v>
      </c>
    </row>
    <row r="254" spans="1:15" x14ac:dyDescent="0.35">
      <c r="A254" s="2019">
        <f>'NORTH-1'!A1497</f>
        <v>5</v>
      </c>
      <c r="B254" s="2019" t="str">
        <f>'NORTH-1'!B1497</f>
        <v>Dhaka Uddyan</v>
      </c>
      <c r="C254" s="2019" t="str">
        <f>'NORTH-1'!C1497</f>
        <v>11 kV</v>
      </c>
      <c r="D254" s="2019">
        <f>'NORTH-1'!D1497</f>
        <v>0</v>
      </c>
      <c r="E254" s="2019" t="str">
        <f>'NORTH-1'!E1497</f>
        <v>DHK86067</v>
      </c>
      <c r="F254" s="791">
        <f>'NORTH-1'!F1497</f>
        <v>1</v>
      </c>
      <c r="G254" s="791">
        <f>'NORTH-1'!G1497</f>
        <v>3242.85</v>
      </c>
      <c r="H254" s="791">
        <f>'NORTH-1'!H1497</f>
        <v>3242.85</v>
      </c>
      <c r="I254" s="791">
        <f>'NORTH-1'!I1497</f>
        <v>0</v>
      </c>
      <c r="J254" s="791">
        <f>'NORTH-1'!J1497</f>
        <v>60000</v>
      </c>
      <c r="K254" s="791">
        <f>'NORTH-1'!K1497</f>
        <v>0</v>
      </c>
      <c r="L254" s="791">
        <f>'NORTH-1'!L1497</f>
        <v>0</v>
      </c>
      <c r="M254" s="791">
        <f>'NORTH-1'!M1497</f>
        <v>0</v>
      </c>
      <c r="N254" s="2019" t="str">
        <f>'NORTH-1'!N1497</f>
        <v>Adabor</v>
      </c>
      <c r="O254" s="2019" t="str">
        <f>Sheet2!$C$26</f>
        <v>Japan Garden 33/11 KV</v>
      </c>
    </row>
    <row r="255" spans="1:15" x14ac:dyDescent="0.35">
      <c r="A255" s="2019">
        <f>'NORTH-1'!A1498</f>
        <v>0</v>
      </c>
      <c r="B255" s="2019" t="str">
        <f>'NORTH-1'!B1498</f>
        <v>Shia Mosjid</v>
      </c>
      <c r="C255" s="2019" t="str">
        <f>'NORTH-1'!C1498</f>
        <v>11 kV</v>
      </c>
      <c r="D255" s="2019">
        <f>'NORTH-1'!D1498</f>
        <v>0</v>
      </c>
      <c r="E255" s="2019" t="str">
        <f>'NORTH-1'!E1498</f>
        <v>DHK60950</v>
      </c>
      <c r="F255" s="791">
        <f>'NORTH-1'!F1498</f>
        <v>1</v>
      </c>
      <c r="G255" s="791">
        <f>'NORTH-1'!G1498</f>
        <v>3176.99</v>
      </c>
      <c r="H255" s="791">
        <f>'NORTH-1'!H1498</f>
        <v>3198.16</v>
      </c>
      <c r="I255" s="791">
        <f>'NORTH-1'!I1498</f>
        <v>21.170000000000073</v>
      </c>
      <c r="J255" s="791">
        <f>'NORTH-1'!J1498</f>
        <v>60000</v>
      </c>
      <c r="K255" s="791">
        <f>'NORTH-1'!K1498</f>
        <v>0</v>
      </c>
      <c r="L255" s="791">
        <f>'NORTH-1'!L1498</f>
        <v>1270200.0000000044</v>
      </c>
      <c r="M255" s="791">
        <f>'NORTH-1'!M1498</f>
        <v>0</v>
      </c>
      <c r="N255" s="2019" t="str">
        <f>'NORTH-1'!N1498</f>
        <v>Shyamoli</v>
      </c>
      <c r="O255" s="2019" t="str">
        <f>Sheet2!$C$26</f>
        <v>Japan Garden 33/11 KV</v>
      </c>
    </row>
    <row r="256" spans="1:15" x14ac:dyDescent="0.35">
      <c r="A256" s="2019">
        <f>'NORTH-1'!A1499</f>
        <v>6</v>
      </c>
      <c r="B256" s="2019" t="str">
        <f>'NORTH-1'!B1499</f>
        <v>Shekhar Tek</v>
      </c>
      <c r="C256" s="2019" t="str">
        <f>'NORTH-1'!C1499</f>
        <v>11 kV</v>
      </c>
      <c r="D256" s="2019">
        <f>'NORTH-1'!D1499</f>
        <v>0</v>
      </c>
      <c r="E256" s="2019" t="str">
        <f>'NORTH-1'!E1499</f>
        <v>DHK60977</v>
      </c>
      <c r="F256" s="791">
        <f>'NORTH-1'!F1499</f>
        <v>1</v>
      </c>
      <c r="G256" s="791">
        <f>'NORTH-1'!G1499</f>
        <v>2123.35</v>
      </c>
      <c r="H256" s="791">
        <f>'NORTH-1'!H1499</f>
        <v>2143.19</v>
      </c>
      <c r="I256" s="791">
        <f>'NORTH-1'!I1499</f>
        <v>19.840000000000146</v>
      </c>
      <c r="J256" s="791">
        <f>'NORTH-1'!J1499</f>
        <v>60000</v>
      </c>
      <c r="K256" s="791">
        <f>'NORTH-1'!K1499</f>
        <v>0</v>
      </c>
      <c r="L256" s="791">
        <f>'NORTH-1'!L1499</f>
        <v>1190400.0000000088</v>
      </c>
      <c r="M256" s="791">
        <f>'NORTH-1'!M1499</f>
        <v>0</v>
      </c>
      <c r="N256" s="2019" t="str">
        <f>'NORTH-1'!N1499</f>
        <v>Adabor</v>
      </c>
      <c r="O256" s="2019" t="str">
        <f>Sheet2!$C$26</f>
        <v>Japan Garden 33/11 KV</v>
      </c>
    </row>
    <row r="257" spans="1:15" x14ac:dyDescent="0.35">
      <c r="A257" s="2019">
        <f>'NORTH-1'!A1500</f>
        <v>7</v>
      </c>
      <c r="B257" s="2019" t="str">
        <f>'NORTH-1'!B1500</f>
        <v>Madrasha Road</v>
      </c>
      <c r="C257" s="2019" t="str">
        <f>'NORTH-1'!C1500</f>
        <v>11 kV</v>
      </c>
      <c r="D257" s="2019">
        <f>'NORTH-1'!D1500</f>
        <v>0</v>
      </c>
      <c r="E257" s="2019" t="str">
        <f>'NORTH-1'!E1500</f>
        <v>DHK61083</v>
      </c>
      <c r="F257" s="791">
        <f>'NORTH-1'!F1500</f>
        <v>1</v>
      </c>
      <c r="G257" s="791">
        <f>'NORTH-1'!G1500</f>
        <v>1791.66</v>
      </c>
      <c r="H257" s="791">
        <f>'NORTH-1'!H1500</f>
        <v>1806.56</v>
      </c>
      <c r="I257" s="791">
        <f>'NORTH-1'!I1500</f>
        <v>14.899999999999864</v>
      </c>
      <c r="J257" s="791">
        <f>'NORTH-1'!J1500</f>
        <v>60000</v>
      </c>
      <c r="K257" s="791">
        <f>'NORTH-1'!K1500</f>
        <v>0</v>
      </c>
      <c r="L257" s="791">
        <f>'NORTH-1'!L1500</f>
        <v>893999.99999999185</v>
      </c>
      <c r="M257" s="791">
        <f>'NORTH-1'!M1500</f>
        <v>0</v>
      </c>
      <c r="N257" s="2019" t="str">
        <f>'NORTH-1'!N1500</f>
        <v>Shyamoli</v>
      </c>
      <c r="O257" s="2019" t="str">
        <f>Sheet2!$C$26</f>
        <v>Japan Garden 33/11 KV</v>
      </c>
    </row>
    <row r="258" spans="1:15" x14ac:dyDescent="0.35">
      <c r="A258" s="2019">
        <f>'NORTH-1'!A1501</f>
        <v>8</v>
      </c>
      <c r="B258" s="2019" t="str">
        <f>'NORTH-1'!B1501</f>
        <v>Baitul Aman Housing</v>
      </c>
      <c r="C258" s="2019" t="str">
        <f>'NORTH-1'!C1501</f>
        <v>11 kV</v>
      </c>
      <c r="D258" s="2019">
        <f>'NORTH-1'!D1501</f>
        <v>0</v>
      </c>
      <c r="E258" s="2019" t="str">
        <f>'NORTH-1'!E1501</f>
        <v>DHK668115</v>
      </c>
      <c r="F258" s="791">
        <f>'NORTH-1'!F1501</f>
        <v>1</v>
      </c>
      <c r="G258" s="791">
        <f>'NORTH-1'!G1501</f>
        <v>3750.53</v>
      </c>
      <c r="H258" s="791">
        <f>'NORTH-1'!H1501</f>
        <v>3780.06</v>
      </c>
      <c r="I258" s="791">
        <f>'NORTH-1'!I1501</f>
        <v>29.529999999999745</v>
      </c>
      <c r="J258" s="791">
        <f>'NORTH-1'!J1501</f>
        <v>60000</v>
      </c>
      <c r="K258" s="791">
        <f>'NORTH-1'!K1501</f>
        <v>0</v>
      </c>
      <c r="L258" s="791">
        <f>'NORTH-1'!L1501</f>
        <v>1771799.9999999846</v>
      </c>
      <c r="M258" s="791">
        <f>'NORTH-1'!M1501</f>
        <v>0</v>
      </c>
      <c r="N258" s="2019" t="str">
        <f>'NORTH-1'!N1501</f>
        <v>Adabor</v>
      </c>
      <c r="O258" s="2019" t="str">
        <f>Sheet2!$C$26</f>
        <v>Japan Garden 33/11 KV</v>
      </c>
    </row>
    <row r="259" spans="1:15" x14ac:dyDescent="0.35">
      <c r="A259" s="2019">
        <f>'NORTH-1'!A1502</f>
        <v>11</v>
      </c>
      <c r="B259" s="2019" t="str">
        <f>'NORTH-1'!B1502</f>
        <v>Shyamoli Square</v>
      </c>
      <c r="C259" s="2019" t="str">
        <f>'NORTH-1'!C1502</f>
        <v>11 kV</v>
      </c>
      <c r="D259" s="2019">
        <f>'NORTH-1'!D1502</f>
        <v>0</v>
      </c>
      <c r="E259" s="2019" t="str">
        <f>'NORTH-1'!E1502</f>
        <v>DHK86063</v>
      </c>
      <c r="F259" s="791">
        <f>'NORTH-1'!F1502</f>
        <v>1</v>
      </c>
      <c r="G259" s="791">
        <f>'NORTH-1'!G1502</f>
        <v>419.16</v>
      </c>
      <c r="H259" s="791">
        <f>'NORTH-1'!H1502</f>
        <v>423.04</v>
      </c>
      <c r="I259" s="791">
        <f>'NORTH-1'!I1502</f>
        <v>3.8799999999999955</v>
      </c>
      <c r="J259" s="791">
        <f>'NORTH-1'!J1502</f>
        <v>30000</v>
      </c>
      <c r="K259" s="791">
        <f>'NORTH-1'!K1502</f>
        <v>0</v>
      </c>
      <c r="L259" s="791">
        <f>'NORTH-1'!L1502</f>
        <v>116399.99999999987</v>
      </c>
      <c r="M259" s="791">
        <f>'NORTH-1'!M1502</f>
        <v>0</v>
      </c>
      <c r="N259" s="2019" t="str">
        <f>'NORTH-1'!N1502</f>
        <v>Shyamoli</v>
      </c>
      <c r="O259" s="2019" t="str">
        <f>Sheet2!$C$26</f>
        <v>Japan Garden 33/11 KV</v>
      </c>
    </row>
    <row r="260" spans="1:15" x14ac:dyDescent="0.35">
      <c r="A260" s="2019">
        <f>'NORTH-1'!A1503</f>
        <v>12</v>
      </c>
      <c r="B260" s="2019" t="str">
        <f>'NORTH-1'!B1503</f>
        <v>Mohammadi Housing</v>
      </c>
      <c r="C260" s="2019" t="str">
        <f>'NORTH-1'!C1503</f>
        <v>11 kV</v>
      </c>
      <c r="D260" s="2019">
        <f>'NORTH-1'!D1503</f>
        <v>0</v>
      </c>
      <c r="E260" s="2019" t="str">
        <f>'NORTH-1'!E1503</f>
        <v>DHK60948</v>
      </c>
      <c r="F260" s="791">
        <f>'NORTH-1'!F1503</f>
        <v>1</v>
      </c>
      <c r="G260" s="791">
        <f>'NORTH-1'!G1503</f>
        <v>3593.71</v>
      </c>
      <c r="H260" s="791">
        <f>'NORTH-1'!H1503</f>
        <v>3611.04</v>
      </c>
      <c r="I260" s="791">
        <f>'NORTH-1'!I1503</f>
        <v>17.329999999999927</v>
      </c>
      <c r="J260" s="791">
        <f>'NORTH-1'!J1503</f>
        <v>60000</v>
      </c>
      <c r="K260" s="791">
        <f>'NORTH-1'!K1503</f>
        <v>0</v>
      </c>
      <c r="L260" s="791">
        <f>'NORTH-1'!L1503</f>
        <v>1039799.9999999956</v>
      </c>
      <c r="M260" s="791">
        <f>'NORTH-1'!M1503</f>
        <v>0</v>
      </c>
      <c r="N260" s="2019" t="str">
        <f>'NORTH-1'!N1503</f>
        <v>Adabor</v>
      </c>
      <c r="O260" s="2019" t="str">
        <f>Sheet2!$C$26</f>
        <v>Japan Garden 33/11 KV</v>
      </c>
    </row>
    <row r="261" spans="1:15" x14ac:dyDescent="0.35">
      <c r="A261" s="2019">
        <f>'NORTH-1'!A1504</f>
        <v>13</v>
      </c>
      <c r="B261" s="2019" t="str">
        <f>'NORTH-1'!B1504</f>
        <v>Chand Housing</v>
      </c>
      <c r="C261" s="2019" t="str">
        <f>'NORTH-1'!C1504</f>
        <v>11 kV</v>
      </c>
      <c r="D261" s="2019">
        <f>'NORTH-1'!D1504</f>
        <v>0</v>
      </c>
      <c r="E261" s="2019" t="str">
        <f>'NORTH-1'!E1504</f>
        <v>DHK60867</v>
      </c>
      <c r="F261" s="791">
        <f>'NORTH-1'!F1504</f>
        <v>1</v>
      </c>
      <c r="G261" s="791">
        <f>'NORTH-1'!G1504</f>
        <v>2052.6</v>
      </c>
      <c r="H261" s="791">
        <f>'NORTH-1'!H1504</f>
        <v>2062.5300000000002</v>
      </c>
      <c r="I261" s="791">
        <f>'NORTH-1'!I1504</f>
        <v>9.930000000000291</v>
      </c>
      <c r="J261" s="791">
        <f>'NORTH-1'!J1504</f>
        <v>60000</v>
      </c>
      <c r="K261" s="791">
        <f>'NORTH-1'!K1504</f>
        <v>0</v>
      </c>
      <c r="L261" s="791">
        <f>'NORTH-1'!L1504</f>
        <v>595800.00000001746</v>
      </c>
      <c r="M261" s="791">
        <f>'NORTH-1'!M1504</f>
        <v>0</v>
      </c>
      <c r="N261" s="2019" t="str">
        <f>'NORTH-1'!N1504</f>
        <v>Satmasjid</v>
      </c>
      <c r="O261" s="2019" t="str">
        <f>Sheet2!$C$26</f>
        <v>Japan Garden 33/11 KV</v>
      </c>
    </row>
    <row r="262" spans="1:15" x14ac:dyDescent="0.35">
      <c r="A262" s="2019">
        <f>'NORTH-1'!A1505</f>
        <v>14</v>
      </c>
      <c r="B262" s="2019" t="str">
        <f>'NORTH-1'!B1505</f>
        <v>PC Culture Housing</v>
      </c>
      <c r="C262" s="2019" t="str">
        <f>'NORTH-1'!C1505</f>
        <v>11 kV</v>
      </c>
      <c r="D262" s="2019">
        <f>'NORTH-1'!D1505</f>
        <v>0</v>
      </c>
      <c r="E262" s="2019" t="str">
        <f>'NORTH-1'!E1505</f>
        <v>DHK60979</v>
      </c>
      <c r="F262" s="791">
        <f>'NORTH-1'!F1505</f>
        <v>1</v>
      </c>
      <c r="G262" s="791">
        <f>'NORTH-1'!G1505</f>
        <v>3795.22</v>
      </c>
      <c r="H262" s="791">
        <f>'NORTH-1'!H1505</f>
        <v>3818.9</v>
      </c>
      <c r="I262" s="791">
        <f>'NORTH-1'!I1505</f>
        <v>23.680000000000291</v>
      </c>
      <c r="J262" s="791">
        <f>'NORTH-1'!J1505</f>
        <v>60000</v>
      </c>
      <c r="K262" s="791">
        <f>'NORTH-1'!K1505</f>
        <v>0</v>
      </c>
      <c r="L262" s="791">
        <f>'NORTH-1'!L1505</f>
        <v>1420800.0000000175</v>
      </c>
      <c r="M262" s="791">
        <f>'NORTH-1'!M1505</f>
        <v>0</v>
      </c>
      <c r="N262" s="2019" t="str">
        <f>'NORTH-1'!N1505</f>
        <v>Adabor</v>
      </c>
      <c r="O262" s="2019" t="str">
        <f>Sheet2!$C$26</f>
        <v>Japan Garden 33/11 KV</v>
      </c>
    </row>
    <row r="263" spans="1:15" x14ac:dyDescent="0.35">
      <c r="A263" s="2019">
        <f>'NORTH-1'!A1506</f>
        <v>15</v>
      </c>
      <c r="B263" s="2019" t="str">
        <f>'NORTH-1'!B1506</f>
        <v>Mehedibagh</v>
      </c>
      <c r="C263" s="2019" t="str">
        <f>'NORTH-1'!C1506</f>
        <v>11 kV</v>
      </c>
      <c r="D263" s="2019">
        <f>'NORTH-1'!D1506</f>
        <v>0</v>
      </c>
      <c r="E263" s="2019" t="str">
        <f>'NORTH-1'!E1506</f>
        <v>DHK68121</v>
      </c>
      <c r="F263" s="791">
        <f>'NORTH-1'!F1506</f>
        <v>1</v>
      </c>
      <c r="G263" s="791">
        <f>'NORTH-1'!G1506</f>
        <v>1942.02</v>
      </c>
      <c r="H263" s="791">
        <f>'NORTH-1'!H1506</f>
        <v>1970.43</v>
      </c>
      <c r="I263" s="791">
        <f>'NORTH-1'!I1506</f>
        <v>28.410000000000082</v>
      </c>
      <c r="J263" s="791">
        <f>'NORTH-1'!J1506</f>
        <v>60000</v>
      </c>
      <c r="K263" s="791">
        <f>'NORTH-1'!K1506</f>
        <v>0</v>
      </c>
      <c r="L263" s="791">
        <f>'NORTH-1'!L1506</f>
        <v>1704600.0000000049</v>
      </c>
      <c r="M263" s="791">
        <f>'NORTH-1'!M1506</f>
        <v>0</v>
      </c>
      <c r="N263" s="2019" t="str">
        <f>'NORTH-1'!N1506</f>
        <v>Adabor</v>
      </c>
      <c r="O263" s="2019" t="str">
        <f>Sheet2!$C$26</f>
        <v>Japan Garden 33/11 KV</v>
      </c>
    </row>
    <row r="264" spans="1:15" x14ac:dyDescent="0.35">
      <c r="A264" s="2019">
        <f>'NORTH-1'!A1507</f>
        <v>16</v>
      </c>
      <c r="B264" s="2019" t="str">
        <f>'NORTH-1'!B1507</f>
        <v>33/11 kV Incoming (Spare)</v>
      </c>
      <c r="C264" s="2019" t="str">
        <f>'NORTH-1'!C1507</f>
        <v>11 kV</v>
      </c>
      <c r="D264" s="2019">
        <f>'NORTH-1'!D1507</f>
        <v>0</v>
      </c>
      <c r="E264" s="2019">
        <f>'NORTH-1'!E1507</f>
        <v>0</v>
      </c>
      <c r="F264" s="791">
        <f>'NORTH-1'!F1507</f>
        <v>1</v>
      </c>
      <c r="G264" s="791">
        <f>'NORTH-1'!G1507</f>
        <v>0</v>
      </c>
      <c r="H264" s="791">
        <f>'NORTH-1'!H1507</f>
        <v>0</v>
      </c>
      <c r="I264" s="791">
        <f>'NORTH-1'!I1507</f>
        <v>0</v>
      </c>
      <c r="J264" s="791">
        <f>'NORTH-1'!J1507</f>
        <v>160000</v>
      </c>
      <c r="K264" s="791">
        <f>'NORTH-1'!K1507</f>
        <v>0</v>
      </c>
      <c r="L264" s="791">
        <f>'NORTH-1'!L1507</f>
        <v>0</v>
      </c>
      <c r="M264" s="791">
        <f>'NORTH-1'!M1507</f>
        <v>0</v>
      </c>
      <c r="N264" s="2019" t="str">
        <f>'NORTH-1'!N1507</f>
        <v>Adabor</v>
      </c>
      <c r="O264" s="2019" t="str">
        <f>Sheet2!$C$26</f>
        <v>Japan Garden 33/11 KV</v>
      </c>
    </row>
    <row r="265" spans="1:15" x14ac:dyDescent="0.35">
      <c r="A265" s="2019">
        <f>'NORTH-1'!A1508</f>
        <v>17</v>
      </c>
      <c r="B265" s="2019" t="str">
        <f>'NORTH-1'!B1508</f>
        <v>11/0.4 kV Auxiliary Transformer</v>
      </c>
      <c r="C265" s="2019" t="str">
        <f>'NORTH-1'!C1508</f>
        <v>0.4 kV</v>
      </c>
      <c r="D265" s="2019">
        <f>'NORTH-1'!D1508</f>
        <v>0</v>
      </c>
      <c r="E265" s="2019">
        <f>'NORTH-1'!E1508</f>
        <v>0</v>
      </c>
      <c r="F265" s="791">
        <f>'NORTH-1'!F1508</f>
        <v>1</v>
      </c>
      <c r="G265" s="791">
        <f>'NORTH-1'!G1508</f>
        <v>617625</v>
      </c>
      <c r="H265" s="791">
        <f>'NORTH-1'!H1508</f>
        <v>620025</v>
      </c>
      <c r="I265" s="791">
        <f>'NORTH-1'!I1508</f>
        <v>2400</v>
      </c>
      <c r="J265" s="791">
        <f>'NORTH-1'!J1508</f>
        <v>1</v>
      </c>
      <c r="K265" s="791">
        <f>'NORTH-1'!K1508</f>
        <v>0</v>
      </c>
      <c r="L265" s="791">
        <f>'NORTH-1'!L1508</f>
        <v>2400</v>
      </c>
      <c r="M265" s="791">
        <f>'NORTH-1'!M1508</f>
        <v>0</v>
      </c>
      <c r="N265" s="2019" t="str">
        <f>'NORTH-1'!N1508</f>
        <v>Adabor</v>
      </c>
      <c r="O265" s="2019" t="str">
        <f>Sheet2!$C$26</f>
        <v>Japan Garden 33/11 KV</v>
      </c>
    </row>
    <row r="266" spans="1:15" x14ac:dyDescent="0.35">
      <c r="A266" s="2019">
        <f>'NORTH-1'!A1619</f>
        <v>0</v>
      </c>
      <c r="B266" s="2019" t="str">
        <f>'NORTH-1'!B1619</f>
        <v>Mokarom Bhabon</v>
      </c>
      <c r="C266" s="2019" t="str">
        <f>'NORTH-1'!C1619</f>
        <v>11 kV</v>
      </c>
      <c r="D266" s="2019">
        <f>'NORTH-1'!D1619</f>
        <v>0</v>
      </c>
      <c r="E266" s="2019">
        <f>'NORTH-1'!E1619</f>
        <v>2761</v>
      </c>
      <c r="F266" s="791">
        <f>'NORTH-1'!F1619</f>
        <v>1</v>
      </c>
      <c r="G266" s="791">
        <f>'NORTH-1'!G1619</f>
        <v>33.96</v>
      </c>
      <c r="H266" s="791">
        <f>'NORTH-1'!H1619</f>
        <v>35.18</v>
      </c>
      <c r="I266" s="791">
        <f>'NORTH-1'!I1619</f>
        <v>1.2199999999999989</v>
      </c>
      <c r="J266" s="791">
        <f>'NORTH-1'!J1619</f>
        <v>60000</v>
      </c>
      <c r="K266" s="791">
        <f>'NORTH-1'!K1619</f>
        <v>0</v>
      </c>
      <c r="L266" s="791">
        <f>'NORTH-1'!L1619</f>
        <v>73199.999999999927</v>
      </c>
      <c r="M266" s="791">
        <f>'NORTH-1'!M1619</f>
        <v>0</v>
      </c>
      <c r="N266" s="2019" t="str">
        <f>'NORTH-1'!N1619</f>
        <v>Ramna</v>
      </c>
      <c r="O266" s="2019" t="str">
        <f>Sheet2!$C$40</f>
        <v>Dhaka University 33/11 KV S/S</v>
      </c>
    </row>
    <row r="267" spans="1:15" x14ac:dyDescent="0.35">
      <c r="A267" s="2019">
        <f>'NORTH-1'!A1620</f>
        <v>4</v>
      </c>
      <c r="B267" s="2019" t="str">
        <f>'NORTH-1'!B1620</f>
        <v>11 kV Shaid Minar RMU</v>
      </c>
      <c r="C267" s="2019" t="str">
        <f>'NORTH-1'!C1620</f>
        <v>11 kV</v>
      </c>
      <c r="D267" s="2019">
        <f>'NORTH-1'!D1620</f>
        <v>0</v>
      </c>
      <c r="E267" s="2019">
        <f>'NORTH-1'!E1620</f>
        <v>2850</v>
      </c>
      <c r="F267" s="791">
        <f>'NORTH-1'!F1620</f>
        <v>1</v>
      </c>
      <c r="G267" s="791">
        <f>'NORTH-1'!G1620</f>
        <v>84.6</v>
      </c>
      <c r="H267" s="791">
        <f>'NORTH-1'!H1620</f>
        <v>86.66</v>
      </c>
      <c r="I267" s="791">
        <f>'NORTH-1'!I1620</f>
        <v>2.0600000000000023</v>
      </c>
      <c r="J267" s="791">
        <f>'NORTH-1'!J1620</f>
        <v>60000</v>
      </c>
      <c r="K267" s="791">
        <f>'NORTH-1'!K1620</f>
        <v>0</v>
      </c>
      <c r="L267" s="791">
        <f>'NORTH-1'!L1620</f>
        <v>123600.00000000013</v>
      </c>
      <c r="M267" s="791">
        <f>'NORTH-1'!M1620</f>
        <v>0</v>
      </c>
      <c r="N267" s="2019" t="str">
        <f>'NORTH-1'!N1620</f>
        <v>Ramna</v>
      </c>
      <c r="O267" s="2019" t="str">
        <f>Sheet2!$C$40</f>
        <v>Dhaka University 33/11 KV S/S</v>
      </c>
    </row>
    <row r="268" spans="1:15" x14ac:dyDescent="0.35">
      <c r="A268" s="2019">
        <f>'NORTH-1'!A1621</f>
        <v>5</v>
      </c>
      <c r="B268" s="2019" t="str">
        <f>'NORTH-1'!B1621</f>
        <v>11 kV Shaidulla Hall</v>
      </c>
      <c r="C268" s="2019" t="str">
        <f>'NORTH-1'!C1621</f>
        <v>11 kV</v>
      </c>
      <c r="D268" s="2019">
        <f>'NORTH-1'!D1621</f>
        <v>0</v>
      </c>
      <c r="E268" s="2019">
        <f>'NORTH-1'!E1621</f>
        <v>2851</v>
      </c>
      <c r="F268" s="791">
        <f>'NORTH-1'!F1621</f>
        <v>1</v>
      </c>
      <c r="G268" s="791">
        <f>'NORTH-1'!G1621</f>
        <v>0.96</v>
      </c>
      <c r="H268" s="791">
        <f>'NORTH-1'!H1621</f>
        <v>0.96</v>
      </c>
      <c r="I268" s="791">
        <f>'NORTH-1'!I1621</f>
        <v>0</v>
      </c>
      <c r="J268" s="791">
        <f>'NORTH-1'!J1621</f>
        <v>60000</v>
      </c>
      <c r="K268" s="791">
        <f>'NORTH-1'!K1621</f>
        <v>0</v>
      </c>
      <c r="L268" s="791">
        <f>'NORTH-1'!L1621</f>
        <v>0</v>
      </c>
      <c r="M268" s="791">
        <f>'NORTH-1'!M1621</f>
        <v>0</v>
      </c>
      <c r="N268" s="2019" t="str">
        <f>'NORTH-1'!N1621</f>
        <v>Ramna</v>
      </c>
      <c r="O268" s="2019" t="str">
        <f>Sheet2!$C$40</f>
        <v>Dhaka University 33/11 KV S/S</v>
      </c>
    </row>
    <row r="269" spans="1:15" x14ac:dyDescent="0.35">
      <c r="A269" s="2019">
        <f>'NORTH-1'!A1622</f>
        <v>6</v>
      </c>
      <c r="B269" s="2019" t="str">
        <f>'NORTH-1'!B1622</f>
        <v>Spare</v>
      </c>
      <c r="C269" s="2019" t="str">
        <f>'NORTH-1'!C1622</f>
        <v>11 kV</v>
      </c>
      <c r="D269" s="2019">
        <f>'NORTH-1'!D1622</f>
        <v>0</v>
      </c>
      <c r="E269" s="2019">
        <f>'NORTH-1'!E1622</f>
        <v>2784</v>
      </c>
      <c r="F269" s="791">
        <f>'NORTH-1'!F1622</f>
        <v>1</v>
      </c>
      <c r="G269" s="791">
        <f>'NORTH-1'!G1622</f>
        <v>0</v>
      </c>
      <c r="H269" s="791">
        <f>'NORTH-1'!H1622</f>
        <v>0</v>
      </c>
      <c r="I269" s="791">
        <f>'NORTH-1'!I1622</f>
        <v>0</v>
      </c>
      <c r="J269" s="791">
        <f>'NORTH-1'!J1622</f>
        <v>60000</v>
      </c>
      <c r="K269" s="791">
        <f>'NORTH-1'!K1622</f>
        <v>0</v>
      </c>
      <c r="L269" s="791">
        <f>'NORTH-1'!L1622</f>
        <v>0</v>
      </c>
      <c r="M269" s="791">
        <f>'NORTH-1'!M1622</f>
        <v>0</v>
      </c>
      <c r="N269" s="2019">
        <f>'NORTH-1'!N1622</f>
        <v>0</v>
      </c>
      <c r="O269" s="2019" t="str">
        <f>Sheet2!$C$40</f>
        <v>Dhaka University 33/11 KV S/S</v>
      </c>
    </row>
    <row r="270" spans="1:15" x14ac:dyDescent="0.35">
      <c r="A270" s="2019">
        <f>'NORTH-1'!A1623</f>
        <v>7</v>
      </c>
      <c r="B270" s="2019" t="str">
        <f>'NORTH-1'!B1623</f>
        <v>Spare</v>
      </c>
      <c r="C270" s="2019" t="str">
        <f>'NORTH-1'!C1623</f>
        <v>11 kV</v>
      </c>
      <c r="D270" s="2019">
        <f>'NORTH-1'!D1623</f>
        <v>0</v>
      </c>
      <c r="E270" s="2019">
        <f>'NORTH-1'!E1623</f>
        <v>2799</v>
      </c>
      <c r="F270" s="791">
        <f>'NORTH-1'!F1623</f>
        <v>1</v>
      </c>
      <c r="G270" s="791">
        <f>'NORTH-1'!G1623</f>
        <v>0</v>
      </c>
      <c r="H270" s="791">
        <f>'NORTH-1'!H1623</f>
        <v>0</v>
      </c>
      <c r="I270" s="791">
        <f>'NORTH-1'!I1623</f>
        <v>0</v>
      </c>
      <c r="J270" s="791">
        <f>'NORTH-1'!J1623</f>
        <v>60000</v>
      </c>
      <c r="K270" s="791">
        <f>'NORTH-1'!K1623</f>
        <v>0</v>
      </c>
      <c r="L270" s="791">
        <f>'NORTH-1'!L1623</f>
        <v>0</v>
      </c>
      <c r="M270" s="791">
        <f>'NORTH-1'!M1623</f>
        <v>0</v>
      </c>
      <c r="N270" s="2019">
        <f>'NORTH-1'!N1623</f>
        <v>0</v>
      </c>
      <c r="O270" s="2019" t="str">
        <f>Sheet2!$C$40</f>
        <v>Dhaka University 33/11 KV S/S</v>
      </c>
    </row>
    <row r="271" spans="1:15" x14ac:dyDescent="0.35">
      <c r="A271" s="2019">
        <f>'NORTH-1'!A1624</f>
        <v>8</v>
      </c>
      <c r="B271" s="2019" t="str">
        <f>'NORTH-1'!B1624</f>
        <v>Spare</v>
      </c>
      <c r="C271" s="2019" t="str">
        <f>'NORTH-1'!C1624</f>
        <v>11 kV</v>
      </c>
      <c r="D271" s="2019">
        <f>'NORTH-1'!D1624</f>
        <v>0</v>
      </c>
      <c r="E271" s="2019">
        <f>'NORTH-1'!E1624</f>
        <v>2775</v>
      </c>
      <c r="F271" s="791">
        <f>'NORTH-1'!F1624</f>
        <v>1</v>
      </c>
      <c r="G271" s="791">
        <f>'NORTH-1'!G1624</f>
        <v>0</v>
      </c>
      <c r="H271" s="791">
        <f>'NORTH-1'!H1624</f>
        <v>0</v>
      </c>
      <c r="I271" s="791">
        <f>'NORTH-1'!I1624</f>
        <v>0</v>
      </c>
      <c r="J271" s="791">
        <f>'NORTH-1'!J1624</f>
        <v>60000</v>
      </c>
      <c r="K271" s="791">
        <f>'NORTH-1'!K1624</f>
        <v>0</v>
      </c>
      <c r="L271" s="791">
        <f>'NORTH-1'!L1624</f>
        <v>0</v>
      </c>
      <c r="M271" s="791">
        <f>'NORTH-1'!M1624</f>
        <v>0</v>
      </c>
      <c r="N271" s="2019">
        <f>'NORTH-1'!N1624</f>
        <v>0</v>
      </c>
      <c r="O271" s="2019" t="str">
        <f>Sheet2!$C$40</f>
        <v>Dhaka University 33/11 KV S/S</v>
      </c>
    </row>
    <row r="272" spans="1:15" x14ac:dyDescent="0.35">
      <c r="A272" s="2019">
        <f>'NORTH-1'!A1625</f>
        <v>10</v>
      </c>
      <c r="B272" s="2019" t="str">
        <f>'NORTH-1'!B1625</f>
        <v>MBA Bhabon</v>
      </c>
      <c r="C272" s="2019" t="str">
        <f>'NORTH-1'!C1625</f>
        <v>11 kV</v>
      </c>
      <c r="D272" s="2019">
        <f>'NORTH-1'!D1625</f>
        <v>0</v>
      </c>
      <c r="E272" s="2019">
        <f>'NORTH-1'!E1625</f>
        <v>2836</v>
      </c>
      <c r="F272" s="791">
        <f>'NORTH-1'!F1625</f>
        <v>1</v>
      </c>
      <c r="G272" s="791">
        <f>'NORTH-1'!G1625</f>
        <v>64.400000000000006</v>
      </c>
      <c r="H272" s="791">
        <f>'NORTH-1'!H1625</f>
        <v>66.58</v>
      </c>
      <c r="I272" s="791">
        <f>'NORTH-1'!I1625</f>
        <v>2.1799999999999926</v>
      </c>
      <c r="J272" s="791">
        <f>'NORTH-1'!J1625</f>
        <v>60000</v>
      </c>
      <c r="K272" s="791">
        <f>'NORTH-1'!K1625</f>
        <v>0</v>
      </c>
      <c r="L272" s="791">
        <f>'NORTH-1'!L1625</f>
        <v>130799.99999999956</v>
      </c>
      <c r="M272" s="791">
        <f>'NORTH-1'!M1625</f>
        <v>0</v>
      </c>
      <c r="N272" s="2019" t="str">
        <f>'NORTH-1'!N1625</f>
        <v>Ramna</v>
      </c>
      <c r="O272" s="2019" t="str">
        <f>Sheet2!$C$40</f>
        <v>Dhaka University 33/11 KV S/S</v>
      </c>
    </row>
    <row r="273" spans="1:15" x14ac:dyDescent="0.35">
      <c r="A273" s="2019">
        <f>'NORTH-1'!A1626</f>
        <v>11</v>
      </c>
      <c r="B273" s="2019" t="str">
        <f>'NORTH-1'!B1626</f>
        <v>Suprime Court</v>
      </c>
      <c r="C273" s="2019" t="str">
        <f>'NORTH-1'!C1626</f>
        <v>11 kV</v>
      </c>
      <c r="D273" s="2019">
        <f>'NORTH-1'!D1626</f>
        <v>0</v>
      </c>
      <c r="E273" s="2019">
        <f>'NORTH-1'!E1626</f>
        <v>2835</v>
      </c>
      <c r="F273" s="791">
        <f>'NORTH-1'!F1626</f>
        <v>1</v>
      </c>
      <c r="G273" s="791">
        <f>'NORTH-1'!G1626</f>
        <v>19.32</v>
      </c>
      <c r="H273" s="791">
        <f>'NORTH-1'!H1626</f>
        <v>21.87</v>
      </c>
      <c r="I273" s="791">
        <f>'NORTH-1'!I1626</f>
        <v>2.5500000000000007</v>
      </c>
      <c r="J273" s="791">
        <f>'NORTH-1'!J1626</f>
        <v>60000</v>
      </c>
      <c r="K273" s="791">
        <f>'NORTH-1'!K1626</f>
        <v>0</v>
      </c>
      <c r="L273" s="791">
        <f>'NORTH-1'!L1626</f>
        <v>153000.00000000003</v>
      </c>
      <c r="M273" s="791">
        <f>'NORTH-1'!M1626</f>
        <v>0</v>
      </c>
      <c r="N273" s="2019" t="str">
        <f>'NORTH-1'!N1626</f>
        <v>Ramna</v>
      </c>
      <c r="O273" s="2019" t="str">
        <f>Sheet2!$C$40</f>
        <v>Dhaka University 33/11 KV S/S</v>
      </c>
    </row>
    <row r="274" spans="1:15" x14ac:dyDescent="0.35">
      <c r="A274" s="2019">
        <f>'NORTH-1'!A1627</f>
        <v>12</v>
      </c>
      <c r="B274" s="2019" t="str">
        <f>'NORTH-1'!B1627</f>
        <v>Karjon Hall</v>
      </c>
      <c r="C274" s="2019" t="str">
        <f>'NORTH-1'!C1627</f>
        <v>11 kV</v>
      </c>
      <c r="D274" s="2019">
        <f>'NORTH-1'!D1627</f>
        <v>0</v>
      </c>
      <c r="E274" s="2019">
        <f>'NORTH-1'!E1627</f>
        <v>2853</v>
      </c>
      <c r="F274" s="791">
        <f>'NORTH-1'!F1627</f>
        <v>1</v>
      </c>
      <c r="G274" s="791">
        <f>'NORTH-1'!G1627</f>
        <v>24.98</v>
      </c>
      <c r="H274" s="791">
        <f>'NORTH-1'!H1627</f>
        <v>25.98</v>
      </c>
      <c r="I274" s="791">
        <f>'NORTH-1'!I1627</f>
        <v>1</v>
      </c>
      <c r="J274" s="791">
        <f>'NORTH-1'!J1627</f>
        <v>60000</v>
      </c>
      <c r="K274" s="791">
        <f>'NORTH-1'!K1627</f>
        <v>0</v>
      </c>
      <c r="L274" s="791">
        <f>'NORTH-1'!L1627</f>
        <v>60000</v>
      </c>
      <c r="M274" s="791">
        <f>'NORTH-1'!M1627</f>
        <v>0</v>
      </c>
      <c r="N274" s="2019" t="str">
        <f>'NORTH-1'!N1627</f>
        <v>Ramna</v>
      </c>
      <c r="O274" s="2019" t="str">
        <f>Sheet2!$C$40</f>
        <v>Dhaka University 33/11 KV S/S</v>
      </c>
    </row>
    <row r="275" spans="1:15" x14ac:dyDescent="0.35">
      <c r="A275" s="2019">
        <f>'NORTH-1'!A1628</f>
        <v>13</v>
      </c>
      <c r="B275" s="2019" t="str">
        <f>'NORTH-1'!B1628</f>
        <v>Spare</v>
      </c>
      <c r="C275" s="2019" t="str">
        <f>'NORTH-1'!C1628</f>
        <v>11 kV</v>
      </c>
      <c r="D275" s="2019">
        <f>'NORTH-1'!D1628</f>
        <v>0</v>
      </c>
      <c r="E275" s="2019">
        <f>'NORTH-1'!E1628</f>
        <v>2852</v>
      </c>
      <c r="F275" s="791">
        <f>'NORTH-1'!F1628</f>
        <v>1</v>
      </c>
      <c r="G275" s="791">
        <f>'NORTH-1'!G1628</f>
        <v>0</v>
      </c>
      <c r="H275" s="791">
        <f>'NORTH-1'!H1628</f>
        <v>0</v>
      </c>
      <c r="I275" s="791">
        <f>'NORTH-1'!I1628</f>
        <v>0</v>
      </c>
      <c r="J275" s="791">
        <f>'NORTH-1'!J1628</f>
        <v>60000</v>
      </c>
      <c r="K275" s="791">
        <f>'NORTH-1'!K1628</f>
        <v>0</v>
      </c>
      <c r="L275" s="791">
        <f>'NORTH-1'!L1628</f>
        <v>0</v>
      </c>
      <c r="M275" s="791">
        <f>'NORTH-1'!M1628</f>
        <v>0</v>
      </c>
      <c r="N275" s="2019">
        <f>'NORTH-1'!N1628</f>
        <v>0</v>
      </c>
      <c r="O275" s="2019" t="str">
        <f>Sheet2!$C$40</f>
        <v>Dhaka University 33/11 KV S/S</v>
      </c>
    </row>
    <row r="276" spans="1:15" x14ac:dyDescent="0.35">
      <c r="A276" s="2019">
        <f>'NORTH-1'!A1629</f>
        <v>14</v>
      </c>
      <c r="B276" s="2019" t="str">
        <f>'NORTH-1'!B1629</f>
        <v>Swimming Pool</v>
      </c>
      <c r="C276" s="2019" t="str">
        <f>'NORTH-1'!C1629</f>
        <v>11 kV</v>
      </c>
      <c r="D276" s="2019">
        <f>'NORTH-1'!D1629</f>
        <v>0</v>
      </c>
      <c r="E276" s="2019">
        <f>'NORTH-1'!E1629</f>
        <v>2839</v>
      </c>
      <c r="F276" s="791">
        <f>'NORTH-1'!F1629</f>
        <v>1</v>
      </c>
      <c r="G276" s="791">
        <f>'NORTH-1'!G1629</f>
        <v>0</v>
      </c>
      <c r="H276" s="791">
        <f>'NORTH-1'!H1629</f>
        <v>0</v>
      </c>
      <c r="I276" s="791">
        <f>'NORTH-1'!I1629</f>
        <v>0</v>
      </c>
      <c r="J276" s="791">
        <f>'NORTH-1'!J1629</f>
        <v>60000</v>
      </c>
      <c r="K276" s="791">
        <f>'NORTH-1'!K1629</f>
        <v>0</v>
      </c>
      <c r="L276" s="791">
        <f>'NORTH-1'!L1629</f>
        <v>0</v>
      </c>
      <c r="M276" s="791">
        <f>'NORTH-1'!M1629</f>
        <v>0</v>
      </c>
      <c r="N276" s="2019" t="str">
        <f>'NORTH-1'!N1629</f>
        <v>Ramna</v>
      </c>
      <c r="O276" s="2019" t="str">
        <f>Sheet2!$C$40</f>
        <v>Dhaka University 33/11 KV S/S</v>
      </c>
    </row>
    <row r="277" spans="1:15" x14ac:dyDescent="0.35">
      <c r="A277" s="2019">
        <f>'NORTH-1'!A1630</f>
        <v>15</v>
      </c>
      <c r="B277" s="2019" t="str">
        <f>'NORTH-1'!B1630</f>
        <v>Spare</v>
      </c>
      <c r="C277" s="2019" t="str">
        <f>'NORTH-1'!C1630</f>
        <v>11 kV</v>
      </c>
      <c r="D277" s="2019">
        <f>'NORTH-1'!D1630</f>
        <v>0</v>
      </c>
      <c r="E277" s="2019">
        <f>'NORTH-1'!E1630</f>
        <v>2838</v>
      </c>
      <c r="F277" s="791">
        <f>'NORTH-1'!F1630</f>
        <v>1</v>
      </c>
      <c r="G277" s="791">
        <f>'NORTH-1'!G1630</f>
        <v>0</v>
      </c>
      <c r="H277" s="791">
        <f>'NORTH-1'!H1630</f>
        <v>0</v>
      </c>
      <c r="I277" s="791">
        <f>'NORTH-1'!I1630</f>
        <v>0</v>
      </c>
      <c r="J277" s="791">
        <f>'NORTH-1'!J1630</f>
        <v>60000</v>
      </c>
      <c r="K277" s="791">
        <f>'NORTH-1'!K1630</f>
        <v>0</v>
      </c>
      <c r="L277" s="791">
        <f>'NORTH-1'!L1630</f>
        <v>0</v>
      </c>
      <c r="M277" s="791">
        <f>'NORTH-1'!M1630</f>
        <v>0</v>
      </c>
      <c r="N277" s="2019">
        <f>'NORTH-1'!N1630</f>
        <v>0</v>
      </c>
      <c r="O277" s="2019" t="str">
        <f>Sheet2!$C$40</f>
        <v>Dhaka University 33/11 KV S/S</v>
      </c>
    </row>
    <row r="278" spans="1:15" x14ac:dyDescent="0.35">
      <c r="A278" s="2019">
        <f>'NORTH-1'!A1631</f>
        <v>16</v>
      </c>
      <c r="B278" s="2019" t="str">
        <f>'NORTH-1'!B1631</f>
        <v>Police Head Quarter RMU</v>
      </c>
      <c r="C278" s="2019" t="str">
        <f>'NORTH-1'!C1631</f>
        <v>11 kV</v>
      </c>
      <c r="D278" s="2019">
        <f>'NORTH-1'!D1631</f>
        <v>0</v>
      </c>
      <c r="E278" s="2019">
        <f>'NORTH-1'!E1631</f>
        <v>2772</v>
      </c>
      <c r="F278" s="791">
        <f>'NORTH-1'!F1631</f>
        <v>1</v>
      </c>
      <c r="G278" s="791">
        <f>'NORTH-1'!G1631</f>
        <v>25.66</v>
      </c>
      <c r="H278" s="791">
        <f>'NORTH-1'!H1631</f>
        <v>29.75</v>
      </c>
      <c r="I278" s="791">
        <f>'NORTH-1'!I1631</f>
        <v>4.09</v>
      </c>
      <c r="J278" s="791">
        <f>'NORTH-1'!J1631</f>
        <v>60000</v>
      </c>
      <c r="K278" s="791">
        <f>'NORTH-1'!K1631</f>
        <v>0</v>
      </c>
      <c r="L278" s="791">
        <f>'NORTH-1'!L1631</f>
        <v>245400</v>
      </c>
      <c r="M278" s="791">
        <f>'NORTH-1'!M1631</f>
        <v>0</v>
      </c>
      <c r="N278" s="2019" t="str">
        <f>'NORTH-1'!N1631</f>
        <v>Ramna</v>
      </c>
      <c r="O278" s="2019" t="str">
        <f>Sheet2!$C$40</f>
        <v>Dhaka University 33/11 KV S/S</v>
      </c>
    </row>
    <row r="279" spans="1:15" x14ac:dyDescent="0.35">
      <c r="A279" s="2019">
        <f>'NORTH-1'!A1632</f>
        <v>17</v>
      </c>
      <c r="B279" s="2019" t="str">
        <f>'NORTH-1'!B1632</f>
        <v>Spare</v>
      </c>
      <c r="C279" s="2019" t="str">
        <f>'NORTH-1'!C1632</f>
        <v>11 kV</v>
      </c>
      <c r="D279" s="2019">
        <f>'NORTH-1'!D1632</f>
        <v>0</v>
      </c>
      <c r="E279" s="2019">
        <f>'NORTH-1'!E1632</f>
        <v>2843</v>
      </c>
      <c r="F279" s="791">
        <f>'NORTH-1'!F1632</f>
        <v>1</v>
      </c>
      <c r="G279" s="791">
        <f>'NORTH-1'!G1632</f>
        <v>0</v>
      </c>
      <c r="H279" s="791">
        <f>'NORTH-1'!H1632</f>
        <v>0</v>
      </c>
      <c r="I279" s="791">
        <f>'NORTH-1'!I1632</f>
        <v>0</v>
      </c>
      <c r="J279" s="791">
        <f>'NORTH-1'!J1632</f>
        <v>60000</v>
      </c>
      <c r="K279" s="791">
        <f>'NORTH-1'!K1632</f>
        <v>0</v>
      </c>
      <c r="L279" s="791">
        <f>'NORTH-1'!L1632</f>
        <v>0</v>
      </c>
      <c r="M279" s="791">
        <f>'NORTH-1'!M1632</f>
        <v>0</v>
      </c>
      <c r="N279" s="2019">
        <f>'NORTH-1'!N1632</f>
        <v>0</v>
      </c>
      <c r="O279" s="2019" t="str">
        <f>Sheet2!$C$40</f>
        <v>Dhaka University 33/11 KV S/S</v>
      </c>
    </row>
    <row r="280" spans="1:15" x14ac:dyDescent="0.35">
      <c r="A280" s="2019">
        <f>'NORTH-1'!A1633</f>
        <v>18</v>
      </c>
      <c r="B280" s="2019" t="str">
        <f>'NORTH-1'!B1633</f>
        <v>Spare</v>
      </c>
      <c r="C280" s="2019" t="str">
        <f>'NORTH-1'!C1633</f>
        <v>11 kV</v>
      </c>
      <c r="D280" s="2019">
        <f>'NORTH-1'!D1633</f>
        <v>0</v>
      </c>
      <c r="E280" s="2019">
        <f>'NORTH-1'!E1633</f>
        <v>2764</v>
      </c>
      <c r="F280" s="791">
        <f>'NORTH-1'!F1633</f>
        <v>1</v>
      </c>
      <c r="G280" s="791">
        <f>'NORTH-1'!G1633</f>
        <v>0</v>
      </c>
      <c r="H280" s="791">
        <f>'NORTH-1'!H1633</f>
        <v>0</v>
      </c>
      <c r="I280" s="791">
        <f>'NORTH-1'!I1633</f>
        <v>0</v>
      </c>
      <c r="J280" s="791">
        <f>'NORTH-1'!J1633</f>
        <v>60000</v>
      </c>
      <c r="K280" s="791">
        <f>'NORTH-1'!K1633</f>
        <v>0</v>
      </c>
      <c r="L280" s="791">
        <f>'NORTH-1'!L1633</f>
        <v>0</v>
      </c>
      <c r="M280" s="791">
        <f>'NORTH-1'!M1633</f>
        <v>0</v>
      </c>
      <c r="N280" s="2019">
        <f>'NORTH-1'!N1633</f>
        <v>0</v>
      </c>
      <c r="O280" s="2019" t="str">
        <f>Sheet2!$C$40</f>
        <v>Dhaka University 33/11 KV S/S</v>
      </c>
    </row>
    <row r="281" spans="1:15" x14ac:dyDescent="0.35">
      <c r="A281" s="2019">
        <f>'NORTH-1'!A1634</f>
        <v>19</v>
      </c>
      <c r="B281" s="2019" t="str">
        <f>'NORTH-1'!B1634</f>
        <v xml:space="preserve">Spare </v>
      </c>
      <c r="C281" s="2019" t="str">
        <f>'NORTH-1'!C1634</f>
        <v>11 kV</v>
      </c>
      <c r="D281" s="2019">
        <f>'NORTH-1'!D1634</f>
        <v>0</v>
      </c>
      <c r="E281" s="2019">
        <f>'NORTH-1'!E1634</f>
        <v>2763</v>
      </c>
      <c r="F281" s="791">
        <f>'NORTH-1'!F1634</f>
        <v>1</v>
      </c>
      <c r="G281" s="791">
        <f>'NORTH-1'!G1634</f>
        <v>0</v>
      </c>
      <c r="H281" s="791">
        <f>'NORTH-1'!H1634</f>
        <v>0</v>
      </c>
      <c r="I281" s="791">
        <f>'NORTH-1'!I1634</f>
        <v>0</v>
      </c>
      <c r="J281" s="791">
        <f>'NORTH-1'!J1634</f>
        <v>60000</v>
      </c>
      <c r="K281" s="791">
        <f>'NORTH-1'!K1634</f>
        <v>0</v>
      </c>
      <c r="L281" s="791">
        <f>'NORTH-1'!L1634</f>
        <v>0</v>
      </c>
      <c r="M281" s="791">
        <f>'NORTH-1'!M1634</f>
        <v>0</v>
      </c>
      <c r="N281" s="2019">
        <f>'NORTH-1'!N1634</f>
        <v>0</v>
      </c>
      <c r="O281" s="2019" t="str">
        <f>Sheet2!$C$40</f>
        <v>Dhaka University 33/11 KV S/S</v>
      </c>
    </row>
    <row r="282" spans="1:15" x14ac:dyDescent="0.35">
      <c r="A282" s="2019">
        <f>'NORTH-1'!A1699</f>
        <v>6</v>
      </c>
      <c r="B282" s="2019" t="str">
        <f>'NORTH-1'!B1699</f>
        <v>Segunbagicha</v>
      </c>
      <c r="C282" s="2019" t="str">
        <f>'NORTH-1'!C1699</f>
        <v>11 kV</v>
      </c>
      <c r="D282" s="2019">
        <f>'NORTH-1'!D1699</f>
        <v>0</v>
      </c>
      <c r="E282" s="2019" t="str">
        <f>'NORTH-1'!E1699</f>
        <v>DHK-C9360</v>
      </c>
      <c r="F282" s="791">
        <f>'NORTH-1'!F1699</f>
        <v>1</v>
      </c>
      <c r="G282" s="791">
        <f>'NORTH-1'!G1699</f>
        <v>18385.53</v>
      </c>
      <c r="H282" s="791">
        <f>'NORTH-1'!H1699</f>
        <v>24335.24</v>
      </c>
      <c r="I282" s="791">
        <f>'NORTH-1'!I1699</f>
        <v>5949.7100000000028</v>
      </c>
      <c r="J282" s="791">
        <f>'NORTH-1'!J1699</f>
        <v>60</v>
      </c>
      <c r="K282" s="791">
        <f>'NORTH-1'!K1699</f>
        <v>0</v>
      </c>
      <c r="L282" s="791">
        <f>'NORTH-1'!L1699</f>
        <v>356982.60000000015</v>
      </c>
      <c r="M282" s="791">
        <f>'NORTH-1'!M1699</f>
        <v>0</v>
      </c>
      <c r="N282" s="2019" t="str">
        <f>'NORTH-1'!N1699</f>
        <v>Ramna</v>
      </c>
      <c r="O282" s="2019" t="str">
        <f>Sheet2!$C$77</f>
        <v>Biddyut Bhaban 33/11 KV</v>
      </c>
    </row>
    <row r="283" spans="1:15" x14ac:dyDescent="0.35">
      <c r="A283" s="2019">
        <f>'NORTH-1'!A1700</f>
        <v>0</v>
      </c>
      <c r="B283" s="2019" t="str">
        <f>'NORTH-1'!B1700</f>
        <v>Secretariat RMU</v>
      </c>
      <c r="C283" s="2019" t="str">
        <f>'NORTH-1'!C1700</f>
        <v>11 kV</v>
      </c>
      <c r="D283" s="2019">
        <f>'NORTH-1'!D1700</f>
        <v>0</v>
      </c>
      <c r="E283" s="2019" t="str">
        <f>'NORTH-1'!E1700</f>
        <v>DHK-C9379</v>
      </c>
      <c r="F283" s="791">
        <f>'NORTH-1'!F1700</f>
        <v>1</v>
      </c>
      <c r="G283" s="791">
        <f>'NORTH-1'!G1700</f>
        <v>54762.91</v>
      </c>
      <c r="H283" s="791">
        <f>'NORTH-1'!H1700</f>
        <v>56181.8</v>
      </c>
      <c r="I283" s="791">
        <f>'NORTH-1'!I1700</f>
        <v>1418.8899999999994</v>
      </c>
      <c r="J283" s="791">
        <f>'NORTH-1'!J1700</f>
        <v>60</v>
      </c>
      <c r="K283" s="791">
        <f>'NORTH-1'!K1700</f>
        <v>0</v>
      </c>
      <c r="L283" s="791">
        <f>'NORTH-1'!L1700</f>
        <v>85133.399999999965</v>
      </c>
      <c r="M283" s="791">
        <f>'NORTH-1'!M1700</f>
        <v>0</v>
      </c>
      <c r="N283" s="2019" t="str">
        <f>'NORTH-1'!N1700</f>
        <v>Ramna</v>
      </c>
      <c r="O283" s="2019" t="str">
        <f>Sheet2!$C$77</f>
        <v>Biddyut Bhaban 33/11 KV</v>
      </c>
    </row>
    <row r="284" spans="1:15" x14ac:dyDescent="0.35">
      <c r="A284" s="2019">
        <f>'NORTH-1'!A1701</f>
        <v>7</v>
      </c>
      <c r="B284" s="2019" t="str">
        <f>'NORTH-1'!B1701</f>
        <v>NBR RMU</v>
      </c>
      <c r="C284" s="2019" t="str">
        <f>'NORTH-1'!C1701</f>
        <v>11 kV</v>
      </c>
      <c r="D284" s="2019">
        <f>'NORTH-1'!D1701</f>
        <v>0</v>
      </c>
      <c r="E284" s="2019" t="str">
        <f>'NORTH-1'!E1701</f>
        <v>DHK-C9319</v>
      </c>
      <c r="F284" s="791">
        <f>'NORTH-1'!F1701</f>
        <v>1</v>
      </c>
      <c r="G284" s="791">
        <f>'NORTH-1'!G1701</f>
        <v>5222.93</v>
      </c>
      <c r="H284" s="791">
        <f>'NORTH-1'!H1701</f>
        <v>9539.67</v>
      </c>
      <c r="I284" s="791">
        <f>'NORTH-1'!I1701</f>
        <v>4316.74</v>
      </c>
      <c r="J284" s="791">
        <f>'NORTH-1'!J1701</f>
        <v>60</v>
      </c>
      <c r="K284" s="791">
        <f>'NORTH-1'!K1701</f>
        <v>0</v>
      </c>
      <c r="L284" s="791">
        <f>'NORTH-1'!L1701</f>
        <v>259004.4</v>
      </c>
      <c r="M284" s="791">
        <f>'NORTH-1'!M1701</f>
        <v>0</v>
      </c>
      <c r="N284" s="2019" t="str">
        <f>'NORTH-1'!N1701</f>
        <v>Ramna</v>
      </c>
      <c r="O284" s="2019" t="str">
        <f>Sheet2!$C$77</f>
        <v>Biddyut Bhaban 33/11 KV</v>
      </c>
    </row>
    <row r="285" spans="1:15" x14ac:dyDescent="0.35">
      <c r="A285" s="2019">
        <f>'NORTH-1'!A1702</f>
        <v>8</v>
      </c>
      <c r="B285" s="2019" t="str">
        <f>'NORTH-1'!B1702</f>
        <v>Ramna 11 kV Sw/S-2</v>
      </c>
      <c r="C285" s="2019" t="str">
        <f>'NORTH-1'!C1702</f>
        <v>11 kV</v>
      </c>
      <c r="D285" s="2019">
        <f>'NORTH-1'!D1702</f>
        <v>0</v>
      </c>
      <c r="E285" s="2019" t="str">
        <f>'NORTH-1'!E1702</f>
        <v>DHK-C9364</v>
      </c>
      <c r="F285" s="791">
        <f>'NORTH-1'!F1702</f>
        <v>1</v>
      </c>
      <c r="G285" s="791">
        <f>'NORTH-1'!G1702</f>
        <v>88893.31</v>
      </c>
      <c r="H285" s="791">
        <f>'NORTH-1'!H1702</f>
        <v>101745.26</v>
      </c>
      <c r="I285" s="791">
        <f>'NORTH-1'!I1702</f>
        <v>12851.949999999997</v>
      </c>
      <c r="J285" s="791">
        <f>'NORTH-1'!J1702</f>
        <v>60</v>
      </c>
      <c r="K285" s="791">
        <f>'NORTH-1'!K1702</f>
        <v>0</v>
      </c>
      <c r="L285" s="791">
        <f>'NORTH-1'!L1702</f>
        <v>771116.99999999977</v>
      </c>
      <c r="M285" s="791">
        <f>'NORTH-1'!M1702</f>
        <v>0</v>
      </c>
      <c r="N285" s="2019" t="str">
        <f>'NORTH-1'!N1702</f>
        <v>Ramna</v>
      </c>
      <c r="O285" s="2019" t="str">
        <f>Sheet2!$C$77</f>
        <v>Biddyut Bhaban 33/11 KV</v>
      </c>
    </row>
    <row r="286" spans="1:15" x14ac:dyDescent="0.35">
      <c r="A286" s="2019">
        <f>'NORTH-1'!A1703</f>
        <v>11</v>
      </c>
      <c r="B286" s="2019" t="str">
        <f>'NORTH-1'!B1703</f>
        <v>Ramna 11 kV Sw/S-1</v>
      </c>
      <c r="C286" s="2019" t="str">
        <f>'NORTH-1'!C1703</f>
        <v>11 kV</v>
      </c>
      <c r="D286" s="2019">
        <f>'NORTH-1'!D1703</f>
        <v>0</v>
      </c>
      <c r="E286" s="2019" t="str">
        <f>'NORTH-1'!E1703</f>
        <v>DHK-C9375</v>
      </c>
      <c r="F286" s="791">
        <f>'NORTH-1'!F1703</f>
        <v>1</v>
      </c>
      <c r="G286" s="791">
        <f>'NORTH-1'!G1703</f>
        <v>13859.98</v>
      </c>
      <c r="H286" s="791">
        <f>'NORTH-1'!H1703</f>
        <v>21249.03</v>
      </c>
      <c r="I286" s="791">
        <f>'NORTH-1'!I1703</f>
        <v>7389.0499999999993</v>
      </c>
      <c r="J286" s="791">
        <f>'NORTH-1'!J1703</f>
        <v>60</v>
      </c>
      <c r="K286" s="791">
        <f>'NORTH-1'!K1703</f>
        <v>0</v>
      </c>
      <c r="L286" s="791">
        <f>'NORTH-1'!L1703</f>
        <v>443342.99999999994</v>
      </c>
      <c r="M286" s="791">
        <f>'NORTH-1'!M1703</f>
        <v>0</v>
      </c>
      <c r="N286" s="2019" t="str">
        <f>'NORTH-1'!N1703</f>
        <v>Ramna</v>
      </c>
      <c r="O286" s="2019" t="str">
        <f>Sheet2!$C$77</f>
        <v>Biddyut Bhaban 33/11 KV</v>
      </c>
    </row>
    <row r="287" spans="1:15" x14ac:dyDescent="0.35">
      <c r="A287" s="2019">
        <f>'NORTH-1'!A1704</f>
        <v>12</v>
      </c>
      <c r="B287" s="2019" t="str">
        <f>'NORTH-1'!B1704</f>
        <v>Family Planning</v>
      </c>
      <c r="C287" s="2019" t="str">
        <f>'NORTH-1'!C1704</f>
        <v>11 kV</v>
      </c>
      <c r="D287" s="2019">
        <f>'NORTH-1'!D1704</f>
        <v>0</v>
      </c>
      <c r="E287" s="2019" t="str">
        <f>'NORTH-1'!E1704</f>
        <v>DHK-C9378</v>
      </c>
      <c r="F287" s="791">
        <f>'NORTH-1'!F1704</f>
        <v>1</v>
      </c>
      <c r="G287" s="791">
        <f>'NORTH-1'!G1704</f>
        <v>3034.16</v>
      </c>
      <c r="H287" s="791">
        <f>'NORTH-1'!H1704</f>
        <v>7196.7</v>
      </c>
      <c r="I287" s="791">
        <f>'NORTH-1'!I1704</f>
        <v>4162.54</v>
      </c>
      <c r="J287" s="791">
        <f>'NORTH-1'!J1704</f>
        <v>60</v>
      </c>
      <c r="K287" s="791">
        <f>'NORTH-1'!K1704</f>
        <v>0</v>
      </c>
      <c r="L287" s="791">
        <f>'NORTH-1'!L1704</f>
        <v>249752.4</v>
      </c>
      <c r="M287" s="791">
        <f>'NORTH-1'!M1704</f>
        <v>0</v>
      </c>
      <c r="N287" s="2019" t="str">
        <f>'NORTH-1'!N1704</f>
        <v>Ramna</v>
      </c>
      <c r="O287" s="2019" t="str">
        <f>Sheet2!$C$77</f>
        <v>Biddyut Bhaban 33/11 KV</v>
      </c>
    </row>
    <row r="288" spans="1:15" x14ac:dyDescent="0.35">
      <c r="A288" s="2019">
        <f>'NORTH-1'!A1705</f>
        <v>13</v>
      </c>
      <c r="B288" s="2019" t="str">
        <f>'NORTH-1'!B1705</f>
        <v>Muktijuddho Montranalaya</v>
      </c>
      <c r="C288" s="2019" t="str">
        <f>'NORTH-1'!C1705</f>
        <v>11 kV</v>
      </c>
      <c r="D288" s="2019">
        <f>'NORTH-1'!D1705</f>
        <v>0</v>
      </c>
      <c r="E288" s="2019" t="str">
        <f>'NORTH-1'!E1705</f>
        <v>DHK-C9376</v>
      </c>
      <c r="F288" s="791">
        <f>'NORTH-1'!F1705</f>
        <v>1</v>
      </c>
      <c r="G288" s="791">
        <f>'NORTH-1'!G1705</f>
        <v>44701.59</v>
      </c>
      <c r="H288" s="791">
        <f>'NORTH-1'!H1705</f>
        <v>53156.78</v>
      </c>
      <c r="I288" s="791">
        <f>'NORTH-1'!I1705</f>
        <v>8455.1900000000023</v>
      </c>
      <c r="J288" s="791">
        <f>'NORTH-1'!J1705</f>
        <v>60</v>
      </c>
      <c r="K288" s="791">
        <f>'NORTH-1'!K1705</f>
        <v>0</v>
      </c>
      <c r="L288" s="791">
        <f>'NORTH-1'!L1705</f>
        <v>507311.40000000014</v>
      </c>
      <c r="M288" s="791">
        <f>'NORTH-1'!M1705</f>
        <v>0</v>
      </c>
      <c r="N288" s="2019" t="str">
        <f>'NORTH-1'!N1705</f>
        <v>Ramna</v>
      </c>
      <c r="O288" s="2019" t="str">
        <f>Sheet2!$C$77</f>
        <v>Biddyut Bhaban 33/11 KV</v>
      </c>
    </row>
    <row r="289" spans="1:15" x14ac:dyDescent="0.35">
      <c r="A289" s="2019">
        <f>'NORTH-1'!A1706</f>
        <v>14</v>
      </c>
      <c r="B289" s="2019" t="str">
        <f>'NORTH-1'!B1706</f>
        <v xml:space="preserve">Purana Palton </v>
      </c>
      <c r="C289" s="2019" t="str">
        <f>'NORTH-1'!C1706</f>
        <v>11 kV</v>
      </c>
      <c r="D289" s="2019">
        <f>'NORTH-1'!D1706</f>
        <v>0</v>
      </c>
      <c r="E289" s="2019" t="str">
        <f>'NORTH-1'!E1706</f>
        <v>DHK-C9318</v>
      </c>
      <c r="F289" s="791">
        <f>'NORTH-1'!F1706</f>
        <v>1</v>
      </c>
      <c r="G289" s="791">
        <f>'NORTH-1'!G1706</f>
        <v>12222.78</v>
      </c>
      <c r="H289" s="791">
        <f>'NORTH-1'!H1706</f>
        <v>15857.61</v>
      </c>
      <c r="I289" s="791">
        <f>'NORTH-1'!I1706</f>
        <v>3634.83</v>
      </c>
      <c r="J289" s="791">
        <f>'NORTH-1'!J1706</f>
        <v>60</v>
      </c>
      <c r="K289" s="791">
        <f>'NORTH-1'!K1706</f>
        <v>0</v>
      </c>
      <c r="L289" s="791">
        <f>'NORTH-1'!L1706</f>
        <v>218089.8</v>
      </c>
      <c r="M289" s="791">
        <f>'NORTH-1'!M1706</f>
        <v>0</v>
      </c>
      <c r="N289" s="2019" t="str">
        <f>'NORTH-1'!N1706</f>
        <v>Ramna</v>
      </c>
      <c r="O289" s="2019" t="str">
        <f>Sheet2!$C$77</f>
        <v>Biddyut Bhaban 33/11 KV</v>
      </c>
    </row>
    <row r="290" spans="1:15" x14ac:dyDescent="0.35">
      <c r="A290" s="2019">
        <f>'NORTH-1'!A1707</f>
        <v>15</v>
      </c>
      <c r="B290" s="2019" t="str">
        <f>'NORTH-1'!B1707</f>
        <v>Tip Top Feeder</v>
      </c>
      <c r="C290" s="2019" t="str">
        <f>'NORTH-1'!C1707</f>
        <v>11 kV</v>
      </c>
      <c r="D290" s="2019">
        <f>'NORTH-1'!D1707</f>
        <v>0</v>
      </c>
      <c r="E290" s="2019" t="str">
        <f>'NORTH-1'!E1707</f>
        <v>DHK-C9318</v>
      </c>
      <c r="F290" s="791">
        <f>'NORTH-1'!F1707</f>
        <v>1</v>
      </c>
      <c r="G290" s="791">
        <f>'NORTH-1'!G1707</f>
        <v>13343.78</v>
      </c>
      <c r="H290" s="791">
        <f>'NORTH-1'!H1707</f>
        <v>32619.82</v>
      </c>
      <c r="I290" s="791">
        <f>'NORTH-1'!I1707</f>
        <v>19276.04</v>
      </c>
      <c r="J290" s="791">
        <f>'NORTH-1'!J1707</f>
        <v>60</v>
      </c>
      <c r="K290" s="791">
        <f>'NORTH-1'!K1707</f>
        <v>0</v>
      </c>
      <c r="L290" s="791">
        <f>'NORTH-1'!L1707</f>
        <v>1156562.4000000001</v>
      </c>
      <c r="M290" s="791">
        <f>'NORTH-1'!M1707</f>
        <v>0</v>
      </c>
      <c r="N290" s="2019" t="str">
        <f>'NORTH-1'!N1707</f>
        <v>Kakrail</v>
      </c>
      <c r="O290" s="2019" t="str">
        <f>Sheet2!$C$77</f>
        <v>Biddyut Bhaban 33/11 KV</v>
      </c>
    </row>
    <row r="291" spans="1:15" x14ac:dyDescent="0.35">
      <c r="A291" s="2019">
        <f>'NORTH-1'!A1708</f>
        <v>16</v>
      </c>
      <c r="B291" s="2019" t="str">
        <f>'NORTH-1'!B1708</f>
        <v>11/0.4 kV Auxiliary Transformer, AT</v>
      </c>
      <c r="C291" s="2019" t="str">
        <f>'NORTH-1'!C1708</f>
        <v>0.4 kV</v>
      </c>
      <c r="D291" s="2019">
        <f>'NORTH-1'!D1708</f>
        <v>0</v>
      </c>
      <c r="E291" s="2019" t="str">
        <f>'NORTH-1'!E1708</f>
        <v>DHKD3784</v>
      </c>
      <c r="F291" s="791">
        <f>'NORTH-1'!F1708</f>
        <v>1</v>
      </c>
      <c r="G291" s="791">
        <f>'NORTH-1'!G1708</f>
        <v>299398</v>
      </c>
      <c r="H291" s="791">
        <f>'NORTH-1'!H1708</f>
        <v>305146</v>
      </c>
      <c r="I291" s="791">
        <f>'NORTH-1'!I1708</f>
        <v>5748</v>
      </c>
      <c r="J291" s="791">
        <f>'NORTH-1'!J1708</f>
        <v>1</v>
      </c>
      <c r="K291" s="791">
        <f>'NORTH-1'!K1708</f>
        <v>0</v>
      </c>
      <c r="L291" s="791">
        <f>'NORTH-1'!L1708</f>
        <v>5748</v>
      </c>
      <c r="M291" s="791">
        <f>'NORTH-1'!M1708</f>
        <v>0</v>
      </c>
      <c r="N291" s="2019" t="str">
        <f>'NORTH-1'!N1708</f>
        <v>Ramna</v>
      </c>
      <c r="O291" s="2019" t="str">
        <f>Sheet2!$C$77</f>
        <v>Biddyut Bhaban 33/11 KV</v>
      </c>
    </row>
    <row r="292" spans="1:15" x14ac:dyDescent="0.35">
      <c r="A292" s="2019">
        <f>'NORTH-1'!A1772</f>
        <v>6</v>
      </c>
      <c r="B292" s="2019" t="str">
        <f>'NORTH-1'!B1772</f>
        <v>Nearest O/H</v>
      </c>
      <c r="C292" s="2019" t="str">
        <f>'NORTH-1'!C1772</f>
        <v>11 kV</v>
      </c>
      <c r="D292" s="2019">
        <f>'NORTH-1'!D1772</f>
        <v>0</v>
      </c>
      <c r="E292" s="2019" t="str">
        <f>'NORTH-1'!E1772</f>
        <v>00000126</v>
      </c>
      <c r="F292" s="791">
        <f>'NORTH-1'!F1772</f>
        <v>1</v>
      </c>
      <c r="G292" s="791">
        <f>'NORTH-1'!G1772</f>
        <v>5971385.5</v>
      </c>
      <c r="H292" s="791">
        <f>'NORTH-1'!H1772</f>
        <v>6084305</v>
      </c>
      <c r="I292" s="791">
        <f>'NORTH-1'!I1772</f>
        <v>112919.5</v>
      </c>
      <c r="J292" s="791">
        <f>'NORTH-1'!J1772</f>
        <v>1</v>
      </c>
      <c r="K292" s="791">
        <f>'NORTH-1'!K1772</f>
        <v>0</v>
      </c>
      <c r="L292" s="791">
        <f>'NORTH-1'!L1772</f>
        <v>112919.5</v>
      </c>
      <c r="M292" s="791">
        <f>'NORTH-1'!M1772</f>
        <v>0</v>
      </c>
      <c r="N292" s="2019" t="str">
        <f>'NORTH-1'!N1772</f>
        <v>Ramna</v>
      </c>
      <c r="O292" s="2019" t="str">
        <f>Sheet2!$C$35</f>
        <v>DMC 33/11 KV SS</v>
      </c>
    </row>
    <row r="293" spans="1:15" x14ac:dyDescent="0.35">
      <c r="A293" s="2019">
        <f>'NORTH-1'!A1773</f>
        <v>0</v>
      </c>
      <c r="B293" s="2019" t="str">
        <f>'NORTH-1'!B1773</f>
        <v>Jagannath Hall</v>
      </c>
      <c r="C293" s="2019" t="str">
        <f>'NORTH-1'!C1773</f>
        <v>11 kV</v>
      </c>
      <c r="D293" s="2019">
        <f>'NORTH-1'!D1773</f>
        <v>0</v>
      </c>
      <c r="E293" s="2019" t="str">
        <f>'NORTH-1'!E1773</f>
        <v>00000002</v>
      </c>
      <c r="F293" s="791">
        <f>'NORTH-1'!F1773</f>
        <v>1</v>
      </c>
      <c r="G293" s="791">
        <f>'NORTH-1'!G1773</f>
        <v>1970035.2</v>
      </c>
      <c r="H293" s="791">
        <f>'NORTH-1'!H1773</f>
        <v>2034035</v>
      </c>
      <c r="I293" s="791">
        <f>'NORTH-1'!I1773</f>
        <v>63999.800000000047</v>
      </c>
      <c r="J293" s="791">
        <f>'NORTH-1'!J1773</f>
        <v>1</v>
      </c>
      <c r="K293" s="791">
        <f>'NORTH-1'!K1773</f>
        <v>0</v>
      </c>
      <c r="L293" s="791">
        <f>'NORTH-1'!L1773</f>
        <v>63999.800000000047</v>
      </c>
      <c r="M293" s="791">
        <f>'NORTH-1'!M1773</f>
        <v>0</v>
      </c>
      <c r="N293" s="2019" t="str">
        <f>'NORTH-1'!N1773</f>
        <v>Ramna</v>
      </c>
      <c r="O293" s="2019" t="str">
        <f>Sheet2!$C$35</f>
        <v>DMC 33/11 KV SS</v>
      </c>
    </row>
    <row r="294" spans="1:15" x14ac:dyDescent="0.35">
      <c r="A294" s="2019">
        <f>'NORTH-1'!A1774</f>
        <v>7</v>
      </c>
      <c r="B294" s="2019" t="str">
        <f>'NORTH-1'!B1774</f>
        <v>Samsun Nahar Hall</v>
      </c>
      <c r="C294" s="2019" t="str">
        <f>'NORTH-1'!C1774</f>
        <v>11 kV</v>
      </c>
      <c r="D294" s="2019">
        <f>'NORTH-1'!D1774</f>
        <v>0</v>
      </c>
      <c r="E294" s="2019" t="str">
        <f>'NORTH-1'!E1774</f>
        <v>00000024</v>
      </c>
      <c r="F294" s="791">
        <f>'NORTH-1'!F1774</f>
        <v>1</v>
      </c>
      <c r="G294" s="791">
        <f>'NORTH-1'!G1774</f>
        <v>7540301.5</v>
      </c>
      <c r="H294" s="791">
        <f>'NORTH-1'!H1774</f>
        <v>7674621.5</v>
      </c>
      <c r="I294" s="791">
        <f>'NORTH-1'!I1774</f>
        <v>134320</v>
      </c>
      <c r="J294" s="791">
        <f>'NORTH-1'!J1774</f>
        <v>1</v>
      </c>
      <c r="K294" s="791">
        <f>'NORTH-1'!K1774</f>
        <v>0</v>
      </c>
      <c r="L294" s="791">
        <f>'NORTH-1'!L1774</f>
        <v>134320</v>
      </c>
      <c r="M294" s="791">
        <f>'NORTH-1'!M1774</f>
        <v>0</v>
      </c>
      <c r="N294" s="2019" t="str">
        <f>'NORTH-1'!N1774</f>
        <v>Ramna</v>
      </c>
      <c r="O294" s="2019" t="str">
        <f>Sheet2!$C$35</f>
        <v>DMC 33/11 KV SS</v>
      </c>
    </row>
    <row r="295" spans="1:15" x14ac:dyDescent="0.35">
      <c r="A295" s="2019">
        <f>'NORTH-1'!A1775</f>
        <v>8</v>
      </c>
      <c r="B295" s="2019" t="str">
        <f>'NORTH-1'!B1775</f>
        <v>Spare, 4L</v>
      </c>
      <c r="C295" s="2019" t="str">
        <f>'NORTH-1'!C1775</f>
        <v>11 kV</v>
      </c>
      <c r="D295" s="2019">
        <f>'NORTH-1'!D1775</f>
        <v>0</v>
      </c>
      <c r="E295" s="2019" t="str">
        <f>'NORTH-1'!E1775</f>
        <v>00000184</v>
      </c>
      <c r="F295" s="791">
        <f>'NORTH-1'!F1775</f>
        <v>1</v>
      </c>
      <c r="G295" s="791">
        <f>'NORTH-1'!G1775</f>
        <v>0</v>
      </c>
      <c r="H295" s="791">
        <f>'NORTH-1'!H1775</f>
        <v>0</v>
      </c>
      <c r="I295" s="791">
        <f>'NORTH-1'!I1775</f>
        <v>0</v>
      </c>
      <c r="J295" s="791">
        <f>'NORTH-1'!J1775</f>
        <v>1</v>
      </c>
      <c r="K295" s="791">
        <f>'NORTH-1'!K1775</f>
        <v>0</v>
      </c>
      <c r="L295" s="791">
        <f>'NORTH-1'!L1775</f>
        <v>0</v>
      </c>
      <c r="M295" s="791">
        <f>'NORTH-1'!M1775</f>
        <v>0</v>
      </c>
      <c r="N295" s="2019">
        <f>'NORTH-1'!N1775</f>
        <v>0</v>
      </c>
      <c r="O295" s="2019" t="str">
        <f>Sheet2!$C$35</f>
        <v>DMC 33/11 KV SS</v>
      </c>
    </row>
    <row r="296" spans="1:15" x14ac:dyDescent="0.35">
      <c r="A296" s="2019">
        <f>'NORTH-1'!A1776</f>
        <v>9</v>
      </c>
      <c r="B296" s="2019" t="str">
        <f>'NORTH-1'!B1776</f>
        <v>Board Office O/H, (5L)</v>
      </c>
      <c r="C296" s="2019" t="str">
        <f>'NORTH-1'!C1776</f>
        <v>11 kV</v>
      </c>
      <c r="D296" s="2019">
        <f>'NORTH-1'!D1776</f>
        <v>0</v>
      </c>
      <c r="E296" s="2019" t="str">
        <f>'NORTH-1'!E1776</f>
        <v>00000023</v>
      </c>
      <c r="F296" s="791">
        <f>'NORTH-1'!F1776</f>
        <v>1</v>
      </c>
      <c r="G296" s="791">
        <f>'NORTH-1'!G1776</f>
        <v>17341838</v>
      </c>
      <c r="H296" s="791">
        <f>'NORTH-1'!H1776</f>
        <v>17840076</v>
      </c>
      <c r="I296" s="791">
        <f>'NORTH-1'!I1776</f>
        <v>498238</v>
      </c>
      <c r="J296" s="791">
        <f>'NORTH-1'!J1776</f>
        <v>1</v>
      </c>
      <c r="K296" s="791">
        <f>'NORTH-1'!K1776</f>
        <v>0</v>
      </c>
      <c r="L296" s="791">
        <f>'NORTH-1'!L1776</f>
        <v>498238</v>
      </c>
      <c r="M296" s="791">
        <f>'NORTH-1'!M1776</f>
        <v>0</v>
      </c>
      <c r="N296" s="2019" t="str">
        <f>'NORTH-1'!N1776</f>
        <v>Lalbag</v>
      </c>
      <c r="O296" s="2019" t="str">
        <f>Sheet2!$C$35</f>
        <v>DMC 33/11 KV SS</v>
      </c>
    </row>
    <row r="297" spans="1:15" x14ac:dyDescent="0.35">
      <c r="A297" s="2019">
        <f>'NORTH-1'!A1777</f>
        <v>10</v>
      </c>
      <c r="B297" s="2019" t="str">
        <f>'NORTH-1'!B1777</f>
        <v>OT- Complex</v>
      </c>
      <c r="C297" s="2019" t="str">
        <f>'NORTH-1'!C1777</f>
        <v>11 kV</v>
      </c>
      <c r="D297" s="2019">
        <f>'NORTH-1'!D1777</f>
        <v>0</v>
      </c>
      <c r="E297" s="2019" t="str">
        <f>'NORTH-1'!E1777</f>
        <v>00000167</v>
      </c>
      <c r="F297" s="791">
        <f>'NORTH-1'!F1777</f>
        <v>1</v>
      </c>
      <c r="G297" s="791">
        <f>'NORTH-1'!G1777</f>
        <v>3776230.8</v>
      </c>
      <c r="H297" s="791">
        <f>'NORTH-1'!H1777</f>
        <v>3964590.2</v>
      </c>
      <c r="I297" s="791">
        <f>'NORTH-1'!I1777</f>
        <v>188359.40000000037</v>
      </c>
      <c r="J297" s="791">
        <f>'NORTH-1'!J1777</f>
        <v>1</v>
      </c>
      <c r="K297" s="791">
        <f>'NORTH-1'!K1777</f>
        <v>0</v>
      </c>
      <c r="L297" s="791">
        <f>'NORTH-1'!L1777</f>
        <v>188359.40000000037</v>
      </c>
      <c r="M297" s="791">
        <f>'NORTH-1'!M1777</f>
        <v>0</v>
      </c>
      <c r="N297" s="2019" t="str">
        <f>'NORTH-1'!N1777</f>
        <v>Ramna</v>
      </c>
      <c r="O297" s="2019" t="str">
        <f>Sheet2!$C$35</f>
        <v>DMC 33/11 KV SS</v>
      </c>
    </row>
    <row r="298" spans="1:15" x14ac:dyDescent="0.35">
      <c r="A298" s="2019">
        <f>'NORTH-1'!A1778</f>
        <v>11</v>
      </c>
      <c r="B298" s="2019" t="str">
        <f>'NORTH-1'!B1778</f>
        <v>Alia Mdrasha O/H, (7L)</v>
      </c>
      <c r="C298" s="2019" t="str">
        <f>'NORTH-1'!C1778</f>
        <v>11 kV</v>
      </c>
      <c r="D298" s="2019">
        <f>'NORTH-1'!D1778</f>
        <v>0</v>
      </c>
      <c r="E298" s="2019" t="str">
        <f>'NORTH-1'!E1778</f>
        <v>00000148</v>
      </c>
      <c r="F298" s="791">
        <f>'NORTH-1'!F1778</f>
        <v>1</v>
      </c>
      <c r="G298" s="791">
        <f>'NORTH-1'!G1778</f>
        <v>8854898</v>
      </c>
      <c r="H298" s="791">
        <f>'NORTH-1'!H1778</f>
        <v>8896658</v>
      </c>
      <c r="I298" s="791">
        <f>'NORTH-1'!I1778</f>
        <v>41760</v>
      </c>
      <c r="J298" s="791">
        <f>'NORTH-1'!J1778</f>
        <v>1</v>
      </c>
      <c r="K298" s="791">
        <f>'NORTH-1'!K1778</f>
        <v>0</v>
      </c>
      <c r="L298" s="791">
        <f>'NORTH-1'!L1778</f>
        <v>41760</v>
      </c>
      <c r="M298" s="791">
        <f>'NORTH-1'!M1778</f>
        <v>0</v>
      </c>
      <c r="N298" s="2019" t="str">
        <f>'NORTH-1'!N1778</f>
        <v>Lalbag</v>
      </c>
      <c r="O298" s="2019" t="str">
        <f>Sheet2!$C$35</f>
        <v>DMC 33/11 KV SS</v>
      </c>
    </row>
    <row r="299" spans="1:15" x14ac:dyDescent="0.35">
      <c r="A299" s="2019">
        <f>'NORTH-1'!A1779</f>
        <v>12</v>
      </c>
      <c r="B299" s="2019" t="str">
        <f>'NORTH-1'!B1779</f>
        <v>Majed Sordar Road</v>
      </c>
      <c r="C299" s="2019" t="str">
        <f>'NORTH-1'!C1779</f>
        <v>11 kV</v>
      </c>
      <c r="D299" s="2019">
        <f>'NORTH-1'!D1779</f>
        <v>0</v>
      </c>
      <c r="E299" s="2019" t="str">
        <f>'NORTH-1'!E1779</f>
        <v>00000164</v>
      </c>
      <c r="F299" s="791">
        <f>'NORTH-1'!F1779</f>
        <v>1</v>
      </c>
      <c r="G299" s="791">
        <f>'NORTH-1'!G1779</f>
        <v>42752856</v>
      </c>
      <c r="H299" s="791">
        <f>'NORTH-1'!H1779</f>
        <v>44064092</v>
      </c>
      <c r="I299" s="791">
        <f>'NORTH-1'!I1779</f>
        <v>1311236</v>
      </c>
      <c r="J299" s="791">
        <f>'NORTH-1'!J1779</f>
        <v>1</v>
      </c>
      <c r="K299" s="791">
        <f>'NORTH-1'!K1779</f>
        <v>0</v>
      </c>
      <c r="L299" s="791">
        <f>'NORTH-1'!L1779</f>
        <v>1311236</v>
      </c>
      <c r="M299" s="791">
        <f>'NORTH-1'!M1779</f>
        <v>0</v>
      </c>
      <c r="N299" s="2019" t="str">
        <f>'NORTH-1'!N1779</f>
        <v>Bangshal</v>
      </c>
      <c r="O299" s="2019" t="str">
        <f>Sheet2!$C$35</f>
        <v>DMC 33/11 KV SS</v>
      </c>
    </row>
    <row r="300" spans="1:15" x14ac:dyDescent="0.35">
      <c r="A300" s="2019">
        <f>'NORTH-1'!A1780</f>
        <v>15</v>
      </c>
      <c r="B300" s="2019" t="str">
        <f>'NORTH-1'!B1780</f>
        <v>Chankharpool, 9L</v>
      </c>
      <c r="C300" s="2019" t="str">
        <f>'NORTH-1'!C1780</f>
        <v>11 kV</v>
      </c>
      <c r="D300" s="2019">
        <f>'NORTH-1'!D1780</f>
        <v>0</v>
      </c>
      <c r="E300" s="2019" t="str">
        <f>'NORTH-1'!E1780</f>
        <v>00000001</v>
      </c>
      <c r="F300" s="791">
        <f>'NORTH-1'!F1780</f>
        <v>1</v>
      </c>
      <c r="G300" s="791">
        <f>'NORTH-1'!G1780</f>
        <v>38953664</v>
      </c>
      <c r="H300" s="791">
        <f>'NORTH-1'!H1780</f>
        <v>39677944</v>
      </c>
      <c r="I300" s="791">
        <f>'NORTH-1'!I1780</f>
        <v>724280</v>
      </c>
      <c r="J300" s="791">
        <f>'NORTH-1'!J1780</f>
        <v>1</v>
      </c>
      <c r="K300" s="791">
        <f>'NORTH-1'!K1780</f>
        <v>0</v>
      </c>
      <c r="L300" s="791">
        <f>'NORTH-1'!L1780</f>
        <v>724280</v>
      </c>
      <c r="M300" s="791">
        <f>'NORTH-1'!M1780</f>
        <v>0</v>
      </c>
      <c r="N300" s="2019" t="str">
        <f>'NORTH-1'!N1780</f>
        <v>Bangshal</v>
      </c>
      <c r="O300" s="2019" t="str">
        <f>Sheet2!$C$35</f>
        <v>DMC 33/11 KV SS</v>
      </c>
    </row>
    <row r="301" spans="1:15" x14ac:dyDescent="0.35">
      <c r="A301" s="2019">
        <f>'NORTH-1'!A1781</f>
        <v>16</v>
      </c>
      <c r="B301" s="2019" t="str">
        <f>'NORTH-1'!B1781</f>
        <v>Shahidullah College O/H, (10L)</v>
      </c>
      <c r="C301" s="2019" t="str">
        <f>'NORTH-1'!C1781</f>
        <v>11 kV</v>
      </c>
      <c r="D301" s="2019">
        <f>'NORTH-1'!D1781</f>
        <v>0</v>
      </c>
      <c r="E301" s="2019" t="str">
        <f>'NORTH-1'!E1781</f>
        <v>00000003</v>
      </c>
      <c r="F301" s="791">
        <f>'NORTH-1'!F1781</f>
        <v>1</v>
      </c>
      <c r="G301" s="791">
        <f>'NORTH-1'!G1781</f>
        <v>10951453</v>
      </c>
      <c r="H301" s="791">
        <f>'NORTH-1'!H1781</f>
        <v>11202453</v>
      </c>
      <c r="I301" s="791">
        <f>'NORTH-1'!I1781</f>
        <v>251000</v>
      </c>
      <c r="J301" s="791">
        <f>'NORTH-1'!J1781</f>
        <v>1</v>
      </c>
      <c r="K301" s="791">
        <f>'NORTH-1'!K1781</f>
        <v>0</v>
      </c>
      <c r="L301" s="791">
        <f>'NORTH-1'!L1781</f>
        <v>251000</v>
      </c>
      <c r="M301" s="791">
        <f>'NORTH-1'!M1781</f>
        <v>0</v>
      </c>
      <c r="N301" s="2019" t="str">
        <f>'NORTH-1'!N1781</f>
        <v>Lalbag</v>
      </c>
      <c r="O301" s="2019" t="str">
        <f>Sheet2!$C$35</f>
        <v>DMC 33/11 KV SS</v>
      </c>
    </row>
    <row r="302" spans="1:15" x14ac:dyDescent="0.35">
      <c r="A302" s="2019">
        <f>'NORTH-1'!A1782</f>
        <v>17</v>
      </c>
      <c r="B302" s="2019" t="str">
        <f>'NORTH-1'!B1782</f>
        <v>Ananda Bazar</v>
      </c>
      <c r="C302" s="2019" t="str">
        <f>'NORTH-1'!C1782</f>
        <v>11 kV</v>
      </c>
      <c r="D302" s="2019">
        <f>'NORTH-1'!D1782</f>
        <v>0</v>
      </c>
      <c r="E302" s="2019" t="str">
        <f>'NORTH-1'!E1782</f>
        <v>00000111</v>
      </c>
      <c r="F302" s="791">
        <f>'NORTH-1'!F1782</f>
        <v>1</v>
      </c>
      <c r="G302" s="791">
        <f>'NORTH-1'!G1782</f>
        <v>13206808</v>
      </c>
      <c r="H302" s="791">
        <f>'NORTH-1'!H1782</f>
        <v>13367007</v>
      </c>
      <c r="I302" s="791">
        <f>'NORTH-1'!I1782</f>
        <v>160199</v>
      </c>
      <c r="J302" s="791">
        <f>'NORTH-1'!J1782</f>
        <v>1</v>
      </c>
      <c r="K302" s="791">
        <f>'NORTH-1'!K1782</f>
        <v>0</v>
      </c>
      <c r="L302" s="791">
        <f>'NORTH-1'!L1782</f>
        <v>160199</v>
      </c>
      <c r="M302" s="791">
        <f>'NORTH-1'!M1782</f>
        <v>0</v>
      </c>
      <c r="N302" s="2019" t="str">
        <f>'NORTH-1'!N1782</f>
        <v>Ramna</v>
      </c>
      <c r="O302" s="2019" t="str">
        <f>Sheet2!$C$35</f>
        <v>DMC 33/11 KV SS</v>
      </c>
    </row>
    <row r="303" spans="1:15" x14ac:dyDescent="0.35">
      <c r="A303" s="2019">
        <f>'NORTH-1'!A1783</f>
        <v>18</v>
      </c>
      <c r="B303" s="2019" t="str">
        <f>'NORTH-1'!B1783</f>
        <v>Hosseni Dalan O/H, (12L)</v>
      </c>
      <c r="C303" s="2019" t="str">
        <f>'NORTH-1'!C1783</f>
        <v>11 kV</v>
      </c>
      <c r="D303" s="2019">
        <f>'NORTH-1'!D1783</f>
        <v>0</v>
      </c>
      <c r="E303" s="2019" t="str">
        <f>'NORTH-1'!E1783</f>
        <v>00000165</v>
      </c>
      <c r="F303" s="791">
        <f>'NORTH-1'!F1783</f>
        <v>1</v>
      </c>
      <c r="G303" s="791">
        <f>'NORTH-1'!G1783</f>
        <v>22554464</v>
      </c>
      <c r="H303" s="791">
        <f>'NORTH-1'!H1783</f>
        <v>23311664</v>
      </c>
      <c r="I303" s="791">
        <f>'NORTH-1'!I1783</f>
        <v>757200</v>
      </c>
      <c r="J303" s="791">
        <f>'NORTH-1'!J1783</f>
        <v>1</v>
      </c>
      <c r="K303" s="791">
        <f>'NORTH-1'!K1783</f>
        <v>0</v>
      </c>
      <c r="L303" s="791">
        <f>'NORTH-1'!L1783</f>
        <v>757200</v>
      </c>
      <c r="M303" s="791">
        <f>'NORTH-1'!M1783</f>
        <v>0</v>
      </c>
      <c r="N303" s="2019" t="str">
        <f>'NORTH-1'!N1783</f>
        <v>Lalbag</v>
      </c>
      <c r="O303" s="2019" t="str">
        <f>Sheet2!$C$35</f>
        <v>DMC 33/11 KV SS</v>
      </c>
    </row>
    <row r="304" spans="1:15" x14ac:dyDescent="0.35">
      <c r="A304" s="2019">
        <f>'NORTH-1'!A1784</f>
        <v>19</v>
      </c>
      <c r="B304" s="2019" t="str">
        <f>'NORTH-1'!B1784</f>
        <v>Badrun Nessa College</v>
      </c>
      <c r="C304" s="2019" t="str">
        <f>'NORTH-1'!C1784</f>
        <v>11 kV</v>
      </c>
      <c r="D304" s="2019">
        <f>'NORTH-1'!D1784</f>
        <v>0</v>
      </c>
      <c r="E304" s="2019" t="str">
        <f>'NORTH-1'!E1784</f>
        <v>00000006</v>
      </c>
      <c r="F304" s="791">
        <f>'NORTH-1'!F1784</f>
        <v>1</v>
      </c>
      <c r="G304" s="791">
        <f>'NORTH-1'!G1784</f>
        <v>16305480</v>
      </c>
      <c r="H304" s="791">
        <f>'NORTH-1'!H1784</f>
        <v>16598879</v>
      </c>
      <c r="I304" s="791">
        <f>'NORTH-1'!I1784</f>
        <v>293399</v>
      </c>
      <c r="J304" s="791">
        <f>'NORTH-1'!J1784</f>
        <v>1</v>
      </c>
      <c r="K304" s="791">
        <f>'NORTH-1'!K1784</f>
        <v>0</v>
      </c>
      <c r="L304" s="791">
        <f>'NORTH-1'!L1784</f>
        <v>293399</v>
      </c>
      <c r="M304" s="791">
        <f>'NORTH-1'!M1784</f>
        <v>0</v>
      </c>
      <c r="N304" s="2019" t="str">
        <f>'NORTH-1'!N1784</f>
        <v>Lalbag</v>
      </c>
      <c r="O304" s="2019" t="str">
        <f>Sheet2!$C$35</f>
        <v>DMC 33/11 KV SS</v>
      </c>
    </row>
    <row r="305" spans="1:15" x14ac:dyDescent="0.35">
      <c r="A305" s="2019">
        <f>'NORTH-1'!A1785</f>
        <v>20</v>
      </c>
      <c r="B305" s="2019" t="str">
        <f>'NORTH-1'!B1785</f>
        <v>Dhaka Medical College, Unit-II</v>
      </c>
      <c r="C305" s="2019" t="str">
        <f>'NORTH-1'!C1785</f>
        <v>11 kV</v>
      </c>
      <c r="D305" s="2019">
        <f>'NORTH-1'!D1785</f>
        <v>0</v>
      </c>
      <c r="E305" s="2019" t="str">
        <f>'NORTH-1'!E1785</f>
        <v>00000125</v>
      </c>
      <c r="F305" s="791">
        <f>'NORTH-1'!F1785</f>
        <v>1</v>
      </c>
      <c r="G305" s="791">
        <f>'NORTH-1'!G1785</f>
        <v>9756576</v>
      </c>
      <c r="H305" s="791">
        <f>'NORTH-1'!H1785</f>
        <v>9918696</v>
      </c>
      <c r="I305" s="791">
        <f>'NORTH-1'!I1785</f>
        <v>162120</v>
      </c>
      <c r="J305" s="791">
        <f>'NORTH-1'!J1785</f>
        <v>1</v>
      </c>
      <c r="K305" s="791">
        <f>'NORTH-1'!K1785</f>
        <v>0</v>
      </c>
      <c r="L305" s="791">
        <f>'NORTH-1'!L1785</f>
        <v>162120</v>
      </c>
      <c r="M305" s="791">
        <f>'NORTH-1'!M1785</f>
        <v>0</v>
      </c>
      <c r="N305" s="2019" t="str">
        <f>'NORTH-1'!N1785</f>
        <v>Ramna</v>
      </c>
      <c r="O305" s="2019" t="str">
        <f>Sheet2!$C$35</f>
        <v>DMC 33/11 KV SS</v>
      </c>
    </row>
    <row r="306" spans="1:15" x14ac:dyDescent="0.35">
      <c r="A306" s="2019">
        <f>'NORTH-1'!A1786</f>
        <v>21</v>
      </c>
      <c r="B306" s="2019" t="str">
        <f>'NORTH-1'!B1786</f>
        <v>Spare, 15L</v>
      </c>
      <c r="C306" s="2019" t="str">
        <f>'NORTH-1'!C1786</f>
        <v>11 kV</v>
      </c>
      <c r="D306" s="2019">
        <f>'NORTH-1'!D1786</f>
        <v>0</v>
      </c>
      <c r="E306" s="2019" t="str">
        <f>'NORTH-1'!E1786</f>
        <v>00000163</v>
      </c>
      <c r="F306" s="791">
        <f>'NORTH-1'!F1786</f>
        <v>1</v>
      </c>
      <c r="G306" s="791">
        <f>'NORTH-1'!G1786</f>
        <v>0</v>
      </c>
      <c r="H306" s="791">
        <f>'NORTH-1'!H1786</f>
        <v>0</v>
      </c>
      <c r="I306" s="791">
        <f>'NORTH-1'!I1786</f>
        <v>0</v>
      </c>
      <c r="J306" s="791">
        <f>'NORTH-1'!J1786</f>
        <v>1</v>
      </c>
      <c r="K306" s="791">
        <f>'NORTH-1'!K1786</f>
        <v>0</v>
      </c>
      <c r="L306" s="791">
        <f>'NORTH-1'!L1786</f>
        <v>0</v>
      </c>
      <c r="M306" s="791">
        <f>'NORTH-1'!M1786</f>
        <v>0</v>
      </c>
      <c r="N306" s="2019">
        <f>'NORTH-1'!N1786</f>
        <v>0</v>
      </c>
      <c r="O306" s="2019" t="str">
        <f>Sheet2!$C$35</f>
        <v>DMC 33/11 KV SS</v>
      </c>
    </row>
    <row r="307" spans="1:15" x14ac:dyDescent="0.35">
      <c r="A307" s="2019">
        <f>'NORTH-1'!A1787</f>
        <v>22</v>
      </c>
      <c r="B307" s="2019" t="str">
        <f>'NORTH-1'!B1787</f>
        <v>Sheikh Hasina National Burn Institute</v>
      </c>
      <c r="C307" s="2019" t="str">
        <f>'NORTH-1'!C1787</f>
        <v>11 kV</v>
      </c>
      <c r="D307" s="2019">
        <f>'NORTH-1'!D1787</f>
        <v>0</v>
      </c>
      <c r="E307" s="2019" t="str">
        <f>'NORTH-1'!E1787</f>
        <v>00000127</v>
      </c>
      <c r="F307" s="791">
        <f>'NORTH-1'!F1787</f>
        <v>1</v>
      </c>
      <c r="G307" s="791">
        <f>'NORTH-1'!G1787</f>
        <v>16762239</v>
      </c>
      <c r="H307" s="791">
        <f>'NORTH-1'!H1787</f>
        <v>17089398</v>
      </c>
      <c r="I307" s="791">
        <f>'NORTH-1'!I1787</f>
        <v>327159</v>
      </c>
      <c r="J307" s="791">
        <f>'NORTH-1'!J1787</f>
        <v>1</v>
      </c>
      <c r="K307" s="791">
        <f>'NORTH-1'!K1787</f>
        <v>0</v>
      </c>
      <c r="L307" s="791">
        <f>'NORTH-1'!L1787</f>
        <v>327159</v>
      </c>
      <c r="M307" s="791">
        <f>'NORTH-1'!M1787</f>
        <v>0</v>
      </c>
      <c r="N307" s="2019" t="str">
        <f>'NORTH-1'!N1787</f>
        <v>Ramna</v>
      </c>
      <c r="O307" s="2019" t="str">
        <f>Sheet2!$C$35</f>
        <v>DMC 33/11 KV SS</v>
      </c>
    </row>
    <row r="308" spans="1:15" x14ac:dyDescent="0.35">
      <c r="A308" s="2019">
        <f>'NORTH-1'!A1788</f>
        <v>23</v>
      </c>
      <c r="B308" s="2019" t="str">
        <f>'NORTH-1'!B1788</f>
        <v>Aux. Transformer, AT-1</v>
      </c>
      <c r="C308" s="2019" t="str">
        <f>'NORTH-1'!C1788</f>
        <v>0.4 kV</v>
      </c>
      <c r="D308" s="2019">
        <f>'NORTH-1'!D1788</f>
        <v>0</v>
      </c>
      <c r="E308" s="2019" t="str">
        <f>'NORTH-1'!E1788</f>
        <v>DHKF-7804</v>
      </c>
      <c r="F308" s="791">
        <f>'NORTH-1'!F1788</f>
        <v>1</v>
      </c>
      <c r="G308" s="791">
        <f>'NORTH-1'!G1788</f>
        <v>2180.83</v>
      </c>
      <c r="H308" s="791">
        <f>'NORTH-1'!H1788</f>
        <v>2214.25</v>
      </c>
      <c r="I308" s="791">
        <f>'NORTH-1'!I1788</f>
        <v>33.420000000000073</v>
      </c>
      <c r="J308" s="791">
        <f>'NORTH-1'!J1788</f>
        <v>100</v>
      </c>
      <c r="K308" s="791">
        <f>'NORTH-1'!K1788</f>
        <v>0</v>
      </c>
      <c r="L308" s="791">
        <f>'NORTH-1'!L1788</f>
        <v>3342.0000000000073</v>
      </c>
      <c r="M308" s="791">
        <f>'NORTH-1'!M1788</f>
        <v>0</v>
      </c>
      <c r="N308" s="2019" t="str">
        <f>'NORTH-1'!N1788</f>
        <v>Ramna</v>
      </c>
      <c r="O308" s="2019" t="str">
        <f>Sheet2!$C$35</f>
        <v>DMC 33/11 KV SS</v>
      </c>
    </row>
    <row r="309" spans="1:15" x14ac:dyDescent="0.35">
      <c r="A309" s="2019">
        <f>'NORTH-1'!A1789</f>
        <v>24</v>
      </c>
      <c r="B309" s="2019" t="str">
        <f>'NORTH-1'!B1789</f>
        <v>Aux. Transformer, AT-2</v>
      </c>
      <c r="C309" s="2019" t="str">
        <f>'NORTH-1'!C1789</f>
        <v>0.4 kV</v>
      </c>
      <c r="D309" s="2019">
        <f>'NORTH-1'!D1789</f>
        <v>0</v>
      </c>
      <c r="E309" s="2019" t="str">
        <f>'NORTH-1'!E1789</f>
        <v>DHKF-7802</v>
      </c>
      <c r="F309" s="791">
        <f>'NORTH-1'!F1789</f>
        <v>1</v>
      </c>
      <c r="G309" s="791">
        <f>'NORTH-1'!G1789</f>
        <v>129.69999999999999</v>
      </c>
      <c r="H309" s="791">
        <f>'NORTH-1'!H1789</f>
        <v>129.69999999999999</v>
      </c>
      <c r="I309" s="791">
        <f>'NORTH-1'!I1789</f>
        <v>0</v>
      </c>
      <c r="J309" s="791">
        <f>'NORTH-1'!J1789</f>
        <v>100</v>
      </c>
      <c r="K309" s="791">
        <f>'NORTH-1'!K1789</f>
        <v>0</v>
      </c>
      <c r="L309" s="791">
        <f>'NORTH-1'!L1789</f>
        <v>0</v>
      </c>
      <c r="M309" s="791">
        <f>'NORTH-1'!M1789</f>
        <v>0</v>
      </c>
      <c r="N309" s="2019" t="str">
        <f>'NORTH-1'!N1789</f>
        <v>Ramna</v>
      </c>
      <c r="O309" s="2019" t="str">
        <f>Sheet2!$C$35</f>
        <v>DMC 33/11 KV SS</v>
      </c>
    </row>
    <row r="310" spans="1:15" x14ac:dyDescent="0.35">
      <c r="A310" s="2019">
        <f>'NORTH-1'!A1851</f>
        <v>6</v>
      </c>
      <c r="B310" s="2019" t="str">
        <f>'NORTH-1'!B1851</f>
        <v>Secratariet East</v>
      </c>
      <c r="C310" s="2019" t="str">
        <f>'NORTH-1'!C1851</f>
        <v>11 kV</v>
      </c>
      <c r="D310" s="2019">
        <f>'NORTH-1'!D1851</f>
        <v>0</v>
      </c>
      <c r="E310" s="2019" t="str">
        <f>'NORTH-1'!E1851</f>
        <v xml:space="preserve">BD 013966 </v>
      </c>
      <c r="F310" s="791">
        <f>'NORTH-1'!F1851</f>
        <v>1</v>
      </c>
      <c r="G310" s="791">
        <f>'NORTH-1'!G1851</f>
        <v>2212.79</v>
      </c>
      <c r="H310" s="791">
        <f>'NORTH-1'!H1851</f>
        <v>2327.67</v>
      </c>
      <c r="I310" s="791">
        <f>'NORTH-1'!I1851</f>
        <v>114.88000000000011</v>
      </c>
      <c r="J310" s="791">
        <f>'NORTH-1'!J1851</f>
        <v>1000</v>
      </c>
      <c r="K310" s="791">
        <f>'NORTH-1'!K1851</f>
        <v>0</v>
      </c>
      <c r="L310" s="791">
        <f>'NORTH-1'!L1851</f>
        <v>114880.00000000012</v>
      </c>
      <c r="M310" s="791">
        <f>'NORTH-1'!M1851</f>
        <v>0</v>
      </c>
      <c r="N310" s="2019" t="str">
        <f>'NORTH-1'!N1851</f>
        <v>Ramna</v>
      </c>
      <c r="O310" s="2019" t="str">
        <f>Sheet2!$C$43</f>
        <v>BB Aveneu 33/11 KV S/S</v>
      </c>
    </row>
    <row r="311" spans="1:15" x14ac:dyDescent="0.35">
      <c r="A311" s="2019">
        <f>'NORTH-1'!A1852</f>
        <v>0</v>
      </c>
      <c r="B311" s="2019" t="str">
        <f>'NORTH-1'!B1852</f>
        <v>Taher Bag O/H</v>
      </c>
      <c r="C311" s="2019" t="str">
        <f>'NORTH-1'!C1852</f>
        <v>11 kV</v>
      </c>
      <c r="D311" s="2019">
        <f>'NORTH-1'!D1852</f>
        <v>0</v>
      </c>
      <c r="E311" s="2019" t="str">
        <f>'NORTH-1'!E1852</f>
        <v>BD 014045</v>
      </c>
      <c r="F311" s="791">
        <f>'NORTH-1'!F1852</f>
        <v>1</v>
      </c>
      <c r="G311" s="791">
        <f>'NORTH-1'!G1852</f>
        <v>13495.12</v>
      </c>
      <c r="H311" s="791">
        <f>'NORTH-1'!H1852</f>
        <v>13967.35</v>
      </c>
      <c r="I311" s="791">
        <f>'NORTH-1'!I1852</f>
        <v>472.22999999999956</v>
      </c>
      <c r="J311" s="791">
        <f>'NORTH-1'!J1852</f>
        <v>1000</v>
      </c>
      <c r="K311" s="791">
        <f>'NORTH-1'!K1852</f>
        <v>0</v>
      </c>
      <c r="L311" s="791">
        <f>'NORTH-1'!L1852</f>
        <v>472229.99999999953</v>
      </c>
      <c r="M311" s="791">
        <f>'NORTH-1'!M1852</f>
        <v>0</v>
      </c>
      <c r="N311" s="2019" t="str">
        <f>'NORTH-1'!N1852</f>
        <v>Narinda</v>
      </c>
      <c r="O311" s="2019" t="str">
        <f>Sheet2!$C$43</f>
        <v>BB Aveneu 33/11 KV S/S</v>
      </c>
    </row>
    <row r="312" spans="1:15" x14ac:dyDescent="0.35">
      <c r="A312" s="2019">
        <f>'NORTH-1'!A1853</f>
        <v>7</v>
      </c>
      <c r="B312" s="2019" t="str">
        <f>'NORTH-1'!B1853</f>
        <v>Al Raji Complex</v>
      </c>
      <c r="C312" s="2019" t="str">
        <f>'NORTH-1'!C1853</f>
        <v>11 kV</v>
      </c>
      <c r="D312" s="2019">
        <f>'NORTH-1'!D1853</f>
        <v>0</v>
      </c>
      <c r="E312" s="2019" t="str">
        <f>'NORTH-1'!E1853</f>
        <v>BD 013983</v>
      </c>
      <c r="F312" s="791">
        <f>'NORTH-1'!F1853</f>
        <v>1</v>
      </c>
      <c r="G312" s="791">
        <f>'NORTH-1'!G1853</f>
        <v>8828.52</v>
      </c>
      <c r="H312" s="791">
        <f>'NORTH-1'!H1853</f>
        <v>9311.5300000000007</v>
      </c>
      <c r="I312" s="791">
        <f>'NORTH-1'!I1853</f>
        <v>483.01000000000022</v>
      </c>
      <c r="J312" s="791">
        <f>'NORTH-1'!J1853</f>
        <v>1000</v>
      </c>
      <c r="K312" s="791">
        <f>'NORTH-1'!K1853</f>
        <v>0</v>
      </c>
      <c r="L312" s="791">
        <f>'NORTH-1'!L1853</f>
        <v>483010.00000000023</v>
      </c>
      <c r="M312" s="791">
        <f>'NORTH-1'!M1853</f>
        <v>0</v>
      </c>
      <c r="N312" s="2019" t="str">
        <f>'NORTH-1'!N1853</f>
        <v>Ramna</v>
      </c>
      <c r="O312" s="2019" t="str">
        <f>Sheet2!$C$43</f>
        <v>BB Aveneu 33/11 KV S/S</v>
      </c>
    </row>
    <row r="313" spans="1:15" x14ac:dyDescent="0.35">
      <c r="A313" s="2019">
        <f>'NORTH-1'!A1854</f>
        <v>8</v>
      </c>
      <c r="B313" s="2019" t="str">
        <f>'NORTH-1'!B1854</f>
        <v>Raduni</v>
      </c>
      <c r="C313" s="2019" t="str">
        <f>'NORTH-1'!C1854</f>
        <v>11 kV</v>
      </c>
      <c r="D313" s="2019">
        <f>'NORTH-1'!D1854</f>
        <v>0</v>
      </c>
      <c r="E313" s="2019" t="str">
        <f>'NORTH-1'!E1854</f>
        <v>BD 013999</v>
      </c>
      <c r="F313" s="791">
        <f>'NORTH-1'!F1854</f>
        <v>1</v>
      </c>
      <c r="G313" s="791">
        <f>'NORTH-1'!G1854</f>
        <v>19759.72</v>
      </c>
      <c r="H313" s="791">
        <f>'NORTH-1'!H1854</f>
        <v>20499.47</v>
      </c>
      <c r="I313" s="791">
        <f>'NORTH-1'!I1854</f>
        <v>739.75</v>
      </c>
      <c r="J313" s="791">
        <f>'NORTH-1'!J1854</f>
        <v>1000</v>
      </c>
      <c r="K313" s="791">
        <f>'NORTH-1'!K1854</f>
        <v>0</v>
      </c>
      <c r="L313" s="791">
        <f>'NORTH-1'!L1854</f>
        <v>739750</v>
      </c>
      <c r="M313" s="791">
        <f>'NORTH-1'!M1854</f>
        <v>0</v>
      </c>
      <c r="N313" s="2019" t="str">
        <f>'NORTH-1'!N1854</f>
        <v>Ramna</v>
      </c>
      <c r="O313" s="2019" t="str">
        <f>Sheet2!$C$43</f>
        <v>BB Aveneu 33/11 KV S/S</v>
      </c>
    </row>
    <row r="314" spans="1:15" x14ac:dyDescent="0.35">
      <c r="A314" s="2019">
        <f>'NORTH-1'!A1855</f>
        <v>9</v>
      </c>
      <c r="B314" s="2019" t="str">
        <f>'NORTH-1'!B1855</f>
        <v>Sundor Bon Square O/H</v>
      </c>
      <c r="C314" s="2019" t="str">
        <f>'NORTH-1'!C1855</f>
        <v>11 kV</v>
      </c>
      <c r="D314" s="2019">
        <f>'NORTH-1'!D1855</f>
        <v>0</v>
      </c>
      <c r="E314" s="2019" t="str">
        <f>'NORTH-1'!E1855</f>
        <v>BD 013954</v>
      </c>
      <c r="F314" s="791">
        <f>'NORTH-1'!F1855</f>
        <v>1</v>
      </c>
      <c r="G314" s="791">
        <f>'NORTH-1'!G1855</f>
        <v>9286.26</v>
      </c>
      <c r="H314" s="791">
        <f>'NORTH-1'!H1855</f>
        <v>9648.6</v>
      </c>
      <c r="I314" s="791">
        <f>'NORTH-1'!I1855</f>
        <v>362.34000000000015</v>
      </c>
      <c r="J314" s="791">
        <f>'NORTH-1'!J1855</f>
        <v>1000</v>
      </c>
      <c r="K314" s="791">
        <f>'NORTH-1'!K1855</f>
        <v>0</v>
      </c>
      <c r="L314" s="791">
        <f>'NORTH-1'!L1855</f>
        <v>362340.00000000012</v>
      </c>
      <c r="M314" s="791">
        <f>'NORTH-1'!M1855</f>
        <v>0</v>
      </c>
      <c r="N314" s="2019" t="str">
        <f>'NORTH-1'!N1855</f>
        <v>Narinda</v>
      </c>
      <c r="O314" s="2019" t="str">
        <f>Sheet2!$C$43</f>
        <v>BB Aveneu 33/11 KV S/S</v>
      </c>
    </row>
    <row r="315" spans="1:15" x14ac:dyDescent="0.35">
      <c r="A315" s="2019">
        <f>'NORTH-1'!A1856</f>
        <v>10</v>
      </c>
      <c r="B315" s="2019" t="str">
        <f>'NORTH-1'!B1856</f>
        <v>Shromo Bhobon O/H</v>
      </c>
      <c r="C315" s="2019" t="str">
        <f>'NORTH-1'!C1856</f>
        <v>11 kV</v>
      </c>
      <c r="D315" s="2019">
        <f>'NORTH-1'!D1856</f>
        <v>0</v>
      </c>
      <c r="E315" s="2019" t="str">
        <f>'NORTH-1'!E1856</f>
        <v>BD 013985</v>
      </c>
      <c r="F315" s="791">
        <f>'NORTH-1'!F1856</f>
        <v>1</v>
      </c>
      <c r="G315" s="791">
        <f>'NORTH-1'!G1856</f>
        <v>7672.77</v>
      </c>
      <c r="H315" s="791">
        <f>'NORTH-1'!H1856</f>
        <v>7996.3</v>
      </c>
      <c r="I315" s="791">
        <f>'NORTH-1'!I1856</f>
        <v>323.52999999999975</v>
      </c>
      <c r="J315" s="791">
        <f>'NORTH-1'!J1856</f>
        <v>1000</v>
      </c>
      <c r="K315" s="791">
        <f>'NORTH-1'!K1856</f>
        <v>0</v>
      </c>
      <c r="L315" s="791">
        <f>'NORTH-1'!L1856</f>
        <v>323529.99999999977</v>
      </c>
      <c r="M315" s="791">
        <f>'NORTH-1'!M1856</f>
        <v>0</v>
      </c>
      <c r="N315" s="2019" t="str">
        <f>'NORTH-1'!N1856</f>
        <v>Ramna</v>
      </c>
      <c r="O315" s="2019" t="str">
        <f>Sheet2!$C$43</f>
        <v>BB Aveneu 33/11 KV S/S</v>
      </c>
    </row>
    <row r="316" spans="1:15" x14ac:dyDescent="0.35">
      <c r="A316" s="2019">
        <f>'NORTH-1'!A1857</f>
        <v>11</v>
      </c>
      <c r="B316" s="2019" t="str">
        <f>'NORTH-1'!B1857</f>
        <v>Nawabpur Road</v>
      </c>
      <c r="C316" s="2019" t="str">
        <f>'NORTH-1'!C1857</f>
        <v>11 kV</v>
      </c>
      <c r="D316" s="2019">
        <f>'NORTH-1'!D1857</f>
        <v>0</v>
      </c>
      <c r="E316" s="2019" t="str">
        <f>'NORTH-1'!E1857</f>
        <v>BD 013953</v>
      </c>
      <c r="F316" s="791">
        <f>'NORTH-1'!F1857</f>
        <v>1</v>
      </c>
      <c r="G316" s="791">
        <f>'NORTH-1'!G1857</f>
        <v>13987.28</v>
      </c>
      <c r="H316" s="791">
        <f>'NORTH-1'!H1857</f>
        <v>14504.98</v>
      </c>
      <c r="I316" s="791">
        <f>'NORTH-1'!I1857</f>
        <v>517.69999999999891</v>
      </c>
      <c r="J316" s="791">
        <f>'NORTH-1'!J1857</f>
        <v>1000</v>
      </c>
      <c r="K316" s="791">
        <f>'NORTH-1'!K1857</f>
        <v>0</v>
      </c>
      <c r="L316" s="791">
        <f>'NORTH-1'!L1857</f>
        <v>517699.99999999889</v>
      </c>
      <c r="M316" s="791">
        <f>'NORTH-1'!M1857</f>
        <v>0</v>
      </c>
      <c r="N316" s="2019" t="str">
        <f>'NORTH-1'!N1857</f>
        <v>Narinda</v>
      </c>
      <c r="O316" s="2019" t="str">
        <f>Sheet2!$C$43</f>
        <v>BB Aveneu 33/11 KV S/S</v>
      </c>
    </row>
    <row r="317" spans="1:15" x14ac:dyDescent="0.35">
      <c r="A317" s="2019">
        <f>'NORTH-1'!A1858</f>
        <v>12</v>
      </c>
      <c r="B317" s="2019" t="str">
        <f>'NORTH-1'!B1858</f>
        <v>Spair</v>
      </c>
      <c r="C317" s="2019" t="str">
        <f>'NORTH-1'!C1858</f>
        <v>11 kV</v>
      </c>
      <c r="D317" s="2019">
        <f>'NORTH-1'!D1858</f>
        <v>0</v>
      </c>
      <c r="E317" s="2019" t="str">
        <f>'NORTH-1'!E1858</f>
        <v>BD 013991</v>
      </c>
      <c r="F317" s="791">
        <f>'NORTH-1'!F1858</f>
        <v>1</v>
      </c>
      <c r="G317" s="791">
        <f>'NORTH-1'!G1858</f>
        <v>0</v>
      </c>
      <c r="H317" s="791">
        <f>'NORTH-1'!H1858</f>
        <v>0</v>
      </c>
      <c r="I317" s="791">
        <f>'NORTH-1'!I1858</f>
        <v>0</v>
      </c>
      <c r="J317" s="791">
        <f>'NORTH-1'!J1858</f>
        <v>1000</v>
      </c>
      <c r="K317" s="791">
        <f>'NORTH-1'!K1858</f>
        <v>0</v>
      </c>
      <c r="L317" s="791">
        <f>'NORTH-1'!L1858</f>
        <v>0</v>
      </c>
      <c r="M317" s="791">
        <f>'NORTH-1'!M1858</f>
        <v>0</v>
      </c>
      <c r="N317" s="2019">
        <f>'NORTH-1'!N1858</f>
        <v>0</v>
      </c>
      <c r="O317" s="2019" t="str">
        <f>Sheet2!$C$43</f>
        <v>BB Aveneu 33/11 KV S/S</v>
      </c>
    </row>
    <row r="318" spans="1:15" x14ac:dyDescent="0.35">
      <c r="A318" s="2019">
        <f>'NORTH-1'!A1859</f>
        <v>15</v>
      </c>
      <c r="B318" s="2019" t="str">
        <f>'NORTH-1'!B1859</f>
        <v>Spare</v>
      </c>
      <c r="C318" s="2019" t="str">
        <f>'NORTH-1'!C1859</f>
        <v>11 kV</v>
      </c>
      <c r="D318" s="2019">
        <f>'NORTH-1'!D1859</f>
        <v>0</v>
      </c>
      <c r="E318" s="2019" t="str">
        <f>'NORTH-1'!E1859</f>
        <v>BD 013942</v>
      </c>
      <c r="F318" s="791">
        <f>'NORTH-1'!F1859</f>
        <v>1</v>
      </c>
      <c r="G318" s="791">
        <f>'NORTH-1'!G1859</f>
        <v>0</v>
      </c>
      <c r="H318" s="791">
        <f>'NORTH-1'!H1859</f>
        <v>0</v>
      </c>
      <c r="I318" s="791">
        <f>'NORTH-1'!I1859</f>
        <v>0</v>
      </c>
      <c r="J318" s="791">
        <f>'NORTH-1'!J1859</f>
        <v>1000</v>
      </c>
      <c r="K318" s="791">
        <f>'NORTH-1'!K1859</f>
        <v>0</v>
      </c>
      <c r="L318" s="791">
        <f>'NORTH-1'!L1859</f>
        <v>0</v>
      </c>
      <c r="M318" s="791">
        <f>'NORTH-1'!M1859</f>
        <v>0</v>
      </c>
      <c r="N318" s="2019">
        <f>'NORTH-1'!N1859</f>
        <v>0</v>
      </c>
      <c r="O318" s="2019" t="str">
        <f>Sheet2!$C$43</f>
        <v>BB Aveneu 33/11 KV S/S</v>
      </c>
    </row>
    <row r="319" spans="1:15" x14ac:dyDescent="0.35">
      <c r="A319" s="2019">
        <f>'NORTH-1'!A1860</f>
        <v>16</v>
      </c>
      <c r="B319" s="2019" t="str">
        <f>'NORTH-1'!B1860</f>
        <v>Ahad Police Box</v>
      </c>
      <c r="C319" s="2019" t="str">
        <f>'NORTH-1'!C1860</f>
        <v>11 kV</v>
      </c>
      <c r="D319" s="2019">
        <f>'NORTH-1'!D1860</f>
        <v>0</v>
      </c>
      <c r="E319" s="2019" t="str">
        <f>'NORTH-1'!E1860</f>
        <v>BD 013984</v>
      </c>
      <c r="F319" s="791">
        <f>'NORTH-1'!F1860</f>
        <v>1</v>
      </c>
      <c r="G319" s="791">
        <f>'NORTH-1'!G1860</f>
        <v>7245.04</v>
      </c>
      <c r="H319" s="791">
        <f>'NORTH-1'!H1860</f>
        <v>7622.08</v>
      </c>
      <c r="I319" s="791">
        <f>'NORTH-1'!I1860</f>
        <v>377.03999999999996</v>
      </c>
      <c r="J319" s="791">
        <f>'NORTH-1'!J1860</f>
        <v>1000</v>
      </c>
      <c r="K319" s="791">
        <f>'NORTH-1'!K1860</f>
        <v>0</v>
      </c>
      <c r="L319" s="791">
        <f>'NORTH-1'!L1860</f>
        <v>377039.99999999994</v>
      </c>
      <c r="M319" s="791">
        <f>'NORTH-1'!M1860</f>
        <v>0</v>
      </c>
      <c r="N319" s="2019" t="str">
        <f>'NORTH-1'!N1860</f>
        <v>Ramna</v>
      </c>
      <c r="O319" s="2019" t="str">
        <f>Sheet2!$C$43</f>
        <v>BB Aveneu 33/11 KV S/S</v>
      </c>
    </row>
    <row r="320" spans="1:15" x14ac:dyDescent="0.35">
      <c r="A320" s="2019">
        <f>'NORTH-1'!A1861</f>
        <v>17</v>
      </c>
      <c r="B320" s="2019" t="str">
        <f>'NORTH-1'!B1861</f>
        <v>Nearest O/H</v>
      </c>
      <c r="C320" s="2019" t="str">
        <f>'NORTH-1'!C1861</f>
        <v>11 kV</v>
      </c>
      <c r="D320" s="2019">
        <f>'NORTH-1'!D1861</f>
        <v>0</v>
      </c>
      <c r="E320" s="2019" t="str">
        <f>'NORTH-1'!E1861</f>
        <v>BD 013997</v>
      </c>
      <c r="F320" s="791">
        <f>'NORTH-1'!F1861</f>
        <v>3</v>
      </c>
      <c r="G320" s="791">
        <f>'NORTH-1'!G1861</f>
        <v>1711.57</v>
      </c>
      <c r="H320" s="791">
        <f>'NORTH-1'!H1861</f>
        <v>1794.86</v>
      </c>
      <c r="I320" s="791">
        <f>'NORTH-1'!I1861</f>
        <v>83.289999999999964</v>
      </c>
      <c r="J320" s="791">
        <f>'NORTH-1'!J1861</f>
        <v>1000</v>
      </c>
      <c r="K320" s="791">
        <f>'NORTH-1'!K1861</f>
        <v>0</v>
      </c>
      <c r="L320" s="791">
        <f>'NORTH-1'!L1861</f>
        <v>249869.99999999988</v>
      </c>
      <c r="M320" s="791">
        <f>'NORTH-1'!M1861</f>
        <v>0</v>
      </c>
      <c r="N320" s="2019" t="str">
        <f>'NORTH-1'!N1861</f>
        <v>Ramna</v>
      </c>
      <c r="O320" s="2019" t="str">
        <f>Sheet2!$C$43</f>
        <v>BB Aveneu 33/11 KV S/S</v>
      </c>
    </row>
    <row r="321" spans="1:15" x14ac:dyDescent="0.35">
      <c r="A321" s="2019">
        <f>'NORTH-1'!A1862</f>
        <v>18</v>
      </c>
      <c r="B321" s="2019" t="str">
        <f>'NORTH-1'!B1862</f>
        <v>Natab Bhaban</v>
      </c>
      <c r="C321" s="2019" t="str">
        <f>'NORTH-1'!C1862</f>
        <v>11 kV</v>
      </c>
      <c r="D321" s="2019">
        <f>'NORTH-1'!D1862</f>
        <v>0</v>
      </c>
      <c r="E321" s="2019" t="str">
        <f>'NORTH-1'!E1862</f>
        <v>BD 014000</v>
      </c>
      <c r="F321" s="791">
        <f>'NORTH-1'!F1862</f>
        <v>1</v>
      </c>
      <c r="G321" s="791">
        <f>'NORTH-1'!G1862</f>
        <v>3570.36</v>
      </c>
      <c r="H321" s="791">
        <f>'NORTH-1'!H1862</f>
        <v>3708.82</v>
      </c>
      <c r="I321" s="791">
        <f>'NORTH-1'!I1862</f>
        <v>138.46000000000004</v>
      </c>
      <c r="J321" s="791">
        <f>'NORTH-1'!J1862</f>
        <v>1000</v>
      </c>
      <c r="K321" s="791">
        <f>'NORTH-1'!K1862</f>
        <v>0</v>
      </c>
      <c r="L321" s="791">
        <f>'NORTH-1'!L1862</f>
        <v>138460.00000000003</v>
      </c>
      <c r="M321" s="791">
        <f>'NORTH-1'!M1862</f>
        <v>0</v>
      </c>
      <c r="N321" s="2019" t="str">
        <f>'NORTH-1'!N1862</f>
        <v>Ramna</v>
      </c>
      <c r="O321" s="2019" t="str">
        <f>Sheet2!$C$43</f>
        <v>BB Aveneu 33/11 KV S/S</v>
      </c>
    </row>
    <row r="322" spans="1:15" x14ac:dyDescent="0.35">
      <c r="A322" s="2019">
        <f>'NORTH-1'!A1863</f>
        <v>19</v>
      </c>
      <c r="B322" s="2019" t="str">
        <f>'NORTH-1'!B1863</f>
        <v>Spare</v>
      </c>
      <c r="C322" s="2019" t="str">
        <f>'NORTH-1'!C1863</f>
        <v>11 kV</v>
      </c>
      <c r="D322" s="2019">
        <f>'NORTH-1'!D1863</f>
        <v>0</v>
      </c>
      <c r="E322" s="2019" t="str">
        <f>'NORTH-1'!E1863</f>
        <v>BD 014043</v>
      </c>
      <c r="F322" s="791">
        <f>'NORTH-1'!F1863</f>
        <v>1</v>
      </c>
      <c r="G322" s="791">
        <f>'NORTH-1'!G1863</f>
        <v>0</v>
      </c>
      <c r="H322" s="791">
        <f>'NORTH-1'!H1863</f>
        <v>0</v>
      </c>
      <c r="I322" s="791">
        <f>'NORTH-1'!I1863</f>
        <v>0</v>
      </c>
      <c r="J322" s="791">
        <f>'NORTH-1'!J1863</f>
        <v>1000</v>
      </c>
      <c r="K322" s="791">
        <f>'NORTH-1'!K1863</f>
        <v>0</v>
      </c>
      <c r="L322" s="791">
        <f>'NORTH-1'!L1863</f>
        <v>0</v>
      </c>
      <c r="M322" s="791">
        <f>'NORTH-1'!M1863</f>
        <v>0</v>
      </c>
      <c r="N322" s="2019">
        <f>'NORTH-1'!N1863</f>
        <v>0</v>
      </c>
      <c r="O322" s="2019" t="str">
        <f>Sheet2!$C$43</f>
        <v>BB Aveneu 33/11 KV S/S</v>
      </c>
    </row>
    <row r="323" spans="1:15" x14ac:dyDescent="0.35">
      <c r="A323" s="2019">
        <f>'NORTH-1'!A1864</f>
        <v>20</v>
      </c>
      <c r="B323" s="2019" t="str">
        <f>'NORTH-1'!B1864</f>
        <v>Awami League Party Office</v>
      </c>
      <c r="C323" s="2019" t="str">
        <f>'NORTH-1'!C1864</f>
        <v>11 kV</v>
      </c>
      <c r="D323" s="2019">
        <f>'NORTH-1'!D1864</f>
        <v>0</v>
      </c>
      <c r="E323" s="2019" t="str">
        <f>'NORTH-1'!E1864</f>
        <v>BD 013956</v>
      </c>
      <c r="F323" s="791">
        <f>'NORTH-1'!F1864</f>
        <v>1</v>
      </c>
      <c r="G323" s="791">
        <f>'NORTH-1'!G1864</f>
        <v>1339.72</v>
      </c>
      <c r="H323" s="791">
        <f>'NORTH-1'!H1864</f>
        <v>1357.5</v>
      </c>
      <c r="I323" s="791">
        <f>'NORTH-1'!I1864</f>
        <v>17.779999999999973</v>
      </c>
      <c r="J323" s="791">
        <f>'NORTH-1'!J1864</f>
        <v>1000</v>
      </c>
      <c r="K323" s="791">
        <f>'NORTH-1'!K1864</f>
        <v>0</v>
      </c>
      <c r="L323" s="791">
        <f>'NORTH-1'!L1864</f>
        <v>17779.999999999971</v>
      </c>
      <c r="M323" s="791">
        <f>'NORTH-1'!M1864</f>
        <v>0</v>
      </c>
      <c r="N323" s="2019" t="str">
        <f>'NORTH-1'!N1864</f>
        <v>Ramna</v>
      </c>
      <c r="O323" s="2019" t="str">
        <f>Sheet2!$C$43</f>
        <v>BB Aveneu 33/11 KV S/S</v>
      </c>
    </row>
    <row r="324" spans="1:15" x14ac:dyDescent="0.35">
      <c r="A324" s="2019">
        <f>'NORTH-1'!A1865</f>
        <v>21</v>
      </c>
      <c r="B324" s="2019" t="str">
        <f>'NORTH-1'!B1865</f>
        <v>Khaddar Bazar</v>
      </c>
      <c r="C324" s="2019" t="str">
        <f>'NORTH-1'!C1865</f>
        <v>11 kV</v>
      </c>
      <c r="D324" s="2019">
        <f>'NORTH-1'!D1865</f>
        <v>0</v>
      </c>
      <c r="E324" s="2019" t="str">
        <f>'NORTH-1'!E1865</f>
        <v>BD 014012</v>
      </c>
      <c r="F324" s="791">
        <f>'NORTH-1'!F1865</f>
        <v>1</v>
      </c>
      <c r="G324" s="791">
        <f>'NORTH-1'!G1865</f>
        <v>7099.81</v>
      </c>
      <c r="H324" s="791">
        <f>'NORTH-1'!H1865</f>
        <v>7365.52</v>
      </c>
      <c r="I324" s="791">
        <f>'NORTH-1'!I1865</f>
        <v>265.71000000000004</v>
      </c>
      <c r="J324" s="791">
        <f>'NORTH-1'!J1865</f>
        <v>1000</v>
      </c>
      <c r="K324" s="791">
        <f>'NORTH-1'!K1865</f>
        <v>0</v>
      </c>
      <c r="L324" s="791">
        <f>'NORTH-1'!L1865</f>
        <v>265710.00000000006</v>
      </c>
      <c r="M324" s="791">
        <f>'NORTH-1'!M1865</f>
        <v>0</v>
      </c>
      <c r="N324" s="2019" t="str">
        <f>'NORTH-1'!N1865</f>
        <v>Ramna</v>
      </c>
      <c r="O324" s="2019" t="str">
        <f>Sheet2!$C$43</f>
        <v>BB Aveneu 33/11 KV S/S</v>
      </c>
    </row>
    <row r="325" spans="1:15" x14ac:dyDescent="0.35">
      <c r="A325" s="2019">
        <f>'NORTH-1'!A1866</f>
        <v>22</v>
      </c>
      <c r="B325" s="2019" t="str">
        <f>'NORTH-1'!B1866</f>
        <v>Bangobondu National Stidium</v>
      </c>
      <c r="C325" s="2019" t="str">
        <f>'NORTH-1'!C1866</f>
        <v>11 kV</v>
      </c>
      <c r="D325" s="2019">
        <f>'NORTH-1'!D1866</f>
        <v>0</v>
      </c>
      <c r="E325" s="2019" t="str">
        <f>'NORTH-1'!E1866</f>
        <v>BD 014008</v>
      </c>
      <c r="F325" s="791">
        <f>'NORTH-1'!F1866</f>
        <v>1</v>
      </c>
      <c r="G325" s="791">
        <f>'NORTH-1'!G1866</f>
        <v>4634.1400000000003</v>
      </c>
      <c r="H325" s="791">
        <f>'NORTH-1'!H1866</f>
        <v>4793.66</v>
      </c>
      <c r="I325" s="791">
        <f>'NORTH-1'!I1866</f>
        <v>159.51999999999953</v>
      </c>
      <c r="J325" s="791">
        <f>'NORTH-1'!J1866</f>
        <v>1000</v>
      </c>
      <c r="K325" s="791">
        <f>'NORTH-1'!K1866</f>
        <v>0</v>
      </c>
      <c r="L325" s="791">
        <f>'NORTH-1'!L1866</f>
        <v>159519.99999999953</v>
      </c>
      <c r="M325" s="791">
        <f>'NORTH-1'!M1866</f>
        <v>0</v>
      </c>
      <c r="N325" s="2019" t="str">
        <f>'NORTH-1'!N1866</f>
        <v>Ramna</v>
      </c>
      <c r="O325" s="2019" t="str">
        <f>Sheet2!$C$43</f>
        <v>BB Aveneu 33/11 KV S/S</v>
      </c>
    </row>
    <row r="326" spans="1:15" x14ac:dyDescent="0.35">
      <c r="A326" s="2019">
        <f>'NORTH-1'!A1867</f>
        <v>23</v>
      </c>
      <c r="B326" s="2019" t="str">
        <f>'NORTH-1'!B1867</f>
        <v>11/0.4 kV Aux. Transformer, AT-1</v>
      </c>
      <c r="C326" s="2019" t="str">
        <f>'NORTH-1'!C1867</f>
        <v>0.4 kV</v>
      </c>
      <c r="D326" s="2019">
        <f>'NORTH-1'!D1867</f>
        <v>0</v>
      </c>
      <c r="E326" s="2019" t="str">
        <f>'NORTH-1'!E1867</f>
        <v>DHKH4418</v>
      </c>
      <c r="F326" s="791">
        <f>'NORTH-1'!F1867</f>
        <v>1</v>
      </c>
      <c r="G326" s="791">
        <f>'NORTH-1'!G1867</f>
        <v>891.8</v>
      </c>
      <c r="H326" s="791">
        <f>'NORTH-1'!H1867</f>
        <v>891.8</v>
      </c>
      <c r="I326" s="791">
        <f>'NORTH-1'!I1867</f>
        <v>0</v>
      </c>
      <c r="J326" s="791">
        <f>'NORTH-1'!J1867</f>
        <v>100</v>
      </c>
      <c r="K326" s="791">
        <f>'NORTH-1'!K1867</f>
        <v>0</v>
      </c>
      <c r="L326" s="791">
        <f>'NORTH-1'!L1867</f>
        <v>0</v>
      </c>
      <c r="M326" s="791">
        <f>'NORTH-1'!M1867</f>
        <v>0</v>
      </c>
      <c r="N326" s="2019" t="str">
        <f>'NORTH-1'!N1867</f>
        <v>Ramna</v>
      </c>
      <c r="O326" s="2019" t="str">
        <f>Sheet2!$C$43</f>
        <v>BB Aveneu 33/11 KV S/S</v>
      </c>
    </row>
    <row r="327" spans="1:15" x14ac:dyDescent="0.35">
      <c r="A327" s="2019">
        <f>'NORTH-1'!A1868</f>
        <v>24</v>
      </c>
      <c r="B327" s="2019" t="str">
        <f>'NORTH-1'!B1868</f>
        <v>11/0.4 kV Aux. Transformer, AT-2</v>
      </c>
      <c r="C327" s="2019" t="str">
        <f>'NORTH-1'!C1868</f>
        <v>0.4 kV</v>
      </c>
      <c r="D327" s="2019">
        <f>'NORTH-1'!D1868</f>
        <v>0</v>
      </c>
      <c r="E327" s="2019" t="str">
        <f>'NORTH-1'!E1868</f>
        <v>DHKH4413</v>
      </c>
      <c r="F327" s="791">
        <f>'NORTH-1'!F1868</f>
        <v>1</v>
      </c>
      <c r="G327" s="791">
        <f>'NORTH-1'!G1868</f>
        <v>33.81</v>
      </c>
      <c r="H327" s="791">
        <f>'NORTH-1'!H1868</f>
        <v>36.6</v>
      </c>
      <c r="I327" s="791">
        <f>'NORTH-1'!I1868</f>
        <v>2.7899999999999991</v>
      </c>
      <c r="J327" s="791">
        <f>'NORTH-1'!J1868</f>
        <v>100</v>
      </c>
      <c r="K327" s="791">
        <f>'NORTH-1'!K1868</f>
        <v>0</v>
      </c>
      <c r="L327" s="791">
        <f>'NORTH-1'!L1868</f>
        <v>278.99999999999989</v>
      </c>
      <c r="M327" s="791">
        <f>'NORTH-1'!M1868</f>
        <v>0</v>
      </c>
      <c r="N327" s="2019" t="str">
        <f>'NORTH-1'!N1868</f>
        <v>Ramna</v>
      </c>
      <c r="O327" s="2019" t="str">
        <f>Sheet2!$C$43</f>
        <v>BB Aveneu 33/11 KV S/S</v>
      </c>
    </row>
    <row r="328" spans="1:15" x14ac:dyDescent="0.35">
      <c r="A328" s="2019">
        <f>'NORTH-1'!A1932</f>
        <v>3</v>
      </c>
      <c r="B328" s="2019" t="str">
        <f>'NORTH-1'!B1932</f>
        <v>11 kV Ring Road Feeder</v>
      </c>
      <c r="C328" s="2019" t="str">
        <f>'NORTH-1'!C1932</f>
        <v>11 kV</v>
      </c>
      <c r="D328" s="2019">
        <f>'NORTH-1'!D1932</f>
        <v>0</v>
      </c>
      <c r="E328" s="2019">
        <f>'NORTH-1'!E1932</f>
        <v>77816675</v>
      </c>
      <c r="F328" s="791">
        <f>'NORTH-1'!F1932</f>
        <v>1</v>
      </c>
      <c r="G328" s="791">
        <f>'NORTH-1'!G1932</f>
        <v>41014.9</v>
      </c>
      <c r="H328" s="791">
        <f>'NORTH-1'!H1932</f>
        <v>41097.47</v>
      </c>
      <c r="I328" s="791">
        <f>'NORTH-1'!I1932</f>
        <v>82.569999999999709</v>
      </c>
      <c r="J328" s="791">
        <f>'NORTH-1'!J1932</f>
        <v>8000</v>
      </c>
      <c r="K328" s="791">
        <f>'NORTH-1'!K1932</f>
        <v>0</v>
      </c>
      <c r="L328" s="791">
        <f>'NORTH-1'!L1932</f>
        <v>660559.99999999767</v>
      </c>
      <c r="M328" s="791">
        <f>'NORTH-1'!M1932</f>
        <v>0</v>
      </c>
      <c r="N328" s="2019" t="str">
        <f>'NORTH-1'!N1932</f>
        <v>Adabor</v>
      </c>
      <c r="O328" s="2019" t="str">
        <f>Sheet2!$C$21</f>
        <v>Kallyanpur 33/11KV S/S</v>
      </c>
    </row>
    <row r="329" spans="1:15" x14ac:dyDescent="0.35">
      <c r="A329" s="2019">
        <f>'NORTH-1'!A1933</f>
        <v>0</v>
      </c>
      <c r="B329" s="2019" t="str">
        <f>'NORTH-1'!B1933</f>
        <v>11 kV Ganabhaban RMU Feeder</v>
      </c>
      <c r="C329" s="2019" t="str">
        <f>'NORTH-1'!C1933</f>
        <v>11 kV</v>
      </c>
      <c r="D329" s="2019">
        <f>'NORTH-1'!D1933</f>
        <v>0</v>
      </c>
      <c r="E329" s="2019" t="str">
        <f>'NORTH-1'!E1933</f>
        <v>DHK14997</v>
      </c>
      <c r="F329" s="791">
        <f>'NORTH-1'!F1933</f>
        <v>1</v>
      </c>
      <c r="G329" s="791">
        <f>'NORTH-1'!G1933</f>
        <v>995.47</v>
      </c>
      <c r="H329" s="791">
        <f>'NORTH-1'!H1933</f>
        <v>995.51</v>
      </c>
      <c r="I329" s="791">
        <f>'NORTH-1'!I1933</f>
        <v>3.999999999996362E-2</v>
      </c>
      <c r="J329" s="791">
        <f>'NORTH-1'!J1933</f>
        <v>40000</v>
      </c>
      <c r="K329" s="791">
        <f>'NORTH-1'!K1933</f>
        <v>0</v>
      </c>
      <c r="L329" s="791">
        <f>'NORTH-1'!L1933</f>
        <v>1599.9999999985448</v>
      </c>
      <c r="M329" s="791">
        <f>'NORTH-1'!M1933</f>
        <v>0</v>
      </c>
      <c r="N329" s="2019" t="str">
        <f>'NORTH-1'!N1933</f>
        <v>Sherebangla_Satmasjid</v>
      </c>
      <c r="O329" s="2019" t="str">
        <f>Sheet2!$C$21</f>
        <v>Kallyanpur 33/11KV S/S</v>
      </c>
    </row>
    <row r="330" spans="1:15" x14ac:dyDescent="0.35">
      <c r="A330" s="2019">
        <f>'NORTH-1'!A1934</f>
        <v>4</v>
      </c>
      <c r="B330" s="2019" t="str">
        <f>'NORTH-1'!B1934</f>
        <v>11 kV Adabor Feeder</v>
      </c>
      <c r="C330" s="2019" t="str">
        <f>'NORTH-1'!C1934</f>
        <v>11 kV</v>
      </c>
      <c r="D330" s="2019">
        <f>'NORTH-1'!D1934</f>
        <v>0</v>
      </c>
      <c r="E330" s="2019" t="str">
        <f>'NORTH-1'!E1934</f>
        <v>DHK14957</v>
      </c>
      <c r="F330" s="791">
        <f>'NORTH-1'!F1934</f>
        <v>1</v>
      </c>
      <c r="G330" s="791">
        <f>'NORTH-1'!G1934</f>
        <v>3984.7</v>
      </c>
      <c r="H330" s="791">
        <f>'NORTH-1'!H1934</f>
        <v>4028.2</v>
      </c>
      <c r="I330" s="791">
        <f>'NORTH-1'!I1934</f>
        <v>43.5</v>
      </c>
      <c r="J330" s="791">
        <f>'NORTH-1'!J1934</f>
        <v>40000</v>
      </c>
      <c r="K330" s="791">
        <f>'NORTH-1'!K1934</f>
        <v>0</v>
      </c>
      <c r="L330" s="791">
        <f>'NORTH-1'!L1934</f>
        <v>1740000</v>
      </c>
      <c r="M330" s="791">
        <f>'NORTH-1'!M1934</f>
        <v>0</v>
      </c>
      <c r="N330" s="2019" t="str">
        <f>'NORTH-1'!N1934</f>
        <v>Adabor</v>
      </c>
      <c r="O330" s="2019" t="str">
        <f>Sheet2!$C$21</f>
        <v>Kallyanpur 33/11KV S/S</v>
      </c>
    </row>
    <row r="331" spans="1:15" x14ac:dyDescent="0.35">
      <c r="A331" s="2019">
        <f>'NORTH-1'!A1935</f>
        <v>5</v>
      </c>
      <c r="B331" s="2019" t="str">
        <f>'NORTH-1'!B1935</f>
        <v>11 kV Gaidertek</v>
      </c>
      <c r="C331" s="2019" t="str">
        <f>'NORTH-1'!C1935</f>
        <v>11 kV</v>
      </c>
      <c r="D331" s="2019">
        <f>'NORTH-1'!D1935</f>
        <v>0</v>
      </c>
      <c r="E331" s="2019" t="str">
        <f>'NORTH-1'!E1935</f>
        <v>DHK14996</v>
      </c>
      <c r="F331" s="791">
        <f>'NORTH-1'!F1935</f>
        <v>1</v>
      </c>
      <c r="G331" s="791">
        <f>'NORTH-1'!G1935</f>
        <v>9280.26</v>
      </c>
      <c r="H331" s="791">
        <f>'NORTH-1'!H1935</f>
        <v>9287.6299999999992</v>
      </c>
      <c r="I331" s="791">
        <f>'NORTH-1'!I1935</f>
        <v>7.3699999999989814</v>
      </c>
      <c r="J331" s="791">
        <f>'NORTH-1'!J1935</f>
        <v>40000</v>
      </c>
      <c r="K331" s="791">
        <f>'NORTH-1'!K1935</f>
        <v>0</v>
      </c>
      <c r="L331" s="791">
        <f>'NORTH-1'!L1935</f>
        <v>294799.99999995925</v>
      </c>
      <c r="M331" s="791">
        <f>'NORTH-1'!M1935</f>
        <v>0</v>
      </c>
      <c r="N331" s="2019" t="str">
        <f>'NORTH-1'!N1935</f>
        <v>Adabor</v>
      </c>
      <c r="O331" s="2019" t="str">
        <f>Sheet2!$C$21</f>
        <v>Kallyanpur 33/11KV S/S</v>
      </c>
    </row>
    <row r="332" spans="1:15" x14ac:dyDescent="0.35">
      <c r="A332" s="2019">
        <f>'NORTH-1'!A1936</f>
        <v>6</v>
      </c>
      <c r="B332" s="2019" t="str">
        <f>'NORTH-1'!B1936</f>
        <v>11 kV Tolarbugh</v>
      </c>
      <c r="C332" s="2019" t="str">
        <f>'NORTH-1'!C1936</f>
        <v>11 kV</v>
      </c>
      <c r="D332" s="2019">
        <f>'NORTH-1'!D1936</f>
        <v>0</v>
      </c>
      <c r="E332" s="2019" t="str">
        <f>'NORTH-1'!E1936</f>
        <v>DHK27326</v>
      </c>
      <c r="F332" s="791">
        <f>'NORTH-1'!F1936</f>
        <v>1</v>
      </c>
      <c r="G332" s="791">
        <f>'NORTH-1'!G1936</f>
        <v>3267352</v>
      </c>
      <c r="H332" s="791">
        <f>'NORTH-1'!H1936</f>
        <v>3273671</v>
      </c>
      <c r="I332" s="791">
        <f>'NORTH-1'!I1936</f>
        <v>6319</v>
      </c>
      <c r="J332" s="791">
        <f>'NORTH-1'!J1936</f>
        <v>40</v>
      </c>
      <c r="K332" s="791">
        <f>'NORTH-1'!K1936</f>
        <v>0</v>
      </c>
      <c r="L332" s="791">
        <f>'NORTH-1'!L1936</f>
        <v>252760</v>
      </c>
      <c r="M332" s="791">
        <f>'NORTH-1'!M1936</f>
        <v>0</v>
      </c>
      <c r="N332" s="2019" t="str">
        <f>'NORTH-1'!N1936</f>
        <v>DESCO</v>
      </c>
      <c r="O332" s="2019" t="str">
        <f>Sheet2!$C$21</f>
        <v>Kallyanpur 33/11KV S/S</v>
      </c>
    </row>
    <row r="333" spans="1:15" x14ac:dyDescent="0.35">
      <c r="A333" s="2019">
        <f>'NORTH-1'!A1937</f>
        <v>7</v>
      </c>
      <c r="B333" s="2019" t="str">
        <f>'NORTH-1'!B1937</f>
        <v>11 kV Beribadh Feeder</v>
      </c>
      <c r="C333" s="2019" t="str">
        <f>'NORTH-1'!C1937</f>
        <v>11 kV</v>
      </c>
      <c r="D333" s="2019">
        <f>'NORTH-1'!D1937</f>
        <v>0</v>
      </c>
      <c r="E333" s="2019" t="str">
        <f>'NORTH-1'!E1937</f>
        <v>DHK14960</v>
      </c>
      <c r="F333" s="791">
        <f>'NORTH-1'!F1937</f>
        <v>1</v>
      </c>
      <c r="G333" s="791">
        <f>'NORTH-1'!G1937</f>
        <v>9595.6299999999992</v>
      </c>
      <c r="H333" s="791">
        <f>'NORTH-1'!H1937</f>
        <v>9600.69</v>
      </c>
      <c r="I333" s="791">
        <f>'NORTH-1'!I1937</f>
        <v>5.0600000000013097</v>
      </c>
      <c r="J333" s="791">
        <f>'NORTH-1'!J1937</f>
        <v>40000</v>
      </c>
      <c r="K333" s="791">
        <f>'NORTH-1'!K1937</f>
        <v>0</v>
      </c>
      <c r="L333" s="791">
        <f>'NORTH-1'!L1937</f>
        <v>202400.00000005239</v>
      </c>
      <c r="M333" s="791">
        <f>'NORTH-1'!M1937</f>
        <v>0</v>
      </c>
      <c r="N333" s="2019" t="str">
        <f>'NORTH-1'!N1937</f>
        <v>Adabor</v>
      </c>
      <c r="O333" s="2019" t="str">
        <f>Sheet2!$C$21</f>
        <v>Kallyanpur 33/11KV S/S</v>
      </c>
    </row>
    <row r="334" spans="1:15" x14ac:dyDescent="0.35">
      <c r="A334" s="2019">
        <f>'NORTH-1'!A1938</f>
        <v>10</v>
      </c>
      <c r="B334" s="2019" t="str">
        <f>'NORTH-1'!B1938</f>
        <v>11 kV South Bisil</v>
      </c>
      <c r="C334" s="2019" t="str">
        <f>'NORTH-1'!C1938</f>
        <v>11 kV</v>
      </c>
      <c r="D334" s="2019">
        <f>'NORTH-1'!D1938</f>
        <v>0</v>
      </c>
      <c r="E334" s="2019" t="str">
        <f>'NORTH-1'!E1938</f>
        <v>DHK15017</v>
      </c>
      <c r="F334" s="791">
        <f>'NORTH-1'!F1938</f>
        <v>1</v>
      </c>
      <c r="G334" s="791">
        <f>'NORTH-1'!G1938</f>
        <v>1040.76</v>
      </c>
      <c r="H334" s="791">
        <f>'NORTH-1'!H1938</f>
        <v>1071.96</v>
      </c>
      <c r="I334" s="791">
        <f>'NORTH-1'!I1938</f>
        <v>31.200000000000045</v>
      </c>
      <c r="J334" s="791">
        <f>'NORTH-1'!J1938</f>
        <v>40000</v>
      </c>
      <c r="K334" s="791">
        <f>'NORTH-1'!K1938</f>
        <v>0</v>
      </c>
      <c r="L334" s="791">
        <f>'NORTH-1'!L1938</f>
        <v>1248000.0000000019</v>
      </c>
      <c r="M334" s="791">
        <f>'NORTH-1'!M1938</f>
        <v>0</v>
      </c>
      <c r="N334" s="2019" t="str">
        <f>'NORTH-1'!N1938</f>
        <v>DESCO</v>
      </c>
      <c r="O334" s="2019" t="str">
        <f>Sheet2!$C$21</f>
        <v>Kallyanpur 33/11KV S/S</v>
      </c>
    </row>
    <row r="335" spans="1:15" x14ac:dyDescent="0.35">
      <c r="A335" s="2019">
        <f>'NORTH-1'!A1939</f>
        <v>11</v>
      </c>
      <c r="B335" s="2019" t="str">
        <f>'NORTH-1'!B1939</f>
        <v>11 kV Lalkhuthy</v>
      </c>
      <c r="C335" s="2019" t="str">
        <f>'NORTH-1'!C1939</f>
        <v>11 kV</v>
      </c>
      <c r="D335" s="2019">
        <f>'NORTH-1'!D1939</f>
        <v>0</v>
      </c>
      <c r="E335" s="2019" t="str">
        <f>'NORTH-1'!E1939</f>
        <v>DHK15018</v>
      </c>
      <c r="F335" s="791">
        <f>'NORTH-1'!F1939</f>
        <v>1</v>
      </c>
      <c r="G335" s="791">
        <f>'NORTH-1'!G1939</f>
        <v>898.91</v>
      </c>
      <c r="H335" s="791">
        <f>'NORTH-1'!H1939</f>
        <v>927</v>
      </c>
      <c r="I335" s="791">
        <f>'NORTH-1'!I1939</f>
        <v>28.090000000000032</v>
      </c>
      <c r="J335" s="791">
        <f>'NORTH-1'!J1939</f>
        <v>40000</v>
      </c>
      <c r="K335" s="791">
        <f>'NORTH-1'!K1939</f>
        <v>0</v>
      </c>
      <c r="L335" s="791">
        <f>'NORTH-1'!L1939</f>
        <v>1123600.0000000012</v>
      </c>
      <c r="M335" s="791">
        <f>'NORTH-1'!M1939</f>
        <v>0</v>
      </c>
      <c r="N335" s="2019" t="str">
        <f>'NORTH-1'!N1939</f>
        <v>DESCO</v>
      </c>
      <c r="O335" s="2019" t="str">
        <f>Sheet2!$C$21</f>
        <v>Kallyanpur 33/11KV S/S</v>
      </c>
    </row>
    <row r="336" spans="1:15" x14ac:dyDescent="0.35">
      <c r="A336" s="2019">
        <f>'NORTH-1'!A1940</f>
        <v>12</v>
      </c>
      <c r="B336" s="2019" t="str">
        <f>'NORTH-1'!B1940</f>
        <v>11 kV Swerage Feeder</v>
      </c>
      <c r="C336" s="2019" t="str">
        <f>'NORTH-1'!C1940</f>
        <v>11 kV</v>
      </c>
      <c r="D336" s="2019">
        <f>'NORTH-1'!D1940</f>
        <v>0</v>
      </c>
      <c r="E336" s="2019" t="str">
        <f>'NORTH-1'!E1940</f>
        <v>DHK14959</v>
      </c>
      <c r="F336" s="791">
        <f>'NORTH-1'!F1940</f>
        <v>1</v>
      </c>
      <c r="G336" s="791">
        <f>'NORTH-1'!G1940</f>
        <v>1929.62</v>
      </c>
      <c r="H336" s="791">
        <f>'NORTH-1'!H1940</f>
        <v>1938.15</v>
      </c>
      <c r="I336" s="791">
        <f>'NORTH-1'!I1940</f>
        <v>8.5300000000002001</v>
      </c>
      <c r="J336" s="791">
        <f>'NORTH-1'!J1940</f>
        <v>40000</v>
      </c>
      <c r="K336" s="791">
        <f>'NORTH-1'!K1940</f>
        <v>0</v>
      </c>
      <c r="L336" s="791">
        <f>'NORTH-1'!L1940</f>
        <v>341200.00000000803</v>
      </c>
      <c r="M336" s="791">
        <f>'NORTH-1'!M1940</f>
        <v>0</v>
      </c>
      <c r="N336" s="2019" t="str">
        <f>'NORTH-1'!N1940</f>
        <v>Adabor</v>
      </c>
      <c r="O336" s="2019" t="str">
        <f>Sheet2!$C$21</f>
        <v>Kallyanpur 33/11KV S/S</v>
      </c>
    </row>
    <row r="337" spans="1:15" x14ac:dyDescent="0.35">
      <c r="A337" s="2019">
        <f>'NORTH-1'!A1941</f>
        <v>13</v>
      </c>
      <c r="B337" s="2019" t="str">
        <f>'NORTH-1'!B1941</f>
        <v>11 kV Baghbari</v>
      </c>
      <c r="C337" s="2019" t="str">
        <f>'NORTH-1'!C1941</f>
        <v>11 kV</v>
      </c>
      <c r="D337" s="2019">
        <f>'NORTH-1'!D1941</f>
        <v>0</v>
      </c>
      <c r="E337" s="2019" t="str">
        <f>'NORTH-1'!E1941</f>
        <v>DHK14956</v>
      </c>
      <c r="F337" s="791">
        <f>'NORTH-1'!F1941</f>
        <v>1</v>
      </c>
      <c r="G337" s="791">
        <f>'NORTH-1'!G1941</f>
        <v>9242.9599999999991</v>
      </c>
      <c r="H337" s="791">
        <f>'NORTH-1'!H1941</f>
        <v>9272.56</v>
      </c>
      <c r="I337" s="791">
        <f>'NORTH-1'!I1941</f>
        <v>29.600000000000364</v>
      </c>
      <c r="J337" s="791">
        <f>'NORTH-1'!J1941</f>
        <v>40000</v>
      </c>
      <c r="K337" s="791">
        <f>'NORTH-1'!K1941</f>
        <v>0</v>
      </c>
      <c r="L337" s="791">
        <f>'NORTH-1'!L1941</f>
        <v>1184000.0000000144</v>
      </c>
      <c r="M337" s="791">
        <f>'NORTH-1'!M1941</f>
        <v>0</v>
      </c>
      <c r="N337" s="2019" t="str">
        <f>'NORTH-1'!N1941</f>
        <v>DESCO</v>
      </c>
      <c r="O337" s="2019" t="str">
        <f>Sheet2!$C$21</f>
        <v>Kallyanpur 33/11KV S/S</v>
      </c>
    </row>
    <row r="338" spans="1:15" x14ac:dyDescent="0.35">
      <c r="A338" s="2019">
        <f>'NORTH-1'!A1942</f>
        <v>14</v>
      </c>
      <c r="B338" s="2019" t="str">
        <f>'NORTH-1'!B1942</f>
        <v>11 kV Technical School</v>
      </c>
      <c r="C338" s="2019" t="str">
        <f>'NORTH-1'!C1942</f>
        <v>11 kV</v>
      </c>
      <c r="D338" s="2019">
        <f>'NORTH-1'!D1942</f>
        <v>0</v>
      </c>
      <c r="E338" s="2019" t="str">
        <f>'NORTH-1'!E1942</f>
        <v>DHK15019</v>
      </c>
      <c r="F338" s="791">
        <f>'NORTH-1'!F1942</f>
        <v>1</v>
      </c>
      <c r="G338" s="791">
        <f>'NORTH-1'!G1942</f>
        <v>7840.75</v>
      </c>
      <c r="H338" s="791">
        <f>'NORTH-1'!H1942</f>
        <v>7870.76</v>
      </c>
      <c r="I338" s="791">
        <f>'NORTH-1'!I1942</f>
        <v>30.010000000000218</v>
      </c>
      <c r="J338" s="791">
        <f>'NORTH-1'!J1942</f>
        <v>40000</v>
      </c>
      <c r="K338" s="791">
        <f>'NORTH-1'!K1942</f>
        <v>0</v>
      </c>
      <c r="L338" s="791">
        <f>'NORTH-1'!L1942</f>
        <v>1200400.0000000088</v>
      </c>
      <c r="M338" s="791">
        <f>'NORTH-1'!M1942</f>
        <v>0</v>
      </c>
      <c r="N338" s="2019" t="str">
        <f>'NORTH-1'!N1942</f>
        <v>Adabor</v>
      </c>
      <c r="O338" s="2019" t="str">
        <f>Sheet2!$C$21</f>
        <v>Kallyanpur 33/11KV S/S</v>
      </c>
    </row>
    <row r="339" spans="1:15" x14ac:dyDescent="0.35">
      <c r="A339" s="2019">
        <f>'NORTH-1'!A1943</f>
        <v>15</v>
      </c>
      <c r="B339" s="2019" t="str">
        <f>'NORTH-1'!B1943</f>
        <v>11 kV Monsurabad Feeder</v>
      </c>
      <c r="C339" s="2019" t="str">
        <f>'NORTH-1'!C1943</f>
        <v>11 kV</v>
      </c>
      <c r="D339" s="2019">
        <f>'NORTH-1'!D1943</f>
        <v>0</v>
      </c>
      <c r="E339" s="2019">
        <f>'NORTH-1'!E1943</f>
        <v>77816681</v>
      </c>
      <c r="F339" s="791">
        <f>'NORTH-1'!F1943</f>
        <v>1</v>
      </c>
      <c r="G339" s="791">
        <f>'NORTH-1'!G1943</f>
        <v>50207.22</v>
      </c>
      <c r="H339" s="791">
        <f>'NORTH-1'!H1943</f>
        <v>50344.61</v>
      </c>
      <c r="I339" s="791">
        <f>'NORTH-1'!I1943</f>
        <v>137.38999999999942</v>
      </c>
      <c r="J339" s="791">
        <f>'NORTH-1'!J1943</f>
        <v>8000</v>
      </c>
      <c r="K339" s="791">
        <f>'NORTH-1'!K1943</f>
        <v>0</v>
      </c>
      <c r="L339" s="791">
        <f>'NORTH-1'!L1943</f>
        <v>1099119.9999999953</v>
      </c>
      <c r="M339" s="791">
        <f>'NORTH-1'!M1943</f>
        <v>0</v>
      </c>
      <c r="N339" s="2019" t="str">
        <f>'NORTH-1'!N1943</f>
        <v>Adabor</v>
      </c>
      <c r="O339" s="2019" t="str">
        <f>Sheet2!$C$21</f>
        <v>Kallyanpur 33/11KV S/S</v>
      </c>
    </row>
    <row r="340" spans="1:15" x14ac:dyDescent="0.35">
      <c r="A340" s="2019">
        <f>'NORTH-1'!A1944</f>
        <v>17</v>
      </c>
      <c r="B340" s="2019" t="str">
        <f>'NORTH-1'!B1944</f>
        <v>11 kV Paikpara O/H</v>
      </c>
      <c r="C340" s="2019" t="str">
        <f>'NORTH-1'!C1944</f>
        <v>11 kV</v>
      </c>
      <c r="D340" s="2019">
        <f>'NORTH-1'!D1944</f>
        <v>0</v>
      </c>
      <c r="E340" s="2019">
        <f>'NORTH-1'!E1944</f>
        <v>74819924</v>
      </c>
      <c r="F340" s="791">
        <f>'NORTH-1'!F1944</f>
        <v>1</v>
      </c>
      <c r="G340" s="791">
        <f>'NORTH-1'!G1944</f>
        <v>3279.1</v>
      </c>
      <c r="H340" s="791">
        <f>'NORTH-1'!H1944</f>
        <v>3309</v>
      </c>
      <c r="I340" s="791">
        <f>'NORTH-1'!I1944</f>
        <v>29.900000000000091</v>
      </c>
      <c r="J340" s="791">
        <f>'NORTH-1'!J1944</f>
        <v>8000</v>
      </c>
      <c r="K340" s="791">
        <f>'NORTH-1'!K1944</f>
        <v>0</v>
      </c>
      <c r="L340" s="791">
        <f>'NORTH-1'!L1944</f>
        <v>239200.00000000073</v>
      </c>
      <c r="M340" s="791">
        <f>'NORTH-1'!M1944</f>
        <v>0</v>
      </c>
      <c r="N340" s="2019" t="str">
        <f>'NORTH-1'!N1944</f>
        <v>DESCO</v>
      </c>
      <c r="O340" s="2019" t="str">
        <f>Sheet2!$C$21</f>
        <v>Kallyanpur 33/11KV S/S</v>
      </c>
    </row>
    <row r="341" spans="1:15" x14ac:dyDescent="0.35">
      <c r="A341" s="2019">
        <f>'NORTH-1'!A1945</f>
        <v>18</v>
      </c>
      <c r="B341" s="2019" t="str">
        <f>'NORTH-1'!B1945</f>
        <v>11 kV Spare</v>
      </c>
      <c r="C341" s="2019" t="str">
        <f>'NORTH-1'!C1945</f>
        <v>11 kV</v>
      </c>
      <c r="D341" s="2019">
        <f>'NORTH-1'!D1945</f>
        <v>0</v>
      </c>
      <c r="E341" s="2019">
        <f>'NORTH-1'!E1945</f>
        <v>0</v>
      </c>
      <c r="F341" s="791">
        <f>'NORTH-1'!F1945</f>
        <v>0</v>
      </c>
      <c r="G341" s="791">
        <f>'NORTH-1'!G1945</f>
        <v>0</v>
      </c>
      <c r="H341" s="791">
        <f>'NORTH-1'!H1945</f>
        <v>0</v>
      </c>
      <c r="I341" s="791">
        <f>'NORTH-1'!I1945</f>
        <v>0</v>
      </c>
      <c r="J341" s="791">
        <f>'NORTH-1'!J1945</f>
        <v>0</v>
      </c>
      <c r="K341" s="791">
        <f>'NORTH-1'!K1945</f>
        <v>0</v>
      </c>
      <c r="L341" s="791">
        <f>'NORTH-1'!L1945</f>
        <v>0</v>
      </c>
      <c r="M341" s="791">
        <f>'NORTH-1'!M1945</f>
        <v>0</v>
      </c>
      <c r="N341" s="2019">
        <f>'NORTH-1'!N1945</f>
        <v>0</v>
      </c>
      <c r="O341" s="2019" t="str">
        <f>Sheet2!$C$21</f>
        <v>Kallyanpur 33/11KV S/S</v>
      </c>
    </row>
    <row r="342" spans="1:15" x14ac:dyDescent="0.35">
      <c r="A342" s="2019">
        <f>'NORTH-1'!A1946</f>
        <v>19</v>
      </c>
      <c r="B342" s="2019" t="str">
        <f>'NORTH-1'!B1946</f>
        <v>11 kV Spare</v>
      </c>
      <c r="C342" s="2019" t="str">
        <f>'NORTH-1'!C1946</f>
        <v>11 kV</v>
      </c>
      <c r="D342" s="2019">
        <f>'NORTH-1'!D1946</f>
        <v>0</v>
      </c>
      <c r="E342" s="2019">
        <f>'NORTH-1'!E1946</f>
        <v>0</v>
      </c>
      <c r="F342" s="791">
        <f>'NORTH-1'!F1946</f>
        <v>0</v>
      </c>
      <c r="G342" s="791">
        <f>'NORTH-1'!G1946</f>
        <v>0</v>
      </c>
      <c r="H342" s="791">
        <f>'NORTH-1'!H1946</f>
        <v>0</v>
      </c>
      <c r="I342" s="791">
        <f>'NORTH-1'!I1946</f>
        <v>0</v>
      </c>
      <c r="J342" s="791">
        <f>'NORTH-1'!J1946</f>
        <v>0</v>
      </c>
      <c r="K342" s="791">
        <f>'NORTH-1'!K1946</f>
        <v>0</v>
      </c>
      <c r="L342" s="791">
        <f>'NORTH-1'!L1946</f>
        <v>0</v>
      </c>
      <c r="M342" s="791">
        <f>'NORTH-1'!M1946</f>
        <v>0</v>
      </c>
      <c r="N342" s="2019">
        <f>'NORTH-1'!N1946</f>
        <v>0</v>
      </c>
      <c r="O342" s="2019" t="str">
        <f>Sheet2!$C$21</f>
        <v>Kallyanpur 33/11KV S/S</v>
      </c>
    </row>
    <row r="343" spans="1:15" x14ac:dyDescent="0.35">
      <c r="A343" s="2019">
        <f>'NORTH-1'!A1947</f>
        <v>20</v>
      </c>
      <c r="B343" s="2019" t="str">
        <f>'NORTH-1'!B1947</f>
        <v>11 kV Kallyanpur</v>
      </c>
      <c r="C343" s="2019" t="str">
        <f>'NORTH-1'!C1947</f>
        <v>11 kV</v>
      </c>
      <c r="D343" s="2019">
        <f>'NORTH-1'!D1947</f>
        <v>0</v>
      </c>
      <c r="E343" s="2019" t="str">
        <f>'NORTH-1'!E1947</f>
        <v>DHK27331</v>
      </c>
      <c r="F343" s="791">
        <f>'NORTH-1'!F1947</f>
        <v>1</v>
      </c>
      <c r="G343" s="791">
        <f>'NORTH-1'!G1947</f>
        <v>5017044</v>
      </c>
      <c r="H343" s="791">
        <f>'NORTH-1'!H1947</f>
        <v>5017044</v>
      </c>
      <c r="I343" s="791">
        <f>'NORTH-1'!I1947</f>
        <v>0</v>
      </c>
      <c r="J343" s="791">
        <f>'NORTH-1'!J1947</f>
        <v>40</v>
      </c>
      <c r="K343" s="791">
        <f>'NORTH-1'!K1947</f>
        <v>0</v>
      </c>
      <c r="L343" s="791">
        <f>'NORTH-1'!L1947</f>
        <v>0</v>
      </c>
      <c r="M343" s="791">
        <f>'NORTH-1'!M1947</f>
        <v>0</v>
      </c>
      <c r="N343" s="2019" t="str">
        <f>'NORTH-1'!N1947</f>
        <v>DESCO</v>
      </c>
      <c r="O343" s="2019" t="str">
        <f>Sheet2!$C$21</f>
        <v>Kallyanpur 33/11KV S/S</v>
      </c>
    </row>
    <row r="344" spans="1:15" x14ac:dyDescent="0.35">
      <c r="A344" s="2019">
        <f>'NORTH-1'!A1948</f>
        <v>21</v>
      </c>
      <c r="B344" s="2019" t="str">
        <f>'NORTH-1'!B1948</f>
        <v>11 kV Paikpara  Sw/S</v>
      </c>
      <c r="C344" s="2019" t="str">
        <f>'NORTH-1'!C1948</f>
        <v>11 kV</v>
      </c>
      <c r="D344" s="2019">
        <f>'NORTH-1'!D1948</f>
        <v>0</v>
      </c>
      <c r="E344" s="2019">
        <f>'NORTH-1'!E1948</f>
        <v>74819925</v>
      </c>
      <c r="F344" s="791">
        <f>'NORTH-1'!F1948</f>
        <v>1</v>
      </c>
      <c r="G344" s="791">
        <f>'NORTH-1'!G1948</f>
        <v>9530.7459999999992</v>
      </c>
      <c r="H344" s="791">
        <f>'NORTH-1'!H1948</f>
        <v>9577.0380000000005</v>
      </c>
      <c r="I344" s="791">
        <f>'NORTH-1'!I1948</f>
        <v>46.292000000001281</v>
      </c>
      <c r="J344" s="791">
        <f>'NORTH-1'!J1948</f>
        <v>8000</v>
      </c>
      <c r="K344" s="791">
        <f>'NORTH-1'!K1948</f>
        <v>0</v>
      </c>
      <c r="L344" s="791">
        <f>'NORTH-1'!L1948</f>
        <v>370336.00000001024</v>
      </c>
      <c r="M344" s="791">
        <f>'NORTH-1'!M1948</f>
        <v>0</v>
      </c>
      <c r="N344" s="2019" t="str">
        <f>'NORTH-1'!N1948</f>
        <v>DESCO</v>
      </c>
      <c r="O344" s="2019" t="str">
        <f>Sheet2!$C$21</f>
        <v>Kallyanpur 33/11KV S/S</v>
      </c>
    </row>
    <row r="345" spans="1:15" x14ac:dyDescent="0.35">
      <c r="A345" s="2019">
        <f>'NORTH-2'!A99</f>
        <v>1</v>
      </c>
      <c r="B345" s="2019" t="str">
        <f>'NORTH-2'!B99</f>
        <v>11 kV Doctor's Lane</v>
      </c>
      <c r="C345" s="2019">
        <f>'NORTH-2'!C99</f>
        <v>11</v>
      </c>
      <c r="D345" s="2019">
        <f>'NORTH-2'!D99</f>
        <v>0</v>
      </c>
      <c r="E345" s="2019">
        <f>'NORTH-2'!E99</f>
        <v>21100462</v>
      </c>
      <c r="F345" s="791">
        <f>'NORTH-2'!F99</f>
        <v>1</v>
      </c>
      <c r="G345" s="791">
        <f>'NORTH-2'!G99</f>
        <v>40395.199999999997</v>
      </c>
      <c r="H345" s="791">
        <f>'NORTH-2'!H99</f>
        <v>40395.199999999997</v>
      </c>
      <c r="I345" s="791">
        <f>'NORTH-2'!I99</f>
        <v>0</v>
      </c>
      <c r="J345" s="791">
        <f>'NORTH-2'!J99</f>
        <v>1000</v>
      </c>
      <c r="K345" s="791">
        <f>'NORTH-2'!K99</f>
        <v>0</v>
      </c>
      <c r="L345" s="791">
        <f>'NORTH-2'!L99</f>
        <v>0</v>
      </c>
      <c r="M345" s="791">
        <f>'NORTH-2'!M99</f>
        <v>0</v>
      </c>
      <c r="N345" s="2019" t="str">
        <f>'NORTH-2'!N99</f>
        <v>Moghbazar</v>
      </c>
      <c r="O345" s="2019" t="str">
        <f>Sheet2!$C$4</f>
        <v>Moghbazar 33/11KV S/S</v>
      </c>
    </row>
    <row r="346" spans="1:15" x14ac:dyDescent="0.35">
      <c r="A346" s="2019">
        <f>'NORTH-2'!A100</f>
        <v>2</v>
      </c>
      <c r="B346" s="2019" t="str">
        <f>'NORTH-2'!B100</f>
        <v xml:space="preserve">11 kV T&amp;T O/H Feeder </v>
      </c>
      <c r="C346" s="2019">
        <f>'NORTH-2'!C100</f>
        <v>11</v>
      </c>
      <c r="D346" s="2019">
        <f>'NORTH-2'!D100</f>
        <v>0</v>
      </c>
      <c r="E346" s="2019">
        <f>'NORTH-2'!E100</f>
        <v>21100473</v>
      </c>
      <c r="F346" s="791">
        <f>'NORTH-2'!F100</f>
        <v>1</v>
      </c>
      <c r="G346" s="791">
        <f>'NORTH-2'!G100</f>
        <v>75366.100000000006</v>
      </c>
      <c r="H346" s="791">
        <f>'NORTH-2'!H100</f>
        <v>76039.3</v>
      </c>
      <c r="I346" s="791">
        <f>'NORTH-2'!I100</f>
        <v>673.19999999999709</v>
      </c>
      <c r="J346" s="791">
        <f>'NORTH-2'!J100</f>
        <v>1000</v>
      </c>
      <c r="K346" s="791">
        <f>'NORTH-2'!K100</f>
        <v>0</v>
      </c>
      <c r="L346" s="791">
        <f>'NORTH-2'!L100</f>
        <v>673199.99999999709</v>
      </c>
      <c r="M346" s="791">
        <f>'NORTH-2'!M100</f>
        <v>0</v>
      </c>
      <c r="N346" s="2019" t="str">
        <f>'NORTH-2'!N100</f>
        <v>Tejgaon</v>
      </c>
      <c r="O346" s="2019" t="str">
        <f>Sheet2!$C$4</f>
        <v>Moghbazar 33/11KV S/S</v>
      </c>
    </row>
    <row r="347" spans="1:15" x14ac:dyDescent="0.35">
      <c r="A347" s="2019">
        <f>'NORTH-2'!A101</f>
        <v>3</v>
      </c>
      <c r="B347" s="2019" t="str">
        <f>'NORTH-2'!B101</f>
        <v>11 kV Acore Ice Feeder (TEJ)</v>
      </c>
      <c r="C347" s="2019">
        <f>'NORTH-2'!C101</f>
        <v>11</v>
      </c>
      <c r="D347" s="2019">
        <f>'NORTH-2'!D101</f>
        <v>0</v>
      </c>
      <c r="E347" s="2019">
        <f>'NORTH-2'!E101</f>
        <v>21101043</v>
      </c>
      <c r="F347" s="791">
        <f>'NORTH-2'!F101</f>
        <v>1</v>
      </c>
      <c r="G347" s="791">
        <f>'NORTH-2'!G101</f>
        <v>148906.79999999999</v>
      </c>
      <c r="H347" s="791">
        <f>'NORTH-2'!H101</f>
        <v>150086.6</v>
      </c>
      <c r="I347" s="791">
        <f>'NORTH-2'!I101</f>
        <v>1179.8000000000175</v>
      </c>
      <c r="J347" s="791">
        <f>'NORTH-2'!J101</f>
        <v>1000</v>
      </c>
      <c r="K347" s="791">
        <f>'NORTH-2'!K101</f>
        <v>0</v>
      </c>
      <c r="L347" s="791">
        <f>'NORTH-2'!L101</f>
        <v>1179800.0000000175</v>
      </c>
      <c r="M347" s="791">
        <f>'NORTH-2'!M101</f>
        <v>0</v>
      </c>
      <c r="N347" s="2019" t="str">
        <f>'NORTH-2'!N101</f>
        <v>Tejgaon</v>
      </c>
      <c r="O347" s="2019" t="str">
        <f>Sheet2!$C$4</f>
        <v>Moghbazar 33/11KV S/S</v>
      </c>
    </row>
    <row r="348" spans="1:15" x14ac:dyDescent="0.35">
      <c r="A348" s="2019">
        <f>'NORTH-2'!A102</f>
        <v>4</v>
      </c>
      <c r="B348" s="2019" t="str">
        <f>'NORTH-2'!B102</f>
        <v>11 kV Tejgaon S/S-1</v>
      </c>
      <c r="C348" s="2019">
        <f>'NORTH-2'!C102</f>
        <v>11</v>
      </c>
      <c r="D348" s="2019">
        <f>'NORTH-2'!D102</f>
        <v>0</v>
      </c>
      <c r="E348" s="2019" t="str">
        <f>'NORTH-2'!E102</f>
        <v>30/11004-1101</v>
      </c>
      <c r="F348" s="791">
        <f>'NORTH-2'!F102</f>
        <v>1</v>
      </c>
      <c r="G348" s="791">
        <f>'NORTH-2'!G102</f>
        <v>116797.4</v>
      </c>
      <c r="H348" s="791">
        <f>'NORTH-2'!H102</f>
        <v>117168.2</v>
      </c>
      <c r="I348" s="791">
        <f>'NORTH-2'!I102</f>
        <v>370.80000000000291</v>
      </c>
      <c r="J348" s="791">
        <f>'NORTH-2'!J102</f>
        <v>1000</v>
      </c>
      <c r="K348" s="791">
        <f>'NORTH-2'!K102</f>
        <v>0</v>
      </c>
      <c r="L348" s="791">
        <f>'NORTH-2'!L102</f>
        <v>370800.00000000291</v>
      </c>
      <c r="M348" s="791">
        <f>'NORTH-2'!M102</f>
        <v>0</v>
      </c>
      <c r="N348" s="2019" t="str">
        <f>'NORTH-2'!N102</f>
        <v>Tejgaon</v>
      </c>
      <c r="O348" s="2019" t="str">
        <f>Sheet2!$C$4</f>
        <v>Moghbazar 33/11KV S/S</v>
      </c>
    </row>
    <row r="349" spans="1:15" x14ac:dyDescent="0.35">
      <c r="A349" s="2019">
        <f>'NORTH-2'!A103</f>
        <v>5</v>
      </c>
      <c r="B349" s="2019" t="str">
        <f>'NORTH-2'!B103</f>
        <v xml:space="preserve">11 kV Madhubagh  </v>
      </c>
      <c r="C349" s="2019">
        <f>'NORTH-2'!C103</f>
        <v>11</v>
      </c>
      <c r="D349" s="2019">
        <f>'NORTH-2'!D103</f>
        <v>0</v>
      </c>
      <c r="E349" s="2019" t="str">
        <f>'NORTH-2'!E103</f>
        <v>30/11003-1101</v>
      </c>
      <c r="F349" s="791">
        <f>'NORTH-2'!F103</f>
        <v>1.0269999999999999</v>
      </c>
      <c r="G349" s="791">
        <f>'NORTH-2'!G103</f>
        <v>23721.599999999999</v>
      </c>
      <c r="H349" s="791">
        <f>'NORTH-2'!H103</f>
        <v>23721.599999999999</v>
      </c>
      <c r="I349" s="791">
        <f>'NORTH-2'!I103</f>
        <v>0</v>
      </c>
      <c r="J349" s="791">
        <f>'NORTH-2'!J103</f>
        <v>1000</v>
      </c>
      <c r="K349" s="791">
        <f>'NORTH-2'!K103</f>
        <v>0</v>
      </c>
      <c r="L349" s="791">
        <f>'NORTH-2'!L103</f>
        <v>0</v>
      </c>
      <c r="M349" s="791">
        <f>'NORTH-2'!M103</f>
        <v>0</v>
      </c>
      <c r="N349" s="2019" t="str">
        <f>'NORTH-2'!N103</f>
        <v>Moghbazar</v>
      </c>
      <c r="O349" s="2019" t="str">
        <f>Sheet2!$C$4</f>
        <v>Moghbazar 33/11KV S/S</v>
      </c>
    </row>
    <row r="350" spans="1:15" x14ac:dyDescent="0.35">
      <c r="A350" s="2019">
        <f>'NORTH-2'!A104</f>
        <v>6</v>
      </c>
      <c r="B350" s="2019" t="str">
        <f>'NORTH-2'!B104</f>
        <v>11 kV Iskaton</v>
      </c>
      <c r="C350" s="2019">
        <f>'NORTH-2'!C104</f>
        <v>11</v>
      </c>
      <c r="D350" s="2019">
        <f>'NORTH-2'!D104</f>
        <v>0</v>
      </c>
      <c r="E350" s="2019" t="str">
        <f>'NORTH-2'!E104</f>
        <v>30/11006-1101</v>
      </c>
      <c r="F350" s="791">
        <f>'NORTH-2'!F104</f>
        <v>1</v>
      </c>
      <c r="G350" s="791">
        <f>'NORTH-2'!G104</f>
        <v>109947.5</v>
      </c>
      <c r="H350" s="791">
        <f>'NORTH-2'!H104</f>
        <v>111043.8</v>
      </c>
      <c r="I350" s="791">
        <f>'NORTH-2'!I104</f>
        <v>1096.3000000000029</v>
      </c>
      <c r="J350" s="791">
        <f>'NORTH-2'!J104</f>
        <v>1000</v>
      </c>
      <c r="K350" s="791">
        <f>'NORTH-2'!K104</f>
        <v>0</v>
      </c>
      <c r="L350" s="791">
        <f>'NORTH-2'!L104</f>
        <v>1096300.0000000028</v>
      </c>
      <c r="M350" s="791">
        <f>'NORTH-2'!M104</f>
        <v>0</v>
      </c>
      <c r="N350" s="2019" t="str">
        <f>'NORTH-2'!N104</f>
        <v>Kakrail</v>
      </c>
      <c r="O350" s="2019" t="str">
        <f>Sheet2!$C$4</f>
        <v>Moghbazar 33/11KV S/S</v>
      </c>
    </row>
    <row r="351" spans="1:15" x14ac:dyDescent="0.35">
      <c r="A351" s="2019">
        <f>'NORTH-2'!A105</f>
        <v>7</v>
      </c>
      <c r="B351" s="2019" t="str">
        <f>'NORTH-2'!B105</f>
        <v>11KV Ambagan</v>
      </c>
      <c r="C351" s="2019">
        <f>'NORTH-2'!C105</f>
        <v>11</v>
      </c>
      <c r="D351" s="2019">
        <f>'NORTH-2'!D105</f>
        <v>0</v>
      </c>
      <c r="E351" s="2019">
        <f>'NORTH-2'!E105</f>
        <v>21101054</v>
      </c>
      <c r="F351" s="791">
        <f>'NORTH-2'!F105</f>
        <v>1</v>
      </c>
      <c r="G351" s="791">
        <f>'NORTH-2'!G105</f>
        <v>114060.5</v>
      </c>
      <c r="H351" s="791">
        <f>'NORTH-2'!H105</f>
        <v>114810.7</v>
      </c>
      <c r="I351" s="791">
        <f>'NORTH-2'!I105</f>
        <v>750.19999999999709</v>
      </c>
      <c r="J351" s="791">
        <f>'NORTH-2'!J105</f>
        <v>1000</v>
      </c>
      <c r="K351" s="791">
        <f>'NORTH-2'!K105</f>
        <v>0</v>
      </c>
      <c r="L351" s="791">
        <f>'NORTH-2'!L105</f>
        <v>750199.99999999709</v>
      </c>
      <c r="M351" s="791">
        <f>'NORTH-2'!M105</f>
        <v>0</v>
      </c>
      <c r="N351" s="2019" t="str">
        <f>'NORTH-2'!N105</f>
        <v>Moghbazar</v>
      </c>
      <c r="O351" s="2019" t="str">
        <f>Sheet2!$C$4</f>
        <v>Moghbazar 33/11KV S/S</v>
      </c>
    </row>
    <row r="352" spans="1:15" x14ac:dyDescent="0.35">
      <c r="A352" s="2019">
        <f>'NORTH-2'!A106</f>
        <v>1</v>
      </c>
      <c r="B352" s="2019" t="str">
        <f>'NORTH-2'!B106</f>
        <v>11 kV Moghbazar Nearest</v>
      </c>
      <c r="C352" s="2019">
        <f>'NORTH-2'!C106</f>
        <v>11</v>
      </c>
      <c r="D352" s="2019">
        <f>'NORTH-2'!D106</f>
        <v>0</v>
      </c>
      <c r="E352" s="2019" t="str">
        <f>'NORTH-2'!E106</f>
        <v>30/11005-1101</v>
      </c>
      <c r="F352" s="791">
        <f>'NORTH-2'!F106</f>
        <v>1</v>
      </c>
      <c r="G352" s="791">
        <f>'NORTH-2'!G106</f>
        <v>136563.29999999999</v>
      </c>
      <c r="H352" s="791">
        <f>'NORTH-2'!H106</f>
        <v>137271.9</v>
      </c>
      <c r="I352" s="791">
        <f>'NORTH-2'!I106</f>
        <v>708.60000000000582</v>
      </c>
      <c r="J352" s="791">
        <f>'NORTH-2'!J106</f>
        <v>1000</v>
      </c>
      <c r="K352" s="791">
        <f>'NORTH-2'!K106</f>
        <v>0</v>
      </c>
      <c r="L352" s="791">
        <f>'NORTH-2'!L106</f>
        <v>708600.00000000582</v>
      </c>
      <c r="M352" s="791">
        <f>'NORTH-2'!M106</f>
        <v>0</v>
      </c>
      <c r="N352" s="2019" t="str">
        <f>'NORTH-2'!N106</f>
        <v>Tejgaon</v>
      </c>
      <c r="O352" s="2019" t="str">
        <f>Sheet2!$C$4</f>
        <v>Moghbazar 33/11KV S/S</v>
      </c>
    </row>
    <row r="353" spans="1:15" x14ac:dyDescent="0.35">
      <c r="A353" s="2019">
        <f>'NORTH-2'!A107</f>
        <v>2</v>
      </c>
      <c r="B353" s="2019" t="str">
        <f>'NORTH-2'!B107</f>
        <v xml:space="preserve">11 kV Vumi Bhaban </v>
      </c>
      <c r="C353" s="2019">
        <f>'NORTH-2'!C107</f>
        <v>11</v>
      </c>
      <c r="D353" s="2019">
        <f>'NORTH-2'!D107</f>
        <v>0</v>
      </c>
      <c r="E353" s="2019">
        <f>'NORTH-2'!E107</f>
        <v>21101039</v>
      </c>
      <c r="F353" s="791">
        <f>'NORTH-2'!F107</f>
        <v>1</v>
      </c>
      <c r="G353" s="791">
        <f>'NORTH-2'!G107</f>
        <v>7875.2</v>
      </c>
      <c r="H353" s="791">
        <f>'NORTH-2'!H107</f>
        <v>7920.7</v>
      </c>
      <c r="I353" s="791">
        <f>'NORTH-2'!I107</f>
        <v>45.5</v>
      </c>
      <c r="J353" s="791">
        <f>'NORTH-2'!J107</f>
        <v>1000</v>
      </c>
      <c r="K353" s="791">
        <f>'NORTH-2'!K107</f>
        <v>0</v>
      </c>
      <c r="L353" s="791">
        <f>'NORTH-2'!L107</f>
        <v>45500</v>
      </c>
      <c r="M353" s="791">
        <f>'NORTH-2'!M107</f>
        <v>0</v>
      </c>
      <c r="N353" s="2019" t="str">
        <f>'NORTH-2'!N107</f>
        <v>Tejgaon</v>
      </c>
      <c r="O353" s="2019" t="str">
        <f>Sheet2!$C$4</f>
        <v>Moghbazar 33/11KV S/S</v>
      </c>
    </row>
    <row r="354" spans="1:15" x14ac:dyDescent="0.35">
      <c r="A354" s="2019">
        <f>'NORTH-2'!A108</f>
        <v>3</v>
      </c>
      <c r="B354" s="2019" t="str">
        <f>'NORTH-2'!B108</f>
        <v>11 kV MP Suite Feeder</v>
      </c>
      <c r="C354" s="2019">
        <f>'NORTH-2'!C108</f>
        <v>11</v>
      </c>
      <c r="D354" s="2019">
        <f>'NORTH-2'!D108</f>
        <v>0</v>
      </c>
      <c r="E354" s="2019" t="str">
        <f>'NORTH-2'!E108</f>
        <v>30/11010-1101</v>
      </c>
      <c r="F354" s="791">
        <f>'NORTH-2'!F108</f>
        <v>1</v>
      </c>
      <c r="G354" s="791">
        <f>'NORTH-2'!G108</f>
        <v>8659.2000000000007</v>
      </c>
      <c r="H354" s="791">
        <f>'NORTH-2'!H108</f>
        <v>8747.7000000000007</v>
      </c>
      <c r="I354" s="791">
        <f>'NORTH-2'!I108</f>
        <v>88.5</v>
      </c>
      <c r="J354" s="791">
        <f>'NORTH-2'!J108</f>
        <v>1000</v>
      </c>
      <c r="K354" s="791">
        <f>'NORTH-2'!K108</f>
        <v>0</v>
      </c>
      <c r="L354" s="791">
        <f>'NORTH-2'!L108</f>
        <v>88500</v>
      </c>
      <c r="M354" s="791">
        <f>'NORTH-2'!M108</f>
        <v>0</v>
      </c>
      <c r="N354" s="2019" t="str">
        <f>'NORTH-2'!N108</f>
        <v>Tejgaon</v>
      </c>
      <c r="O354" s="2019" t="str">
        <f>Sheet2!$C$4</f>
        <v>Moghbazar 33/11KV S/S</v>
      </c>
    </row>
    <row r="355" spans="1:15" x14ac:dyDescent="0.35">
      <c r="A355" s="2019">
        <f>'NORTH-2'!A109</f>
        <v>4</v>
      </c>
      <c r="B355" s="2019" t="str">
        <f>'NORTH-2'!B109</f>
        <v>11 kV Bangla Motor</v>
      </c>
      <c r="C355" s="2019">
        <f>'NORTH-2'!C109</f>
        <v>11</v>
      </c>
      <c r="D355" s="2019">
        <f>'NORTH-2'!D109</f>
        <v>0</v>
      </c>
      <c r="E355" s="2019">
        <f>'NORTH-2'!E109</f>
        <v>202006983</v>
      </c>
      <c r="F355" s="791">
        <f>'NORTH-2'!F109</f>
        <v>1</v>
      </c>
      <c r="G355" s="791">
        <f>'NORTH-2'!G109</f>
        <v>108245</v>
      </c>
      <c r="H355" s="791">
        <f>'NORTH-2'!H109</f>
        <v>109268</v>
      </c>
      <c r="I355" s="791">
        <f>'NORTH-2'!I109</f>
        <v>1023</v>
      </c>
      <c r="J355" s="791">
        <f>'NORTH-2'!J109</f>
        <v>1000</v>
      </c>
      <c r="K355" s="791">
        <f>'NORTH-2'!K109</f>
        <v>0</v>
      </c>
      <c r="L355" s="791">
        <f>'NORTH-2'!L109</f>
        <v>1023000</v>
      </c>
      <c r="M355" s="791">
        <f>'NORTH-2'!M109</f>
        <v>0</v>
      </c>
      <c r="N355" s="2019" t="str">
        <f>'NORTH-2'!N109</f>
        <v>kakrail</v>
      </c>
      <c r="O355" s="2019" t="str">
        <f>Sheet2!$C$4</f>
        <v>Moghbazar 33/11KV S/S</v>
      </c>
    </row>
    <row r="356" spans="1:15" x14ac:dyDescent="0.35">
      <c r="A356" s="2019">
        <f>'NORTH-2'!A110</f>
        <v>5</v>
      </c>
      <c r="B356" s="2019" t="str">
        <f>'NORTH-2'!B110</f>
        <v xml:space="preserve">11 kV Ispahani Feeder </v>
      </c>
      <c r="C356" s="2019">
        <f>'NORTH-2'!C110</f>
        <v>11</v>
      </c>
      <c r="D356" s="2019">
        <f>'NORTH-2'!D110</f>
        <v>0</v>
      </c>
      <c r="E356" s="2019">
        <f>'NORTH-2'!E110</f>
        <v>21101021</v>
      </c>
      <c r="F356" s="791">
        <f>'NORTH-2'!F110</f>
        <v>1</v>
      </c>
      <c r="G356" s="791">
        <f>'NORTH-2'!G110</f>
        <v>81390.3</v>
      </c>
      <c r="H356" s="791">
        <f>'NORTH-2'!H110</f>
        <v>81390.3</v>
      </c>
      <c r="I356" s="791">
        <f>'NORTH-2'!I110</f>
        <v>0</v>
      </c>
      <c r="J356" s="791">
        <f>'NORTH-2'!J110</f>
        <v>1000</v>
      </c>
      <c r="K356" s="791">
        <f>'NORTH-2'!K110</f>
        <v>0</v>
      </c>
      <c r="L356" s="791">
        <f>'NORTH-2'!L110</f>
        <v>0</v>
      </c>
      <c r="M356" s="791">
        <f>'NORTH-2'!M110</f>
        <v>0</v>
      </c>
      <c r="N356" s="2019" t="str">
        <f>'NORTH-2'!N110</f>
        <v>Moghbazar</v>
      </c>
      <c r="O356" s="2019" t="str">
        <f>Sheet2!$C$4</f>
        <v>Moghbazar 33/11KV S/S</v>
      </c>
    </row>
    <row r="357" spans="1:15" x14ac:dyDescent="0.35">
      <c r="A357" s="2019">
        <f>'NORTH-2'!A111</f>
        <v>1</v>
      </c>
      <c r="B357" s="2019" t="str">
        <f>'NORTH-2'!B111</f>
        <v xml:space="preserve">11 kV Kunipara Feeder </v>
      </c>
      <c r="C357" s="2019">
        <f>'NORTH-2'!C111</f>
        <v>11</v>
      </c>
      <c r="D357" s="2019">
        <f>'NORTH-2'!D111</f>
        <v>0</v>
      </c>
      <c r="E357" s="2019" t="str">
        <f>'NORTH-2'!E111</f>
        <v>30/11007-1102</v>
      </c>
      <c r="F357" s="791">
        <f>'NORTH-2'!F111</f>
        <v>1</v>
      </c>
      <c r="G357" s="791">
        <f>'NORTH-2'!G111</f>
        <v>160823</v>
      </c>
      <c r="H357" s="791">
        <f>'NORTH-2'!H111</f>
        <v>162447.79999999999</v>
      </c>
      <c r="I357" s="791">
        <f>'NORTH-2'!I111</f>
        <v>1624.7999999999884</v>
      </c>
      <c r="J357" s="791">
        <f>'NORTH-2'!J111</f>
        <v>1000</v>
      </c>
      <c r="K357" s="791">
        <f>'NORTH-2'!K111</f>
        <v>0</v>
      </c>
      <c r="L357" s="791">
        <f>'NORTH-2'!L111</f>
        <v>1624799.9999999884</v>
      </c>
      <c r="M357" s="791">
        <f>'NORTH-2'!M111</f>
        <v>0</v>
      </c>
      <c r="N357" s="2019" t="str">
        <f>'NORTH-2'!N111</f>
        <v>Tejgaon</v>
      </c>
      <c r="O357" s="2019" t="str">
        <f>Sheet2!$C$4</f>
        <v>Moghbazar 33/11KV S/S</v>
      </c>
    </row>
    <row r="358" spans="1:15" x14ac:dyDescent="0.35">
      <c r="A358" s="2019">
        <f>'NORTH-2'!A112</f>
        <v>2</v>
      </c>
      <c r="B358" s="2019" t="str">
        <f>'NORTH-2'!B112</f>
        <v xml:space="preserve">11 kV Nayatola Feeder </v>
      </c>
      <c r="C358" s="2019">
        <f>'NORTH-2'!C112</f>
        <v>11</v>
      </c>
      <c r="D358" s="2019">
        <f>'NORTH-2'!D112</f>
        <v>0</v>
      </c>
      <c r="E358" s="2019">
        <f>'NORTH-2'!E112</f>
        <v>2110137</v>
      </c>
      <c r="F358" s="791">
        <f>'NORTH-2'!F112</f>
        <v>1</v>
      </c>
      <c r="G358" s="791">
        <f>'NORTH-2'!G112</f>
        <v>116509.6</v>
      </c>
      <c r="H358" s="791">
        <f>'NORTH-2'!H112</f>
        <v>117431</v>
      </c>
      <c r="I358" s="791">
        <f>'NORTH-2'!I112</f>
        <v>921.39999999999418</v>
      </c>
      <c r="J358" s="791">
        <f>'NORTH-2'!J112</f>
        <v>1000</v>
      </c>
      <c r="K358" s="791">
        <f>'NORTH-2'!K112</f>
        <v>0</v>
      </c>
      <c r="L358" s="791">
        <f>'NORTH-2'!L112</f>
        <v>921399.99999999418</v>
      </c>
      <c r="M358" s="791">
        <f>'NORTH-2'!M112</f>
        <v>0</v>
      </c>
      <c r="N358" s="2019" t="str">
        <f>'NORTH-2'!N112</f>
        <v>Moghbazar</v>
      </c>
      <c r="O358" s="2019" t="str">
        <f>Sheet2!$C$4</f>
        <v>Moghbazar 33/11KV S/S</v>
      </c>
    </row>
    <row r="359" spans="1:15" x14ac:dyDescent="0.35">
      <c r="A359" s="2019">
        <f>'NORTH-2'!A113</f>
        <v>3</v>
      </c>
      <c r="B359" s="2019" t="str">
        <f>'NORTH-2'!B113</f>
        <v>11 kV Garden Feeder (KAK)</v>
      </c>
      <c r="C359" s="2019">
        <f>'NORTH-2'!C113</f>
        <v>11</v>
      </c>
      <c r="D359" s="2019">
        <f>'NORTH-2'!D113</f>
        <v>0</v>
      </c>
      <c r="E359" s="2019">
        <f>'NORTH-2'!E113</f>
        <v>21101000</v>
      </c>
      <c r="F359" s="791">
        <f>'NORTH-2'!F113</f>
        <v>1</v>
      </c>
      <c r="G359" s="791">
        <f>'NORTH-2'!G113</f>
        <v>107393.60000000001</v>
      </c>
      <c r="H359" s="791">
        <f>'NORTH-2'!H113</f>
        <v>107960.8</v>
      </c>
      <c r="I359" s="791">
        <f>'NORTH-2'!I113</f>
        <v>567.19999999999709</v>
      </c>
      <c r="J359" s="791">
        <f>'NORTH-2'!J113</f>
        <v>1000</v>
      </c>
      <c r="K359" s="791">
        <f>'NORTH-2'!K113</f>
        <v>0</v>
      </c>
      <c r="L359" s="791">
        <f>'NORTH-2'!L113</f>
        <v>567199.99999999709</v>
      </c>
      <c r="M359" s="791">
        <f>'NORTH-2'!M113</f>
        <v>0</v>
      </c>
      <c r="N359" s="2019" t="str">
        <f>'NORTH-2'!N113</f>
        <v>Kakrail</v>
      </c>
      <c r="O359" s="2019" t="str">
        <f>Sheet2!$C$4</f>
        <v>Moghbazar 33/11KV S/S</v>
      </c>
    </row>
    <row r="360" spans="1:15" x14ac:dyDescent="0.35">
      <c r="A360" s="2019">
        <f>'NORTH-2'!A114</f>
        <v>4</v>
      </c>
      <c r="B360" s="2019" t="str">
        <f>'NORTH-2'!B114</f>
        <v xml:space="preserve">11 kV BSRS Feeder </v>
      </c>
      <c r="C360" s="2019">
        <f>'NORTH-2'!C114</f>
        <v>11</v>
      </c>
      <c r="D360" s="2019">
        <f>'NORTH-2'!D114</f>
        <v>0</v>
      </c>
      <c r="E360" s="2019">
        <f>'NORTH-2'!E114</f>
        <v>21100870</v>
      </c>
      <c r="F360" s="791">
        <f>'NORTH-2'!F114</f>
        <v>1</v>
      </c>
      <c r="G360" s="791">
        <f>'NORTH-2'!G114</f>
        <v>41248.199999999997</v>
      </c>
      <c r="H360" s="791">
        <f>'NORTH-2'!H114</f>
        <v>41562.5</v>
      </c>
      <c r="I360" s="791">
        <f>'NORTH-2'!I114</f>
        <v>314.30000000000291</v>
      </c>
      <c r="J360" s="791">
        <f>'NORTH-2'!J114</f>
        <v>1000</v>
      </c>
      <c r="K360" s="791">
        <f>'NORTH-2'!K114</f>
        <v>0</v>
      </c>
      <c r="L360" s="791">
        <f>'NORTH-2'!L114</f>
        <v>314300.00000000291</v>
      </c>
      <c r="M360" s="791">
        <f>'NORTH-2'!M114</f>
        <v>0</v>
      </c>
      <c r="N360" s="2019" t="str">
        <f>'NORTH-2'!N114</f>
        <v>Kakrail</v>
      </c>
      <c r="O360" s="2019" t="str">
        <f>Sheet2!$C$4</f>
        <v>Moghbazar 33/11KV S/S</v>
      </c>
    </row>
    <row r="361" spans="1:15" x14ac:dyDescent="0.35">
      <c r="A361" s="2019">
        <f>'NORTH-2'!A115</f>
        <v>5</v>
      </c>
      <c r="B361" s="2019" t="str">
        <f>'NORTH-2'!B115</f>
        <v>11kV Moghbazar(old.buil)</v>
      </c>
      <c r="C361" s="2019">
        <f>'NORTH-2'!C115</f>
        <v>11</v>
      </c>
      <c r="D361" s="2019">
        <f>'NORTH-2'!D115</f>
        <v>0</v>
      </c>
      <c r="E361" s="2019">
        <f>'NORTH-2'!E115</f>
        <v>21101247</v>
      </c>
      <c r="F361" s="791">
        <f>'NORTH-2'!F115</f>
        <v>1</v>
      </c>
      <c r="G361" s="791">
        <f>'NORTH-2'!G115</f>
        <v>19567.5</v>
      </c>
      <c r="H361" s="791">
        <f>'NORTH-2'!H115</f>
        <v>19572.900000000001</v>
      </c>
      <c r="I361" s="791">
        <f>'NORTH-2'!I115</f>
        <v>5.4000000000014552</v>
      </c>
      <c r="J361" s="791">
        <f>'NORTH-2'!J115</f>
        <v>1000</v>
      </c>
      <c r="K361" s="791">
        <f>'NORTH-2'!K115</f>
        <v>0</v>
      </c>
      <c r="L361" s="791">
        <f>'NORTH-2'!L115</f>
        <v>5400.0000000014552</v>
      </c>
      <c r="M361" s="791">
        <f>'NORTH-2'!M115</f>
        <v>0</v>
      </c>
      <c r="N361" s="2019" t="str">
        <f>'NORTH-2'!N115</f>
        <v>Moghbazar</v>
      </c>
      <c r="O361" s="2019" t="str">
        <f>Sheet2!$C$4</f>
        <v>Moghbazar 33/11KV S/S</v>
      </c>
    </row>
    <row r="362" spans="1:15" x14ac:dyDescent="0.35">
      <c r="A362" s="2019">
        <f>'NORTH-2'!A116</f>
        <v>1</v>
      </c>
      <c r="B362" s="2019" t="str">
        <f>'NORTH-2'!B116</f>
        <v>11 kV TCB Feeder</v>
      </c>
      <c r="C362" s="2019">
        <f>'NORTH-2'!C116</f>
        <v>11</v>
      </c>
      <c r="D362" s="2019">
        <f>'NORTH-2'!D116</f>
        <v>0</v>
      </c>
      <c r="E362" s="2019">
        <f>'NORTH-2'!E116</f>
        <v>0</v>
      </c>
      <c r="F362" s="791">
        <f>'NORTH-2'!F116</f>
        <v>1</v>
      </c>
      <c r="G362" s="791">
        <f>'NORTH-2'!G116</f>
        <v>32315.5</v>
      </c>
      <c r="H362" s="791">
        <f>'NORTH-2'!H116</f>
        <v>32419.8</v>
      </c>
      <c r="I362" s="791">
        <f>'NORTH-2'!I116</f>
        <v>104.29999999999927</v>
      </c>
      <c r="J362" s="791">
        <f>'NORTH-2'!J116</f>
        <v>1000</v>
      </c>
      <c r="K362" s="791">
        <f>'NORTH-2'!K116</f>
        <v>0</v>
      </c>
      <c r="L362" s="791">
        <f>'NORTH-2'!L116</f>
        <v>104299.99999999927</v>
      </c>
      <c r="M362" s="791">
        <f>'NORTH-2'!M116</f>
        <v>0</v>
      </c>
      <c r="N362" s="2019" t="str">
        <f>'NORTH-2'!N116</f>
        <v>Kakrail</v>
      </c>
      <c r="O362" s="2019" t="str">
        <f>Sheet2!$C$4</f>
        <v>Moghbazar 33/11KV S/S</v>
      </c>
    </row>
    <row r="363" spans="1:15" x14ac:dyDescent="0.35">
      <c r="A363" s="2019">
        <f>'NORTH-2'!A117</f>
        <v>2</v>
      </c>
      <c r="B363" s="2019" t="str">
        <f>'NORTH-2'!B117</f>
        <v>11 kV Tejgaon SS-2</v>
      </c>
      <c r="C363" s="2019">
        <f>'NORTH-2'!C117</f>
        <v>11</v>
      </c>
      <c r="D363" s="2019">
        <f>'NORTH-2'!D117</f>
        <v>0</v>
      </c>
      <c r="E363" s="2019">
        <f>'NORTH-2'!E117</f>
        <v>0</v>
      </c>
      <c r="F363" s="791">
        <f>'NORTH-2'!F117</f>
        <v>1</v>
      </c>
      <c r="G363" s="791">
        <f>'NORTH-2'!G117</f>
        <v>20887</v>
      </c>
      <c r="H363" s="791">
        <f>'NORTH-2'!H117</f>
        <v>21826.400000000001</v>
      </c>
      <c r="I363" s="791">
        <f>'NORTH-2'!I117</f>
        <v>939.40000000000146</v>
      </c>
      <c r="J363" s="791">
        <f>'NORTH-2'!J117</f>
        <v>1000</v>
      </c>
      <c r="K363" s="791">
        <f>'NORTH-2'!K117</f>
        <v>0</v>
      </c>
      <c r="L363" s="791">
        <f>'NORTH-2'!L117</f>
        <v>939400.0000000014</v>
      </c>
      <c r="M363" s="791">
        <f>'NORTH-2'!M117</f>
        <v>0</v>
      </c>
      <c r="N363" s="2019" t="str">
        <f>'NORTH-2'!N117</f>
        <v>Tejgaon</v>
      </c>
      <c r="O363" s="2019" t="str">
        <f>Sheet2!$C$4</f>
        <v>Moghbazar 33/11KV S/S</v>
      </c>
    </row>
    <row r="364" spans="1:15" x14ac:dyDescent="0.35">
      <c r="A364" s="2019">
        <f>'NORTH-2'!A118</f>
        <v>3</v>
      </c>
      <c r="B364" s="2019" t="str">
        <f>'NORTH-2'!B118</f>
        <v>Holy Day Inn</v>
      </c>
      <c r="C364" s="2019">
        <f>'NORTH-2'!C118</f>
        <v>11</v>
      </c>
      <c r="D364" s="2019">
        <f>'NORTH-2'!D118</f>
        <v>0</v>
      </c>
      <c r="E364" s="2019">
        <f>'NORTH-2'!E118</f>
        <v>0</v>
      </c>
      <c r="F364" s="791">
        <f>'NORTH-2'!F118</f>
        <v>1</v>
      </c>
      <c r="G364" s="791">
        <f>'NORTH-2'!G118</f>
        <v>28111.1</v>
      </c>
      <c r="H364" s="791">
        <f>'NORTH-2'!H118</f>
        <v>28111.1</v>
      </c>
      <c r="I364" s="791">
        <f>'NORTH-2'!I118</f>
        <v>0</v>
      </c>
      <c r="J364" s="791">
        <f>'NORTH-2'!J118</f>
        <v>1000</v>
      </c>
      <c r="K364" s="791">
        <f>'NORTH-2'!K118</f>
        <v>0</v>
      </c>
      <c r="L364" s="791">
        <f>'NORTH-2'!L118</f>
        <v>0</v>
      </c>
      <c r="M364" s="791">
        <f>'NORTH-2'!M118</f>
        <v>0</v>
      </c>
      <c r="N364" s="2019" t="str">
        <f>'NORTH-2'!N118</f>
        <v>Tejgaon</v>
      </c>
      <c r="O364" s="2019" t="str">
        <f>Sheet2!$C$4</f>
        <v>Moghbazar 33/11KV S/S</v>
      </c>
    </row>
    <row r="365" spans="1:15" x14ac:dyDescent="0.35">
      <c r="A365" s="2019">
        <f>'NORTH-2'!A119</f>
        <v>4</v>
      </c>
      <c r="B365" s="2019" t="str">
        <f>'NORTH-2'!B119</f>
        <v>Polly Bhabon-2</v>
      </c>
      <c r="C365" s="2019">
        <f>'NORTH-2'!C119</f>
        <v>11</v>
      </c>
      <c r="D365" s="2019">
        <f>'NORTH-2'!D119</f>
        <v>0</v>
      </c>
      <c r="E365" s="2019">
        <f>'NORTH-2'!E119</f>
        <v>0</v>
      </c>
      <c r="F365" s="791">
        <f>'NORTH-2'!F119</f>
        <v>1</v>
      </c>
      <c r="G365" s="791">
        <f>'NORTH-2'!G119</f>
        <v>18298.599999999999</v>
      </c>
      <c r="H365" s="791">
        <f>'NORTH-2'!H119</f>
        <v>18298.599999999999</v>
      </c>
      <c r="I365" s="791">
        <f>'NORTH-2'!I119</f>
        <v>0</v>
      </c>
      <c r="J365" s="791">
        <f>'NORTH-2'!J119</f>
        <v>1000</v>
      </c>
      <c r="K365" s="791">
        <f>'NORTH-2'!K119</f>
        <v>0</v>
      </c>
      <c r="L365" s="791">
        <f>'NORTH-2'!L119</f>
        <v>0</v>
      </c>
      <c r="M365" s="791">
        <f>'NORTH-2'!M119</f>
        <v>0</v>
      </c>
      <c r="N365" s="2019" t="str">
        <f>'NORTH-2'!N119</f>
        <v>Kakrail</v>
      </c>
      <c r="O365" s="2019" t="str">
        <f>Sheet2!$C$4</f>
        <v>Moghbazar 33/11KV S/S</v>
      </c>
    </row>
    <row r="366" spans="1:15" x14ac:dyDescent="0.35">
      <c r="A366" s="2019">
        <f>'NORTH-2'!A120</f>
        <v>5</v>
      </c>
      <c r="B366" s="2019" t="str">
        <f>'NORTH-2'!B120</f>
        <v>Polly Bhabon-1 / ambarsaha mosjid</v>
      </c>
      <c r="C366" s="2019">
        <f>'NORTH-2'!C120</f>
        <v>11</v>
      </c>
      <c r="D366" s="2019">
        <f>'NORTH-2'!D120</f>
        <v>0</v>
      </c>
      <c r="E366" s="2019">
        <f>'NORTH-2'!E120</f>
        <v>0</v>
      </c>
      <c r="F366" s="791">
        <f>'NORTH-2'!F120</f>
        <v>1</v>
      </c>
      <c r="G366" s="791">
        <f>'NORTH-2'!G120</f>
        <v>3532.2</v>
      </c>
      <c r="H366" s="791">
        <f>'NORTH-2'!H120</f>
        <v>4598.8</v>
      </c>
      <c r="I366" s="791">
        <f>'NORTH-2'!I120</f>
        <v>1066.6000000000004</v>
      </c>
      <c r="J366" s="791">
        <f>'NORTH-2'!J120</f>
        <v>1000</v>
      </c>
      <c r="K366" s="791">
        <f>'NORTH-2'!K120</f>
        <v>0</v>
      </c>
      <c r="L366" s="791">
        <f>'NORTH-2'!L120</f>
        <v>1066600.0000000005</v>
      </c>
      <c r="M366" s="791">
        <f>'NORTH-2'!M120</f>
        <v>0</v>
      </c>
      <c r="N366" s="2019" t="str">
        <f>'NORTH-2'!N120</f>
        <v>Kakrail</v>
      </c>
      <c r="O366" s="2019" t="str">
        <f>Sheet2!$C$4</f>
        <v>Moghbazar 33/11KV S/S</v>
      </c>
    </row>
    <row r="367" spans="1:15" x14ac:dyDescent="0.35">
      <c r="A367" s="2019">
        <f>'NORTH-2'!A121</f>
        <v>6</v>
      </c>
      <c r="B367" s="2019" t="str">
        <f>'NORTH-2'!B121</f>
        <v>11 kV Tejturibazar</v>
      </c>
      <c r="C367" s="2019">
        <f>'NORTH-2'!C121</f>
        <v>11</v>
      </c>
      <c r="D367" s="2019">
        <f>'NORTH-2'!D121</f>
        <v>0</v>
      </c>
      <c r="E367" s="2019">
        <f>'NORTH-2'!E121</f>
        <v>0</v>
      </c>
      <c r="F367" s="791">
        <f>'NORTH-2'!F121</f>
        <v>1</v>
      </c>
      <c r="G367" s="791">
        <f>'NORTH-2'!G121</f>
        <v>126108.5</v>
      </c>
      <c r="H367" s="791">
        <f>'NORTH-2'!H121</f>
        <v>126420</v>
      </c>
      <c r="I367" s="791">
        <f>'NORTH-2'!I121</f>
        <v>311.5</v>
      </c>
      <c r="J367" s="791">
        <f>'NORTH-2'!J121</f>
        <v>1000</v>
      </c>
      <c r="K367" s="791">
        <f>'NORTH-2'!K121</f>
        <v>0</v>
      </c>
      <c r="L367" s="791">
        <f>'NORTH-2'!L121</f>
        <v>311500</v>
      </c>
      <c r="M367" s="791">
        <f>'NORTH-2'!M121</f>
        <v>0</v>
      </c>
      <c r="N367" s="2019" t="str">
        <f>'NORTH-2'!N121</f>
        <v>Kakrail</v>
      </c>
      <c r="O367" s="2019" t="str">
        <f>Sheet2!$C$4</f>
        <v>Moghbazar 33/11KV S/S</v>
      </c>
    </row>
    <row r="368" spans="1:15" x14ac:dyDescent="0.35">
      <c r="A368" s="2019">
        <f>'NORTH-2'!A122</f>
        <v>7</v>
      </c>
      <c r="B368" s="2019" t="str">
        <f>'NORTH-2'!B122</f>
        <v>Songsad</v>
      </c>
      <c r="C368" s="2019">
        <f>'NORTH-2'!C122</f>
        <v>11</v>
      </c>
      <c r="D368" s="2019">
        <f>'NORTH-2'!D122</f>
        <v>0</v>
      </c>
      <c r="E368" s="2019">
        <f>'NORTH-2'!E122</f>
        <v>0</v>
      </c>
      <c r="F368" s="791">
        <f>'NORTH-2'!F122</f>
        <v>1</v>
      </c>
      <c r="G368" s="791">
        <f>'NORTH-2'!G122</f>
        <v>976.8</v>
      </c>
      <c r="H368" s="791">
        <f>'NORTH-2'!H122</f>
        <v>981.1</v>
      </c>
      <c r="I368" s="791">
        <f>'NORTH-2'!I122</f>
        <v>4.3000000000000682</v>
      </c>
      <c r="J368" s="791">
        <f>'NORTH-2'!J122</f>
        <v>1000</v>
      </c>
      <c r="K368" s="791">
        <f>'NORTH-2'!K122</f>
        <v>0</v>
      </c>
      <c r="L368" s="791">
        <f>'NORTH-2'!L122</f>
        <v>4300.0000000000682</v>
      </c>
      <c r="M368" s="791">
        <f>'NORTH-2'!M122</f>
        <v>0</v>
      </c>
      <c r="N368" s="2019" t="str">
        <f>'NORTH-2'!N122</f>
        <v>Shere Banglanagar</v>
      </c>
      <c r="O368" s="2019" t="str">
        <f>Sheet2!$C$4</f>
        <v>Moghbazar 33/11KV S/S</v>
      </c>
    </row>
    <row r="369" spans="1:15" x14ac:dyDescent="0.35">
      <c r="A369" s="2019">
        <f>'NORTH-2'!A123</f>
        <v>0</v>
      </c>
      <c r="B369" s="2019" t="str">
        <f>'NORTH-2'!B123</f>
        <v>Chennel 24</v>
      </c>
      <c r="C369" s="2019">
        <f>'NORTH-2'!C123</f>
        <v>0</v>
      </c>
      <c r="D369" s="2019">
        <f>'NORTH-2'!D123</f>
        <v>0</v>
      </c>
      <c r="E369" s="2019">
        <f>'NORTH-2'!E123</f>
        <v>0</v>
      </c>
      <c r="F369" s="791">
        <f>'NORTH-2'!F123</f>
        <v>1</v>
      </c>
      <c r="G369" s="791">
        <f>'NORTH-2'!G123</f>
        <v>7300.28</v>
      </c>
      <c r="H369" s="791">
        <f>'NORTH-2'!H123</f>
        <v>7302.22</v>
      </c>
      <c r="I369" s="791">
        <f>'NORTH-2'!I123</f>
        <v>1.9400000000005093</v>
      </c>
      <c r="J369" s="791">
        <f>'NORTH-2'!J123</f>
        <v>1000</v>
      </c>
      <c r="K369" s="791">
        <f>'NORTH-2'!K123</f>
        <v>0</v>
      </c>
      <c r="L369" s="791">
        <f>'NORTH-2'!L123</f>
        <v>1940.0000000005093</v>
      </c>
      <c r="M369" s="791">
        <f>'NORTH-2'!M123</f>
        <v>0</v>
      </c>
      <c r="N369" s="2019" t="str">
        <f>'NORTH-2'!N123</f>
        <v>Moghbazar</v>
      </c>
      <c r="O369" s="2019" t="str">
        <f>Sheet2!$C$4</f>
        <v>Moghbazar 33/11KV S/S</v>
      </c>
    </row>
    <row r="370" spans="1:15" x14ac:dyDescent="0.35">
      <c r="A370" s="2019">
        <f>'NORTH-2'!A124</f>
        <v>8</v>
      </c>
      <c r="B370" s="2019" t="str">
        <f>'NORTH-2'!B124</f>
        <v>Sonargaon</v>
      </c>
      <c r="C370" s="2019">
        <f>'NORTH-2'!C124</f>
        <v>11</v>
      </c>
      <c r="D370" s="2019">
        <f>'NORTH-2'!D124</f>
        <v>0</v>
      </c>
      <c r="E370" s="2019">
        <f>'NORTH-2'!E124</f>
        <v>0</v>
      </c>
      <c r="F370" s="791">
        <f>'NORTH-2'!F124</f>
        <v>1</v>
      </c>
      <c r="G370" s="791">
        <f>'NORTH-2'!G124</f>
        <v>35296</v>
      </c>
      <c r="H370" s="791">
        <f>'NORTH-2'!H124</f>
        <v>35831.599999999999</v>
      </c>
      <c r="I370" s="791">
        <f>'NORTH-2'!I124</f>
        <v>535.59999999999854</v>
      </c>
      <c r="J370" s="791">
        <f>'NORTH-2'!J124</f>
        <v>1000</v>
      </c>
      <c r="K370" s="791">
        <f>'NORTH-2'!K124</f>
        <v>0</v>
      </c>
      <c r="L370" s="791">
        <f>'NORTH-2'!L124</f>
        <v>535599.9999999986</v>
      </c>
      <c r="M370" s="791">
        <f>'NORTH-2'!M124</f>
        <v>0</v>
      </c>
      <c r="N370" s="2019" t="str">
        <f>'NORTH-2'!N124</f>
        <v>Kakrail</v>
      </c>
      <c r="O370" s="2019" t="str">
        <f>Sheet2!$C$4</f>
        <v>Moghbazar 33/11KV S/S</v>
      </c>
    </row>
    <row r="371" spans="1:15" x14ac:dyDescent="0.35">
      <c r="A371" s="2019">
        <f>'NORTH-2'!A125</f>
        <v>0</v>
      </c>
      <c r="B371" s="2019" t="str">
        <f>'NORTH-2'!B125</f>
        <v>AT -1</v>
      </c>
      <c r="C371" s="2019">
        <f>'NORTH-2'!C125</f>
        <v>0.4</v>
      </c>
      <c r="D371" s="2019">
        <f>'NORTH-2'!D125</f>
        <v>0</v>
      </c>
      <c r="E371" s="2019">
        <f>'NORTH-2'!E125</f>
        <v>6603338</v>
      </c>
      <c r="F371" s="791">
        <f>'NORTH-2'!F125</f>
        <v>1</v>
      </c>
      <c r="G371" s="791">
        <f>'NORTH-2'!G125</f>
        <v>1565803</v>
      </c>
      <c r="H371" s="791">
        <f>'NORTH-2'!H125</f>
        <v>1565803</v>
      </c>
      <c r="I371" s="791">
        <f>'NORTH-2'!I125</f>
        <v>0</v>
      </c>
      <c r="J371" s="791">
        <f>'NORTH-2'!J125</f>
        <v>0.75</v>
      </c>
      <c r="K371" s="791">
        <f>'NORTH-2'!K125</f>
        <v>0</v>
      </c>
      <c r="L371" s="791">
        <f>'NORTH-2'!L125</f>
        <v>0</v>
      </c>
      <c r="M371" s="791">
        <f>'NORTH-2'!M125</f>
        <v>0</v>
      </c>
      <c r="N371" s="2019" t="str">
        <f>'NORTH-2'!N125</f>
        <v>Moghbazar</v>
      </c>
      <c r="O371" s="2019" t="str">
        <f>Sheet2!$C$4</f>
        <v>Moghbazar 33/11KV S/S</v>
      </c>
    </row>
    <row r="372" spans="1:15" x14ac:dyDescent="0.35">
      <c r="A372" s="2019">
        <f>'NORTH-2'!A126</f>
        <v>0</v>
      </c>
      <c r="B372" s="2019" t="str">
        <f>'NORTH-2'!B126</f>
        <v>AT -2</v>
      </c>
      <c r="C372" s="2019">
        <f>'NORTH-2'!C126</f>
        <v>0.4</v>
      </c>
      <c r="D372" s="2019">
        <f>'NORTH-2'!D126</f>
        <v>0</v>
      </c>
      <c r="E372" s="2019">
        <f>'NORTH-2'!E126</f>
        <v>6603849</v>
      </c>
      <c r="F372" s="791">
        <f>'NORTH-2'!F126</f>
        <v>1</v>
      </c>
      <c r="G372" s="791">
        <f>'NORTH-2'!G126</f>
        <v>969318</v>
      </c>
      <c r="H372" s="791">
        <f>'NORTH-2'!H126</f>
        <v>969318</v>
      </c>
      <c r="I372" s="791">
        <f>'NORTH-2'!I126</f>
        <v>0</v>
      </c>
      <c r="J372" s="791">
        <f>'NORTH-2'!J126</f>
        <v>0.75</v>
      </c>
      <c r="K372" s="791">
        <f>'NORTH-2'!K126</f>
        <v>0</v>
      </c>
      <c r="L372" s="791">
        <f>'NORTH-2'!L126</f>
        <v>0</v>
      </c>
      <c r="M372" s="791">
        <f>'NORTH-2'!M126</f>
        <v>0</v>
      </c>
      <c r="N372" s="2019" t="str">
        <f>'NORTH-2'!N126</f>
        <v>Moghbazar</v>
      </c>
      <c r="O372" s="2019" t="str">
        <f>Sheet2!$C$4</f>
        <v>Moghbazar 33/11KV S/S</v>
      </c>
    </row>
    <row r="373" spans="1:15" x14ac:dyDescent="0.35">
      <c r="A373" s="2019">
        <f>'NORTH-2'!A190</f>
        <v>1</v>
      </c>
      <c r="B373" s="2019" t="str">
        <f>'NORTH-2'!B190</f>
        <v>11 kV post office</v>
      </c>
      <c r="C373" s="2019">
        <f>'NORTH-2'!C190</f>
        <v>11</v>
      </c>
      <c r="D373" s="2019" t="str">
        <f>'NORTH-2'!D190</f>
        <v>Kakril</v>
      </c>
      <c r="E373" s="2019" t="str">
        <f>'NORTH-2'!E190</f>
        <v>DHK60950</v>
      </c>
      <c r="F373" s="791">
        <f>'NORTH-2'!F190</f>
        <v>1</v>
      </c>
      <c r="G373" s="791">
        <f>'NORTH-2'!G190</f>
        <v>30627</v>
      </c>
      <c r="H373" s="791">
        <f>'NORTH-2'!H190</f>
        <v>43365</v>
      </c>
      <c r="I373" s="791">
        <f>'NORTH-2'!I190</f>
        <v>12738</v>
      </c>
      <c r="J373" s="791">
        <f>'NORTH-2'!J190</f>
        <v>60</v>
      </c>
      <c r="K373" s="791">
        <f>'NORTH-2'!K190</f>
        <v>0</v>
      </c>
      <c r="L373" s="791">
        <f>'NORTH-2'!L190</f>
        <v>764280</v>
      </c>
      <c r="M373" s="791">
        <f>'NORTH-2'!M190</f>
        <v>0</v>
      </c>
      <c r="N373" s="2019" t="str">
        <f>'NORTH-2'!N190</f>
        <v>Kakrail</v>
      </c>
      <c r="O373" s="2019" t="str">
        <f>Sheet2!$C$8</f>
        <v>T&amp;T 33/11 KV</v>
      </c>
    </row>
    <row r="374" spans="1:15" x14ac:dyDescent="0.35">
      <c r="A374" s="2019">
        <f>'NORTH-2'!A191</f>
        <v>2</v>
      </c>
      <c r="B374" s="2019" t="str">
        <f>'NORTH-2'!B191</f>
        <v>11 kV anarkoli</v>
      </c>
      <c r="C374" s="2019">
        <f>'NORTH-2'!C191</f>
        <v>11</v>
      </c>
      <c r="D374" s="2019" t="str">
        <f>'NORTH-2'!D191</f>
        <v>Kakril</v>
      </c>
      <c r="E374" s="2019" t="str">
        <f>'NORTH-2'!E191</f>
        <v>DHK60977</v>
      </c>
      <c r="F374" s="791">
        <f>'NORTH-2'!F191</f>
        <v>1</v>
      </c>
      <c r="G374" s="791">
        <f>'NORTH-2'!G191</f>
        <v>253434</v>
      </c>
      <c r="H374" s="791">
        <f>'NORTH-2'!H191</f>
        <v>272495</v>
      </c>
      <c r="I374" s="791">
        <f>'NORTH-2'!I191</f>
        <v>19061</v>
      </c>
      <c r="J374" s="791">
        <f>'NORTH-2'!J191</f>
        <v>60</v>
      </c>
      <c r="K374" s="791">
        <f>'NORTH-2'!K191</f>
        <v>0</v>
      </c>
      <c r="L374" s="791">
        <f>'NORTH-2'!L191</f>
        <v>1143660</v>
      </c>
      <c r="M374" s="791">
        <f>'NORTH-2'!M191</f>
        <v>0</v>
      </c>
      <c r="N374" s="2019" t="str">
        <f>'NORTH-2'!N191</f>
        <v>Kakrail</v>
      </c>
      <c r="O374" s="2019" t="str">
        <f>Sheet2!$C$8</f>
        <v>T&amp;T 33/11 KV</v>
      </c>
    </row>
    <row r="375" spans="1:15" x14ac:dyDescent="0.35">
      <c r="A375" s="2019">
        <f>'NORTH-2'!A192</f>
        <v>3</v>
      </c>
      <c r="B375" s="2019" t="str">
        <f>'NORTH-2'!B192</f>
        <v>11 kV sonalibagh</v>
      </c>
      <c r="C375" s="2019">
        <f>'NORTH-2'!C192</f>
        <v>11</v>
      </c>
      <c r="D375" s="2019" t="str">
        <f>'NORTH-2'!D192</f>
        <v>Mogbazar</v>
      </c>
      <c r="E375" s="2019" t="str">
        <f>'NORTH-2'!E192</f>
        <v>DHK61083</v>
      </c>
      <c r="F375" s="791">
        <f>'NORTH-2'!F192</f>
        <v>1</v>
      </c>
      <c r="G375" s="791">
        <f>'NORTH-2'!G192</f>
        <v>905216</v>
      </c>
      <c r="H375" s="791">
        <f>'NORTH-2'!H192</f>
        <v>908425</v>
      </c>
      <c r="I375" s="791">
        <f>'NORTH-2'!I192</f>
        <v>3209</v>
      </c>
      <c r="J375" s="791">
        <f>'NORTH-2'!J192</f>
        <v>60</v>
      </c>
      <c r="K375" s="791">
        <f>'NORTH-2'!K192</f>
        <v>0</v>
      </c>
      <c r="L375" s="791">
        <f>'NORTH-2'!L192</f>
        <v>192540</v>
      </c>
      <c r="M375" s="791">
        <f>'NORTH-2'!M192</f>
        <v>0</v>
      </c>
      <c r="N375" s="2019" t="str">
        <f>'NORTH-2'!N192</f>
        <v>Moghbazar</v>
      </c>
      <c r="O375" s="2019" t="str">
        <f>Sheet2!$C$8</f>
        <v>T&amp;T 33/11 KV</v>
      </c>
    </row>
    <row r="376" spans="1:15" x14ac:dyDescent="0.35">
      <c r="A376" s="2019">
        <f>'NORTH-2'!A193</f>
        <v>4</v>
      </c>
      <c r="B376" s="2019" t="str">
        <f>'NORTH-2'!B193</f>
        <v>11 Kv desh tv</v>
      </c>
      <c r="C376" s="2019">
        <f>'NORTH-2'!C193</f>
        <v>11</v>
      </c>
      <c r="D376" s="2019" t="str">
        <f>'NORTH-2'!D193</f>
        <v>Mogbazar</v>
      </c>
      <c r="E376" s="2019" t="str">
        <f>'NORTH-2'!E193</f>
        <v>DHK60948</v>
      </c>
      <c r="F376" s="791">
        <f>'NORTH-2'!F193</f>
        <v>1</v>
      </c>
      <c r="G376" s="791">
        <f>'NORTH-2'!G193</f>
        <v>1847872</v>
      </c>
      <c r="H376" s="791">
        <f>'NORTH-2'!H193</f>
        <v>1856359</v>
      </c>
      <c r="I376" s="791">
        <f>'NORTH-2'!I193</f>
        <v>8487</v>
      </c>
      <c r="J376" s="791">
        <f>'NORTH-2'!J193</f>
        <v>60</v>
      </c>
      <c r="K376" s="791">
        <f>'NORTH-2'!K193</f>
        <v>0</v>
      </c>
      <c r="L376" s="791">
        <f>'NORTH-2'!L193</f>
        <v>509220</v>
      </c>
      <c r="M376" s="791">
        <f>'NORTH-2'!M193</f>
        <v>0</v>
      </c>
      <c r="N376" s="2019" t="str">
        <f>'NORTH-2'!N193</f>
        <v>Moghbazar</v>
      </c>
      <c r="O376" s="2019" t="str">
        <f>Sheet2!$C$8</f>
        <v>T&amp;T 33/11 KV</v>
      </c>
    </row>
    <row r="377" spans="1:15" x14ac:dyDescent="0.35">
      <c r="A377" s="2019">
        <f>'NORTH-2'!A194</f>
        <v>5</v>
      </c>
      <c r="B377" s="2019" t="str">
        <f>'NORTH-2'!B194</f>
        <v>11 Kv Btcl</v>
      </c>
      <c r="C377" s="2019">
        <f>'NORTH-2'!C194</f>
        <v>11</v>
      </c>
      <c r="D377" s="2019" t="str">
        <f>'NORTH-2'!D194</f>
        <v>Mogbazar</v>
      </c>
      <c r="E377" s="2019" t="str">
        <f>'NORTH-2'!E194</f>
        <v>DHK86070</v>
      </c>
      <c r="F377" s="791">
        <f>'NORTH-2'!F194</f>
        <v>1</v>
      </c>
      <c r="G377" s="791">
        <f>'NORTH-2'!G194</f>
        <v>409.36</v>
      </c>
      <c r="H377" s="791">
        <f>'NORTH-2'!H194</f>
        <v>424.3</v>
      </c>
      <c r="I377" s="791">
        <f>'NORTH-2'!I194</f>
        <v>14.939999999999998</v>
      </c>
      <c r="J377" s="791">
        <f>'NORTH-2'!J194</f>
        <v>60000</v>
      </c>
      <c r="K377" s="791">
        <f>'NORTH-2'!K194</f>
        <v>0</v>
      </c>
      <c r="L377" s="791">
        <f>'NORTH-2'!L194</f>
        <v>896399.99999999988</v>
      </c>
      <c r="M377" s="791">
        <f>'NORTH-2'!M194</f>
        <v>0</v>
      </c>
      <c r="N377" s="2019" t="str">
        <f>'NORTH-2'!N194</f>
        <v>Moghbazar</v>
      </c>
      <c r="O377" s="2019" t="str">
        <f>Sheet2!$C$8</f>
        <v>T&amp;T 33/11 KV</v>
      </c>
    </row>
    <row r="378" spans="1:15" x14ac:dyDescent="0.35">
      <c r="A378" s="2019">
        <f>'NORTH-2'!A195</f>
        <v>1</v>
      </c>
      <c r="B378" s="2019" t="str">
        <f>'NORTH-2'!B195</f>
        <v>11 kV century</v>
      </c>
      <c r="C378" s="2019">
        <f>'NORTH-2'!C195</f>
        <v>11</v>
      </c>
      <c r="D378" s="2019" t="str">
        <f>'NORTH-2'!D195</f>
        <v>Kakril</v>
      </c>
      <c r="E378" s="2019" t="str">
        <f>'NORTH-2'!E195</f>
        <v>DHK60867</v>
      </c>
      <c r="F378" s="791">
        <f>'NORTH-2'!F195</f>
        <v>1</v>
      </c>
      <c r="G378" s="791">
        <f>'NORTH-2'!G195</f>
        <v>797331</v>
      </c>
      <c r="H378" s="791">
        <f>'NORTH-2'!H195</f>
        <v>810134</v>
      </c>
      <c r="I378" s="791">
        <f>'NORTH-2'!I195</f>
        <v>12803</v>
      </c>
      <c r="J378" s="791">
        <f>'NORTH-2'!J195</f>
        <v>60</v>
      </c>
      <c r="K378" s="791">
        <f>'NORTH-2'!K195</f>
        <v>0</v>
      </c>
      <c r="L378" s="791">
        <f>'NORTH-2'!L195</f>
        <v>768180</v>
      </c>
      <c r="M378" s="791">
        <f>'NORTH-2'!M195</f>
        <v>0</v>
      </c>
      <c r="N378" s="2019" t="str">
        <f>'NORTH-2'!N195</f>
        <v>Kakrail</v>
      </c>
      <c r="O378" s="2019" t="str">
        <f>Sheet2!$C$8</f>
        <v>T&amp;T 33/11 KV</v>
      </c>
    </row>
    <row r="379" spans="1:15" x14ac:dyDescent="0.35">
      <c r="A379" s="2019">
        <f>'NORTH-2'!A196</f>
        <v>2</v>
      </c>
      <c r="B379" s="2019" t="str">
        <f>'NORTH-2'!B196</f>
        <v>11 kV cinema hall</v>
      </c>
      <c r="C379" s="2019">
        <f>'NORTH-2'!C196</f>
        <v>11</v>
      </c>
      <c r="D379" s="2019" t="str">
        <f>'NORTH-2'!D196</f>
        <v>Mogbazar</v>
      </c>
      <c r="E379" s="2019" t="str">
        <f>'NORTH-2'!E196</f>
        <v>DHK60979</v>
      </c>
      <c r="F379" s="791">
        <f>'NORTH-2'!F196</f>
        <v>1</v>
      </c>
      <c r="G379" s="791">
        <f>'NORTH-2'!G196</f>
        <v>355433</v>
      </c>
      <c r="H379" s="791">
        <f>'NORTH-2'!H196</f>
        <v>365822</v>
      </c>
      <c r="I379" s="791">
        <f>'NORTH-2'!I196</f>
        <v>10389</v>
      </c>
      <c r="J379" s="791">
        <f>'NORTH-2'!J196</f>
        <v>60</v>
      </c>
      <c r="K379" s="791">
        <f>'NORTH-2'!K196</f>
        <v>0</v>
      </c>
      <c r="L379" s="791">
        <f>'NORTH-2'!L196</f>
        <v>623340</v>
      </c>
      <c r="M379" s="791">
        <f>'NORTH-2'!M196</f>
        <v>0</v>
      </c>
      <c r="N379" s="2019" t="str">
        <f>'NORTH-2'!N196</f>
        <v>Moghbazar</v>
      </c>
      <c r="O379" s="2019" t="str">
        <f>Sheet2!$C$8</f>
        <v>T&amp;T 33/11 KV</v>
      </c>
    </row>
    <row r="380" spans="1:15" x14ac:dyDescent="0.35">
      <c r="A380" s="2019">
        <f>'NORTH-2'!A197</f>
        <v>3</v>
      </c>
      <c r="B380" s="2019" t="str">
        <f>'NORTH-2'!B197</f>
        <v>11 kV malibagh bazar</v>
      </c>
      <c r="C380" s="2019">
        <f>'NORTH-2'!C197</f>
        <v>11</v>
      </c>
      <c r="D380" s="2019" t="str">
        <f>'NORTH-2'!D197</f>
        <v>Khailgaon</v>
      </c>
      <c r="E380" s="2019" t="str">
        <f>'NORTH-2'!E197</f>
        <v>DHK61106</v>
      </c>
      <c r="F380" s="791">
        <f>'NORTH-2'!F197</f>
        <v>1</v>
      </c>
      <c r="G380" s="791">
        <f>'NORTH-2'!G197</f>
        <v>521779</v>
      </c>
      <c r="H380" s="791">
        <f>'NORTH-2'!H197</f>
        <v>536916</v>
      </c>
      <c r="I380" s="791">
        <f>'NORTH-2'!I197</f>
        <v>15137</v>
      </c>
      <c r="J380" s="791">
        <f>'NORTH-2'!J197</f>
        <v>60</v>
      </c>
      <c r="K380" s="791">
        <f>'NORTH-2'!K197</f>
        <v>0</v>
      </c>
      <c r="L380" s="791">
        <f>'NORTH-2'!L197</f>
        <v>908220</v>
      </c>
      <c r="M380" s="791">
        <f>'NORTH-2'!M197</f>
        <v>0</v>
      </c>
      <c r="N380" s="2019" t="str">
        <f>'NORTH-2'!N197</f>
        <v>Khilgaon</v>
      </c>
      <c r="O380" s="2019" t="str">
        <f>Sheet2!$C$8</f>
        <v>T&amp;T 33/11 KV</v>
      </c>
    </row>
    <row r="381" spans="1:15" x14ac:dyDescent="0.35">
      <c r="A381" s="2019">
        <f>'NORTH-2'!A198</f>
        <v>4</v>
      </c>
      <c r="B381" s="2019" t="str">
        <f>'NORTH-2'!B198</f>
        <v>11 kv Sherebangla</v>
      </c>
      <c r="C381" s="2019">
        <f>'NORTH-2'!C198</f>
        <v>0</v>
      </c>
      <c r="D381" s="2019">
        <f>'NORTH-2'!D198</f>
        <v>0</v>
      </c>
      <c r="E381" s="2019" t="str">
        <f>'NORTH-2'!E198</f>
        <v>DHK60915</v>
      </c>
      <c r="F381" s="791">
        <f>'NORTH-2'!F198</f>
        <v>0</v>
      </c>
      <c r="G381" s="791">
        <f>'NORTH-2'!G198</f>
        <v>540021</v>
      </c>
      <c r="H381" s="791">
        <f>'NORTH-2'!H198</f>
        <v>552565</v>
      </c>
      <c r="I381" s="791">
        <f>'NORTH-2'!I198</f>
        <v>12544</v>
      </c>
      <c r="J381" s="791">
        <f>'NORTH-2'!J198</f>
        <v>60</v>
      </c>
      <c r="K381" s="791">
        <f>'NORTH-2'!K198</f>
        <v>0</v>
      </c>
      <c r="L381" s="791">
        <f>'NORTH-2'!L198</f>
        <v>0</v>
      </c>
      <c r="M381" s="791">
        <f>'NORTH-2'!M198</f>
        <v>0</v>
      </c>
      <c r="N381" s="2019" t="str">
        <f>'NORTH-2'!N198</f>
        <v>Moghbazar</v>
      </c>
      <c r="O381" s="2019" t="str">
        <f>Sheet2!$C$8</f>
        <v>T&amp;T 33/11 KV</v>
      </c>
    </row>
    <row r="382" spans="1:15" x14ac:dyDescent="0.35">
      <c r="A382" s="2019">
        <f>'NORTH-2'!A199</f>
        <v>5</v>
      </c>
      <c r="B382" s="2019" t="str">
        <f>'NORTH-2'!B199</f>
        <v>11 kV Nur Mosjid</v>
      </c>
      <c r="C382" s="2019">
        <f>'NORTH-2'!C199</f>
        <v>11</v>
      </c>
      <c r="D382" s="2019" t="str">
        <f>'NORTH-2'!D199</f>
        <v>Khailgaon</v>
      </c>
      <c r="E382" s="2019" t="str">
        <f>'NORTH-2'!E199</f>
        <v>DHK60913</v>
      </c>
      <c r="F382" s="791">
        <f>'NORTH-2'!F199</f>
        <v>1</v>
      </c>
      <c r="G382" s="791">
        <f>'NORTH-2'!G199</f>
        <v>239100</v>
      </c>
      <c r="H382" s="791">
        <f>'NORTH-2'!H199</f>
        <v>246532</v>
      </c>
      <c r="I382" s="791">
        <f>'NORTH-2'!I199</f>
        <v>7432</v>
      </c>
      <c r="J382" s="791">
        <f>'NORTH-2'!J199</f>
        <v>60</v>
      </c>
      <c r="K382" s="791">
        <f>'NORTH-2'!K199</f>
        <v>0</v>
      </c>
      <c r="L382" s="791">
        <f>'NORTH-2'!L199</f>
        <v>445920</v>
      </c>
      <c r="M382" s="791">
        <f>'NORTH-2'!M199</f>
        <v>0</v>
      </c>
      <c r="N382" s="2019" t="str">
        <f>'NORTH-2'!N199</f>
        <v>Khilgaon</v>
      </c>
      <c r="O382" s="2019" t="str">
        <f>Sheet2!$C$8</f>
        <v>T&amp;T 33/11 KV</v>
      </c>
    </row>
    <row r="383" spans="1:15" x14ac:dyDescent="0.35">
      <c r="A383" s="2019">
        <f>'NORTH-2'!A200</f>
        <v>6</v>
      </c>
      <c r="B383" s="2019" t="str">
        <f>'NORTH-2'!B200</f>
        <v>Auxiliary</v>
      </c>
      <c r="C383" s="2019">
        <f>'NORTH-2'!C200</f>
        <v>0</v>
      </c>
      <c r="D383" s="2019" t="str">
        <f>'NORTH-2'!D200</f>
        <v>Export</v>
      </c>
      <c r="E383" s="2019" t="str">
        <f>'NORTH-2'!E200</f>
        <v>U0004461</v>
      </c>
      <c r="F383" s="791">
        <f>'NORTH-2'!F200</f>
        <v>1</v>
      </c>
      <c r="G383" s="791">
        <f>'NORTH-2'!G200</f>
        <v>7705.46</v>
      </c>
      <c r="H383" s="791">
        <f>'NORTH-2'!H200</f>
        <v>7741.88</v>
      </c>
      <c r="I383" s="791">
        <f>'NORTH-2'!I200</f>
        <v>36.420000000000073</v>
      </c>
      <c r="J383" s="791">
        <f>'NORTH-2'!J200</f>
        <v>60</v>
      </c>
      <c r="K383" s="791">
        <f>'NORTH-2'!K200</f>
        <v>0</v>
      </c>
      <c r="L383" s="791">
        <f>'NORTH-2'!L200</f>
        <v>2185.2000000000044</v>
      </c>
      <c r="M383" s="791">
        <f>'NORTH-2'!M200</f>
        <v>0</v>
      </c>
      <c r="N383" s="2019" t="str">
        <f>'NORTH-2'!N200</f>
        <v>Moghbazar</v>
      </c>
      <c r="O383" s="2019" t="str">
        <f>Sheet2!$C$8</f>
        <v>T&amp;T 33/11 KV</v>
      </c>
    </row>
    <row r="384" spans="1:15" x14ac:dyDescent="0.35">
      <c r="A384" s="2019">
        <f>'NORTH-2'!A328</f>
        <v>1</v>
      </c>
      <c r="B384" s="2019" t="str">
        <f>'NORTH-2'!B328</f>
        <v>West Malibagh</v>
      </c>
      <c r="C384" s="2019">
        <f>'NORTH-2'!C328</f>
        <v>11</v>
      </c>
      <c r="D384" s="2019" t="str">
        <f>'NORTH-2'!D328</f>
        <v>Mogbazar</v>
      </c>
      <c r="E384" s="2019">
        <f>'NORTH-2'!E328</f>
        <v>30799488</v>
      </c>
      <c r="F384" s="791">
        <f>'NORTH-2'!F328</f>
        <v>1</v>
      </c>
      <c r="G384" s="791">
        <f>'NORTH-2'!G328</f>
        <v>0</v>
      </c>
      <c r="H384" s="791">
        <f>'NORTH-2'!H328</f>
        <v>0</v>
      </c>
      <c r="I384" s="791">
        <f>'NORTH-2'!I328</f>
        <v>0</v>
      </c>
      <c r="J384" s="791">
        <f>'NORTH-2'!J328</f>
        <v>60000</v>
      </c>
      <c r="K384" s="791">
        <f>'NORTH-2'!K328</f>
        <v>0</v>
      </c>
      <c r="L384" s="791">
        <f>'NORTH-2'!L328</f>
        <v>0</v>
      </c>
      <c r="M384" s="791">
        <f>'NORTH-2'!M328</f>
        <v>0</v>
      </c>
      <c r="N384" s="2019" t="str">
        <f>'NORTH-2'!N328</f>
        <v>Moghbazar</v>
      </c>
      <c r="O384" s="2019" t="str">
        <f>Sheet2!$C$14</f>
        <v>Ullon local 33/11KV S/S</v>
      </c>
    </row>
    <row r="385" spans="1:15" x14ac:dyDescent="0.35">
      <c r="A385" s="2019">
        <f>'NORTH-2'!A329</f>
        <v>2</v>
      </c>
      <c r="B385" s="2019" t="str">
        <f>'NORTH-2'!B329</f>
        <v>Ullon</v>
      </c>
      <c r="C385" s="2019">
        <f>'NORTH-2'!C329</f>
        <v>11</v>
      </c>
      <c r="D385" s="2019" t="str">
        <f>'NORTH-2'!D329</f>
        <v>Mogbazar</v>
      </c>
      <c r="E385" s="2019">
        <f>'NORTH-2'!E329</f>
        <v>307994528</v>
      </c>
      <c r="F385" s="791">
        <f>'NORTH-2'!F329</f>
        <v>1</v>
      </c>
      <c r="G385" s="791">
        <f>'NORTH-2'!G329</f>
        <v>0</v>
      </c>
      <c r="H385" s="791">
        <f>'NORTH-2'!H329</f>
        <v>0</v>
      </c>
      <c r="I385" s="791">
        <f>'NORTH-2'!I329</f>
        <v>0</v>
      </c>
      <c r="J385" s="791">
        <f>'NORTH-2'!J329</f>
        <v>60000</v>
      </c>
      <c r="K385" s="791">
        <f>'NORTH-2'!K329</f>
        <v>0</v>
      </c>
      <c r="L385" s="791">
        <f>'NORTH-2'!L329</f>
        <v>0</v>
      </c>
      <c r="M385" s="791">
        <f>'NORTH-2'!M329</f>
        <v>0</v>
      </c>
      <c r="N385" s="2019" t="str">
        <f>'NORTH-2'!N329</f>
        <v>Moghbazar</v>
      </c>
      <c r="O385" s="2019" t="str">
        <f>Sheet2!$C$14</f>
        <v>Ullon local 33/11KV S/S</v>
      </c>
    </row>
    <row r="386" spans="1:15" x14ac:dyDescent="0.35">
      <c r="A386" s="2019">
        <f>'NORTH-2'!A330</f>
        <v>3</v>
      </c>
      <c r="B386" s="2019" t="str">
        <f>'NORTH-2'!B330</f>
        <v>Mohanagar</v>
      </c>
      <c r="C386" s="2019">
        <f>'NORTH-2'!C330</f>
        <v>11</v>
      </c>
      <c r="D386" s="2019" t="str">
        <f>'NORTH-2'!D330</f>
        <v>Mogbazar</v>
      </c>
      <c r="E386" s="2019">
        <f>'NORTH-2'!E330</f>
        <v>30799497</v>
      </c>
      <c r="F386" s="791">
        <f>'NORTH-2'!F330</f>
        <v>1</v>
      </c>
      <c r="G386" s="791">
        <f>'NORTH-2'!G330</f>
        <v>0</v>
      </c>
      <c r="H386" s="791">
        <f>'NORTH-2'!H330</f>
        <v>0</v>
      </c>
      <c r="I386" s="791">
        <f>'NORTH-2'!I330</f>
        <v>0</v>
      </c>
      <c r="J386" s="791">
        <f>'NORTH-2'!J330</f>
        <v>60000</v>
      </c>
      <c r="K386" s="791">
        <f>'NORTH-2'!K330</f>
        <v>0</v>
      </c>
      <c r="L386" s="791">
        <f>'NORTH-2'!L330</f>
        <v>0</v>
      </c>
      <c r="M386" s="791">
        <f>'NORTH-2'!M330</f>
        <v>0</v>
      </c>
      <c r="N386" s="2019" t="str">
        <f>'NORTH-2'!N330</f>
        <v>Moghbazar</v>
      </c>
      <c r="O386" s="2019" t="str">
        <f>Sheet2!$C$14</f>
        <v>Ullon local 33/11KV S/S</v>
      </c>
    </row>
    <row r="387" spans="1:15" x14ac:dyDescent="0.35">
      <c r="A387" s="2019">
        <f>'NORTH-2'!A331</f>
        <v>4</v>
      </c>
      <c r="B387" s="2019" t="str">
        <f>'NORTH-2'!B331</f>
        <v>Bagichartek</v>
      </c>
      <c r="C387" s="2019">
        <f>'NORTH-2'!C331</f>
        <v>11</v>
      </c>
      <c r="D387" s="2019" t="str">
        <f>'NORTH-2'!D331</f>
        <v>Mogbazar</v>
      </c>
      <c r="E387" s="2019">
        <f>'NORTH-2'!E331</f>
        <v>30799497</v>
      </c>
      <c r="F387" s="791">
        <f>'NORTH-2'!F331</f>
        <v>1</v>
      </c>
      <c r="G387" s="791">
        <f>'NORTH-2'!G331</f>
        <v>0</v>
      </c>
      <c r="H387" s="791">
        <f>'NORTH-2'!H331</f>
        <v>0</v>
      </c>
      <c r="I387" s="791">
        <f>'NORTH-2'!I331</f>
        <v>0</v>
      </c>
      <c r="J387" s="791">
        <f>'NORTH-2'!J331</f>
        <v>60000</v>
      </c>
      <c r="K387" s="791">
        <f>'NORTH-2'!K331</f>
        <v>0</v>
      </c>
      <c r="L387" s="791">
        <f>'NORTH-2'!L331</f>
        <v>650000</v>
      </c>
      <c r="M387" s="791">
        <f>'NORTH-2'!M331</f>
        <v>0</v>
      </c>
      <c r="N387" s="2019" t="str">
        <f>'NORTH-2'!N331</f>
        <v>Moghbazar</v>
      </c>
      <c r="O387" s="2019" t="str">
        <f>Sheet2!$C$14</f>
        <v>Ullon local 33/11KV S/S</v>
      </c>
    </row>
    <row r="388" spans="1:15" x14ac:dyDescent="0.35">
      <c r="A388" s="2019">
        <f>'NORTH-2'!A332</f>
        <v>1</v>
      </c>
      <c r="B388" s="2019" t="str">
        <f>'NORTH-2'!B332</f>
        <v>Mirbagh</v>
      </c>
      <c r="C388" s="2019">
        <f>'NORTH-2'!C332</f>
        <v>11</v>
      </c>
      <c r="D388" s="2019" t="str">
        <f>'NORTH-2'!D332</f>
        <v>Mogbazar</v>
      </c>
      <c r="E388" s="2019">
        <f>'NORTH-2'!E332</f>
        <v>30799487</v>
      </c>
      <c r="F388" s="791">
        <f>'NORTH-2'!F332</f>
        <v>1</v>
      </c>
      <c r="G388" s="791">
        <f>'NORTH-2'!G332</f>
        <v>0</v>
      </c>
      <c r="H388" s="791">
        <f>'NORTH-2'!H332</f>
        <v>0</v>
      </c>
      <c r="I388" s="791">
        <f>'NORTH-2'!I332</f>
        <v>0</v>
      </c>
      <c r="J388" s="791">
        <f>'NORTH-2'!J332</f>
        <v>60000</v>
      </c>
      <c r="K388" s="791">
        <f>'NORTH-2'!K332</f>
        <v>0</v>
      </c>
      <c r="L388" s="791">
        <f>'NORTH-2'!L332</f>
        <v>0</v>
      </c>
      <c r="M388" s="791">
        <f>'NORTH-2'!M332</f>
        <v>0</v>
      </c>
      <c r="N388" s="2019" t="str">
        <f>'NORTH-2'!N332</f>
        <v>Moghbazar</v>
      </c>
      <c r="O388" s="2019" t="str">
        <f>Sheet2!$C$14</f>
        <v>Ullon local 33/11KV S/S</v>
      </c>
    </row>
    <row r="389" spans="1:15" x14ac:dyDescent="0.35">
      <c r="A389" s="2019">
        <f>'NORTH-2'!A333</f>
        <v>2</v>
      </c>
      <c r="B389" s="2019" t="str">
        <f>'NORTH-2'!B333</f>
        <v>West Rampura</v>
      </c>
      <c r="C389" s="2019">
        <f>'NORTH-2'!C333</f>
        <v>11</v>
      </c>
      <c r="D389" s="2019" t="str">
        <f>'NORTH-2'!D333</f>
        <v>Mogbazar</v>
      </c>
      <c r="E389" s="2019" t="str">
        <f>'NORTH-2'!E333</f>
        <v xml:space="preserve">2007-75111 </v>
      </c>
      <c r="F389" s="791">
        <f>'NORTH-2'!F333</f>
        <v>1</v>
      </c>
      <c r="G389" s="791">
        <f>'NORTH-2'!G333</f>
        <v>0</v>
      </c>
      <c r="H389" s="791">
        <f>'NORTH-2'!H333</f>
        <v>0</v>
      </c>
      <c r="I389" s="791">
        <f>'NORTH-2'!I333</f>
        <v>0</v>
      </c>
      <c r="J389" s="791">
        <f>'NORTH-2'!J333</f>
        <v>60000</v>
      </c>
      <c r="K389" s="791">
        <f>'NORTH-2'!K333</f>
        <v>0</v>
      </c>
      <c r="L389" s="791">
        <f>'NORTH-2'!L333</f>
        <v>0</v>
      </c>
      <c r="M389" s="791">
        <f>'NORTH-2'!M333</f>
        <v>0</v>
      </c>
      <c r="N389" s="2019" t="str">
        <f>'NORTH-2'!N333</f>
        <v>Moghbazar</v>
      </c>
      <c r="O389" s="2019" t="str">
        <f>Sheet2!$C$14</f>
        <v>Ullon local 33/11KV S/S</v>
      </c>
    </row>
    <row r="390" spans="1:15" x14ac:dyDescent="0.35">
      <c r="A390" s="2019">
        <f>'NORTH-2'!A334</f>
        <v>3</v>
      </c>
      <c r="B390" s="2019" t="str">
        <f>'NORTH-2'!B334</f>
        <v>Jilkanon</v>
      </c>
      <c r="C390" s="2019">
        <f>'NORTH-2'!C334</f>
        <v>11</v>
      </c>
      <c r="D390" s="2019" t="str">
        <f>'NORTH-2'!D334</f>
        <v>Mogbazar</v>
      </c>
      <c r="E390" s="2019">
        <f>'NORTH-2'!E334</f>
        <v>30799461</v>
      </c>
      <c r="F390" s="791">
        <f>'NORTH-2'!F334</f>
        <v>1</v>
      </c>
      <c r="G390" s="791">
        <f>'NORTH-2'!G334</f>
        <v>0</v>
      </c>
      <c r="H390" s="791">
        <f>'NORTH-2'!H334</f>
        <v>0</v>
      </c>
      <c r="I390" s="791">
        <f>'NORTH-2'!I334</f>
        <v>0</v>
      </c>
      <c r="J390" s="791">
        <f>'NORTH-2'!J334</f>
        <v>60000</v>
      </c>
      <c r="K390" s="791">
        <f>'NORTH-2'!K334</f>
        <v>0</v>
      </c>
      <c r="L390" s="791">
        <f>'NORTH-2'!L334</f>
        <v>0</v>
      </c>
      <c r="M390" s="791">
        <f>'NORTH-2'!M334</f>
        <v>0</v>
      </c>
      <c r="N390" s="2019" t="str">
        <f>'NORTH-2'!N334</f>
        <v>Moghbazar</v>
      </c>
      <c r="O390" s="2019" t="str">
        <f>Sheet2!$C$14</f>
        <v>Ullon local 33/11KV S/S</v>
      </c>
    </row>
    <row r="391" spans="1:15" x14ac:dyDescent="0.35">
      <c r="A391" s="2019">
        <f>'NORTH-2'!A335</f>
        <v>4</v>
      </c>
      <c r="B391" s="2019" t="str">
        <f>'NORTH-2'!B335</f>
        <v>AT-1</v>
      </c>
      <c r="C391" s="2019">
        <f>'NORTH-2'!C335</f>
        <v>11</v>
      </c>
      <c r="D391" s="2019" t="str">
        <f>'NORTH-2'!D335</f>
        <v>Export</v>
      </c>
      <c r="E391" s="2019">
        <f>'NORTH-2'!E335</f>
        <v>5395187</v>
      </c>
      <c r="F391" s="791">
        <f>'NORTH-2'!F335</f>
        <v>1</v>
      </c>
      <c r="G391" s="791">
        <f>'NORTH-2'!G335</f>
        <v>0</v>
      </c>
      <c r="H391" s="791">
        <f>'NORTH-2'!H335</f>
        <v>0</v>
      </c>
      <c r="I391" s="791">
        <f>'NORTH-2'!I335</f>
        <v>0</v>
      </c>
      <c r="J391" s="791">
        <f>'NORTH-2'!J335</f>
        <v>2</v>
      </c>
      <c r="K391" s="791">
        <f>'NORTH-2'!K335</f>
        <v>0</v>
      </c>
      <c r="L391" s="791">
        <f>'NORTH-2'!L335</f>
        <v>0</v>
      </c>
      <c r="M391" s="791">
        <f>'NORTH-2'!M335</f>
        <v>0</v>
      </c>
      <c r="N391" s="2019" t="str">
        <f>'NORTH-2'!N335</f>
        <v>Moghbazar</v>
      </c>
      <c r="O391" s="2019" t="str">
        <f>Sheet2!$C$14</f>
        <v>Ullon local 33/11KV S/S</v>
      </c>
    </row>
    <row r="392" spans="1:15" x14ac:dyDescent="0.35">
      <c r="A392" s="2019">
        <f>'NORTH-2'!A336</f>
        <v>5</v>
      </c>
      <c r="B392" s="2019" t="str">
        <f>'NORTH-2'!B336</f>
        <v>AT-2</v>
      </c>
      <c r="C392" s="2019">
        <f>'NORTH-2'!C336</f>
        <v>11</v>
      </c>
      <c r="D392" s="2019" t="str">
        <f>'NORTH-2'!D336</f>
        <v>Export</v>
      </c>
      <c r="E392" s="2019">
        <f>'NORTH-2'!E336</f>
        <v>5379456</v>
      </c>
      <c r="F392" s="791">
        <f>'NORTH-2'!F336</f>
        <v>1</v>
      </c>
      <c r="G392" s="791">
        <f>'NORTH-2'!G336</f>
        <v>0</v>
      </c>
      <c r="H392" s="791">
        <f>'NORTH-2'!H336</f>
        <v>0</v>
      </c>
      <c r="I392" s="791">
        <f>'NORTH-2'!I336</f>
        <v>0</v>
      </c>
      <c r="J392" s="791">
        <f>'NORTH-2'!J336</f>
        <v>2</v>
      </c>
      <c r="K392" s="791">
        <f>'NORTH-2'!K336</f>
        <v>0</v>
      </c>
      <c r="L392" s="791">
        <f>'NORTH-2'!L336</f>
        <v>0</v>
      </c>
      <c r="M392" s="791">
        <f>'NORTH-2'!M336</f>
        <v>0</v>
      </c>
      <c r="N392" s="2019" t="str">
        <f>'NORTH-2'!N336</f>
        <v>Moghbazar</v>
      </c>
      <c r="O392" s="2019" t="str">
        <f>Sheet2!$C$14</f>
        <v>Ullon local 33/11KV S/S</v>
      </c>
    </row>
    <row r="393" spans="1:15" x14ac:dyDescent="0.35">
      <c r="A393" s="2019">
        <f>'NORTH-2'!A431</f>
        <v>1</v>
      </c>
      <c r="B393" s="2019" t="str">
        <f>'NORTH-2'!B431</f>
        <v>Sobujbagh</v>
      </c>
      <c r="C393" s="2019">
        <f>'NORTH-2'!C431</f>
        <v>11</v>
      </c>
      <c r="D393" s="2019" t="str">
        <f>'NORTH-2'!D431</f>
        <v>Mugdapara</v>
      </c>
      <c r="E393" s="2019">
        <f>'NORTH-2'!E431</f>
        <v>34140453696</v>
      </c>
      <c r="F393" s="791">
        <f>'NORTH-2'!F431</f>
        <v>1</v>
      </c>
      <c r="G393" s="791">
        <f>'NORTH-2'!G431</f>
        <v>17648.8</v>
      </c>
      <c r="H393" s="791">
        <f>'NORTH-2'!H431</f>
        <v>18676.3</v>
      </c>
      <c r="I393" s="791">
        <f>'NORTH-2'!I431</f>
        <v>1027.5</v>
      </c>
      <c r="J393" s="791">
        <f>'NORTH-2'!J431</f>
        <v>1000</v>
      </c>
      <c r="K393" s="791">
        <f>'NORTH-2'!K431</f>
        <v>0</v>
      </c>
      <c r="L393" s="791">
        <f>'NORTH-2'!L431</f>
        <v>1027500</v>
      </c>
      <c r="M393" s="791">
        <f>'NORTH-2'!M431</f>
        <v>0</v>
      </c>
      <c r="N393" s="2019" t="str">
        <f>'NORTH-2'!N431</f>
        <v>Mugdapara</v>
      </c>
      <c r="O393" s="2019" t="str">
        <f>Sheet2!$C$54</f>
        <v>Madarteck 33/11KV S/S</v>
      </c>
    </row>
    <row r="394" spans="1:15" x14ac:dyDescent="0.35">
      <c r="A394" s="2019">
        <f>'NORTH-2'!A432</f>
        <v>2</v>
      </c>
      <c r="B394" s="2019" t="str">
        <f>'NORTH-2'!B432</f>
        <v>Madertek</v>
      </c>
      <c r="C394" s="2019">
        <f>'NORTH-2'!C432</f>
        <v>11</v>
      </c>
      <c r="D394" s="2019" t="str">
        <f>'NORTH-2'!D432</f>
        <v>Mugdapara</v>
      </c>
      <c r="E394" s="2019" t="str">
        <f>'NORTH-2'!E432</f>
        <v>D0086134</v>
      </c>
      <c r="F394" s="791">
        <f>'NORTH-2'!F432</f>
        <v>1</v>
      </c>
      <c r="G394" s="791">
        <f>'NORTH-2'!G432</f>
        <v>87380.5</v>
      </c>
      <c r="H394" s="791">
        <f>'NORTH-2'!H432</f>
        <v>88454.8</v>
      </c>
      <c r="I394" s="791">
        <f>'NORTH-2'!I432</f>
        <v>1074.3000000000029</v>
      </c>
      <c r="J394" s="791">
        <f>'NORTH-2'!J432</f>
        <v>1000</v>
      </c>
      <c r="K394" s="791">
        <f>'NORTH-2'!K432</f>
        <v>0</v>
      </c>
      <c r="L394" s="791">
        <f>'NORTH-2'!L432</f>
        <v>1074300.0000000028</v>
      </c>
      <c r="M394" s="791">
        <f>'NORTH-2'!M432</f>
        <v>0</v>
      </c>
      <c r="N394" s="2019" t="str">
        <f>'NORTH-2'!N432</f>
        <v>Mugdapara</v>
      </c>
      <c r="O394" s="2019" t="str">
        <f>Sheet2!$C$54</f>
        <v>Madarteck 33/11KV S/S</v>
      </c>
    </row>
    <row r="395" spans="1:15" x14ac:dyDescent="0.35">
      <c r="A395" s="2019">
        <f>'NORTH-2'!A433</f>
        <v>3</v>
      </c>
      <c r="B395" s="2019" t="str">
        <f>'NORTH-2'!B433</f>
        <v>Rajarbagh</v>
      </c>
      <c r="C395" s="2019">
        <f>'NORTH-2'!C433</f>
        <v>11</v>
      </c>
      <c r="D395" s="2019" t="str">
        <f>'NORTH-2'!D433</f>
        <v>Mugdapara</v>
      </c>
      <c r="E395" s="2019">
        <f>'NORTH-2'!E433</f>
        <v>34140313076</v>
      </c>
      <c r="F395" s="791">
        <f>'NORTH-2'!F433</f>
        <v>1</v>
      </c>
      <c r="G395" s="791">
        <f>'NORTH-2'!G433</f>
        <v>14688</v>
      </c>
      <c r="H395" s="791">
        <f>'NORTH-2'!H433</f>
        <v>15472.143</v>
      </c>
      <c r="I395" s="791">
        <f>'NORTH-2'!I433</f>
        <v>784.14300000000003</v>
      </c>
      <c r="J395" s="791">
        <f>'NORTH-2'!J433</f>
        <v>1000</v>
      </c>
      <c r="K395" s="791">
        <f>'NORTH-2'!K433</f>
        <v>0</v>
      </c>
      <c r="L395" s="791">
        <f>'NORTH-2'!L433</f>
        <v>784143</v>
      </c>
      <c r="M395" s="791">
        <f>'NORTH-2'!M433</f>
        <v>0</v>
      </c>
      <c r="N395" s="2019" t="str">
        <f>'NORTH-2'!N433</f>
        <v>Mugdapara</v>
      </c>
      <c r="O395" s="2019" t="str">
        <f>Sheet2!$C$54</f>
        <v>Madarteck 33/11KV S/S</v>
      </c>
    </row>
    <row r="396" spans="1:15" x14ac:dyDescent="0.35">
      <c r="A396" s="2019">
        <f>'NORTH-2'!A434</f>
        <v>0</v>
      </c>
      <c r="B396" s="2019" t="str">
        <f>'NORTH-2'!B434</f>
        <v>Goran</v>
      </c>
      <c r="C396" s="2019">
        <f>'NORTH-2'!C434</f>
        <v>11</v>
      </c>
      <c r="D396" s="2019">
        <f>'NORTH-2'!D434</f>
        <v>0</v>
      </c>
      <c r="E396" s="2019" t="str">
        <f>'NORTH-2'!E434</f>
        <v>X1390296</v>
      </c>
      <c r="F396" s="791">
        <f>'NORTH-2'!F434</f>
        <v>1</v>
      </c>
      <c r="G396" s="791">
        <f>'NORTH-2'!G434</f>
        <v>16345.9</v>
      </c>
      <c r="H396" s="791">
        <f>'NORTH-2'!H434</f>
        <v>17451.2</v>
      </c>
      <c r="I396" s="791">
        <f>'NORTH-2'!I434</f>
        <v>1105.3000000000011</v>
      </c>
      <c r="J396" s="791">
        <f>'NORTH-2'!J434</f>
        <v>1000</v>
      </c>
      <c r="K396" s="791">
        <f>'NORTH-2'!K434</f>
        <v>0</v>
      </c>
      <c r="L396" s="791">
        <f>'NORTH-2'!L434</f>
        <v>1105300.0000000012</v>
      </c>
      <c r="M396" s="791">
        <f>'NORTH-2'!M434</f>
        <v>0</v>
      </c>
      <c r="N396" s="2019" t="str">
        <f>'NORTH-2'!N434</f>
        <v>Bashabo</v>
      </c>
      <c r="O396" s="2019" t="str">
        <f>Sheet2!$C$54</f>
        <v>Madarteck 33/11KV S/S</v>
      </c>
    </row>
    <row r="397" spans="1:15" x14ac:dyDescent="0.35">
      <c r="A397" s="2019">
        <f>'NORTH-2'!A435</f>
        <v>5</v>
      </c>
      <c r="B397" s="2019" t="str">
        <f>'NORTH-2'!B435</f>
        <v>Dhakhingaon</v>
      </c>
      <c r="C397" s="2019">
        <f>'NORTH-2'!C435</f>
        <v>11</v>
      </c>
      <c r="D397" s="2019" t="str">
        <f>'NORTH-2'!D435</f>
        <v>Mugdapara</v>
      </c>
      <c r="E397" s="2019">
        <f>'NORTH-2'!E435</f>
        <v>34140313075</v>
      </c>
      <c r="F397" s="791">
        <f>'NORTH-2'!F435</f>
        <v>1</v>
      </c>
      <c r="G397" s="791">
        <f>'NORTH-2'!G435</f>
        <v>14792.7</v>
      </c>
      <c r="H397" s="791">
        <f>'NORTH-2'!H435</f>
        <v>15660.4</v>
      </c>
      <c r="I397" s="791">
        <f>'NORTH-2'!I435</f>
        <v>867.69999999999891</v>
      </c>
      <c r="J397" s="791">
        <f>'NORTH-2'!J435</f>
        <v>1000</v>
      </c>
      <c r="K397" s="791">
        <f>'NORTH-2'!K435</f>
        <v>0</v>
      </c>
      <c r="L397" s="791">
        <f>'NORTH-2'!L435</f>
        <v>867699.99999999895</v>
      </c>
      <c r="M397" s="791">
        <f>'NORTH-2'!M435</f>
        <v>0</v>
      </c>
      <c r="N397" s="2019" t="str">
        <f>'NORTH-2'!N435</f>
        <v>Mugdapara</v>
      </c>
      <c r="O397" s="2019" t="str">
        <f>Sheet2!$C$54</f>
        <v>Madarteck 33/11KV S/S</v>
      </c>
    </row>
    <row r="398" spans="1:15" x14ac:dyDescent="0.35">
      <c r="A398" s="2019">
        <f>'NORTH-2'!A436</f>
        <v>6</v>
      </c>
      <c r="B398" s="2019" t="str">
        <f>'NORTH-2'!B436</f>
        <v>Manda</v>
      </c>
      <c r="C398" s="2019">
        <f>'NORTH-2'!C436</f>
        <v>11</v>
      </c>
      <c r="D398" s="2019" t="str">
        <f>'NORTH-2'!D436</f>
        <v>Maniknagar</v>
      </c>
      <c r="E398" s="2019" t="str">
        <f>'NORTH-2'!E436</f>
        <v>XC570267</v>
      </c>
      <c r="F398" s="791">
        <f>'NORTH-2'!F436</f>
        <v>100</v>
      </c>
      <c r="G398" s="791">
        <f>'NORTH-2'!G436</f>
        <v>75202.100000000006</v>
      </c>
      <c r="H398" s="791">
        <f>'NORTH-2'!H436</f>
        <v>75837.7</v>
      </c>
      <c r="I398" s="791">
        <f>'NORTH-2'!I436</f>
        <v>635.59999999999127</v>
      </c>
      <c r="J398" s="791">
        <f>'NORTH-2'!J436</f>
        <v>1</v>
      </c>
      <c r="K398" s="791">
        <f>'NORTH-2'!K436</f>
        <v>0</v>
      </c>
      <c r="L398" s="791">
        <f>'NORTH-2'!L436</f>
        <v>63559.999999999127</v>
      </c>
      <c r="M398" s="791">
        <f>'NORTH-2'!M436</f>
        <v>0</v>
      </c>
      <c r="N398" s="2019" t="str">
        <f>'NORTH-2'!N436</f>
        <v>Maniknagar</v>
      </c>
      <c r="O398" s="2019" t="str">
        <f>Sheet2!$C$54</f>
        <v>Madarteck 33/11KV S/S</v>
      </c>
    </row>
    <row r="399" spans="1:15" x14ac:dyDescent="0.35">
      <c r="A399" s="2019">
        <f>'NORTH-2'!A437</f>
        <v>7</v>
      </c>
      <c r="B399" s="2019" t="str">
        <f>'NORTH-2'!B437</f>
        <v>Green Model Town</v>
      </c>
      <c r="C399" s="2019">
        <f>'NORTH-2'!C437</f>
        <v>11</v>
      </c>
      <c r="D399" s="2019" t="str">
        <f>'NORTH-2'!D437</f>
        <v>Mugdapara</v>
      </c>
      <c r="E399" s="2019">
        <f>'NORTH-2'!E437</f>
        <v>34140453695</v>
      </c>
      <c r="F399" s="791">
        <f>'NORTH-2'!F437</f>
        <v>1</v>
      </c>
      <c r="G399" s="791">
        <f>'NORTH-2'!G437</f>
        <v>1402.92</v>
      </c>
      <c r="H399" s="791">
        <f>'NORTH-2'!H437</f>
        <v>1540.02</v>
      </c>
      <c r="I399" s="791">
        <f>'NORTH-2'!I437</f>
        <v>137.09999999999991</v>
      </c>
      <c r="J399" s="791">
        <f>'NORTH-2'!J437</f>
        <v>1000</v>
      </c>
      <c r="K399" s="791">
        <f>'NORTH-2'!K437</f>
        <v>0</v>
      </c>
      <c r="L399" s="791">
        <f>'NORTH-2'!L437</f>
        <v>137099.99999999991</v>
      </c>
      <c r="M399" s="791">
        <f>'NORTH-2'!M437</f>
        <v>0</v>
      </c>
      <c r="N399" s="2019" t="str">
        <f>'NORTH-2'!N437</f>
        <v>Mugdapara</v>
      </c>
      <c r="O399" s="2019" t="str">
        <f>Sheet2!$C$54</f>
        <v>Madarteck 33/11KV S/S</v>
      </c>
    </row>
    <row r="400" spans="1:15" x14ac:dyDescent="0.35">
      <c r="A400" s="2019">
        <f>'NORTH-2'!A438</f>
        <v>1</v>
      </c>
      <c r="B400" s="2019" t="str">
        <f>'NORTH-2'!B438</f>
        <v>Biswa Road</v>
      </c>
      <c r="C400" s="2019">
        <f>'NORTH-2'!C438</f>
        <v>11</v>
      </c>
      <c r="D400" s="2019" t="str">
        <f>'NORTH-2'!D438</f>
        <v>Mugdapara</v>
      </c>
      <c r="E400" s="2019">
        <f>'NORTH-2'!E438</f>
        <v>34140313080</v>
      </c>
      <c r="F400" s="791">
        <f>'NORTH-2'!F438</f>
        <v>1</v>
      </c>
      <c r="G400" s="791">
        <f>'NORTH-2'!G438</f>
        <v>7383.12</v>
      </c>
      <c r="H400" s="791">
        <f>'NORTH-2'!H438</f>
        <v>7790.2080999999998</v>
      </c>
      <c r="I400" s="791">
        <f>'NORTH-2'!I438</f>
        <v>407.08809999999994</v>
      </c>
      <c r="J400" s="791">
        <f>'NORTH-2'!J438</f>
        <v>1000</v>
      </c>
      <c r="K400" s="791">
        <f>'NORTH-2'!K438</f>
        <v>0</v>
      </c>
      <c r="L400" s="791">
        <f>'NORTH-2'!L438</f>
        <v>407088.09999999992</v>
      </c>
      <c r="M400" s="791">
        <f>'NORTH-2'!M438</f>
        <v>0</v>
      </c>
      <c r="N400" s="2019" t="str">
        <f>'NORTH-2'!N438</f>
        <v>Mugdapara</v>
      </c>
      <c r="O400" s="2019" t="str">
        <f>Sheet2!$C$54</f>
        <v>Madarteck 33/11KV S/S</v>
      </c>
    </row>
    <row r="401" spans="1:15" x14ac:dyDescent="0.35">
      <c r="A401" s="2019">
        <f>'NORTH-2'!A439</f>
        <v>2</v>
      </c>
      <c r="B401" s="2019" t="str">
        <f>'NORTH-2'!B439</f>
        <v>Mugdapara</v>
      </c>
      <c r="C401" s="2019">
        <f>'NORTH-2'!C439</f>
        <v>11</v>
      </c>
      <c r="D401" s="2019">
        <f>'NORTH-2'!D439</f>
        <v>0</v>
      </c>
      <c r="E401" s="2019" t="str">
        <f>'NORTH-2'!E439</f>
        <v>X0854272</v>
      </c>
      <c r="F401" s="791">
        <f>'NORTH-2'!F439</f>
        <v>1</v>
      </c>
      <c r="G401" s="791">
        <f>'NORTH-2'!G439</f>
        <v>2378.6</v>
      </c>
      <c r="H401" s="791">
        <f>'NORTH-2'!H439</f>
        <v>2534.8000000000002</v>
      </c>
      <c r="I401" s="791">
        <f>'NORTH-2'!I439</f>
        <v>156.20000000000027</v>
      </c>
      <c r="J401" s="791">
        <f>'NORTH-2'!J439</f>
        <v>1000</v>
      </c>
      <c r="K401" s="791" t="str">
        <f>'NORTH-2'!K439</f>
        <v>New Meter</v>
      </c>
      <c r="L401" s="791">
        <f>'NORTH-2'!L439</f>
        <v>156200.00000000026</v>
      </c>
      <c r="M401" s="791">
        <f>'NORTH-2'!M439</f>
        <v>0</v>
      </c>
      <c r="N401" s="2019" t="str">
        <f>'NORTH-2'!N439</f>
        <v>Maniknagar</v>
      </c>
      <c r="O401" s="2019" t="str">
        <f>Sheet2!$C$54</f>
        <v>Madarteck 33/11KV S/S</v>
      </c>
    </row>
    <row r="402" spans="1:15" x14ac:dyDescent="0.35">
      <c r="A402" s="2019">
        <f>'NORTH-2'!A440</f>
        <v>0</v>
      </c>
      <c r="B402" s="2019" t="str">
        <f>'NORTH-2'!B440</f>
        <v>Singapur</v>
      </c>
      <c r="C402" s="2019">
        <f>'NORTH-2'!C440</f>
        <v>11</v>
      </c>
      <c r="D402" s="2019">
        <f>'NORTH-2'!D440</f>
        <v>0</v>
      </c>
      <c r="E402" s="2019" t="str">
        <f>'NORTH-2'!E440</f>
        <v>X1390302 (N)</v>
      </c>
      <c r="F402" s="791">
        <f>'NORTH-2'!F440</f>
        <v>1</v>
      </c>
      <c r="G402" s="791">
        <f>'NORTH-2'!G440</f>
        <v>19074.2</v>
      </c>
      <c r="H402" s="791">
        <f>'NORTH-2'!H440</f>
        <v>20360</v>
      </c>
      <c r="I402" s="791">
        <f>'NORTH-2'!I440</f>
        <v>1285.7999999999993</v>
      </c>
      <c r="J402" s="791">
        <f>'NORTH-2'!J440</f>
        <v>1000</v>
      </c>
      <c r="K402" s="791">
        <f>'NORTH-2'!K440</f>
        <v>0</v>
      </c>
      <c r="L402" s="791">
        <f>'NORTH-2'!L440</f>
        <v>1285799.9999999993</v>
      </c>
      <c r="M402" s="791">
        <f>'NORTH-2'!M440</f>
        <v>0</v>
      </c>
      <c r="N402" s="2019" t="str">
        <f>'NORTH-2'!N440</f>
        <v>Banosree</v>
      </c>
      <c r="O402" s="2019" t="str">
        <f>Sheet2!$C$54</f>
        <v>Madarteck 33/11KV S/S</v>
      </c>
    </row>
    <row r="403" spans="1:15" x14ac:dyDescent="0.35">
      <c r="A403" s="2019">
        <f>'NORTH-2'!A441</f>
        <v>0</v>
      </c>
      <c r="B403" s="2019" t="str">
        <f>'NORTH-2'!B441</f>
        <v>Trimohony</v>
      </c>
      <c r="C403" s="2019">
        <f>'NORTH-2'!C441</f>
        <v>11</v>
      </c>
      <c r="D403" s="2019">
        <f>'NORTH-2'!D441</f>
        <v>0</v>
      </c>
      <c r="E403" s="2019" t="str">
        <f>'NORTH-2'!E441</f>
        <v>X1390308</v>
      </c>
      <c r="F403" s="791">
        <f>'NORTH-2'!F441</f>
        <v>0</v>
      </c>
      <c r="G403" s="791">
        <f>'NORTH-2'!G441</f>
        <v>16339.6</v>
      </c>
      <c r="H403" s="791">
        <f>'NORTH-2'!H441</f>
        <v>16339.6</v>
      </c>
      <c r="I403" s="791">
        <f>'NORTH-2'!I441</f>
        <v>0</v>
      </c>
      <c r="J403" s="791">
        <f>'NORTH-2'!J441</f>
        <v>1000</v>
      </c>
      <c r="K403" s="791">
        <f>'NORTH-2'!K441</f>
        <v>0</v>
      </c>
      <c r="L403" s="791">
        <f>'NORTH-2'!L441</f>
        <v>0</v>
      </c>
      <c r="M403" s="791">
        <f>'NORTH-2'!M441</f>
        <v>0</v>
      </c>
      <c r="N403" s="2019" t="str">
        <f>'NORTH-2'!N441</f>
        <v>Banosree</v>
      </c>
      <c r="O403" s="2019" t="str">
        <f>Sheet2!$C$54</f>
        <v>Madarteck 33/11KV S/S</v>
      </c>
    </row>
    <row r="404" spans="1:15" x14ac:dyDescent="0.35">
      <c r="A404" s="2019">
        <f>'NORTH-2'!A442</f>
        <v>5</v>
      </c>
      <c r="B404" s="2019" t="str">
        <f>'NORTH-2'!B442</f>
        <v>Mayakanon</v>
      </c>
      <c r="C404" s="2019">
        <f>'NORTH-2'!C442</f>
        <v>11</v>
      </c>
      <c r="D404" s="2019" t="str">
        <f>'NORTH-2'!D442</f>
        <v>Mugdapara</v>
      </c>
      <c r="E404" s="2019">
        <f>'NORTH-2'!E442</f>
        <v>34140313073</v>
      </c>
      <c r="F404" s="791">
        <f>'NORTH-2'!F442</f>
        <v>1</v>
      </c>
      <c r="G404" s="791">
        <f>'NORTH-2'!G442</f>
        <v>424.43</v>
      </c>
      <c r="H404" s="791">
        <f>'NORTH-2'!H442</f>
        <v>1508.56</v>
      </c>
      <c r="I404" s="791">
        <f>'NORTH-2'!I442</f>
        <v>1084.1299999999999</v>
      </c>
      <c r="J404" s="791">
        <f>'NORTH-2'!J442</f>
        <v>1000</v>
      </c>
      <c r="K404" s="791">
        <f>'NORTH-2'!K442</f>
        <v>0</v>
      </c>
      <c r="L404" s="791">
        <f>'NORTH-2'!L442</f>
        <v>1084129.9999999998</v>
      </c>
      <c r="M404" s="791">
        <f>'NORTH-2'!M442</f>
        <v>0</v>
      </c>
      <c r="N404" s="2019" t="str">
        <f>'NORTH-2'!N442</f>
        <v>Mugdapara</v>
      </c>
      <c r="O404" s="2019" t="str">
        <f>Sheet2!$C$54</f>
        <v>Madarteck 33/11KV S/S</v>
      </c>
    </row>
    <row r="405" spans="1:15" x14ac:dyDescent="0.35">
      <c r="A405" s="2019">
        <f>'NORTH-2'!A443</f>
        <v>6</v>
      </c>
      <c r="B405" s="2019" t="str">
        <f>'NORTH-2'!B443</f>
        <v>Ahmedbagh</v>
      </c>
      <c r="C405" s="2019">
        <f>'NORTH-2'!C443</f>
        <v>11</v>
      </c>
      <c r="D405" s="2019" t="str">
        <f>'NORTH-2'!D443</f>
        <v>Mugdapara</v>
      </c>
      <c r="E405" s="2019">
        <f>'NORTH-2'!E443</f>
        <v>34140453691</v>
      </c>
      <c r="F405" s="791">
        <f>'NORTH-2'!F443</f>
        <v>1</v>
      </c>
      <c r="G405" s="791">
        <f>'NORTH-2'!G443</f>
        <v>84.37</v>
      </c>
      <c r="H405" s="791">
        <f>'NORTH-2'!H443</f>
        <v>562.42999999999995</v>
      </c>
      <c r="I405" s="791">
        <f>'NORTH-2'!I443</f>
        <v>478.05999999999995</v>
      </c>
      <c r="J405" s="791">
        <f>'NORTH-2'!J443</f>
        <v>1000</v>
      </c>
      <c r="K405" s="791">
        <f>'NORTH-2'!K443</f>
        <v>0</v>
      </c>
      <c r="L405" s="791">
        <f>'NORTH-2'!L443</f>
        <v>478059.99999999994</v>
      </c>
      <c r="M405" s="791">
        <f>'NORTH-2'!M443</f>
        <v>0</v>
      </c>
      <c r="N405" s="2019" t="str">
        <f>'NORTH-2'!N443</f>
        <v>Mugdapara</v>
      </c>
      <c r="O405" s="2019" t="str">
        <f>Sheet2!$C$54</f>
        <v>Madarteck 33/11KV S/S</v>
      </c>
    </row>
    <row r="406" spans="1:15" x14ac:dyDescent="0.35">
      <c r="A406" s="2019">
        <f>'NORTH-2'!A444</f>
        <v>1</v>
      </c>
      <c r="B406" s="2019" t="str">
        <f>'NORTH-2'!B444</f>
        <v>Wasa Road</v>
      </c>
      <c r="C406" s="2019">
        <f>'NORTH-2'!C444</f>
        <v>11</v>
      </c>
      <c r="D406" s="2019" t="str">
        <f>'NORTH-2'!D444</f>
        <v>Mugdapara</v>
      </c>
      <c r="E406" s="2019">
        <f>'NORTH-2'!E444</f>
        <v>61903686</v>
      </c>
      <c r="F406" s="791">
        <f>'NORTH-2'!F444</f>
        <v>1</v>
      </c>
      <c r="G406" s="791">
        <f>'NORTH-2'!G444</f>
        <v>677647</v>
      </c>
      <c r="H406" s="791">
        <f>'NORTH-2'!H444</f>
        <v>683167</v>
      </c>
      <c r="I406" s="791">
        <f>'NORTH-2'!I444</f>
        <v>5520</v>
      </c>
      <c r="J406" s="791">
        <f>'NORTH-2'!J444</f>
        <v>200</v>
      </c>
      <c r="K406" s="791">
        <f>'NORTH-2'!K444</f>
        <v>0</v>
      </c>
      <c r="L406" s="791">
        <f>'NORTH-2'!L444</f>
        <v>1104000</v>
      </c>
      <c r="M406" s="791">
        <f>'NORTH-2'!M444</f>
        <v>0</v>
      </c>
      <c r="N406" s="2019" t="str">
        <f>'NORTH-2'!N444</f>
        <v>Mugdapara</v>
      </c>
      <c r="O406" s="2019" t="str">
        <f>Sheet2!$C$54</f>
        <v>Madarteck 33/11KV S/S</v>
      </c>
    </row>
    <row r="407" spans="1:15" x14ac:dyDescent="0.35">
      <c r="A407" s="2019">
        <f>'NORTH-2'!A445</f>
        <v>2</v>
      </c>
      <c r="B407" s="2019" t="str">
        <f>'NORTH-2'!B445</f>
        <v>Nandipara</v>
      </c>
      <c r="C407" s="2019">
        <f>'NORTH-2'!C445</f>
        <v>11</v>
      </c>
      <c r="D407" s="2019" t="str">
        <f>'NORTH-2'!D445</f>
        <v>Mugdapara</v>
      </c>
      <c r="E407" s="2019">
        <f>'NORTH-2'!E445</f>
        <v>61903558</v>
      </c>
      <c r="F407" s="791">
        <f>'NORTH-2'!F445</f>
        <v>1</v>
      </c>
      <c r="G407" s="791">
        <f>'NORTH-2'!G445</f>
        <v>719863</v>
      </c>
      <c r="H407" s="791">
        <f>'NORTH-2'!H445</f>
        <v>724250</v>
      </c>
      <c r="I407" s="791">
        <f>'NORTH-2'!I445</f>
        <v>4387</v>
      </c>
      <c r="J407" s="791">
        <f>'NORTH-2'!J445</f>
        <v>200</v>
      </c>
      <c r="K407" s="791">
        <f>'NORTH-2'!K445</f>
        <v>0</v>
      </c>
      <c r="L407" s="791">
        <f>'NORTH-2'!L445</f>
        <v>877400</v>
      </c>
      <c r="M407" s="791">
        <f>'NORTH-2'!M445</f>
        <v>0</v>
      </c>
      <c r="N407" s="2019" t="str">
        <f>'NORTH-2'!N445</f>
        <v>Mugdapara</v>
      </c>
      <c r="O407" s="2019" t="str">
        <f>Sheet2!$C$54</f>
        <v>Madarteck 33/11KV S/S</v>
      </c>
    </row>
    <row r="408" spans="1:15" x14ac:dyDescent="0.35">
      <c r="A408" s="2019">
        <f>'NORTH-2'!A446</f>
        <v>3</v>
      </c>
      <c r="B408" s="2019" t="str">
        <f>'NORTH-2'!B446</f>
        <v xml:space="preserve">AT-1 &amp; AT-2 </v>
      </c>
      <c r="C408" s="2019">
        <f>'NORTH-2'!C446</f>
        <v>11</v>
      </c>
      <c r="D408" s="2019">
        <f>'NORTH-2'!D446</f>
        <v>0</v>
      </c>
      <c r="E408" s="2019">
        <f>'NORTH-2'!E446</f>
        <v>63394003</v>
      </c>
      <c r="F408" s="791">
        <f>'NORTH-2'!F446</f>
        <v>1</v>
      </c>
      <c r="G408" s="791">
        <f>'NORTH-2'!G446</f>
        <v>693627</v>
      </c>
      <c r="H408" s="791">
        <f>'NORTH-2'!H446</f>
        <v>703416</v>
      </c>
      <c r="I408" s="791">
        <f>'NORTH-2'!I446</f>
        <v>9789</v>
      </c>
      <c r="J408" s="791">
        <f>'NORTH-2'!J446</f>
        <v>1</v>
      </c>
      <c r="K408" s="791">
        <f>'NORTH-2'!K446</f>
        <v>0</v>
      </c>
      <c r="L408" s="791">
        <f>'NORTH-2'!L446</f>
        <v>9789</v>
      </c>
      <c r="M408" s="791">
        <f>'NORTH-2'!M446</f>
        <v>0</v>
      </c>
      <c r="N408" s="2019" t="str">
        <f>'NORTH-2'!N446</f>
        <v>Mugdapara</v>
      </c>
      <c r="O408" s="2019" t="str">
        <f>Sheet2!$C$54</f>
        <v>Madarteck 33/11KV S/S</v>
      </c>
    </row>
    <row r="409" spans="1:15" x14ac:dyDescent="0.35">
      <c r="A409" s="2019">
        <f>'NORTH-2'!A511</f>
        <v>1</v>
      </c>
      <c r="B409" s="2019" t="str">
        <f>'NORTH-2'!B511</f>
        <v xml:space="preserve"> Nakhal Para Feeder</v>
      </c>
      <c r="C409" s="2019">
        <f>'NORTH-2'!C511</f>
        <v>11</v>
      </c>
      <c r="D409" s="2019">
        <f>'NORTH-2'!D511</f>
        <v>0</v>
      </c>
      <c r="E409" s="2019" t="str">
        <f>'NORTH-2'!E511</f>
        <v>DHK60950</v>
      </c>
      <c r="F409" s="791">
        <f>'NORTH-2'!F511</f>
        <v>1</v>
      </c>
      <c r="G409" s="791">
        <f>'NORTH-2'!G511</f>
        <v>66163.100000000006</v>
      </c>
      <c r="H409" s="791">
        <f>'NORTH-2'!H511</f>
        <v>80042</v>
      </c>
      <c r="I409" s="791">
        <f>'NORTH-2'!I511</f>
        <v>13878.899999999994</v>
      </c>
      <c r="J409" s="791">
        <f>'NORTH-2'!J511</f>
        <v>60</v>
      </c>
      <c r="K409" s="791">
        <f>'NORTH-2'!K511</f>
        <v>0</v>
      </c>
      <c r="L409" s="791">
        <f>'NORTH-2'!L511</f>
        <v>832733.99999999965</v>
      </c>
      <c r="M409" s="791">
        <f>'NORTH-2'!M511</f>
        <v>0</v>
      </c>
      <c r="N409" s="2019" t="str">
        <f>'NORTH-2'!N511</f>
        <v>Tejgaon</v>
      </c>
      <c r="O409" s="2019" t="str">
        <f>Sheet2!$C$7</f>
        <v>Tejgoan 33/11KV S/S</v>
      </c>
    </row>
    <row r="410" spans="1:15" x14ac:dyDescent="0.35">
      <c r="A410" s="2019">
        <f>'NORTH-2'!A512</f>
        <v>2</v>
      </c>
      <c r="B410" s="2019" t="str">
        <f>'NORTH-2'!B512</f>
        <v xml:space="preserve"> Badda-Meghna Feeder</v>
      </c>
      <c r="C410" s="2019">
        <f>'NORTH-2'!C512</f>
        <v>11</v>
      </c>
      <c r="D410" s="2019">
        <f>'NORTH-2'!D512</f>
        <v>0</v>
      </c>
      <c r="E410" s="2019" t="str">
        <f>'NORTH-2'!E512</f>
        <v>DHK60979</v>
      </c>
      <c r="F410" s="791">
        <f>'NORTH-2'!F512</f>
        <v>1</v>
      </c>
      <c r="G410" s="791">
        <f>'NORTH-2'!G512</f>
        <v>813263.1</v>
      </c>
      <c r="H410" s="791">
        <f>'NORTH-2'!H512</f>
        <v>822612.2</v>
      </c>
      <c r="I410" s="791">
        <f>'NORTH-2'!I512</f>
        <v>9349.0999999999767</v>
      </c>
      <c r="J410" s="791">
        <f>'NORTH-2'!J512</f>
        <v>60</v>
      </c>
      <c r="K410" s="791">
        <f>'NORTH-2'!K512</f>
        <v>0</v>
      </c>
      <c r="L410" s="791">
        <f>'NORTH-2'!L512</f>
        <v>560945.9999999986</v>
      </c>
      <c r="M410" s="791">
        <f>'NORTH-2'!M512</f>
        <v>0</v>
      </c>
      <c r="N410" s="2019" t="str">
        <f>'NORTH-2'!N512</f>
        <v>Tejgaon</v>
      </c>
      <c r="O410" s="2019" t="str">
        <f>Sheet2!$C$7</f>
        <v>Tejgoan 33/11KV S/S</v>
      </c>
    </row>
    <row r="411" spans="1:15" x14ac:dyDescent="0.35">
      <c r="A411" s="2019">
        <f>'NORTH-2'!A513</f>
        <v>3</v>
      </c>
      <c r="B411" s="2019" t="str">
        <f>'NORTH-2'!B513</f>
        <v xml:space="preserve"> Rasulbagh Feeder</v>
      </c>
      <c r="C411" s="2019">
        <f>'NORTH-2'!C513</f>
        <v>11</v>
      </c>
      <c r="D411" s="2019">
        <f>'NORTH-2'!D513</f>
        <v>0</v>
      </c>
      <c r="E411" s="2019" t="str">
        <f>'NORTH-2'!E513</f>
        <v>DHK60948</v>
      </c>
      <c r="F411" s="791">
        <f>'NORTH-2'!F513</f>
        <v>1</v>
      </c>
      <c r="G411" s="791">
        <f>'NORTH-2'!G513</f>
        <v>785112.1</v>
      </c>
      <c r="H411" s="791">
        <f>'NORTH-2'!H513</f>
        <v>806829.5</v>
      </c>
      <c r="I411" s="791">
        <f>'NORTH-2'!I513</f>
        <v>21717.400000000023</v>
      </c>
      <c r="J411" s="791">
        <f>'NORTH-2'!J513</f>
        <v>60</v>
      </c>
      <c r="K411" s="791">
        <f>'NORTH-2'!K513</f>
        <v>0</v>
      </c>
      <c r="L411" s="791">
        <f>'NORTH-2'!L513</f>
        <v>1303044.0000000014</v>
      </c>
      <c r="M411" s="791">
        <f>'NORTH-2'!M513</f>
        <v>0</v>
      </c>
      <c r="N411" s="2019" t="str">
        <f>'NORTH-2'!N513</f>
        <v>Tejgaon</v>
      </c>
      <c r="O411" s="2019" t="str">
        <f>Sheet2!$C$7</f>
        <v>Tejgoan 33/11KV S/S</v>
      </c>
    </row>
    <row r="412" spans="1:15" x14ac:dyDescent="0.35">
      <c r="A412" s="2019">
        <f>'NORTH-2'!A514</f>
        <v>4</v>
      </c>
      <c r="B412" s="2019" t="str">
        <f>'NORTH-2'!B514</f>
        <v>Lukas</v>
      </c>
      <c r="C412" s="2019">
        <f>'NORTH-2'!C514</f>
        <v>11</v>
      </c>
      <c r="D412" s="2019">
        <f>'NORTH-2'!D514</f>
        <v>0</v>
      </c>
      <c r="E412" s="2019" t="str">
        <f>'NORTH-2'!E514</f>
        <v>8A021100948-02</v>
      </c>
      <c r="F412" s="791">
        <f>'NORTH-2'!F514</f>
        <v>1</v>
      </c>
      <c r="G412" s="791">
        <f>'NORTH-2'!G514</f>
        <v>51824866</v>
      </c>
      <c r="H412" s="791">
        <f>'NORTH-2'!H514</f>
        <v>53077545</v>
      </c>
      <c r="I412" s="791">
        <f>'NORTH-2'!I514</f>
        <v>1252679</v>
      </c>
      <c r="J412" s="791">
        <f>'NORTH-2'!J514</f>
        <v>1</v>
      </c>
      <c r="K412" s="791">
        <f>'NORTH-2'!K514</f>
        <v>0</v>
      </c>
      <c r="L412" s="791">
        <f>'NORTH-2'!L514</f>
        <v>1252679</v>
      </c>
      <c r="M412" s="791">
        <f>'NORTH-2'!M514</f>
        <v>0</v>
      </c>
      <c r="N412" s="2019" t="str">
        <f>'NORTH-2'!N514</f>
        <v>Tejgaon</v>
      </c>
      <c r="O412" s="2019" t="str">
        <f>Sheet2!$C$7</f>
        <v>Tejgoan 33/11KV S/S</v>
      </c>
    </row>
    <row r="413" spans="1:15" x14ac:dyDescent="0.35">
      <c r="A413" s="2019">
        <f>'NORTH-2'!A515</f>
        <v>5</v>
      </c>
      <c r="B413" s="2019" t="str">
        <f>'NORTH-2'!B515</f>
        <v>PWD RMU</v>
      </c>
      <c r="C413" s="2019">
        <f>'NORTH-2'!C515</f>
        <v>11</v>
      </c>
      <c r="D413" s="2019">
        <f>'NORTH-2'!D515</f>
        <v>0</v>
      </c>
      <c r="E413" s="2019">
        <f>'NORTH-2'!E515</f>
        <v>0</v>
      </c>
      <c r="F413" s="791">
        <f>'NORTH-2'!F515</f>
        <v>1</v>
      </c>
      <c r="G413" s="791">
        <f>'NORTH-2'!G515</f>
        <v>643108.19999999995</v>
      </c>
      <c r="H413" s="791">
        <f>'NORTH-2'!H515</f>
        <v>644079.69999999995</v>
      </c>
      <c r="I413" s="791">
        <f>'NORTH-2'!I515</f>
        <v>971.5</v>
      </c>
      <c r="J413" s="791">
        <f>'NORTH-2'!J515</f>
        <v>1</v>
      </c>
      <c r="K413" s="791" t="str">
        <f>'NORTH-2'!K515</f>
        <v>OMF Unknown</v>
      </c>
      <c r="L413" s="791">
        <f>'NORTH-2'!L515</f>
        <v>971.5</v>
      </c>
      <c r="M413" s="791">
        <f>'NORTH-2'!M515</f>
        <v>0</v>
      </c>
      <c r="N413" s="2019" t="str">
        <f>'NORTH-2'!N515</f>
        <v>Tejgaon</v>
      </c>
      <c r="O413" s="2019" t="str">
        <f>Sheet2!$C$7</f>
        <v>Tejgoan 33/11KV S/S</v>
      </c>
    </row>
    <row r="414" spans="1:15" x14ac:dyDescent="0.35">
      <c r="A414" s="2019">
        <f>'NORTH-2'!A516</f>
        <v>1</v>
      </c>
      <c r="B414" s="2019" t="str">
        <f>'NORTH-2'!B516</f>
        <v xml:space="preserve"> Civil Aviation Feeder</v>
      </c>
      <c r="C414" s="2019">
        <f>'NORTH-2'!C516</f>
        <v>11</v>
      </c>
      <c r="D414" s="2019">
        <f>'NORTH-2'!D516</f>
        <v>0</v>
      </c>
      <c r="E414" s="2019" t="str">
        <f>'NORTH-2'!E516</f>
        <v>DHK60977</v>
      </c>
      <c r="F414" s="791">
        <f>'NORTH-2'!F516</f>
        <v>1</v>
      </c>
      <c r="G414" s="791">
        <f>'NORTH-2'!G516</f>
        <v>539048.19999999995</v>
      </c>
      <c r="H414" s="791">
        <f>'NORTH-2'!H516</f>
        <v>564909.4</v>
      </c>
      <c r="I414" s="791">
        <f>'NORTH-2'!I516</f>
        <v>25861.20000000007</v>
      </c>
      <c r="J414" s="791">
        <f>'NORTH-2'!J516</f>
        <v>60</v>
      </c>
      <c r="K414" s="791">
        <f>'NORTH-2'!K516</f>
        <v>0</v>
      </c>
      <c r="L414" s="791">
        <f>'NORTH-2'!L516</f>
        <v>1551672.0000000042</v>
      </c>
      <c r="M414" s="791">
        <f>'NORTH-2'!M516</f>
        <v>0</v>
      </c>
      <c r="N414" s="2019" t="str">
        <f>'NORTH-2'!N516</f>
        <v>Tejgaon</v>
      </c>
      <c r="O414" s="2019" t="str">
        <f>Sheet2!$C$7</f>
        <v>Tejgoan 33/11KV S/S</v>
      </c>
    </row>
    <row r="415" spans="1:15" x14ac:dyDescent="0.35">
      <c r="A415" s="2019">
        <f>'NORTH-2'!A517</f>
        <v>2</v>
      </c>
      <c r="B415" s="2019" t="str">
        <f>'NORTH-2'!B517</f>
        <v xml:space="preserve"> Ahasanullah Eng.</v>
      </c>
      <c r="C415" s="2019">
        <f>'NORTH-2'!C517</f>
        <v>11</v>
      </c>
      <c r="D415" s="2019">
        <f>'NORTH-2'!D517</f>
        <v>0</v>
      </c>
      <c r="E415" s="2019" t="str">
        <f>'NORTH-2'!E517</f>
        <v>DHK60867</v>
      </c>
      <c r="F415" s="791">
        <f>'NORTH-2'!F517</f>
        <v>1</v>
      </c>
      <c r="G415" s="791">
        <f>'NORTH-2'!G517</f>
        <v>805576.4</v>
      </c>
      <c r="H415" s="791">
        <f>'NORTH-2'!H517</f>
        <v>811529</v>
      </c>
      <c r="I415" s="791">
        <f>'NORTH-2'!I517</f>
        <v>5952.5999999999767</v>
      </c>
      <c r="J415" s="791">
        <f>'NORTH-2'!J517</f>
        <v>60</v>
      </c>
      <c r="K415" s="791">
        <f>'NORTH-2'!K517</f>
        <v>0</v>
      </c>
      <c r="L415" s="791">
        <f>'NORTH-2'!L517</f>
        <v>357155.9999999986</v>
      </c>
      <c r="M415" s="791">
        <f>'NORTH-2'!M517</f>
        <v>0</v>
      </c>
      <c r="N415" s="2019" t="str">
        <f>'NORTH-2'!N517</f>
        <v>Tejgaon</v>
      </c>
      <c r="O415" s="2019" t="str">
        <f>Sheet2!$C$7</f>
        <v>Tejgoan 33/11KV S/S</v>
      </c>
    </row>
    <row r="416" spans="1:15" x14ac:dyDescent="0.35">
      <c r="A416" s="2019">
        <f>'NORTH-2'!A518</f>
        <v>3</v>
      </c>
      <c r="B416" s="2019" t="str">
        <f>'NORTH-2'!B518</f>
        <v>New  GMG Feeder</v>
      </c>
      <c r="C416" s="2019">
        <f>'NORTH-2'!C518</f>
        <v>11</v>
      </c>
      <c r="D416" s="2019">
        <f>'NORTH-2'!D518</f>
        <v>0</v>
      </c>
      <c r="E416" s="2019" t="str">
        <f>'NORTH-2'!E518</f>
        <v>DHK61106</v>
      </c>
      <c r="F416" s="791">
        <f>'NORTH-2'!F518</f>
        <v>1</v>
      </c>
      <c r="G416" s="791">
        <f>'NORTH-2'!G518</f>
        <v>810213.7</v>
      </c>
      <c r="H416" s="791">
        <f>'NORTH-2'!H518</f>
        <v>832617.2</v>
      </c>
      <c r="I416" s="791">
        <f>'NORTH-2'!I518</f>
        <v>22403.5</v>
      </c>
      <c r="J416" s="791">
        <f>'NORTH-2'!J518</f>
        <v>60</v>
      </c>
      <c r="K416" s="791">
        <f>'NORTH-2'!K518</f>
        <v>0</v>
      </c>
      <c r="L416" s="791">
        <f>'NORTH-2'!L518</f>
        <v>1344210</v>
      </c>
      <c r="M416" s="791">
        <f>'NORTH-2'!M518</f>
        <v>0</v>
      </c>
      <c r="N416" s="2019" t="str">
        <f>'NORTH-2'!N518</f>
        <v>Tejgaon</v>
      </c>
      <c r="O416" s="2019" t="str">
        <f>Sheet2!$C$7</f>
        <v>Tejgoan 33/11KV S/S</v>
      </c>
    </row>
    <row r="417" spans="1:15" x14ac:dyDescent="0.35">
      <c r="A417" s="2019">
        <f>'NORTH-2'!A519</f>
        <v>4</v>
      </c>
      <c r="B417" s="2019" t="str">
        <f>'NORTH-2'!B519</f>
        <v>Shikajo</v>
      </c>
      <c r="C417" s="2019">
        <f>'NORTH-2'!C519</f>
        <v>11</v>
      </c>
      <c r="D417" s="2019">
        <f>'NORTH-2'!D519</f>
        <v>0</v>
      </c>
      <c r="E417" s="2019" t="str">
        <f>'NORTH-2'!E519</f>
        <v>HA021101036-02</v>
      </c>
      <c r="F417" s="791">
        <f>'NORTH-2'!F519</f>
        <v>1</v>
      </c>
      <c r="G417" s="791">
        <f>'NORTH-2'!G519</f>
        <v>58607395</v>
      </c>
      <c r="H417" s="791">
        <f>'NORTH-2'!H519</f>
        <v>59021192</v>
      </c>
      <c r="I417" s="791">
        <f>'NORTH-2'!I519</f>
        <v>413797</v>
      </c>
      <c r="J417" s="791">
        <f>'NORTH-2'!J519</f>
        <v>1</v>
      </c>
      <c r="K417" s="791">
        <f>'NORTH-2'!K519</f>
        <v>0</v>
      </c>
      <c r="L417" s="791">
        <f>'NORTH-2'!L519</f>
        <v>413797</v>
      </c>
      <c r="M417" s="791">
        <f>'NORTH-2'!M519</f>
        <v>0</v>
      </c>
      <c r="N417" s="2019" t="str">
        <f>'NORTH-2'!N519</f>
        <v>Tejgaon</v>
      </c>
      <c r="O417" s="2019" t="str">
        <f>Sheet2!$C$7</f>
        <v>Tejgoan 33/11KV S/S</v>
      </c>
    </row>
    <row r="418" spans="1:15" x14ac:dyDescent="0.35">
      <c r="A418" s="2019">
        <f>'NORTH-2'!A520</f>
        <v>5</v>
      </c>
      <c r="B418" s="2019" t="str">
        <f>'NORTH-2'!B520</f>
        <v>Kahinur</v>
      </c>
      <c r="C418" s="2019">
        <f>'NORTH-2'!C520</f>
        <v>11</v>
      </c>
      <c r="D418" s="2019">
        <f>'NORTH-2'!D520</f>
        <v>0</v>
      </c>
      <c r="E418" s="2019">
        <f>'NORTH-2'!E520</f>
        <v>0</v>
      </c>
      <c r="F418" s="791">
        <f>'NORTH-2'!F520</f>
        <v>1</v>
      </c>
      <c r="G418" s="791">
        <f>'NORTH-2'!G520</f>
        <v>378099.9</v>
      </c>
      <c r="H418" s="791">
        <f>'NORTH-2'!H520</f>
        <v>391593.1</v>
      </c>
      <c r="I418" s="791">
        <f>'NORTH-2'!I520</f>
        <v>13493.199999999953</v>
      </c>
      <c r="J418" s="791">
        <f>'NORTH-2'!J520</f>
        <v>60</v>
      </c>
      <c r="K418" s="791">
        <f>'NORTH-2'!K520</f>
        <v>0</v>
      </c>
      <c r="L418" s="791">
        <f>'NORTH-2'!L520</f>
        <v>809591.99999999721</v>
      </c>
      <c r="M418" s="791">
        <f>'NORTH-2'!M520</f>
        <v>0</v>
      </c>
      <c r="N418" s="2019" t="str">
        <f>'NORTH-2'!N520</f>
        <v>Tejgaon</v>
      </c>
      <c r="O418" s="2019" t="str">
        <f>Sheet2!$C$7</f>
        <v>Tejgoan 33/11KV S/S</v>
      </c>
    </row>
    <row r="419" spans="1:15" x14ac:dyDescent="0.35">
      <c r="A419" s="2019">
        <f>'NORTH-2'!A521</f>
        <v>6</v>
      </c>
      <c r="B419" s="2019" t="str">
        <f>'NORTH-2'!B521</f>
        <v>Link road</v>
      </c>
      <c r="C419" s="2019">
        <f>'NORTH-2'!C521</f>
        <v>11</v>
      </c>
      <c r="D419" s="2019">
        <f>'NORTH-2'!D521</f>
        <v>0</v>
      </c>
      <c r="E419" s="2019" t="str">
        <f>'NORTH-2'!E521</f>
        <v>8A021100380-02</v>
      </c>
      <c r="F419" s="791">
        <f>'NORTH-2'!F521</f>
        <v>1</v>
      </c>
      <c r="G419" s="791">
        <f>'NORTH-2'!G521</f>
        <v>61127345</v>
      </c>
      <c r="H419" s="791">
        <f>'NORTH-2'!H521</f>
        <v>61422843</v>
      </c>
      <c r="I419" s="791">
        <f>'NORTH-2'!I521</f>
        <v>295498</v>
      </c>
      <c r="J419" s="791">
        <f>'NORTH-2'!J521</f>
        <v>1</v>
      </c>
      <c r="K419" s="791">
        <f>'NORTH-2'!K521</f>
        <v>0</v>
      </c>
      <c r="L419" s="791">
        <f>'NORTH-2'!L521</f>
        <v>295498</v>
      </c>
      <c r="M419" s="791">
        <f>'NORTH-2'!M521</f>
        <v>0</v>
      </c>
      <c r="N419" s="2019" t="str">
        <f>'NORTH-2'!N521</f>
        <v>Tejgaon</v>
      </c>
      <c r="O419" s="2019" t="str">
        <f>Sheet2!$C$7</f>
        <v>Tejgoan 33/11KV S/S</v>
      </c>
    </row>
    <row r="420" spans="1:15" x14ac:dyDescent="0.35">
      <c r="A420" s="2019">
        <f>'NORTH-2'!A522</f>
        <v>7</v>
      </c>
      <c r="B420" s="2019" t="str">
        <f>'NORTH-2'!B522</f>
        <v>Shanta</v>
      </c>
      <c r="C420" s="2019">
        <f>'NORTH-2'!C522</f>
        <v>11</v>
      </c>
      <c r="D420" s="2019">
        <f>'NORTH-2'!D522</f>
        <v>0</v>
      </c>
      <c r="E420" s="2019">
        <f>'NORTH-2'!E522</f>
        <v>0</v>
      </c>
      <c r="F420" s="791">
        <f>'NORTH-2'!F522</f>
        <v>1</v>
      </c>
      <c r="G420" s="791">
        <f>'NORTH-2'!G522</f>
        <v>242239</v>
      </c>
      <c r="H420" s="791">
        <f>'NORTH-2'!H522</f>
        <v>248870</v>
      </c>
      <c r="I420" s="791">
        <f>'NORTH-2'!I522</f>
        <v>6631</v>
      </c>
      <c r="J420" s="791">
        <f>'NORTH-2'!J522</f>
        <v>60</v>
      </c>
      <c r="K420" s="791">
        <f>'NORTH-2'!K522</f>
        <v>0</v>
      </c>
      <c r="L420" s="791">
        <f>'NORTH-2'!L522</f>
        <v>397860</v>
      </c>
      <c r="M420" s="791">
        <f>'NORTH-2'!M522</f>
        <v>0</v>
      </c>
      <c r="N420" s="2019" t="str">
        <f>'NORTH-2'!N522</f>
        <v>Tejgaon</v>
      </c>
      <c r="O420" s="2019" t="str">
        <f>Sheet2!$C$7</f>
        <v>Tejgoan 33/11KV S/S</v>
      </c>
    </row>
    <row r="421" spans="1:15" x14ac:dyDescent="0.35">
      <c r="A421" s="2019">
        <f>'NORTH-2'!A523</f>
        <v>1</v>
      </c>
      <c r="B421" s="2019" t="str">
        <f>'NORTH-2'!B523</f>
        <v>Karnafuly Feeder</v>
      </c>
      <c r="C421" s="2019">
        <f>'NORTH-2'!C523</f>
        <v>11</v>
      </c>
      <c r="D421" s="2019">
        <f>'NORTH-2'!D523</f>
        <v>0</v>
      </c>
      <c r="E421" s="2019" t="str">
        <f>'NORTH-2'!E523</f>
        <v>DHK61084</v>
      </c>
      <c r="F421" s="791">
        <f>'NORTH-2'!F523</f>
        <v>1</v>
      </c>
      <c r="G421" s="791">
        <f>'NORTH-2'!G523</f>
        <v>29741.9</v>
      </c>
      <c r="H421" s="791">
        <f>'NORTH-2'!H523</f>
        <v>30193.3</v>
      </c>
      <c r="I421" s="791">
        <f>'NORTH-2'!I523</f>
        <v>451.39999999999782</v>
      </c>
      <c r="J421" s="791">
        <f>'NORTH-2'!J523</f>
        <v>1000</v>
      </c>
      <c r="K421" s="791">
        <f>'NORTH-2'!K523</f>
        <v>0</v>
      </c>
      <c r="L421" s="791">
        <f>'NORTH-2'!L523</f>
        <v>451399.99999999779</v>
      </c>
      <c r="M421" s="791">
        <f>'NORTH-2'!M523</f>
        <v>0</v>
      </c>
      <c r="N421" s="2019" t="str">
        <f>'NORTH-2'!N523</f>
        <v>Tejgaon</v>
      </c>
      <c r="O421" s="2019" t="str">
        <f>Sheet2!$C$7</f>
        <v>Tejgoan 33/11KV S/S</v>
      </c>
    </row>
    <row r="422" spans="1:15" x14ac:dyDescent="0.35">
      <c r="A422" s="2019">
        <f>'NORTH-2'!A524</f>
        <v>2</v>
      </c>
      <c r="B422" s="2019" t="str">
        <f>'NORTH-2'!B524</f>
        <v>Butex</v>
      </c>
      <c r="C422" s="2019">
        <f>'NORTH-2'!C524</f>
        <v>11</v>
      </c>
      <c r="D422" s="2019">
        <f>'NORTH-2'!D524</f>
        <v>0</v>
      </c>
      <c r="E422" s="2019">
        <f>'NORTH-2'!E524</f>
        <v>0</v>
      </c>
      <c r="F422" s="791">
        <f>'NORTH-2'!F524</f>
        <v>1</v>
      </c>
      <c r="G422" s="791">
        <f>'NORTH-2'!G524</f>
        <v>428</v>
      </c>
      <c r="H422" s="791">
        <f>'NORTH-2'!H524</f>
        <v>474.5</v>
      </c>
      <c r="I422" s="791">
        <f>'NORTH-2'!I524</f>
        <v>46.5</v>
      </c>
      <c r="J422" s="791">
        <f>'NORTH-2'!J524</f>
        <v>1</v>
      </c>
      <c r="K422" s="791">
        <f>'NORTH-2'!K524</f>
        <v>0</v>
      </c>
      <c r="L422" s="791">
        <f>'NORTH-2'!L524</f>
        <v>46.5</v>
      </c>
      <c r="M422" s="791">
        <f>'NORTH-2'!M524</f>
        <v>0</v>
      </c>
      <c r="N422" s="2019" t="str">
        <f>'NORTH-2'!N524</f>
        <v>Tejgaon</v>
      </c>
      <c r="O422" s="2019" t="str">
        <f>Sheet2!$C$7</f>
        <v>Tejgoan 33/11KV S/S</v>
      </c>
    </row>
    <row r="423" spans="1:15" x14ac:dyDescent="0.35">
      <c r="A423" s="2019">
        <f>'NORTH-2'!A525</f>
        <v>3</v>
      </c>
      <c r="B423" s="2019" t="str">
        <f>'NORTH-2'!B525</f>
        <v>OriON LAB</v>
      </c>
      <c r="C423" s="2019">
        <f>'NORTH-2'!C525</f>
        <v>11</v>
      </c>
      <c r="D423" s="2019">
        <f>'NORTH-2'!D525</f>
        <v>0</v>
      </c>
      <c r="E423" s="2019">
        <f>'NORTH-2'!E525</f>
        <v>0</v>
      </c>
      <c r="F423" s="791">
        <f>'NORTH-2'!F525</f>
        <v>1</v>
      </c>
      <c r="G423" s="791">
        <f>'NORTH-2'!G525</f>
        <v>7604778</v>
      </c>
      <c r="H423" s="791">
        <f>'NORTH-2'!H525</f>
        <v>7667998</v>
      </c>
      <c r="I423" s="791">
        <f>'NORTH-2'!I525</f>
        <v>63220</v>
      </c>
      <c r="J423" s="791">
        <f>'NORTH-2'!J525</f>
        <v>1</v>
      </c>
      <c r="K423" s="791">
        <f>'NORTH-2'!K525</f>
        <v>0</v>
      </c>
      <c r="L423" s="791">
        <f>'NORTH-2'!L525</f>
        <v>63220</v>
      </c>
      <c r="M423" s="791">
        <f>'NORTH-2'!M525</f>
        <v>0</v>
      </c>
      <c r="N423" s="2019" t="str">
        <f>'NORTH-2'!N525</f>
        <v>Tejgaon</v>
      </c>
      <c r="O423" s="2019" t="str">
        <f>Sheet2!$C$7</f>
        <v>Tejgoan 33/11KV S/S</v>
      </c>
    </row>
    <row r="424" spans="1:15" x14ac:dyDescent="0.35">
      <c r="A424" s="2019">
        <f>'NORTH-2'!A526</f>
        <v>4</v>
      </c>
      <c r="B424" s="2019" t="str">
        <f>'NORTH-2'!B526</f>
        <v>Nina kabbo</v>
      </c>
      <c r="C424" s="2019">
        <f>'NORTH-2'!C526</f>
        <v>11</v>
      </c>
      <c r="D424" s="2019">
        <f>'NORTH-2'!D526</f>
        <v>0</v>
      </c>
      <c r="E424" s="2019" t="str">
        <f>'NORTH-2'!E526</f>
        <v>201101025-2</v>
      </c>
      <c r="F424" s="791">
        <f>'NORTH-2'!F526</f>
        <v>1</v>
      </c>
      <c r="G424" s="791">
        <f>'NORTH-2'!G526</f>
        <v>15395585</v>
      </c>
      <c r="H424" s="791">
        <f>'NORTH-2'!H526</f>
        <v>15554078</v>
      </c>
      <c r="I424" s="791">
        <f>'NORTH-2'!I526</f>
        <v>158493</v>
      </c>
      <c r="J424" s="791">
        <f>'NORTH-2'!J526</f>
        <v>1</v>
      </c>
      <c r="K424" s="791">
        <f>'NORTH-2'!K526</f>
        <v>0</v>
      </c>
      <c r="L424" s="791">
        <f>'NORTH-2'!L526</f>
        <v>158493</v>
      </c>
      <c r="M424" s="791">
        <f>'NORTH-2'!M526</f>
        <v>0</v>
      </c>
      <c r="N424" s="2019" t="str">
        <f>'NORTH-2'!N526</f>
        <v>Tejgaon</v>
      </c>
      <c r="O424" s="2019" t="str">
        <f>Sheet2!$C$7</f>
        <v>Tejgoan 33/11KV S/S</v>
      </c>
    </row>
    <row r="425" spans="1:15" x14ac:dyDescent="0.35">
      <c r="A425" s="2019">
        <f>'NORTH-2'!A527</f>
        <v>5</v>
      </c>
      <c r="B425" s="2019" t="str">
        <f>'NORTH-2'!B527</f>
        <v>Satrong</v>
      </c>
      <c r="C425" s="2019">
        <f>'NORTH-2'!C527</f>
        <v>11</v>
      </c>
      <c r="D425" s="2019">
        <f>'NORTH-2'!D527</f>
        <v>0</v>
      </c>
      <c r="E425" s="2019" t="str">
        <f>'NORTH-2'!E527</f>
        <v>HA021100515-2</v>
      </c>
      <c r="F425" s="791">
        <f>'NORTH-2'!F527</f>
        <v>1</v>
      </c>
      <c r="G425" s="791">
        <f>'NORTH-2'!G527</f>
        <v>83085930</v>
      </c>
      <c r="H425" s="791">
        <f>'NORTH-2'!H527</f>
        <v>83981860</v>
      </c>
      <c r="I425" s="791">
        <f>'NORTH-2'!I527</f>
        <v>895930</v>
      </c>
      <c r="J425" s="791">
        <f>'NORTH-2'!J527</f>
        <v>1</v>
      </c>
      <c r="K425" s="791">
        <f>'NORTH-2'!K527</f>
        <v>0</v>
      </c>
      <c r="L425" s="791">
        <f>'NORTH-2'!L527</f>
        <v>895930</v>
      </c>
      <c r="M425" s="791">
        <f>'NORTH-2'!M527</f>
        <v>0</v>
      </c>
      <c r="N425" s="2019" t="str">
        <f>'NORTH-2'!N527</f>
        <v>Tejgaon</v>
      </c>
      <c r="O425" s="2019" t="str">
        <f>Sheet2!$C$7</f>
        <v>Tejgoan 33/11KV S/S</v>
      </c>
    </row>
    <row r="426" spans="1:15" x14ac:dyDescent="0.35">
      <c r="A426" s="2019">
        <f>'NORTH-2'!A528</f>
        <v>6</v>
      </c>
      <c r="B426" s="2019" t="str">
        <f>'NORTH-2'!B528</f>
        <v>South East RMU</v>
      </c>
      <c r="C426" s="2019">
        <f>'NORTH-2'!C528</f>
        <v>11</v>
      </c>
      <c r="D426" s="2019">
        <f>'NORTH-2'!D528</f>
        <v>0</v>
      </c>
      <c r="E426" s="2019">
        <f>'NORTH-2'!E528</f>
        <v>0</v>
      </c>
      <c r="F426" s="791">
        <f>'NORTH-2'!F528</f>
        <v>1</v>
      </c>
      <c r="G426" s="791">
        <f>'NORTH-2'!G528</f>
        <v>15.8</v>
      </c>
      <c r="H426" s="791">
        <f>'NORTH-2'!H528</f>
        <v>30.3</v>
      </c>
      <c r="I426" s="791">
        <f>'NORTH-2'!I528</f>
        <v>14.5</v>
      </c>
      <c r="J426" s="791">
        <f>'NORTH-2'!J528</f>
        <v>0</v>
      </c>
      <c r="K426" s="791">
        <f>'NORTH-2'!K528</f>
        <v>0</v>
      </c>
      <c r="L426" s="791">
        <f>'NORTH-2'!L528</f>
        <v>0</v>
      </c>
      <c r="M426" s="791">
        <f>'NORTH-2'!M528</f>
        <v>0</v>
      </c>
      <c r="N426" s="2019" t="str">
        <f>'NORTH-2'!N528</f>
        <v>Tejgaon</v>
      </c>
      <c r="O426" s="2019" t="str">
        <f>Sheet2!$C$7</f>
        <v>Tejgoan 33/11KV S/S</v>
      </c>
    </row>
    <row r="427" spans="1:15" x14ac:dyDescent="0.35">
      <c r="A427" s="2019">
        <f>'NORTH-2'!A529</f>
        <v>7</v>
      </c>
      <c r="B427" s="2019" t="str">
        <f>'NORTH-2'!B529</f>
        <v>Rangs Bhaban</v>
      </c>
      <c r="C427" s="2019">
        <f>'NORTH-2'!C529</f>
        <v>11</v>
      </c>
      <c r="D427" s="2019">
        <f>'NORTH-2'!D529</f>
        <v>0</v>
      </c>
      <c r="E427" s="2019" t="str">
        <f>'NORTH-2'!E529</f>
        <v>HA021100939-2</v>
      </c>
      <c r="F427" s="791">
        <f>'NORTH-2'!F529</f>
        <v>1</v>
      </c>
      <c r="G427" s="791">
        <f>'NORTH-2'!G529</f>
        <v>4158649</v>
      </c>
      <c r="H427" s="791">
        <f>'NORTH-2'!H529</f>
        <v>4243201</v>
      </c>
      <c r="I427" s="791">
        <f>'NORTH-2'!I529</f>
        <v>84552</v>
      </c>
      <c r="J427" s="791">
        <f>'NORTH-2'!J529</f>
        <v>1</v>
      </c>
      <c r="K427" s="791">
        <f>'NORTH-2'!K529</f>
        <v>0</v>
      </c>
      <c r="L427" s="791">
        <f>'NORTH-2'!L529</f>
        <v>84552</v>
      </c>
      <c r="M427" s="791">
        <f>'NORTH-2'!M529</f>
        <v>0</v>
      </c>
      <c r="N427" s="2019" t="str">
        <f>'NORTH-2'!N529</f>
        <v>Tejgaon</v>
      </c>
      <c r="O427" s="2019" t="str">
        <f>Sheet2!$C$7</f>
        <v>Tejgoan 33/11KV S/S</v>
      </c>
    </row>
    <row r="428" spans="1:15" x14ac:dyDescent="0.35">
      <c r="A428" s="2019">
        <f>'NORTH-2'!A530</f>
        <v>8</v>
      </c>
      <c r="B428" s="2019" t="str">
        <f>'NORTH-2'!B530</f>
        <v>Babli</v>
      </c>
      <c r="C428" s="2019">
        <f>'NORTH-2'!C530</f>
        <v>11</v>
      </c>
      <c r="D428" s="2019">
        <f>'NORTH-2'!D530</f>
        <v>0</v>
      </c>
      <c r="E428" s="2019">
        <f>'NORTH-2'!E530</f>
        <v>0</v>
      </c>
      <c r="F428" s="791">
        <f>'NORTH-2'!F530</f>
        <v>1</v>
      </c>
      <c r="G428" s="791">
        <f>'NORTH-2'!G530</f>
        <v>46491.8</v>
      </c>
      <c r="H428" s="791">
        <f>'NORTH-2'!H530</f>
        <v>47240.6</v>
      </c>
      <c r="I428" s="791">
        <f>'NORTH-2'!I530</f>
        <v>748.79999999999563</v>
      </c>
      <c r="J428" s="791">
        <f>'NORTH-2'!J530</f>
        <v>1000</v>
      </c>
      <c r="K428" s="791">
        <f>'NORTH-2'!K530</f>
        <v>0</v>
      </c>
      <c r="L428" s="791">
        <f>'NORTH-2'!L530</f>
        <v>748799.99999999558</v>
      </c>
      <c r="M428" s="791">
        <f>'NORTH-2'!M530</f>
        <v>0</v>
      </c>
      <c r="N428" s="2019" t="str">
        <f>'NORTH-2'!N530</f>
        <v>Tejgaon</v>
      </c>
      <c r="O428" s="2019" t="str">
        <f>Sheet2!$C$7</f>
        <v>Tejgoan 33/11KV S/S</v>
      </c>
    </row>
    <row r="429" spans="1:15" x14ac:dyDescent="0.35">
      <c r="A429" s="2019">
        <f>'NORTH-2'!A531</f>
        <v>0</v>
      </c>
      <c r="B429" s="2019" t="str">
        <f>'NORTH-2'!B531</f>
        <v>SPL</v>
      </c>
      <c r="C429" s="2019">
        <f>'NORTH-2'!C531</f>
        <v>11</v>
      </c>
      <c r="D429" s="2019">
        <f>'NORTH-2'!D531</f>
        <v>0</v>
      </c>
      <c r="E429" s="2019">
        <f>'NORTH-2'!E531</f>
        <v>0</v>
      </c>
      <c r="F429" s="791">
        <f>'NORTH-2'!F531</f>
        <v>1</v>
      </c>
      <c r="G429" s="791">
        <f>'NORTH-2'!G531</f>
        <v>1333.4</v>
      </c>
      <c r="H429" s="791">
        <f>'NORTH-2'!H531</f>
        <v>1602.9</v>
      </c>
      <c r="I429" s="791">
        <f>'NORTH-2'!I531</f>
        <v>269.5</v>
      </c>
      <c r="J429" s="791">
        <f>'NORTH-2'!J531</f>
        <v>1000</v>
      </c>
      <c r="K429" s="791">
        <f>'NORTH-2'!K531</f>
        <v>0</v>
      </c>
      <c r="L429" s="791">
        <f>'NORTH-2'!L531</f>
        <v>269500</v>
      </c>
      <c r="M429" s="791">
        <f>'NORTH-2'!M531</f>
        <v>0</v>
      </c>
      <c r="N429" s="2019" t="str">
        <f>'NORTH-2'!N531</f>
        <v>Tejgaon</v>
      </c>
      <c r="O429" s="2019" t="str">
        <f>Sheet2!$C$7</f>
        <v>Tejgoan 33/11KV S/S</v>
      </c>
    </row>
    <row r="430" spans="1:15" x14ac:dyDescent="0.35">
      <c r="A430" s="2019">
        <f>'NORTH-2'!A532</f>
        <v>9</v>
      </c>
      <c r="B430" s="2019" t="str">
        <f>'NORTH-2'!B532</f>
        <v>DNCC Hospital</v>
      </c>
      <c r="C430" s="2019">
        <f>'NORTH-2'!C532</f>
        <v>11</v>
      </c>
      <c r="D430" s="2019">
        <f>'NORTH-2'!D532</f>
        <v>0</v>
      </c>
      <c r="E430" s="2019">
        <f>'NORTH-2'!E532</f>
        <v>0</v>
      </c>
      <c r="F430" s="791">
        <f>'NORTH-2'!F532</f>
        <v>1</v>
      </c>
      <c r="G430" s="791">
        <f>'NORTH-2'!G532</f>
        <v>8328.7000000000007</v>
      </c>
      <c r="H430" s="791">
        <f>'NORTH-2'!H532</f>
        <v>8854.5</v>
      </c>
      <c r="I430" s="791">
        <f>'NORTH-2'!I532</f>
        <v>525.79999999999927</v>
      </c>
      <c r="J430" s="791">
        <f>'NORTH-2'!J532</f>
        <v>1000</v>
      </c>
      <c r="K430" s="791">
        <f>'NORTH-2'!K532</f>
        <v>0</v>
      </c>
      <c r="L430" s="791">
        <f>'NORTH-2'!L532</f>
        <v>525799.9999999993</v>
      </c>
      <c r="M430" s="791">
        <f>'NORTH-2'!M532</f>
        <v>0</v>
      </c>
      <c r="N430" s="2019" t="str">
        <f>'NORTH-2'!N532</f>
        <v>Tejgaon</v>
      </c>
      <c r="O430" s="2019" t="str">
        <f>Sheet2!$C$7</f>
        <v>Tejgoan 33/11KV S/S</v>
      </c>
    </row>
    <row r="431" spans="1:15" x14ac:dyDescent="0.35">
      <c r="A431" s="2019">
        <f>'NORTH-2'!A595</f>
        <v>1</v>
      </c>
      <c r="B431" s="2019" t="str">
        <f>'NORTH-2'!B595</f>
        <v>Gonobhaban</v>
      </c>
      <c r="C431" s="2019">
        <f>'NORTH-2'!C595</f>
        <v>11</v>
      </c>
      <c r="D431" s="2019">
        <f>'NORTH-2'!D595</f>
        <v>0</v>
      </c>
      <c r="E431" s="2019" t="str">
        <f>'NORTH-2'!E595</f>
        <v>DHKC9332</v>
      </c>
      <c r="F431" s="791">
        <f>'NORTH-2'!F595</f>
        <v>1</v>
      </c>
      <c r="G431" s="791">
        <f>'NORTH-2'!G595</f>
        <v>50811.35</v>
      </c>
      <c r="H431" s="791">
        <f>'NORTH-2'!H595</f>
        <v>52655.35</v>
      </c>
      <c r="I431" s="791">
        <f>'NORTH-2'!I595</f>
        <v>1844</v>
      </c>
      <c r="J431" s="791">
        <f>'NORTH-2'!J595</f>
        <v>60</v>
      </c>
      <c r="K431" s="791">
        <f>'NORTH-2'!K595</f>
        <v>0</v>
      </c>
      <c r="L431" s="791">
        <f>'NORTH-2'!L595</f>
        <v>110640</v>
      </c>
      <c r="M431" s="791">
        <f>'NORTH-2'!M595</f>
        <v>0</v>
      </c>
      <c r="N431" s="2019" t="str">
        <f>'NORTH-2'!N595</f>
        <v>Shere Banglanagar</v>
      </c>
      <c r="O431" s="2019" t="str">
        <f>Sheet2!$C$31</f>
        <v>Asad Gate 33/11 KV S/S</v>
      </c>
    </row>
    <row r="432" spans="1:15" x14ac:dyDescent="0.35">
      <c r="A432" s="2019">
        <f>'NORTH-2'!A596</f>
        <v>2</v>
      </c>
      <c r="B432" s="2019" t="str">
        <f>'NORTH-2'!B596</f>
        <v xml:space="preserve"> Rapa Plaza Feeder</v>
      </c>
      <c r="C432" s="2019">
        <f>'NORTH-2'!C596</f>
        <v>11</v>
      </c>
      <c r="D432" s="2019">
        <f>'NORTH-2'!D596</f>
        <v>0</v>
      </c>
      <c r="E432" s="2019" t="str">
        <f>'NORTH-2'!E596</f>
        <v>DHKC9339</v>
      </c>
      <c r="F432" s="791">
        <f>'NORTH-2'!F596</f>
        <v>1</v>
      </c>
      <c r="G432" s="791">
        <f>'NORTH-2'!G596</f>
        <v>51656.81</v>
      </c>
      <c r="H432" s="791">
        <f>'NORTH-2'!H596</f>
        <v>63528.15</v>
      </c>
      <c r="I432" s="791">
        <f>'NORTH-2'!I596</f>
        <v>11871.340000000004</v>
      </c>
      <c r="J432" s="791">
        <f>'NORTH-2'!J596</f>
        <v>60</v>
      </c>
      <c r="K432" s="791">
        <f>'NORTH-2'!K596</f>
        <v>0</v>
      </c>
      <c r="L432" s="791">
        <f>'NORTH-2'!L596</f>
        <v>712280.40000000026</v>
      </c>
      <c r="M432" s="791">
        <f>'NORTH-2'!M596</f>
        <v>0</v>
      </c>
      <c r="N432" s="2019" t="str">
        <f>'NORTH-2'!N596</f>
        <v>Dhanmondi</v>
      </c>
      <c r="O432" s="2019" t="str">
        <f>Sheet2!$C$31</f>
        <v>Asad Gate 33/11 KV S/S</v>
      </c>
    </row>
    <row r="433" spans="1:15" x14ac:dyDescent="0.35">
      <c r="A433" s="2019">
        <f>'NORTH-2'!A597</f>
        <v>3</v>
      </c>
      <c r="B433" s="2019" t="str">
        <f>'NORTH-2'!B597</f>
        <v xml:space="preserve"> Shukrabad/ South Plaza</v>
      </c>
      <c r="C433" s="2019">
        <f>'NORTH-2'!C597</f>
        <v>11</v>
      </c>
      <c r="D433" s="2019">
        <f>'NORTH-2'!D597</f>
        <v>0</v>
      </c>
      <c r="E433" s="2019" t="str">
        <f>'NORTH-2'!E597</f>
        <v>DHKC9324</v>
      </c>
      <c r="F433" s="791">
        <f>'NORTH-2'!F597</f>
        <v>1</v>
      </c>
      <c r="G433" s="791">
        <f>'NORTH-2'!G597</f>
        <v>11038.82</v>
      </c>
      <c r="H433" s="791">
        <f>'NORTH-2'!H597</f>
        <v>23091.200000000001</v>
      </c>
      <c r="I433" s="791">
        <f>'NORTH-2'!I597</f>
        <v>12052.380000000001</v>
      </c>
      <c r="J433" s="791">
        <f>'NORTH-2'!J597</f>
        <v>60</v>
      </c>
      <c r="K433" s="791">
        <f>'NORTH-2'!K597</f>
        <v>0</v>
      </c>
      <c r="L433" s="791">
        <f>'NORTH-2'!L597</f>
        <v>723142.8</v>
      </c>
      <c r="M433" s="791">
        <f>'NORTH-2'!M597</f>
        <v>0</v>
      </c>
      <c r="N433" s="2019" t="str">
        <f>'NORTH-2'!N597</f>
        <v>Shere Banglanagar</v>
      </c>
      <c r="O433" s="2019" t="str">
        <f>Sheet2!$C$31</f>
        <v>Asad Gate 33/11 KV S/S</v>
      </c>
    </row>
    <row r="434" spans="1:15" x14ac:dyDescent="0.35">
      <c r="A434" s="2019">
        <f>'NORTH-2'!A598</f>
        <v>4</v>
      </c>
      <c r="B434" s="2019" t="str">
        <f>'NORTH-2'!B598</f>
        <v xml:space="preserve">  Wasa O/H</v>
      </c>
      <c r="C434" s="2019">
        <f>'NORTH-2'!C598</f>
        <v>11</v>
      </c>
      <c r="D434" s="2019">
        <f>'NORTH-2'!D598</f>
        <v>0</v>
      </c>
      <c r="E434" s="2019" t="str">
        <f>'NORTH-2'!E598</f>
        <v>DHKC9333</v>
      </c>
      <c r="F434" s="791">
        <f>'NORTH-2'!F598</f>
        <v>1</v>
      </c>
      <c r="G434" s="791">
        <f>'NORTH-2'!G598</f>
        <v>76057.37</v>
      </c>
      <c r="H434" s="791">
        <f>'NORTH-2'!H598</f>
        <v>85947.97</v>
      </c>
      <c r="I434" s="791">
        <f>'NORTH-2'!I598</f>
        <v>9890.6000000000058</v>
      </c>
      <c r="J434" s="791">
        <f>'NORTH-2'!J598</f>
        <v>60</v>
      </c>
      <c r="K434" s="791">
        <f>'NORTH-2'!K598</f>
        <v>0</v>
      </c>
      <c r="L434" s="791">
        <f>'NORTH-2'!L598</f>
        <v>593436.00000000035</v>
      </c>
      <c r="M434" s="791">
        <f>'NORTH-2'!M598</f>
        <v>0</v>
      </c>
      <c r="N434" s="2019" t="str">
        <f>'NORTH-2'!N598</f>
        <v>Satmasjid</v>
      </c>
      <c r="O434" s="2019" t="str">
        <f>Sheet2!$C$31</f>
        <v>Asad Gate 33/11 KV S/S</v>
      </c>
    </row>
    <row r="435" spans="1:15" x14ac:dyDescent="0.35">
      <c r="A435" s="2019">
        <f>'NORTH-2'!A599</f>
        <v>5</v>
      </c>
      <c r="B435" s="2019" t="str">
        <f>'NORTH-2'!B599</f>
        <v xml:space="preserve"> Bangabandhu Memorial Museum </v>
      </c>
      <c r="C435" s="2019">
        <f>'NORTH-2'!C599</f>
        <v>11</v>
      </c>
      <c r="D435" s="2019">
        <f>'NORTH-2'!D599</f>
        <v>0</v>
      </c>
      <c r="E435" s="2019" t="str">
        <f>'NORTH-2'!E599</f>
        <v>DHKC9334</v>
      </c>
      <c r="F435" s="791">
        <f>'NORTH-2'!F599</f>
        <v>1</v>
      </c>
      <c r="G435" s="791">
        <f>'NORTH-2'!G599</f>
        <v>13531.24</v>
      </c>
      <c r="H435" s="791">
        <f>'NORTH-2'!H599</f>
        <v>13651.22</v>
      </c>
      <c r="I435" s="791">
        <f>'NORTH-2'!I599</f>
        <v>119.97999999999956</v>
      </c>
      <c r="J435" s="791">
        <f>'NORTH-2'!J599</f>
        <v>60</v>
      </c>
      <c r="K435" s="791">
        <f>'NORTH-2'!K599</f>
        <v>0</v>
      </c>
      <c r="L435" s="791">
        <f>'NORTH-2'!L599</f>
        <v>7198.7999999999738</v>
      </c>
      <c r="M435" s="791">
        <f>'NORTH-2'!M599</f>
        <v>0</v>
      </c>
      <c r="N435" s="2019" t="str">
        <f>'NORTH-2'!N599</f>
        <v>Dhanmondi</v>
      </c>
      <c r="O435" s="2019" t="str">
        <f>Sheet2!$C$31</f>
        <v>Asad Gate 33/11 KV S/S</v>
      </c>
    </row>
    <row r="436" spans="1:15" x14ac:dyDescent="0.35">
      <c r="A436" s="2019">
        <f>'NORTH-2'!A600</f>
        <v>6</v>
      </c>
      <c r="B436" s="2019" t="str">
        <f>'NORTH-2'!B600</f>
        <v>Iqbal Road O/H</v>
      </c>
      <c r="C436" s="2019">
        <f>'NORTH-2'!C600</f>
        <v>11</v>
      </c>
      <c r="D436" s="2019">
        <f>'NORTH-2'!D600</f>
        <v>0</v>
      </c>
      <c r="E436" s="2019" t="str">
        <f>'NORTH-2'!E600</f>
        <v>DHKC9330</v>
      </c>
      <c r="F436" s="791">
        <f>'NORTH-2'!F600</f>
        <v>1</v>
      </c>
      <c r="G436" s="791">
        <f>'NORTH-2'!G600</f>
        <v>10861.79</v>
      </c>
      <c r="H436" s="791">
        <f>'NORTH-2'!H600</f>
        <v>22946.6</v>
      </c>
      <c r="I436" s="791">
        <f>'NORTH-2'!I600</f>
        <v>12084.809999999998</v>
      </c>
      <c r="J436" s="791">
        <f>'NORTH-2'!J600</f>
        <v>60</v>
      </c>
      <c r="K436" s="791">
        <f>'NORTH-2'!K600</f>
        <v>0</v>
      </c>
      <c r="L436" s="791">
        <f>'NORTH-2'!L600</f>
        <v>725088.59999999986</v>
      </c>
      <c r="M436" s="791">
        <f>'NORTH-2'!M600</f>
        <v>0</v>
      </c>
      <c r="N436" s="2019" t="str">
        <f>'NORTH-2'!N600</f>
        <v>Shyamoli</v>
      </c>
      <c r="O436" s="2019" t="str">
        <f>Sheet2!$C$31</f>
        <v>Asad Gate 33/11 KV S/S</v>
      </c>
    </row>
    <row r="437" spans="1:15" x14ac:dyDescent="0.35">
      <c r="A437" s="2019">
        <f>'NORTH-2'!A601</f>
        <v>7</v>
      </c>
      <c r="B437" s="2019" t="str">
        <f>'NORTH-2'!B601</f>
        <v xml:space="preserve"> Town Hall</v>
      </c>
      <c r="C437" s="2019">
        <f>'NORTH-2'!C601</f>
        <v>11</v>
      </c>
      <c r="D437" s="2019">
        <f>'NORTH-2'!D601</f>
        <v>0</v>
      </c>
      <c r="E437" s="2019" t="str">
        <f>'NORTH-2'!E601</f>
        <v>DHKC9351</v>
      </c>
      <c r="F437" s="791">
        <f>'NORTH-2'!F601</f>
        <v>1</v>
      </c>
      <c r="G437" s="791">
        <f>'NORTH-2'!G601</f>
        <v>72047.11</v>
      </c>
      <c r="H437" s="791">
        <f>'NORTH-2'!H601</f>
        <v>96221</v>
      </c>
      <c r="I437" s="791">
        <f>'NORTH-2'!I601</f>
        <v>24173.89</v>
      </c>
      <c r="J437" s="791">
        <f>'NORTH-2'!J601</f>
        <v>60</v>
      </c>
      <c r="K437" s="791">
        <f>'NORTH-2'!K601</f>
        <v>0</v>
      </c>
      <c r="L437" s="791">
        <f>'NORTH-2'!L601</f>
        <v>1450433.4</v>
      </c>
      <c r="M437" s="791">
        <f>'NORTH-2'!M601</f>
        <v>0</v>
      </c>
      <c r="N437" s="2019" t="str">
        <f>'NORTH-2'!N601</f>
        <v>Shyamoli</v>
      </c>
      <c r="O437" s="2019" t="str">
        <f>Sheet2!$C$31</f>
        <v>Asad Gate 33/11 KV S/S</v>
      </c>
    </row>
    <row r="438" spans="1:15" x14ac:dyDescent="0.35">
      <c r="A438" s="2019">
        <f>'NORTH-2'!A602</f>
        <v>8</v>
      </c>
      <c r="B438" s="2019" t="str">
        <f>'NORTH-2'!B602</f>
        <v xml:space="preserve"> Post Office</v>
      </c>
      <c r="C438" s="2019">
        <f>'NORTH-2'!C602</f>
        <v>11</v>
      </c>
      <c r="D438" s="2019">
        <f>'NORTH-2'!D602</f>
        <v>0</v>
      </c>
      <c r="E438" s="2019" t="str">
        <f>'NORTH-2'!E602</f>
        <v>DHKC9331</v>
      </c>
      <c r="F438" s="791">
        <f>'NORTH-2'!F602</f>
        <v>1</v>
      </c>
      <c r="G438" s="791">
        <f>'NORTH-2'!G602</f>
        <v>67410.34</v>
      </c>
      <c r="H438" s="791">
        <f>'NORTH-2'!H602</f>
        <v>69815.520000000004</v>
      </c>
      <c r="I438" s="791">
        <f>'NORTH-2'!I602</f>
        <v>2405.1800000000076</v>
      </c>
      <c r="J438" s="791">
        <f>'NORTH-2'!J602</f>
        <v>60</v>
      </c>
      <c r="K438" s="791">
        <f>'NORTH-2'!K602</f>
        <v>0</v>
      </c>
      <c r="L438" s="791">
        <f>'NORTH-2'!L602</f>
        <v>144310.80000000045</v>
      </c>
      <c r="M438" s="791">
        <f>'NORTH-2'!M602</f>
        <v>0</v>
      </c>
      <c r="N438" s="2019" t="str">
        <f>'NORTH-2'!N602</f>
        <v>Shyamoli</v>
      </c>
      <c r="O438" s="2019" t="str">
        <f>Sheet2!$C$31</f>
        <v>Asad Gate 33/11 KV S/S</v>
      </c>
    </row>
    <row r="439" spans="1:15" x14ac:dyDescent="0.35">
      <c r="A439" s="2019">
        <f>'NORTH-2'!A603</f>
        <v>9</v>
      </c>
      <c r="B439" s="2019" t="str">
        <f>'NORTH-2'!B603</f>
        <v>Shangshad Bhaban</v>
      </c>
      <c r="C439" s="2019">
        <f>'NORTH-2'!C603</f>
        <v>11</v>
      </c>
      <c r="D439" s="2019">
        <f>'NORTH-2'!D603</f>
        <v>0</v>
      </c>
      <c r="E439" s="2019" t="str">
        <f>'NORTH-2'!E603</f>
        <v>DHKC9370</v>
      </c>
      <c r="F439" s="791">
        <f>'NORTH-2'!F603</f>
        <v>1</v>
      </c>
      <c r="G439" s="791">
        <f>'NORTH-2'!G603</f>
        <v>71547.08</v>
      </c>
      <c r="H439" s="791">
        <f>'NORTH-2'!H603</f>
        <v>78146.48</v>
      </c>
      <c r="I439" s="791">
        <f>'NORTH-2'!I603</f>
        <v>6599.3999999999942</v>
      </c>
      <c r="J439" s="791">
        <f>'NORTH-2'!J603</f>
        <v>60</v>
      </c>
      <c r="K439" s="791">
        <f>'NORTH-2'!K603</f>
        <v>0</v>
      </c>
      <c r="L439" s="791">
        <f>'NORTH-2'!L603</f>
        <v>395963.99999999965</v>
      </c>
      <c r="M439" s="791">
        <f>'NORTH-2'!M603</f>
        <v>0</v>
      </c>
      <c r="N439" s="2019" t="str">
        <f>'NORTH-2'!N603</f>
        <v>Shere Banglanagar</v>
      </c>
      <c r="O439" s="2019" t="str">
        <f>Sheet2!$C$31</f>
        <v>Asad Gate 33/11 KV S/S</v>
      </c>
    </row>
    <row r="440" spans="1:15" x14ac:dyDescent="0.35">
      <c r="A440" s="2019">
        <f>'NORTH-2'!A604</f>
        <v>10</v>
      </c>
      <c r="B440" s="2019" t="str">
        <f>'NORTH-2'!B604</f>
        <v xml:space="preserve"> Jakir Hossain Road</v>
      </c>
      <c r="C440" s="2019">
        <f>'NORTH-2'!C604</f>
        <v>11</v>
      </c>
      <c r="D440" s="2019">
        <f>'NORTH-2'!D604</f>
        <v>0</v>
      </c>
      <c r="E440" s="2019" t="str">
        <f>'NORTH-2'!E604</f>
        <v>DHKC9373</v>
      </c>
      <c r="F440" s="791">
        <f>'NORTH-2'!F604</f>
        <v>1</v>
      </c>
      <c r="G440" s="791">
        <f>'NORTH-2'!G604</f>
        <v>77182.720000000001</v>
      </c>
      <c r="H440" s="791">
        <f>'NORTH-2'!H604</f>
        <v>90478.66</v>
      </c>
      <c r="I440" s="791">
        <f>'NORTH-2'!I604</f>
        <v>13295.940000000002</v>
      </c>
      <c r="J440" s="791">
        <f>'NORTH-2'!J604</f>
        <v>60</v>
      </c>
      <c r="K440" s="791">
        <f>'NORTH-2'!K604</f>
        <v>0</v>
      </c>
      <c r="L440" s="791">
        <f>'NORTH-2'!L604</f>
        <v>797756.40000000014</v>
      </c>
      <c r="M440" s="791">
        <f>'NORTH-2'!M604</f>
        <v>0</v>
      </c>
      <c r="N440" s="2019" t="str">
        <f>'NORTH-2'!N604</f>
        <v>Satmasjid</v>
      </c>
      <c r="O440" s="2019" t="str">
        <f>Sheet2!$C$31</f>
        <v>Asad Gate 33/11 KV S/S</v>
      </c>
    </row>
    <row r="441" spans="1:15" x14ac:dyDescent="0.35">
      <c r="A441" s="2019">
        <f>'NORTH-2'!A605</f>
        <v>11</v>
      </c>
      <c r="B441" s="2019" t="str">
        <f>'NORTH-2'!B605</f>
        <v xml:space="preserve"> New Colony O/H Feeder</v>
      </c>
      <c r="C441" s="2019">
        <f>'NORTH-2'!C605</f>
        <v>11</v>
      </c>
      <c r="D441" s="2019">
        <f>'NORTH-2'!D605</f>
        <v>0</v>
      </c>
      <c r="E441" s="2019" t="str">
        <f>'NORTH-2'!E605</f>
        <v>DHKC9369</v>
      </c>
      <c r="F441" s="791">
        <f>'NORTH-2'!F605</f>
        <v>1</v>
      </c>
      <c r="G441" s="791">
        <f>'NORTH-2'!G605</f>
        <v>89647.34</v>
      </c>
      <c r="H441" s="791">
        <f>'NORTH-2'!H605</f>
        <v>103261.17</v>
      </c>
      <c r="I441" s="791">
        <f>'NORTH-2'!I605</f>
        <v>13613.830000000002</v>
      </c>
      <c r="J441" s="791">
        <f>'NORTH-2'!J605</f>
        <v>60</v>
      </c>
      <c r="K441" s="791">
        <f>'NORTH-2'!K605</f>
        <v>0</v>
      </c>
      <c r="L441" s="791">
        <f>'NORTH-2'!L605</f>
        <v>816829.8</v>
      </c>
      <c r="M441" s="791">
        <f>'NORTH-2'!M605</f>
        <v>0</v>
      </c>
      <c r="N441" s="2019" t="str">
        <f>'NORTH-2'!N605</f>
        <v>Satmasjid</v>
      </c>
      <c r="O441" s="2019" t="str">
        <f>Sheet2!$C$31</f>
        <v>Asad Gate 33/11 KV S/S</v>
      </c>
    </row>
    <row r="442" spans="1:15" x14ac:dyDescent="0.35">
      <c r="A442" s="2019">
        <f>'NORTH-2'!A606</f>
        <v>12</v>
      </c>
      <c r="B442" s="2019" t="str">
        <f>'NORTH-2'!B606</f>
        <v xml:space="preserve"> Aurangzeb Feeder</v>
      </c>
      <c r="C442" s="2019">
        <f>'NORTH-2'!C606</f>
        <v>11</v>
      </c>
      <c r="D442" s="2019">
        <f>'NORTH-2'!D606</f>
        <v>0</v>
      </c>
      <c r="E442" s="2019" t="str">
        <f>'NORTH-2'!E606</f>
        <v>DHKC9321</v>
      </c>
      <c r="F442" s="791">
        <f>'NORTH-2'!F606</f>
        <v>1</v>
      </c>
      <c r="G442" s="791">
        <f>'NORTH-2'!G606</f>
        <v>6318.92</v>
      </c>
      <c r="H442" s="791">
        <f>'NORTH-2'!H606</f>
        <v>23328.47</v>
      </c>
      <c r="I442" s="791">
        <f>'NORTH-2'!I606</f>
        <v>17009.550000000003</v>
      </c>
      <c r="J442" s="791">
        <f>'NORTH-2'!J606</f>
        <v>60</v>
      </c>
      <c r="K442" s="791">
        <f>'NORTH-2'!K606</f>
        <v>0</v>
      </c>
      <c r="L442" s="791">
        <f>'NORTH-2'!L606</f>
        <v>1020573.0000000002</v>
      </c>
      <c r="M442" s="791">
        <f>'NORTH-2'!M606</f>
        <v>0</v>
      </c>
      <c r="N442" s="2019" t="str">
        <f>'NORTH-2'!N606</f>
        <v>Shyamoli</v>
      </c>
      <c r="O442" s="2019" t="str">
        <f>Sheet2!$C$31</f>
        <v>Asad Gate 33/11 KV S/S</v>
      </c>
    </row>
    <row r="443" spans="1:15" x14ac:dyDescent="0.35">
      <c r="A443" s="2019">
        <f>'NORTH-2'!A607</f>
        <v>13</v>
      </c>
      <c r="B443" s="2019" t="str">
        <f>'NORTH-2'!B607</f>
        <v xml:space="preserve"> Asadgate Local Feeder</v>
      </c>
      <c r="C443" s="2019">
        <f>'NORTH-2'!C607</f>
        <v>11</v>
      </c>
      <c r="D443" s="2019">
        <f>'NORTH-2'!D607</f>
        <v>0</v>
      </c>
      <c r="E443" s="2019" t="str">
        <f>'NORTH-2'!E607</f>
        <v>DHKC9338</v>
      </c>
      <c r="F443" s="791">
        <f>'NORTH-2'!F607</f>
        <v>1</v>
      </c>
      <c r="G443" s="791">
        <f>'NORTH-2'!G607</f>
        <v>17808.41</v>
      </c>
      <c r="H443" s="791">
        <f>'NORTH-2'!H607</f>
        <v>27131.79</v>
      </c>
      <c r="I443" s="791">
        <f>'NORTH-2'!I607</f>
        <v>9323.380000000001</v>
      </c>
      <c r="J443" s="791">
        <f>'NORTH-2'!J607</f>
        <v>60</v>
      </c>
      <c r="K443" s="791">
        <f>'NORTH-2'!K607</f>
        <v>0</v>
      </c>
      <c r="L443" s="791">
        <f>'NORTH-2'!L607</f>
        <v>559402.80000000005</v>
      </c>
      <c r="M443" s="791">
        <f>'NORTH-2'!M607</f>
        <v>0</v>
      </c>
      <c r="N443" s="2019" t="str">
        <f>'NORTH-2'!N607</f>
        <v>Satmasjid</v>
      </c>
      <c r="O443" s="2019" t="str">
        <f>Sheet2!$C$31</f>
        <v>Asad Gate 33/11 KV S/S</v>
      </c>
    </row>
    <row r="444" spans="1:15" x14ac:dyDescent="0.35">
      <c r="A444" s="2019">
        <f>'NORTH-2'!A608</f>
        <v>14</v>
      </c>
      <c r="B444" s="2019" t="str">
        <f>'NORTH-2'!B608</f>
        <v xml:space="preserve"> Sonarbangla Road</v>
      </c>
      <c r="C444" s="2019">
        <f>'NORTH-2'!C608</f>
        <v>11</v>
      </c>
      <c r="D444" s="2019">
        <f>'NORTH-2'!D608</f>
        <v>0</v>
      </c>
      <c r="E444" s="2019" t="str">
        <f>'NORTH-2'!E608</f>
        <v>DHKC9320</v>
      </c>
      <c r="F444" s="791">
        <f>'NORTH-2'!F608</f>
        <v>1</v>
      </c>
      <c r="G444" s="791">
        <f>'NORTH-2'!G608</f>
        <v>95312.09</v>
      </c>
      <c r="H444" s="791">
        <f>'NORTH-2'!H608</f>
        <v>97447.67</v>
      </c>
      <c r="I444" s="791">
        <f>'NORTH-2'!I608</f>
        <v>2135.5800000000017</v>
      </c>
      <c r="J444" s="791">
        <f>'NORTH-2'!J608</f>
        <v>60</v>
      </c>
      <c r="K444" s="791">
        <f>'NORTH-2'!K608</f>
        <v>0</v>
      </c>
      <c r="L444" s="791">
        <f>'NORTH-2'!L608</f>
        <v>128134.8000000001</v>
      </c>
      <c r="M444" s="791">
        <f>'NORTH-2'!M608</f>
        <v>0</v>
      </c>
      <c r="N444" s="2019" t="str">
        <f>'NORTH-2'!N608</f>
        <v>Shyamoli</v>
      </c>
      <c r="O444" s="2019" t="str">
        <f>Sheet2!$C$31</f>
        <v>Asad Gate 33/11 KV S/S</v>
      </c>
    </row>
    <row r="445" spans="1:15" x14ac:dyDescent="0.35">
      <c r="A445" s="2019">
        <f>'NORTH-2'!A609</f>
        <v>15</v>
      </c>
      <c r="B445" s="2019" t="str">
        <f>'NORTH-2'!B609</f>
        <v xml:space="preserve"> Humayun Road</v>
      </c>
      <c r="C445" s="2019">
        <f>'NORTH-2'!C609</f>
        <v>11</v>
      </c>
      <c r="D445" s="2019">
        <f>'NORTH-2'!D609</f>
        <v>0</v>
      </c>
      <c r="E445" s="2019" t="str">
        <f>'NORTH-2'!E609</f>
        <v>DHKC9366</v>
      </c>
      <c r="F445" s="791">
        <f>'NORTH-2'!F609</f>
        <v>1</v>
      </c>
      <c r="G445" s="791">
        <f>'NORTH-2'!G609</f>
        <v>27345.919999999998</v>
      </c>
      <c r="H445" s="791">
        <f>'NORTH-2'!H609</f>
        <v>50395.78</v>
      </c>
      <c r="I445" s="791">
        <f>'NORTH-2'!I609</f>
        <v>23049.86</v>
      </c>
      <c r="J445" s="791">
        <f>'NORTH-2'!J609</f>
        <v>60</v>
      </c>
      <c r="K445" s="791">
        <f>'NORTH-2'!K609</f>
        <v>0</v>
      </c>
      <c r="L445" s="791">
        <f>'NORTH-2'!L609</f>
        <v>1382991.6</v>
      </c>
      <c r="M445" s="791">
        <f>'NORTH-2'!M609</f>
        <v>0</v>
      </c>
      <c r="N445" s="2019" t="str">
        <f>'NORTH-2'!N609</f>
        <v>Shyamoli</v>
      </c>
      <c r="O445" s="2019" t="str">
        <f>Sheet2!$C$31</f>
        <v>Asad Gate 33/11 KV S/S</v>
      </c>
    </row>
    <row r="446" spans="1:15" x14ac:dyDescent="0.35">
      <c r="A446" s="2019">
        <f>'NORTH-2'!A610</f>
        <v>16</v>
      </c>
      <c r="B446" s="2019" t="str">
        <f>'NORTH-2'!B610</f>
        <v xml:space="preserve"> NHA</v>
      </c>
      <c r="C446" s="2019">
        <f>'NORTH-2'!C610</f>
        <v>11</v>
      </c>
      <c r="D446" s="2019">
        <f>'NORTH-2'!D610</f>
        <v>0</v>
      </c>
      <c r="E446" s="2019" t="str">
        <f>'NORTH-2'!E610</f>
        <v>DHKC9374</v>
      </c>
      <c r="F446" s="791">
        <f>'NORTH-2'!F610</f>
        <v>1</v>
      </c>
      <c r="G446" s="791">
        <f>'NORTH-2'!G610</f>
        <v>38879.51</v>
      </c>
      <c r="H446" s="791">
        <f>'NORTH-2'!H610</f>
        <v>41152.65</v>
      </c>
      <c r="I446" s="791">
        <f>'NORTH-2'!I610</f>
        <v>2273.1399999999994</v>
      </c>
      <c r="J446" s="791">
        <f>'NORTH-2'!J610</f>
        <v>60</v>
      </c>
      <c r="K446" s="791">
        <f>'NORTH-2'!K610</f>
        <v>0</v>
      </c>
      <c r="L446" s="791">
        <f>'NORTH-2'!L610</f>
        <v>136388.39999999997</v>
      </c>
      <c r="M446" s="791">
        <f>'NORTH-2'!M610</f>
        <v>0</v>
      </c>
      <c r="N446" s="2019" t="str">
        <f>'NORTH-2'!N610</f>
        <v>Shyamoli</v>
      </c>
      <c r="O446" s="2019" t="str">
        <f>Sheet2!$C$31</f>
        <v>Asad Gate 33/11 KV S/S</v>
      </c>
    </row>
    <row r="447" spans="1:15" x14ac:dyDescent="0.35">
      <c r="A447" s="2019">
        <f>'NORTH-2'!A611</f>
        <v>17</v>
      </c>
      <c r="B447" s="2019" t="str">
        <f>'NORTH-2'!B611</f>
        <v>Auxiliary transformer</v>
      </c>
      <c r="C447" s="2019">
        <f>'NORTH-2'!C611</f>
        <v>11</v>
      </c>
      <c r="D447" s="2019">
        <f>'NORTH-2'!D611</f>
        <v>0</v>
      </c>
      <c r="E447" s="2019">
        <f>'NORTH-2'!E611</f>
        <v>0</v>
      </c>
      <c r="F447" s="791">
        <f>'NORTH-2'!F611</f>
        <v>1</v>
      </c>
      <c r="G447" s="791">
        <f>'NORTH-2'!G611</f>
        <v>599968</v>
      </c>
      <c r="H447" s="791">
        <f>'NORTH-2'!H611</f>
        <v>603717</v>
      </c>
      <c r="I447" s="791">
        <f>'NORTH-2'!I611</f>
        <v>3749</v>
      </c>
      <c r="J447" s="791">
        <f>'NORTH-2'!J611</f>
        <v>1</v>
      </c>
      <c r="K447" s="791">
        <f>'NORTH-2'!K611</f>
        <v>0</v>
      </c>
      <c r="L447" s="791">
        <f>'NORTH-2'!L611</f>
        <v>3749</v>
      </c>
      <c r="M447" s="791">
        <f>'NORTH-2'!M611</f>
        <v>0</v>
      </c>
      <c r="N447" s="2019" t="str">
        <f>'NORTH-2'!N611</f>
        <v>Satmasjid</v>
      </c>
      <c r="O447" s="2019" t="str">
        <f>Sheet2!$C$31</f>
        <v>Asad Gate 33/11 KV S/S</v>
      </c>
    </row>
    <row r="448" spans="1:15" x14ac:dyDescent="0.35">
      <c r="A448" s="2019">
        <f>'NORTH-2'!A676</f>
        <v>1</v>
      </c>
      <c r="B448" s="2019" t="str">
        <f>'NORTH-2'!B676</f>
        <v>Angur Jora</v>
      </c>
      <c r="C448" s="2019">
        <f>'NORTH-2'!C676</f>
        <v>11</v>
      </c>
      <c r="D448" s="2019">
        <f>'NORTH-2'!D676</f>
        <v>0</v>
      </c>
      <c r="E448" s="2019">
        <f>'NORTH-2'!E676</f>
        <v>141</v>
      </c>
      <c r="F448" s="791">
        <f>'NORTH-2'!F676</f>
        <v>1</v>
      </c>
      <c r="G448" s="791">
        <f>'NORTH-2'!G676</f>
        <v>1731820</v>
      </c>
      <c r="H448" s="791">
        <f>'NORTH-2'!H676</f>
        <v>3907560</v>
      </c>
      <c r="I448" s="791">
        <f>'NORTH-2'!I676</f>
        <v>2175740</v>
      </c>
      <c r="J448" s="791">
        <f>'NORTH-2'!J676</f>
        <v>1</v>
      </c>
      <c r="K448" s="791">
        <f>'NORTH-2'!K676</f>
        <v>0</v>
      </c>
      <c r="L448" s="791">
        <f>'NORTH-2'!L676</f>
        <v>2175740</v>
      </c>
      <c r="M448" s="791">
        <f>'NORTH-2'!M676</f>
        <v>0</v>
      </c>
      <c r="N448" s="2019" t="str">
        <f>'NORTH-2'!N676</f>
        <v>Banosree</v>
      </c>
      <c r="O448" s="2019" t="str">
        <f>Sheet2!$C$33</f>
        <v>Banasree 33/11 SS</v>
      </c>
    </row>
    <row r="449" spans="1:15" x14ac:dyDescent="0.35">
      <c r="A449" s="2019">
        <f>'NORTH-2'!A677</f>
        <v>2</v>
      </c>
      <c r="B449" s="2019" t="str">
        <f>'NORTH-2'!B677</f>
        <v>Block F-G Avenue</v>
      </c>
      <c r="C449" s="2019">
        <f>'NORTH-2'!C677</f>
        <v>11</v>
      </c>
      <c r="D449" s="2019">
        <f>'NORTH-2'!D677</f>
        <v>0</v>
      </c>
      <c r="E449" s="2019">
        <f>'NORTH-2'!E677</f>
        <v>68</v>
      </c>
      <c r="F449" s="791">
        <f>'NORTH-2'!F677</f>
        <v>1</v>
      </c>
      <c r="G449" s="791">
        <f>'NORTH-2'!G677</f>
        <v>5810620</v>
      </c>
      <c r="H449" s="791">
        <f>'NORTH-2'!H677</f>
        <v>6299720</v>
      </c>
      <c r="I449" s="791">
        <f>'NORTH-2'!I677</f>
        <v>489100</v>
      </c>
      <c r="J449" s="791">
        <f>'NORTH-2'!J677</f>
        <v>1</v>
      </c>
      <c r="K449" s="791">
        <f>'NORTH-2'!K677</f>
        <v>0</v>
      </c>
      <c r="L449" s="791">
        <f>'NORTH-2'!L677</f>
        <v>489100</v>
      </c>
      <c r="M449" s="791">
        <f>'NORTH-2'!M677</f>
        <v>0</v>
      </c>
      <c r="N449" s="2019" t="str">
        <f>'NORTH-2'!N677</f>
        <v>Banosree</v>
      </c>
      <c r="O449" s="2019" t="str">
        <f>Sheet2!$C$33</f>
        <v>Banasree 33/11 SS</v>
      </c>
    </row>
    <row r="450" spans="1:15" x14ac:dyDescent="0.35">
      <c r="A450" s="2019">
        <f>'NORTH-2'!A678</f>
        <v>3</v>
      </c>
      <c r="B450" s="2019" t="str">
        <f>'NORTH-2'!B678</f>
        <v>Banasree Main Road(Monpura)</v>
      </c>
      <c r="C450" s="2019">
        <f>'NORTH-2'!C678</f>
        <v>11</v>
      </c>
      <c r="D450" s="2019">
        <f>'NORTH-2'!D678</f>
        <v>0</v>
      </c>
      <c r="E450" s="2019">
        <f>'NORTH-2'!E678</f>
        <v>168</v>
      </c>
      <c r="F450" s="791">
        <f>'NORTH-2'!F678</f>
        <v>1</v>
      </c>
      <c r="G450" s="791">
        <f>'NORTH-2'!G678</f>
        <v>8508940</v>
      </c>
      <c r="H450" s="791">
        <f>'NORTH-2'!H678</f>
        <v>8839360</v>
      </c>
      <c r="I450" s="791">
        <f>'NORTH-2'!I678</f>
        <v>330420</v>
      </c>
      <c r="J450" s="791">
        <f>'NORTH-2'!J678</f>
        <v>1</v>
      </c>
      <c r="K450" s="791">
        <f>'NORTH-2'!K678</f>
        <v>0</v>
      </c>
      <c r="L450" s="791">
        <f>'NORTH-2'!L678</f>
        <v>330420</v>
      </c>
      <c r="M450" s="791">
        <f>'NORTH-2'!M678</f>
        <v>0</v>
      </c>
      <c r="N450" s="2019" t="str">
        <f>'NORTH-2'!N678</f>
        <v>Bashabo</v>
      </c>
      <c r="O450" s="2019" t="str">
        <f>Sheet2!$C$33</f>
        <v>Banasree 33/11 SS</v>
      </c>
    </row>
    <row r="451" spans="1:15" x14ac:dyDescent="0.35">
      <c r="A451" s="2019">
        <f>'NORTH-2'!A679</f>
        <v>4</v>
      </c>
      <c r="B451" s="2019" t="str">
        <f>'NORTH-2'!B679</f>
        <v>Baitul Kuddus</v>
      </c>
      <c r="C451" s="2019">
        <f>'NORTH-2'!C679</f>
        <v>11</v>
      </c>
      <c r="D451" s="2019">
        <f>'NORTH-2'!D679</f>
        <v>0</v>
      </c>
      <c r="E451" s="2019">
        <f>'NORTH-2'!E679</f>
        <v>62</v>
      </c>
      <c r="F451" s="791">
        <f>'NORTH-2'!F679</f>
        <v>1</v>
      </c>
      <c r="G451" s="791">
        <f>'NORTH-2'!G679</f>
        <v>5496840</v>
      </c>
      <c r="H451" s="791">
        <f>'NORTH-2'!H679</f>
        <v>6786070</v>
      </c>
      <c r="I451" s="791">
        <f>'NORTH-2'!I679</f>
        <v>1289230</v>
      </c>
      <c r="J451" s="791">
        <f>'NORTH-2'!J679</f>
        <v>1</v>
      </c>
      <c r="K451" s="791">
        <f>'NORTH-2'!K679</f>
        <v>0</v>
      </c>
      <c r="L451" s="791">
        <f>'NORTH-2'!L679</f>
        <v>1289230</v>
      </c>
      <c r="M451" s="791">
        <f>'NORTH-2'!M679</f>
        <v>0</v>
      </c>
      <c r="N451" s="2019" t="str">
        <f>'NORTH-2'!N679</f>
        <v>Banosree</v>
      </c>
      <c r="O451" s="2019" t="str">
        <f>Sheet2!$C$33</f>
        <v>Banasree 33/11 SS</v>
      </c>
    </row>
    <row r="452" spans="1:15" x14ac:dyDescent="0.35">
      <c r="A452" s="2019">
        <f>'NORTH-2'!A680</f>
        <v>5</v>
      </c>
      <c r="B452" s="2019" t="str">
        <f>'NORTH-2'!B680</f>
        <v>Ideal</v>
      </c>
      <c r="C452" s="2019">
        <f>'NORTH-2'!C680</f>
        <v>11</v>
      </c>
      <c r="D452" s="2019">
        <f>'NORTH-2'!D680</f>
        <v>0</v>
      </c>
      <c r="E452" s="2019">
        <f>'NORTH-2'!E680</f>
        <v>0</v>
      </c>
      <c r="F452" s="791">
        <f>'NORTH-2'!F680</f>
        <v>1</v>
      </c>
      <c r="G452" s="791">
        <f>'NORTH-2'!G680</f>
        <v>3644840</v>
      </c>
      <c r="H452" s="791">
        <f>'NORTH-2'!H680</f>
        <v>4030800</v>
      </c>
      <c r="I452" s="791">
        <f>'NORTH-2'!I680</f>
        <v>385960</v>
      </c>
      <c r="J452" s="791">
        <f>'NORTH-2'!J680</f>
        <v>1</v>
      </c>
      <c r="K452" s="791">
        <f>'NORTH-2'!K680</f>
        <v>0</v>
      </c>
      <c r="L452" s="791">
        <f>'NORTH-2'!L680</f>
        <v>385960</v>
      </c>
      <c r="M452" s="791">
        <f>'NORTH-2'!M680</f>
        <v>0</v>
      </c>
      <c r="N452" s="2019" t="str">
        <f>'NORTH-2'!N680</f>
        <v>Banosree</v>
      </c>
      <c r="O452" s="2019" t="str">
        <f>Sheet2!$C$33</f>
        <v>Banasree 33/11 SS</v>
      </c>
    </row>
    <row r="453" spans="1:15" x14ac:dyDescent="0.35">
      <c r="A453" s="2019">
        <f>'NORTH-2'!A681</f>
        <v>6</v>
      </c>
      <c r="B453" s="2019" t="str">
        <f>'NORTH-2'!B681</f>
        <v>Central Mosque</v>
      </c>
      <c r="C453" s="2019">
        <f>'NORTH-2'!C681</f>
        <v>11</v>
      </c>
      <c r="D453" s="2019">
        <f>'NORTH-2'!D681</f>
        <v>0</v>
      </c>
      <c r="E453" s="2019">
        <f>'NORTH-2'!E681</f>
        <v>46</v>
      </c>
      <c r="F453" s="791">
        <f>'NORTH-2'!F681</f>
        <v>1</v>
      </c>
      <c r="G453" s="791">
        <f>'NORTH-2'!G681</f>
        <v>6587580</v>
      </c>
      <c r="H453" s="791">
        <f>'NORTH-2'!H681</f>
        <v>7777200</v>
      </c>
      <c r="I453" s="791">
        <f>'NORTH-2'!I681</f>
        <v>1189620</v>
      </c>
      <c r="J453" s="791">
        <f>'NORTH-2'!J681</f>
        <v>1</v>
      </c>
      <c r="K453" s="791">
        <f>'NORTH-2'!K681</f>
        <v>0</v>
      </c>
      <c r="L453" s="791">
        <f>'NORTH-2'!L681</f>
        <v>1189620</v>
      </c>
      <c r="M453" s="791">
        <f>'NORTH-2'!M681</f>
        <v>0</v>
      </c>
      <c r="N453" s="2019" t="str">
        <f>'NORTH-2'!N681</f>
        <v>Banosree</v>
      </c>
      <c r="O453" s="2019" t="str">
        <f>Sheet2!$C$33</f>
        <v>Banasree 33/11 SS</v>
      </c>
    </row>
    <row r="454" spans="1:15" x14ac:dyDescent="0.35">
      <c r="A454" s="2019">
        <f>'NORTH-2'!A682</f>
        <v>7</v>
      </c>
      <c r="B454" s="2019" t="str">
        <f>'NORTH-2'!B682</f>
        <v>Larive</v>
      </c>
      <c r="C454" s="2019">
        <f>'NORTH-2'!C682</f>
        <v>11</v>
      </c>
      <c r="D454" s="2019">
        <f>'NORTH-2'!D682</f>
        <v>0</v>
      </c>
      <c r="E454" s="2019">
        <f>'NORTH-2'!E682</f>
        <v>47</v>
      </c>
      <c r="F454" s="791">
        <f>'NORTH-2'!F682</f>
        <v>1</v>
      </c>
      <c r="G454" s="791">
        <f>'NORTH-2'!G682</f>
        <v>2583600</v>
      </c>
      <c r="H454" s="791">
        <f>'NORTH-2'!H682</f>
        <v>3177800</v>
      </c>
      <c r="I454" s="791">
        <f>'NORTH-2'!I682</f>
        <v>594200</v>
      </c>
      <c r="J454" s="791">
        <f>'NORTH-2'!J682</f>
        <v>1</v>
      </c>
      <c r="K454" s="791">
        <f>'NORTH-2'!K682</f>
        <v>0</v>
      </c>
      <c r="L454" s="791">
        <f>'NORTH-2'!L682</f>
        <v>594200</v>
      </c>
      <c r="M454" s="791">
        <f>'NORTH-2'!M682</f>
        <v>0</v>
      </c>
      <c r="N454" s="2019" t="str">
        <f>'NORTH-2'!N682</f>
        <v>Banosree</v>
      </c>
      <c r="O454" s="2019" t="str">
        <f>Sheet2!$C$33</f>
        <v>Banasree 33/11 SS</v>
      </c>
    </row>
    <row r="455" spans="1:15" x14ac:dyDescent="0.35">
      <c r="A455" s="2019">
        <f>'NORTH-2'!A683</f>
        <v>8</v>
      </c>
      <c r="B455" s="2019" t="str">
        <f>'NORTH-2'!B683</f>
        <v>Bank Colony</v>
      </c>
      <c r="C455" s="2019">
        <f>'NORTH-2'!C683</f>
        <v>11</v>
      </c>
      <c r="D455" s="2019">
        <f>'NORTH-2'!D683</f>
        <v>0</v>
      </c>
      <c r="E455" s="2019">
        <f>'NORTH-2'!E683</f>
        <v>0</v>
      </c>
      <c r="F455" s="791">
        <f>'NORTH-2'!F683</f>
        <v>1</v>
      </c>
      <c r="G455" s="791">
        <f>'NORTH-2'!G683</f>
        <v>9983320</v>
      </c>
      <c r="H455" s="791">
        <f>'NORTH-2'!H683</f>
        <v>10407520</v>
      </c>
      <c r="I455" s="791">
        <f>'NORTH-2'!I683</f>
        <v>424200</v>
      </c>
      <c r="J455" s="791">
        <f>'NORTH-2'!J683</f>
        <v>1</v>
      </c>
      <c r="K455" s="791">
        <f>'NORTH-2'!K683</f>
        <v>0</v>
      </c>
      <c r="L455" s="791">
        <f>'NORTH-2'!L683</f>
        <v>424200</v>
      </c>
      <c r="M455" s="791">
        <f>'NORTH-2'!M683</f>
        <v>0</v>
      </c>
      <c r="N455" s="2019" t="str">
        <f>'NORTH-2'!N683</f>
        <v>Banosree</v>
      </c>
      <c r="O455" s="2019" t="str">
        <f>Sheet2!$C$33</f>
        <v>Banasree 33/11 SS</v>
      </c>
    </row>
    <row r="456" spans="1:15" x14ac:dyDescent="0.35">
      <c r="A456" s="2019">
        <f>'NORTH-2'!A684</f>
        <v>9</v>
      </c>
      <c r="B456" s="2019" t="str">
        <f>'NORTH-2'!B684</f>
        <v>Salambagh</v>
      </c>
      <c r="C456" s="2019">
        <f>'NORTH-2'!C684</f>
        <v>11</v>
      </c>
      <c r="D456" s="2019">
        <f>'NORTH-2'!D684</f>
        <v>0</v>
      </c>
      <c r="E456" s="2019">
        <f>'NORTH-2'!E684</f>
        <v>0</v>
      </c>
      <c r="F456" s="791">
        <f>'NORTH-2'!F684</f>
        <v>1</v>
      </c>
      <c r="G456" s="791">
        <f>'NORTH-2'!G684</f>
        <v>6990800</v>
      </c>
      <c r="H456" s="791">
        <f>'NORTH-2'!H684</f>
        <v>7471560</v>
      </c>
      <c r="I456" s="791">
        <f>'NORTH-2'!I684</f>
        <v>480760</v>
      </c>
      <c r="J456" s="791">
        <f>'NORTH-2'!J684</f>
        <v>1</v>
      </c>
      <c r="K456" s="791">
        <f>'NORTH-2'!K684</f>
        <v>0</v>
      </c>
      <c r="L456" s="791">
        <f>'NORTH-2'!L684</f>
        <v>480760</v>
      </c>
      <c r="M456" s="791">
        <f>'NORTH-2'!M684</f>
        <v>0</v>
      </c>
      <c r="N456" s="2019" t="str">
        <f>'NORTH-2'!N684</f>
        <v xml:space="preserve">Khilgaon </v>
      </c>
      <c r="O456" s="2019" t="str">
        <f>Sheet2!$C$33</f>
        <v>Banasree 33/11 SS</v>
      </c>
    </row>
    <row r="457" spans="1:15" x14ac:dyDescent="0.35">
      <c r="A457" s="2019">
        <f>'NORTH-2'!A685</f>
        <v>10</v>
      </c>
      <c r="B457" s="2019" t="str">
        <f>'NORTH-2'!B685</f>
        <v>Titas Road</v>
      </c>
      <c r="C457" s="2019">
        <f>'NORTH-2'!C685</f>
        <v>11</v>
      </c>
      <c r="D457" s="2019">
        <f>'NORTH-2'!D685</f>
        <v>0</v>
      </c>
      <c r="E457" s="2019">
        <f>'NORTH-2'!E685</f>
        <v>0</v>
      </c>
      <c r="F457" s="791">
        <f>'NORTH-2'!F685</f>
        <v>1</v>
      </c>
      <c r="G457" s="791">
        <f>'NORTH-2'!G685</f>
        <v>9422740</v>
      </c>
      <c r="H457" s="791">
        <f>'NORTH-2'!H685</f>
        <v>9645120</v>
      </c>
      <c r="I457" s="791">
        <f>'NORTH-2'!I685</f>
        <v>222380</v>
      </c>
      <c r="J457" s="791">
        <f>'NORTH-2'!J685</f>
        <v>1</v>
      </c>
      <c r="K457" s="791">
        <f>'NORTH-2'!K685</f>
        <v>0</v>
      </c>
      <c r="L457" s="791">
        <f>'NORTH-2'!L685</f>
        <v>222380</v>
      </c>
      <c r="M457" s="791">
        <f>'NORTH-2'!M685</f>
        <v>0</v>
      </c>
      <c r="N457" s="2019" t="str">
        <f>'NORTH-2'!N685</f>
        <v xml:space="preserve">Khilgaon </v>
      </c>
      <c r="O457" s="2019" t="str">
        <f>Sheet2!$C$33</f>
        <v>Banasree 33/11 SS</v>
      </c>
    </row>
    <row r="458" spans="1:15" x14ac:dyDescent="0.35">
      <c r="A458" s="2019">
        <f>'NORTH-2'!A686</f>
        <v>11</v>
      </c>
      <c r="B458" s="2019" t="str">
        <f>'NORTH-2'!B686</f>
        <v>AT-1</v>
      </c>
      <c r="C458" s="2019">
        <f>'NORTH-2'!C686</f>
        <v>415</v>
      </c>
      <c r="D458" s="2019">
        <f>'NORTH-2'!D686</f>
        <v>0</v>
      </c>
      <c r="E458" s="2019">
        <f>'NORTH-2'!E686</f>
        <v>7734</v>
      </c>
      <c r="F458" s="791">
        <f>'NORTH-2'!F686</f>
        <v>1</v>
      </c>
      <c r="G458" s="791">
        <f>'NORTH-2'!G686</f>
        <v>2849</v>
      </c>
      <c r="H458" s="791">
        <f>'NORTH-2'!H686</f>
        <v>2849</v>
      </c>
      <c r="I458" s="791">
        <f>'NORTH-2'!I686</f>
        <v>0</v>
      </c>
      <c r="J458" s="791">
        <f>'NORTH-2'!J686</f>
        <v>1</v>
      </c>
      <c r="K458" s="791">
        <f>'NORTH-2'!K686</f>
        <v>0</v>
      </c>
      <c r="L458" s="791">
        <f>'NORTH-2'!L686</f>
        <v>0</v>
      </c>
      <c r="M458" s="791">
        <f>'NORTH-2'!M686</f>
        <v>0</v>
      </c>
      <c r="N458" s="2019" t="str">
        <f>'NORTH-2'!N686</f>
        <v>Banosree</v>
      </c>
      <c r="O458" s="2019" t="str">
        <f>Sheet2!$C$33</f>
        <v>Banasree 33/11 SS</v>
      </c>
    </row>
    <row r="459" spans="1:15" x14ac:dyDescent="0.35">
      <c r="A459" s="2019">
        <f>'NORTH-2'!A687</f>
        <v>12</v>
      </c>
      <c r="B459" s="2019" t="str">
        <f>'NORTH-2'!B687</f>
        <v>AT-2</v>
      </c>
      <c r="C459" s="2019">
        <f>'NORTH-2'!C687</f>
        <v>415</v>
      </c>
      <c r="D459" s="2019">
        <f>'NORTH-2'!D687</f>
        <v>0</v>
      </c>
      <c r="E459" s="2019">
        <f>'NORTH-2'!E687</f>
        <v>0</v>
      </c>
      <c r="F459" s="791">
        <f>'NORTH-2'!F687</f>
        <v>1</v>
      </c>
      <c r="G459" s="791">
        <f>'NORTH-2'!G687</f>
        <v>0</v>
      </c>
      <c r="H459" s="791">
        <f>'NORTH-2'!H687</f>
        <v>0</v>
      </c>
      <c r="I459" s="791">
        <f>'NORTH-2'!I687</f>
        <v>0</v>
      </c>
      <c r="J459" s="791">
        <f>'NORTH-2'!J687</f>
        <v>1</v>
      </c>
      <c r="K459" s="791">
        <f>'NORTH-2'!K687</f>
        <v>0</v>
      </c>
      <c r="L459" s="791">
        <f>'NORTH-2'!L687</f>
        <v>0</v>
      </c>
      <c r="M459" s="791">
        <f>'NORTH-2'!M687</f>
        <v>0</v>
      </c>
      <c r="N459" s="2019" t="str">
        <f>'NORTH-2'!N687</f>
        <v>Banosree</v>
      </c>
      <c r="O459" s="2019" t="str">
        <f>Sheet2!$C$33</f>
        <v>Banasree 33/11 SS</v>
      </c>
    </row>
    <row r="460" spans="1:15" x14ac:dyDescent="0.35">
      <c r="A460" s="2019">
        <f>'NORTH-2'!A752</f>
        <v>1</v>
      </c>
      <c r="B460" s="2019" t="str">
        <f>'NORTH-2'!B752</f>
        <v>Meradia</v>
      </c>
      <c r="C460" s="2019">
        <f>'NORTH-2'!C752</f>
        <v>11</v>
      </c>
      <c r="D460" s="2019">
        <f>'NORTH-2'!D752</f>
        <v>0</v>
      </c>
      <c r="E460" s="2019" t="str">
        <f>'NORTH-2'!E752</f>
        <v>HA-030701100-03</v>
      </c>
      <c r="F460" s="791">
        <f>'NORTH-2'!F752</f>
        <v>1</v>
      </c>
      <c r="G460" s="791">
        <f>'NORTH-2'!G752</f>
        <v>0</v>
      </c>
      <c r="H460" s="791">
        <f>'NORTH-2'!H752</f>
        <v>0</v>
      </c>
      <c r="I460" s="791">
        <f>'NORTH-2'!I752</f>
        <v>0</v>
      </c>
      <c r="J460" s="791">
        <f>'NORTH-2'!J752</f>
        <v>1</v>
      </c>
      <c r="K460" s="791">
        <f>'NORTH-2'!K752</f>
        <v>0</v>
      </c>
      <c r="L460" s="791">
        <f>'NORTH-2'!L752</f>
        <v>0</v>
      </c>
      <c r="M460" s="791">
        <f>'NORTH-2'!M752</f>
        <v>0</v>
      </c>
      <c r="N460" s="2019" t="str">
        <f>'NORTH-2'!N752</f>
        <v>Banosree</v>
      </c>
      <c r="O460" s="2019" t="str">
        <f>Sheet2!$C$17</f>
        <v>Goran  33/11KV S/S</v>
      </c>
    </row>
    <row r="461" spans="1:15" x14ac:dyDescent="0.35">
      <c r="A461" s="2019">
        <f>'NORTH-2'!A753</f>
        <v>2</v>
      </c>
      <c r="B461" s="2019" t="str">
        <f>'NORTH-2'!B753</f>
        <v>Shipahibagh</v>
      </c>
      <c r="C461" s="2019">
        <f>'NORTH-2'!C753</f>
        <v>11</v>
      </c>
      <c r="D461" s="2019">
        <f>'NORTH-2'!D753</f>
        <v>0</v>
      </c>
      <c r="E461" s="2019" t="str">
        <f>'NORTH-2'!E753</f>
        <v>HA-021001030-02</v>
      </c>
      <c r="F461" s="791">
        <f>'NORTH-2'!F753</f>
        <v>1</v>
      </c>
      <c r="G461" s="791">
        <f>'NORTH-2'!G753</f>
        <v>29837980</v>
      </c>
      <c r="H461" s="791">
        <f>'NORTH-2'!H753</f>
        <v>30693312</v>
      </c>
      <c r="I461" s="791">
        <f>'NORTH-2'!I753</f>
        <v>855332</v>
      </c>
      <c r="J461" s="791">
        <f>'NORTH-2'!J753</f>
        <v>1</v>
      </c>
      <c r="K461" s="791">
        <f>'NORTH-2'!K753</f>
        <v>0</v>
      </c>
      <c r="L461" s="791">
        <f>'NORTH-2'!L753</f>
        <v>855332</v>
      </c>
      <c r="M461" s="791">
        <f>'NORTH-2'!M753</f>
        <v>0</v>
      </c>
      <c r="N461" s="2019" t="str">
        <f>'NORTH-2'!N753</f>
        <v>Bashabo</v>
      </c>
      <c r="O461" s="2019" t="str">
        <f>Sheet2!$C$17</f>
        <v>Goran  33/11KV S/S</v>
      </c>
    </row>
    <row r="462" spans="1:15" x14ac:dyDescent="0.35">
      <c r="A462" s="2019">
        <f>'NORTH-2'!A754</f>
        <v>3</v>
      </c>
      <c r="B462" s="2019" t="str">
        <f>'NORTH-2'!B754</f>
        <v>Farazi Hospital</v>
      </c>
      <c r="C462" s="2019">
        <f>'NORTH-2'!C754</f>
        <v>11</v>
      </c>
      <c r="D462" s="2019">
        <f>'NORTH-2'!D754</f>
        <v>0</v>
      </c>
      <c r="E462" s="2019" t="str">
        <f>'NORTH-2'!E754</f>
        <v>HA-030701081-03</v>
      </c>
      <c r="F462" s="791">
        <f>'NORTH-2'!F754</f>
        <v>1</v>
      </c>
      <c r="G462" s="791">
        <f>'NORTH-2'!G754</f>
        <v>47364147</v>
      </c>
      <c r="H462" s="791">
        <f>'NORTH-2'!H754</f>
        <v>47966346</v>
      </c>
      <c r="I462" s="791">
        <f>'NORTH-2'!I754</f>
        <v>602199</v>
      </c>
      <c r="J462" s="791">
        <f>'NORTH-2'!J754</f>
        <v>1</v>
      </c>
      <c r="K462" s="791">
        <f>'NORTH-2'!K754</f>
        <v>0</v>
      </c>
      <c r="L462" s="791">
        <f>'NORTH-2'!L754</f>
        <v>602199</v>
      </c>
      <c r="M462" s="791">
        <f>'NORTH-2'!M754</f>
        <v>0</v>
      </c>
      <c r="N462" s="2019" t="str">
        <f>'NORTH-2'!N754</f>
        <v>Banosree</v>
      </c>
      <c r="O462" s="2019" t="str">
        <f>Sheet2!$C$17</f>
        <v>Goran  33/11KV S/S</v>
      </c>
    </row>
    <row r="463" spans="1:15" x14ac:dyDescent="0.35">
      <c r="A463" s="2019">
        <f>'NORTH-2'!A755</f>
        <v>4</v>
      </c>
      <c r="B463" s="2019" t="str">
        <f>'NORTH-2'!B755</f>
        <v>West Bansree</v>
      </c>
      <c r="C463" s="2019">
        <f>'NORTH-2'!C755</f>
        <v>11</v>
      </c>
      <c r="D463" s="2019">
        <f>'NORTH-2'!D755</f>
        <v>0</v>
      </c>
      <c r="E463" s="2019" t="str">
        <f>'NORTH-2'!E755</f>
        <v>New Meter</v>
      </c>
      <c r="F463" s="791">
        <f>'NORTH-2'!F755</f>
        <v>1</v>
      </c>
      <c r="G463" s="791">
        <f>'NORTH-2'!G755</f>
        <v>81228297</v>
      </c>
      <c r="H463" s="791">
        <f>'NORTH-2'!H755</f>
        <v>82245156</v>
      </c>
      <c r="I463" s="791">
        <f>'NORTH-2'!I755</f>
        <v>1016859</v>
      </c>
      <c r="J463" s="791">
        <f>'NORTH-2'!J755</f>
        <v>1</v>
      </c>
      <c r="K463" s="791">
        <f>'NORTH-2'!K755</f>
        <v>0</v>
      </c>
      <c r="L463" s="791">
        <f>'NORTH-2'!L755</f>
        <v>1016859</v>
      </c>
      <c r="M463" s="791">
        <f>'NORTH-2'!M755</f>
        <v>0</v>
      </c>
      <c r="N463" s="2019" t="str">
        <f>'NORTH-2'!N755</f>
        <v>Banosree</v>
      </c>
      <c r="O463" s="2019" t="str">
        <f>Sheet2!$C$17</f>
        <v>Goran  33/11KV S/S</v>
      </c>
    </row>
    <row r="464" spans="1:15" x14ac:dyDescent="0.35">
      <c r="A464" s="2019">
        <f>'NORTH-2'!A756</f>
        <v>5</v>
      </c>
      <c r="B464" s="2019" t="str">
        <f>'NORTH-2'!B756</f>
        <v>Model School(Nearest)</v>
      </c>
      <c r="C464" s="2019">
        <f>'NORTH-2'!C756</f>
        <v>11</v>
      </c>
      <c r="D464" s="2019">
        <f>'NORTH-2'!D756</f>
        <v>0</v>
      </c>
      <c r="E464" s="2019" t="str">
        <f>'NORTH-2'!E756</f>
        <v>HA-030701099-03</v>
      </c>
      <c r="F464" s="791">
        <f>'NORTH-2'!F756</f>
        <v>1</v>
      </c>
      <c r="G464" s="791">
        <f>'NORTH-2'!G756</f>
        <v>2338291</v>
      </c>
      <c r="H464" s="791">
        <f>'NORTH-2'!H756</f>
        <v>3692241</v>
      </c>
      <c r="I464" s="791">
        <f>'NORTH-2'!I756</f>
        <v>1353950</v>
      </c>
      <c r="J464" s="791">
        <f>'NORTH-2'!J756</f>
        <v>1</v>
      </c>
      <c r="K464" s="791">
        <f>'NORTH-2'!K756</f>
        <v>0</v>
      </c>
      <c r="L464" s="791">
        <f>'NORTH-2'!L756</f>
        <v>1353950</v>
      </c>
      <c r="M464" s="791">
        <f>'NORTH-2'!M756</f>
        <v>0</v>
      </c>
      <c r="N464" s="2019" t="str">
        <f>'NORTH-2'!N756</f>
        <v>Banosree</v>
      </c>
      <c r="O464" s="2019" t="str">
        <f>Sheet2!$C$17</f>
        <v>Goran  33/11KV S/S</v>
      </c>
    </row>
    <row r="465" spans="1:15" x14ac:dyDescent="0.35">
      <c r="A465" s="2019">
        <f>'NORTH-2'!A757</f>
        <v>6</v>
      </c>
      <c r="B465" s="2019" t="str">
        <f>'NORTH-2'!B757</f>
        <v>Bhuiyan Para</v>
      </c>
      <c r="C465" s="2019">
        <f>'NORTH-2'!C757</f>
        <v>11</v>
      </c>
      <c r="D465" s="2019">
        <f>'NORTH-2'!D757</f>
        <v>0</v>
      </c>
      <c r="E465" s="2019" t="str">
        <f>'NORTH-2'!E757</f>
        <v>HA-021100508-02</v>
      </c>
      <c r="F465" s="791">
        <f>'NORTH-2'!F757</f>
        <v>1</v>
      </c>
      <c r="G465" s="791">
        <f>'NORTH-2'!G757</f>
        <v>39586593</v>
      </c>
      <c r="H465" s="791">
        <f>'NORTH-2'!H757</f>
        <v>41037401</v>
      </c>
      <c r="I465" s="791">
        <f>'NORTH-2'!I757</f>
        <v>1450808</v>
      </c>
      <c r="J465" s="791">
        <f>'NORTH-2'!J757</f>
        <v>1</v>
      </c>
      <c r="K465" s="791">
        <f>'NORTH-2'!K757</f>
        <v>0</v>
      </c>
      <c r="L465" s="791">
        <f>'NORTH-2'!L757</f>
        <v>1450808</v>
      </c>
      <c r="M465" s="791">
        <f>'NORTH-2'!M757</f>
        <v>0</v>
      </c>
      <c r="N465" s="2019" t="str">
        <f>'NORTH-2'!N757</f>
        <v>Banosree</v>
      </c>
      <c r="O465" s="2019" t="str">
        <f>Sheet2!$C$17</f>
        <v>Goran  33/11KV S/S</v>
      </c>
    </row>
    <row r="466" spans="1:15" x14ac:dyDescent="0.35">
      <c r="A466" s="2019">
        <f>'NORTH-2'!A758</f>
        <v>7</v>
      </c>
      <c r="B466" s="2019" t="str">
        <f>'NORTH-2'!B758</f>
        <v>Bonobithi (Ideal) School</v>
      </c>
      <c r="C466" s="2019">
        <f>'NORTH-2'!C758</f>
        <v>11</v>
      </c>
      <c r="D466" s="2019">
        <f>'NORTH-2'!D758</f>
        <v>0</v>
      </c>
      <c r="E466" s="2019" t="str">
        <f>'NORTH-2'!E758</f>
        <v>HA-021100879-02</v>
      </c>
      <c r="F466" s="791">
        <f>'NORTH-2'!F758</f>
        <v>1</v>
      </c>
      <c r="G466" s="791">
        <f>'NORTH-2'!G758</f>
        <v>6324821</v>
      </c>
      <c r="H466" s="791">
        <f>'NORTH-2'!H758</f>
        <v>7121882</v>
      </c>
      <c r="I466" s="791">
        <f>'NORTH-2'!I758</f>
        <v>797061</v>
      </c>
      <c r="J466" s="791">
        <f>'NORTH-2'!J758</f>
        <v>1</v>
      </c>
      <c r="K466" s="791">
        <f>'NORTH-2'!K758</f>
        <v>0</v>
      </c>
      <c r="L466" s="791">
        <f>'NORTH-2'!L758</f>
        <v>797061</v>
      </c>
      <c r="M466" s="791">
        <f>'NORTH-2'!M758</f>
        <v>0</v>
      </c>
      <c r="N466" s="2019" t="str">
        <f>'NORTH-2'!N758</f>
        <v>Banosree</v>
      </c>
      <c r="O466" s="2019" t="str">
        <f>Sheet2!$C$17</f>
        <v>Goran  33/11KV S/S</v>
      </c>
    </row>
    <row r="467" spans="1:15" x14ac:dyDescent="0.35">
      <c r="A467" s="2019">
        <f>'NORTH-2'!A759</f>
        <v>8</v>
      </c>
      <c r="B467" s="2019" t="str">
        <f>'NORTH-2'!B759</f>
        <v>AT-01</v>
      </c>
      <c r="C467" s="2019">
        <f>'NORTH-2'!C759</f>
        <v>415</v>
      </c>
      <c r="D467" s="2019">
        <f>'NORTH-2'!D759</f>
        <v>0</v>
      </c>
      <c r="E467" s="2019">
        <f>'NORTH-2'!E759</f>
        <v>3043122</v>
      </c>
      <c r="F467" s="791">
        <f>'NORTH-2'!F759</f>
        <v>1</v>
      </c>
      <c r="G467" s="791">
        <f>'NORTH-2'!G759</f>
        <v>7023.2</v>
      </c>
      <c r="H467" s="791">
        <f>'NORTH-2'!H759</f>
        <v>7023.2</v>
      </c>
      <c r="I467" s="791">
        <f>'NORTH-2'!I759</f>
        <v>0</v>
      </c>
      <c r="J467" s="791">
        <f>'NORTH-2'!J759</f>
        <v>80</v>
      </c>
      <c r="K467" s="791">
        <f>'NORTH-2'!K759</f>
        <v>0</v>
      </c>
      <c r="L467" s="791">
        <f>'NORTH-2'!L759</f>
        <v>0</v>
      </c>
      <c r="M467" s="791">
        <f>'NORTH-2'!M759</f>
        <v>0</v>
      </c>
      <c r="N467" s="2019" t="str">
        <f>'NORTH-2'!N759</f>
        <v>Banosree</v>
      </c>
      <c r="O467" s="2019" t="str">
        <f>Sheet2!$C$17</f>
        <v>Goran  33/11KV S/S</v>
      </c>
    </row>
    <row r="468" spans="1:15" x14ac:dyDescent="0.35">
      <c r="A468" s="2019">
        <f>'NORTH-2'!A760</f>
        <v>9</v>
      </c>
      <c r="B468" s="2019" t="str">
        <f>'NORTH-2'!B760</f>
        <v>AT-02</v>
      </c>
      <c r="C468" s="2019">
        <f>'NORTH-2'!C760</f>
        <v>415</v>
      </c>
      <c r="D468" s="2019">
        <f>'NORTH-2'!D760</f>
        <v>0</v>
      </c>
      <c r="E468" s="2019">
        <f>'NORTH-2'!E760</f>
        <v>3043146</v>
      </c>
      <c r="F468" s="791">
        <f>'NORTH-2'!F760</f>
        <v>1</v>
      </c>
      <c r="G468" s="791">
        <f>'NORTH-2'!G760</f>
        <v>4393.8</v>
      </c>
      <c r="H468" s="791">
        <f>'NORTH-2'!H760</f>
        <v>4393.8</v>
      </c>
      <c r="I468" s="791">
        <f>'NORTH-2'!I760</f>
        <v>0</v>
      </c>
      <c r="J468" s="791">
        <f>'NORTH-2'!J760</f>
        <v>80</v>
      </c>
      <c r="K468" s="791">
        <f>'NORTH-2'!K760</f>
        <v>0</v>
      </c>
      <c r="L468" s="791">
        <f>'NORTH-2'!L760</f>
        <v>0</v>
      </c>
      <c r="M468" s="791">
        <f>'NORTH-2'!M760</f>
        <v>0</v>
      </c>
      <c r="N468" s="2019" t="str">
        <f>'NORTH-2'!N760</f>
        <v>Banosree</v>
      </c>
      <c r="O468" s="2019" t="str">
        <f>Sheet2!$C$17</f>
        <v>Goran  33/11KV S/S</v>
      </c>
    </row>
    <row r="469" spans="1:15" x14ac:dyDescent="0.35">
      <c r="A469" s="2019">
        <f>'NORTH-2'!A825</f>
        <v>1</v>
      </c>
      <c r="B469" s="2019" t="str">
        <f>'NORTH-2'!B825</f>
        <v xml:space="preserve"> Shankor O/H</v>
      </c>
      <c r="C469" s="2019">
        <f>'NORTH-2'!C825</f>
        <v>11</v>
      </c>
      <c r="D469" s="2019" t="str">
        <f>'NORTH-2'!D825</f>
        <v>Export</v>
      </c>
      <c r="E469" s="2019" t="str">
        <f>'NORTH-2'!E825</f>
        <v>HA-021100932-02</v>
      </c>
      <c r="F469" s="791">
        <f>'NORTH-2'!F825</f>
        <v>1</v>
      </c>
      <c r="G469" s="791">
        <f>'NORTH-2'!G825</f>
        <v>5252987</v>
      </c>
      <c r="H469" s="791">
        <f>'NORTH-2'!H825</f>
        <v>5900445</v>
      </c>
      <c r="I469" s="791">
        <f>'NORTH-2'!I825</f>
        <v>647458</v>
      </c>
      <c r="J469" s="791">
        <f>'NORTH-2'!J825</f>
        <v>1</v>
      </c>
      <c r="K469" s="791">
        <f>'NORTH-2'!K825</f>
        <v>0</v>
      </c>
      <c r="L469" s="791">
        <f>'NORTH-2'!L825</f>
        <v>647458</v>
      </c>
      <c r="M469" s="791">
        <f>'NORTH-2'!M825</f>
        <v>0</v>
      </c>
      <c r="N469" s="2019" t="str">
        <f>'NORTH-2'!N825</f>
        <v>Dhanmondi</v>
      </c>
      <c r="O469" s="2019" t="str">
        <f>Sheet2!$C$6</f>
        <v>Lalmatia  33/11KV S/S</v>
      </c>
    </row>
    <row r="470" spans="1:15" x14ac:dyDescent="0.35">
      <c r="A470" s="2019">
        <f>'NORTH-2'!A826</f>
        <v>2</v>
      </c>
      <c r="B470" s="2019" t="str">
        <f>'NORTH-2'!B826</f>
        <v>Bangabobondhu museum</v>
      </c>
      <c r="C470" s="2019">
        <f>'NORTH-2'!C826</f>
        <v>11</v>
      </c>
      <c r="D470" s="2019" t="str">
        <f>'NORTH-2'!D826</f>
        <v>Export</v>
      </c>
      <c r="E470" s="2019">
        <f>'NORTH-2'!E826</f>
        <v>0</v>
      </c>
      <c r="F470" s="791">
        <f>'NORTH-2'!F826</f>
        <v>1</v>
      </c>
      <c r="G470" s="791">
        <f>'NORTH-2'!G826</f>
        <v>627449</v>
      </c>
      <c r="H470" s="791">
        <f>'NORTH-2'!H826</f>
        <v>627449</v>
      </c>
      <c r="I470" s="791">
        <f>'NORTH-2'!I826</f>
        <v>0</v>
      </c>
      <c r="J470" s="791">
        <f>'NORTH-2'!J826</f>
        <v>1</v>
      </c>
      <c r="K470" s="791">
        <f>'NORTH-2'!K826</f>
        <v>0</v>
      </c>
      <c r="L470" s="791">
        <f>'NORTH-2'!L826</f>
        <v>0</v>
      </c>
      <c r="M470" s="791">
        <f>'NORTH-2'!M826</f>
        <v>0</v>
      </c>
      <c r="N470" s="2019" t="str">
        <f>'NORTH-2'!N826</f>
        <v>Dhanmondi</v>
      </c>
      <c r="O470" s="2019" t="str">
        <f>Sheet2!$C$6</f>
        <v>Lalmatia  33/11KV S/S</v>
      </c>
    </row>
    <row r="471" spans="1:15" x14ac:dyDescent="0.35">
      <c r="A471" s="2019">
        <f>'NORTH-2'!A827</f>
        <v>3</v>
      </c>
      <c r="B471" s="2019" t="str">
        <f>'NORTH-2'!B827</f>
        <v xml:space="preserve"> Road No-13/A </v>
      </c>
      <c r="C471" s="2019">
        <f>'NORTH-2'!C827</f>
        <v>11</v>
      </c>
      <c r="D471" s="2019" t="str">
        <f>'NORTH-2'!D827</f>
        <v>Export</v>
      </c>
      <c r="E471" s="2019">
        <f>'NORTH-2'!E827</f>
        <v>202006950</v>
      </c>
      <c r="F471" s="791">
        <f>'NORTH-2'!F827</f>
        <v>1</v>
      </c>
      <c r="G471" s="791">
        <f>'NORTH-2'!G827</f>
        <v>65974884</v>
      </c>
      <c r="H471" s="791">
        <f>'NORTH-2'!H827</f>
        <v>67315286</v>
      </c>
      <c r="I471" s="791">
        <f>'NORTH-2'!I827</f>
        <v>1340402</v>
      </c>
      <c r="J471" s="791">
        <f>'NORTH-2'!J827</f>
        <v>1</v>
      </c>
      <c r="K471" s="791">
        <f>'NORTH-2'!K827</f>
        <v>0</v>
      </c>
      <c r="L471" s="791">
        <f>'NORTH-2'!L827</f>
        <v>1340402</v>
      </c>
      <c r="M471" s="791">
        <f>'NORTH-2'!M827</f>
        <v>0</v>
      </c>
      <c r="N471" s="2019" t="str">
        <f>'NORTH-2'!N827</f>
        <v>Dhanmondi</v>
      </c>
      <c r="O471" s="2019" t="str">
        <f>Sheet2!$C$6</f>
        <v>Lalmatia  33/11KV S/S</v>
      </c>
    </row>
    <row r="472" spans="1:15" x14ac:dyDescent="0.35">
      <c r="A472" s="2019">
        <f>'NORTH-2'!A828</f>
        <v>4</v>
      </c>
      <c r="B472" s="2019" t="str">
        <f>'NORTH-2'!B828</f>
        <v xml:space="preserve"> Jaforabad </v>
      </c>
      <c r="C472" s="2019">
        <f>'NORTH-2'!C828</f>
        <v>11</v>
      </c>
      <c r="D472" s="2019" t="str">
        <f>'NORTH-2'!D828</f>
        <v>Export</v>
      </c>
      <c r="E472" s="2019" t="str">
        <f>'NORTH-2'!E828</f>
        <v>DHK00163</v>
      </c>
      <c r="F472" s="791">
        <f>'NORTH-2'!F828</f>
        <v>1</v>
      </c>
      <c r="G472" s="791">
        <f>'NORTH-2'!G828</f>
        <v>86390049</v>
      </c>
      <c r="H472" s="791">
        <f>'NORTH-2'!H828</f>
        <v>88269244</v>
      </c>
      <c r="I472" s="791">
        <f>'NORTH-2'!I828</f>
        <v>1879195</v>
      </c>
      <c r="J472" s="791">
        <f>'NORTH-2'!J828</f>
        <v>1</v>
      </c>
      <c r="K472" s="791">
        <f>'NORTH-2'!K828</f>
        <v>0</v>
      </c>
      <c r="L472" s="791">
        <f>'NORTH-2'!L828</f>
        <v>1879195</v>
      </c>
      <c r="M472" s="791">
        <f>'NORTH-2'!M828</f>
        <v>0</v>
      </c>
      <c r="N472" s="2019" t="str">
        <f>'NORTH-2'!N828</f>
        <v>Dhanmondi</v>
      </c>
      <c r="O472" s="2019" t="str">
        <f>Sheet2!$C$6</f>
        <v>Lalmatia  33/11KV S/S</v>
      </c>
    </row>
    <row r="473" spans="1:15" x14ac:dyDescent="0.35">
      <c r="A473" s="2019">
        <f>'NORTH-2'!A829</f>
        <v>5</v>
      </c>
      <c r="B473" s="2019" t="str">
        <f>'NORTH-2'!B829</f>
        <v xml:space="preserve"> Asadgate U/G </v>
      </c>
      <c r="C473" s="2019">
        <f>'NORTH-2'!C829</f>
        <v>11</v>
      </c>
      <c r="D473" s="2019" t="str">
        <f>'NORTH-2'!D829</f>
        <v>Export</v>
      </c>
      <c r="E473" s="2019" t="str">
        <f>'NORTH-2'!E829</f>
        <v>DHK00174</v>
      </c>
      <c r="F473" s="791">
        <f>'NORTH-2'!F829</f>
        <v>1</v>
      </c>
      <c r="G473" s="791">
        <f>'NORTH-2'!G829</f>
        <v>0</v>
      </c>
      <c r="H473" s="791">
        <f>'NORTH-2'!H829</f>
        <v>0</v>
      </c>
      <c r="I473" s="791">
        <f>'NORTH-2'!I829</f>
        <v>0</v>
      </c>
      <c r="J473" s="791">
        <f>'NORTH-2'!J829</f>
        <v>1</v>
      </c>
      <c r="K473" s="791">
        <f>'NORTH-2'!K829</f>
        <v>0</v>
      </c>
      <c r="L473" s="791">
        <f>'NORTH-2'!L829</f>
        <v>0</v>
      </c>
      <c r="M473" s="791">
        <f>'NORTH-2'!M829</f>
        <v>0</v>
      </c>
      <c r="N473" s="2019" t="str">
        <f>'NORTH-2'!N829</f>
        <v>Dhanmondi</v>
      </c>
      <c r="O473" s="2019" t="str">
        <f>Sheet2!$C$6</f>
        <v>Lalmatia  33/11KV S/S</v>
      </c>
    </row>
    <row r="474" spans="1:15" x14ac:dyDescent="0.35">
      <c r="A474" s="2019">
        <f>'NORTH-2'!A830</f>
        <v>6</v>
      </c>
      <c r="B474" s="2019" t="str">
        <f>'NORTH-2'!B830</f>
        <v xml:space="preserve">Road 32 ( Lalmatia 11 kV S/S) </v>
      </c>
      <c r="C474" s="2019">
        <f>'NORTH-2'!C830</f>
        <v>11</v>
      </c>
      <c r="D474" s="2019" t="str">
        <f>'NORTH-2'!D830</f>
        <v>Export</v>
      </c>
      <c r="E474" s="2019" t="str">
        <f>'NORTH-2'!E830</f>
        <v>DHK00175</v>
      </c>
      <c r="F474" s="791">
        <f>'NORTH-2'!F830</f>
        <v>1</v>
      </c>
      <c r="G474" s="791">
        <f>'NORTH-2'!G830</f>
        <v>24365.599999999999</v>
      </c>
      <c r="H474" s="791">
        <f>'NORTH-2'!H830</f>
        <v>24478.6</v>
      </c>
      <c r="I474" s="791">
        <f>'NORTH-2'!I830</f>
        <v>113</v>
      </c>
      <c r="J474" s="791">
        <f>'NORTH-2'!J830</f>
        <v>3333.33</v>
      </c>
      <c r="K474" s="791">
        <f>'NORTH-2'!K830</f>
        <v>0</v>
      </c>
      <c r="L474" s="791">
        <f>'NORTH-2'!L830</f>
        <v>376666.29</v>
      </c>
      <c r="M474" s="791">
        <f>'NORTH-2'!M830</f>
        <v>0</v>
      </c>
      <c r="N474" s="2019" t="str">
        <f>'NORTH-2'!N830</f>
        <v>Dhanmondi</v>
      </c>
      <c r="O474" s="2019" t="str">
        <f>Sheet2!$C$6</f>
        <v>Lalmatia  33/11KV S/S</v>
      </c>
    </row>
    <row r="475" spans="1:15" x14ac:dyDescent="0.35">
      <c r="A475" s="2019">
        <f>'NORTH-2'!A831</f>
        <v>1</v>
      </c>
      <c r="B475" s="2019" t="str">
        <f>'NORTH-2'!B831</f>
        <v xml:space="preserve"> Road No -15 </v>
      </c>
      <c r="C475" s="2019">
        <f>'NORTH-2'!C831</f>
        <v>11</v>
      </c>
      <c r="D475" s="2019" t="str">
        <f>'NORTH-2'!D831</f>
        <v>Export</v>
      </c>
      <c r="E475" s="2019" t="str">
        <f>'NORTH-2'!E831</f>
        <v>DHK00162</v>
      </c>
      <c r="F475" s="791">
        <f>'NORTH-2'!F831</f>
        <v>1</v>
      </c>
      <c r="G475" s="791">
        <f>'NORTH-2'!G831</f>
        <v>66838.5</v>
      </c>
      <c r="H475" s="791">
        <f>'NORTH-2'!H831</f>
        <v>67094.100000000006</v>
      </c>
      <c r="I475" s="791">
        <f>'NORTH-2'!I831</f>
        <v>255.60000000000582</v>
      </c>
      <c r="J475" s="791">
        <f>'NORTH-2'!J831</f>
        <v>3333.33</v>
      </c>
      <c r="K475" s="791">
        <f>'NORTH-2'!K831</f>
        <v>0</v>
      </c>
      <c r="L475" s="791">
        <f>'NORTH-2'!L831</f>
        <v>851999.14800001937</v>
      </c>
      <c r="M475" s="791">
        <f>'NORTH-2'!M831</f>
        <v>0</v>
      </c>
      <c r="N475" s="2019" t="str">
        <f>'NORTH-2'!N831</f>
        <v>Dhanmondi</v>
      </c>
      <c r="O475" s="2019" t="str">
        <f>Sheet2!$C$6</f>
        <v>Lalmatia  33/11KV S/S</v>
      </c>
    </row>
    <row r="476" spans="1:15" x14ac:dyDescent="0.35">
      <c r="A476" s="2019">
        <f>'NORTH-2'!A832</f>
        <v>2</v>
      </c>
      <c r="B476" s="2019" t="str">
        <f>'NORTH-2'!B832</f>
        <v xml:space="preserve"> Road No-27 South</v>
      </c>
      <c r="C476" s="2019">
        <f>'NORTH-2'!C832</f>
        <v>11</v>
      </c>
      <c r="D476" s="2019" t="str">
        <f>'NORTH-2'!D832</f>
        <v>Export</v>
      </c>
      <c r="E476" s="2019" t="str">
        <f>'NORTH-2'!E832</f>
        <v>DHK00161</v>
      </c>
      <c r="F476" s="791">
        <f>'NORTH-2'!F832</f>
        <v>1</v>
      </c>
      <c r="G476" s="791">
        <f>'NORTH-2'!G832</f>
        <v>74854.399999999994</v>
      </c>
      <c r="H476" s="791">
        <f>'NORTH-2'!H832</f>
        <v>75097.399999999994</v>
      </c>
      <c r="I476" s="791">
        <f>'NORTH-2'!I832</f>
        <v>243</v>
      </c>
      <c r="J476" s="791">
        <f>'NORTH-2'!J832</f>
        <v>3333.33</v>
      </c>
      <c r="K476" s="791">
        <f>'NORTH-2'!K832</f>
        <v>0</v>
      </c>
      <c r="L476" s="791">
        <f>'NORTH-2'!L832</f>
        <v>809999.19</v>
      </c>
      <c r="M476" s="791">
        <f>'NORTH-2'!M832</f>
        <v>0</v>
      </c>
      <c r="N476" s="2019" t="str">
        <f>'NORTH-2'!N832</f>
        <v>Dhanmondi</v>
      </c>
      <c r="O476" s="2019" t="str">
        <f>Sheet2!$C$6</f>
        <v>Lalmatia  33/11KV S/S</v>
      </c>
    </row>
    <row r="477" spans="1:15" x14ac:dyDescent="0.35">
      <c r="A477" s="2019">
        <f>'NORTH-2'!A833</f>
        <v>0</v>
      </c>
      <c r="B477" s="2019" t="str">
        <f>'NORTH-2'!B833</f>
        <v>Road 25</v>
      </c>
      <c r="C477" s="2019">
        <f>'NORTH-2'!C833</f>
        <v>11</v>
      </c>
      <c r="D477" s="2019" t="str">
        <f>'NORTH-2'!D833</f>
        <v>Export</v>
      </c>
      <c r="E477" s="2019">
        <f>'NORTH-2'!E833</f>
        <v>0</v>
      </c>
      <c r="F477" s="791">
        <f>'NORTH-2'!F833</f>
        <v>1</v>
      </c>
      <c r="G477" s="791">
        <f>'NORTH-2'!G833</f>
        <v>67936.399999999994</v>
      </c>
      <c r="H477" s="791">
        <f>'NORTH-2'!H833</f>
        <v>68125</v>
      </c>
      <c r="I477" s="791">
        <f>'NORTH-2'!I833</f>
        <v>188.60000000000582</v>
      </c>
      <c r="J477" s="791">
        <f>'NORTH-2'!J833</f>
        <v>3333.3</v>
      </c>
      <c r="K477" s="791">
        <f>'NORTH-2'!K833</f>
        <v>0</v>
      </c>
      <c r="L477" s="791">
        <f>'NORTH-2'!L833</f>
        <v>628660.38000001945</v>
      </c>
      <c r="M477" s="791">
        <f>'NORTH-2'!M833</f>
        <v>0</v>
      </c>
      <c r="N477" s="2019" t="str">
        <f>'NORTH-2'!N833</f>
        <v>Dhanmondi</v>
      </c>
      <c r="O477" s="2019" t="str">
        <f>Sheet2!$C$6</f>
        <v>Lalmatia  33/11KV S/S</v>
      </c>
    </row>
    <row r="478" spans="1:15" x14ac:dyDescent="0.35">
      <c r="A478" s="2019">
        <f>'NORTH-2'!A834</f>
        <v>3</v>
      </c>
      <c r="B478" s="2019" t="str">
        <f>'NORTH-2'!B834</f>
        <v>Ibne Sina</v>
      </c>
      <c r="C478" s="2019">
        <f>'NORTH-2'!C834</f>
        <v>11</v>
      </c>
      <c r="D478" s="2019" t="str">
        <f>'NORTH-2'!D834</f>
        <v>Export</v>
      </c>
      <c r="E478" s="2019" t="str">
        <f>'NORTH-2'!E834</f>
        <v>DHK00165</v>
      </c>
      <c r="F478" s="791">
        <f>'NORTH-2'!F834</f>
        <v>1</v>
      </c>
      <c r="G478" s="791">
        <f>'NORTH-2'!G834</f>
        <v>37113.4</v>
      </c>
      <c r="H478" s="791">
        <f>'NORTH-2'!H834</f>
        <v>37172.800000000003</v>
      </c>
      <c r="I478" s="791">
        <f>'NORTH-2'!I834</f>
        <v>59.400000000001455</v>
      </c>
      <c r="J478" s="791">
        <f>'NORTH-2'!J834</f>
        <v>3333.3</v>
      </c>
      <c r="K478" s="791">
        <f>'NORTH-2'!K834</f>
        <v>0</v>
      </c>
      <c r="L478" s="791">
        <f>'NORTH-2'!L834</f>
        <v>197998.02000000485</v>
      </c>
      <c r="M478" s="791">
        <f>'NORTH-2'!M834</f>
        <v>0</v>
      </c>
      <c r="N478" s="2019" t="str">
        <f>'NORTH-2'!N834</f>
        <v>Dhanmondi</v>
      </c>
      <c r="O478" s="2019" t="str">
        <f>Sheet2!$C$6</f>
        <v>Lalmatia  33/11KV S/S</v>
      </c>
    </row>
    <row r="479" spans="1:15" x14ac:dyDescent="0.35">
      <c r="A479" s="2019">
        <f>'NORTH-2'!A835</f>
        <v>4</v>
      </c>
      <c r="B479" s="2019" t="str">
        <f>'NORTH-2'!B835</f>
        <v xml:space="preserve"> Road No-31  (PARI)</v>
      </c>
      <c r="C479" s="2019">
        <f>'NORTH-2'!C835</f>
        <v>11</v>
      </c>
      <c r="D479" s="2019" t="str">
        <f>'NORTH-2'!D835</f>
        <v>Export</v>
      </c>
      <c r="E479" s="2019" t="str">
        <f>'NORTH-2'!E835</f>
        <v>HA-021100490-02</v>
      </c>
      <c r="F479" s="791">
        <f>'NORTH-2'!F835</f>
        <v>1</v>
      </c>
      <c r="G479" s="791">
        <f>'NORTH-2'!G835</f>
        <v>53076869</v>
      </c>
      <c r="H479" s="791">
        <f>'NORTH-2'!H835</f>
        <v>53604511</v>
      </c>
      <c r="I479" s="791">
        <f>'NORTH-2'!I835</f>
        <v>527642</v>
      </c>
      <c r="J479" s="791">
        <f>'NORTH-2'!J835</f>
        <v>1</v>
      </c>
      <c r="K479" s="791">
        <f>'NORTH-2'!K835</f>
        <v>0</v>
      </c>
      <c r="L479" s="791">
        <f>'NORTH-2'!L835</f>
        <v>527642</v>
      </c>
      <c r="M479" s="791">
        <f>'NORTH-2'!M835</f>
        <v>0</v>
      </c>
      <c r="N479" s="2019" t="str">
        <f>'NORTH-2'!N835</f>
        <v>Dhanmondi</v>
      </c>
      <c r="O479" s="2019" t="str">
        <f>Sheet2!$C$6</f>
        <v>Lalmatia  33/11KV S/S</v>
      </c>
    </row>
    <row r="480" spans="1:15" x14ac:dyDescent="0.35">
      <c r="A480" s="2019">
        <f>'NORTH-2'!A836</f>
        <v>5</v>
      </c>
      <c r="B480" s="2019" t="str">
        <f>'NORTH-2'!B836</f>
        <v xml:space="preserve">Satmoszid Road West </v>
      </c>
      <c r="C480" s="2019">
        <f>'NORTH-2'!C836</f>
        <v>11</v>
      </c>
      <c r="D480" s="2019" t="str">
        <f>'NORTH-2'!D836</f>
        <v>Export</v>
      </c>
      <c r="E480" s="2019" t="str">
        <f>'NORTH-2'!E836</f>
        <v>HA-021101031-02</v>
      </c>
      <c r="F480" s="791">
        <f>'NORTH-2'!F836</f>
        <v>1</v>
      </c>
      <c r="G480" s="791">
        <f>'NORTH-2'!G836</f>
        <v>36147909</v>
      </c>
      <c r="H480" s="791">
        <f>'NORTH-2'!H836</f>
        <v>40387605</v>
      </c>
      <c r="I480" s="791">
        <f>'NORTH-2'!I836</f>
        <v>4239696</v>
      </c>
      <c r="J480" s="791">
        <f>'NORTH-2'!J836</f>
        <v>1</v>
      </c>
      <c r="K480" s="791" t="str">
        <f>'NORTH-2'!K836</f>
        <v>Meter Faulty</v>
      </c>
      <c r="L480" s="791">
        <f>'NORTH-2'!L836</f>
        <v>1240000</v>
      </c>
      <c r="M480" s="791">
        <f>'NORTH-2'!M836</f>
        <v>0</v>
      </c>
      <c r="N480" s="2019" t="str">
        <f>'NORTH-2'!N836</f>
        <v>Dhanmondi</v>
      </c>
      <c r="O480" s="2019" t="str">
        <f>Sheet2!$C$6</f>
        <v>Lalmatia  33/11KV S/S</v>
      </c>
    </row>
    <row r="481" spans="1:15" x14ac:dyDescent="0.35">
      <c r="A481" s="2019">
        <f>'NORTH-2'!A899</f>
        <v>1</v>
      </c>
      <c r="B481" s="2019" t="str">
        <f>'NORTH-2'!B899</f>
        <v xml:space="preserve"> Lab aid/local RMU</v>
      </c>
      <c r="C481" s="2019">
        <f>'NORTH-2'!C899</f>
        <v>11</v>
      </c>
      <c r="D481" s="2019">
        <f>'NORTH-2'!D899</f>
        <v>0</v>
      </c>
      <c r="E481" s="2019" t="str">
        <f>'NORTH-2'!E899</f>
        <v>3C65883</v>
      </c>
      <c r="F481" s="791">
        <f>'NORTH-2'!F899</f>
        <v>1</v>
      </c>
      <c r="G481" s="791">
        <f>'NORTH-2'!G899</f>
        <v>25953</v>
      </c>
      <c r="H481" s="791">
        <f>'NORTH-2'!H899</f>
        <v>29473</v>
      </c>
      <c r="I481" s="791">
        <f>'NORTH-2'!I899</f>
        <v>3520</v>
      </c>
      <c r="J481" s="791">
        <f>'NORTH-2'!J899</f>
        <v>300</v>
      </c>
      <c r="K481" s="791">
        <f>'NORTH-2'!K899</f>
        <v>0</v>
      </c>
      <c r="L481" s="791">
        <f>'NORTH-2'!L899</f>
        <v>1056000</v>
      </c>
      <c r="M481" s="791">
        <f>'NORTH-2'!M899</f>
        <v>0</v>
      </c>
      <c r="N481" s="2019" t="str">
        <f>'NORTH-2'!N899</f>
        <v>Paribag</v>
      </c>
      <c r="O481" s="2019" t="str">
        <f>Sheet2!$C$5</f>
        <v>Green Road 33/11KV S/S</v>
      </c>
    </row>
    <row r="482" spans="1:15" x14ac:dyDescent="0.35">
      <c r="A482" s="2019">
        <f>'NORTH-2'!A900</f>
        <v>2</v>
      </c>
      <c r="B482" s="2019" t="str">
        <f>'NORTH-2'!B900</f>
        <v xml:space="preserve"> Green View </v>
      </c>
      <c r="C482" s="2019">
        <f>'NORTH-2'!C900</f>
        <v>11</v>
      </c>
      <c r="D482" s="2019">
        <f>'NORTH-2'!D900</f>
        <v>0</v>
      </c>
      <c r="E482" s="2019" t="str">
        <f>'NORTH-2'!E900</f>
        <v>DHK000151</v>
      </c>
      <c r="F482" s="791">
        <f>'NORTH-2'!F900</f>
        <v>1</v>
      </c>
      <c r="G482" s="791">
        <f>'NORTH-2'!G900</f>
        <v>64949.2</v>
      </c>
      <c r="H482" s="791">
        <f>'NORTH-2'!H900</f>
        <v>65159.9</v>
      </c>
      <c r="I482" s="791">
        <f>'NORTH-2'!I900</f>
        <v>210.70000000000437</v>
      </c>
      <c r="J482" s="791">
        <f>'NORTH-2'!J900</f>
        <v>3333.33</v>
      </c>
      <c r="K482" s="791">
        <f>'NORTH-2'!K900</f>
        <v>0</v>
      </c>
      <c r="L482" s="791">
        <f>'NORTH-2'!L900</f>
        <v>702332.63100001449</v>
      </c>
      <c r="M482" s="791">
        <f>'NORTH-2'!M900</f>
        <v>0</v>
      </c>
      <c r="N482" s="2019" t="str">
        <f>'NORTH-2'!N900</f>
        <v>Paribag</v>
      </c>
      <c r="O482" s="2019" t="str">
        <f>Sheet2!$C$5</f>
        <v>Green Road 33/11KV S/S</v>
      </c>
    </row>
    <row r="483" spans="1:15" x14ac:dyDescent="0.35">
      <c r="A483" s="2019">
        <f>'NORTH-2'!A901</f>
        <v>3</v>
      </c>
      <c r="B483" s="2019" t="str">
        <f>'NORTH-2'!B901</f>
        <v xml:space="preserve">Central Road </v>
      </c>
      <c r="C483" s="2019">
        <f>'NORTH-2'!C901</f>
        <v>11</v>
      </c>
      <c r="D483" s="2019">
        <f>'NORTH-2'!D901</f>
        <v>0</v>
      </c>
      <c r="E483" s="2019">
        <f>'NORTH-2'!E901</f>
        <v>65943</v>
      </c>
      <c r="F483" s="791">
        <f>'NORTH-2'!F901</f>
        <v>1</v>
      </c>
      <c r="G483" s="791">
        <f>'NORTH-2'!G901</f>
        <v>985334</v>
      </c>
      <c r="H483" s="791">
        <f>'NORTH-2'!H901</f>
        <v>988519</v>
      </c>
      <c r="I483" s="791">
        <f>'NORTH-2'!I901</f>
        <v>3185</v>
      </c>
      <c r="J483" s="791">
        <f>'NORTH-2'!J901</f>
        <v>300</v>
      </c>
      <c r="K483" s="791">
        <f>'NORTH-2'!K901</f>
        <v>0</v>
      </c>
      <c r="L483" s="791">
        <f>'NORTH-2'!L901</f>
        <v>955500</v>
      </c>
      <c r="M483" s="791">
        <f>'NORTH-2'!M901</f>
        <v>0</v>
      </c>
      <c r="N483" s="2019" t="str">
        <f>'NORTH-2'!N901</f>
        <v>Paribag</v>
      </c>
      <c r="O483" s="2019" t="str">
        <f>Sheet2!$C$5</f>
        <v>Green Road 33/11KV S/S</v>
      </c>
    </row>
    <row r="484" spans="1:15" x14ac:dyDescent="0.35">
      <c r="A484" s="2019">
        <f>'NORTH-2'!A902</f>
        <v>4</v>
      </c>
      <c r="B484" s="2019" t="str">
        <f>'NORTH-2'!B902</f>
        <v xml:space="preserve"> New Market </v>
      </c>
      <c r="C484" s="2019">
        <f>'NORTH-2'!C902</f>
        <v>11</v>
      </c>
      <c r="D484" s="2019">
        <f>'NORTH-2'!D902</f>
        <v>0</v>
      </c>
      <c r="E484" s="2019" t="str">
        <f>'NORTH-2'!E902</f>
        <v>DHK000194</v>
      </c>
      <c r="F484" s="791">
        <f>'NORTH-2'!F902</f>
        <v>1</v>
      </c>
      <c r="G484" s="791">
        <f>'NORTH-2'!G902</f>
        <v>43971.1</v>
      </c>
      <c r="H484" s="791">
        <f>'NORTH-2'!H902</f>
        <v>44259</v>
      </c>
      <c r="I484" s="791">
        <f>'NORTH-2'!I902</f>
        <v>287.90000000000146</v>
      </c>
      <c r="J484" s="791">
        <f>'NORTH-2'!J902</f>
        <v>3333.33</v>
      </c>
      <c r="K484" s="791">
        <f>'NORTH-2'!K902</f>
        <v>0</v>
      </c>
      <c r="L484" s="791">
        <f>'NORTH-2'!L902</f>
        <v>959665.70700000483</v>
      </c>
      <c r="M484" s="791">
        <f>'NORTH-2'!M902</f>
        <v>0</v>
      </c>
      <c r="N484" s="2019" t="str">
        <f>'NORTH-2'!N902</f>
        <v>Jigatola</v>
      </c>
      <c r="O484" s="2019" t="str">
        <f>Sheet2!$C$5</f>
        <v>Green Road 33/11KV S/S</v>
      </c>
    </row>
    <row r="485" spans="1:15" x14ac:dyDescent="0.35">
      <c r="A485" s="2019">
        <f>'NORTH-2'!A903</f>
        <v>5</v>
      </c>
      <c r="B485" s="2019" t="str">
        <f>'NORTH-2'!B903</f>
        <v xml:space="preserve"> DPH Feeder</v>
      </c>
      <c r="C485" s="2019">
        <f>'NORTH-2'!C903</f>
        <v>11</v>
      </c>
      <c r="D485" s="2019">
        <f>'NORTH-2'!D903</f>
        <v>0</v>
      </c>
      <c r="E485" s="2019" t="str">
        <f>'NORTH-2'!E903</f>
        <v>HA-021100459</v>
      </c>
      <c r="F485" s="791">
        <f>'NORTH-2'!F903</f>
        <v>1</v>
      </c>
      <c r="G485" s="791">
        <f>'NORTH-2'!G903</f>
        <v>40787.800000000003</v>
      </c>
      <c r="H485" s="791">
        <f>'NORTH-2'!H903</f>
        <v>40890.800000000003</v>
      </c>
      <c r="I485" s="791">
        <f>'NORTH-2'!I903</f>
        <v>103</v>
      </c>
      <c r="J485" s="791">
        <f>'NORTH-2'!J903</f>
        <v>1</v>
      </c>
      <c r="K485" s="791">
        <f>'NORTH-2'!K903</f>
        <v>0</v>
      </c>
      <c r="L485" s="791">
        <f>'NORTH-2'!L903</f>
        <v>1203251</v>
      </c>
      <c r="M485" s="791">
        <f>'NORTH-2'!M903</f>
        <v>0</v>
      </c>
      <c r="N485" s="2019" t="str">
        <f>'NORTH-2'!N903</f>
        <v>Paribag</v>
      </c>
      <c r="O485" s="2019" t="str">
        <f>Sheet2!$C$5</f>
        <v>Green Road 33/11KV S/S</v>
      </c>
    </row>
    <row r="486" spans="1:15" x14ac:dyDescent="0.35">
      <c r="A486" s="2019">
        <f>'NORTH-2'!A904</f>
        <v>6</v>
      </c>
      <c r="B486" s="2019" t="str">
        <f>'NORTH-2'!B904</f>
        <v>Dhanmondi Rd 4(md Banglo</v>
      </c>
      <c r="C486" s="2019">
        <f>'NORTH-2'!C904</f>
        <v>11</v>
      </c>
      <c r="D486" s="2019">
        <f>'NORTH-2'!D904</f>
        <v>0</v>
      </c>
      <c r="E486" s="2019">
        <f>'NORTH-2'!E904</f>
        <v>6604464</v>
      </c>
      <c r="F486" s="791">
        <f>'NORTH-2'!F904</f>
        <v>1</v>
      </c>
      <c r="G486" s="791">
        <f>'NORTH-2'!G904</f>
        <v>4336.2</v>
      </c>
      <c r="H486" s="791">
        <f>'NORTH-2'!H904</f>
        <v>4358.8599999999997</v>
      </c>
      <c r="I486" s="791">
        <f>'NORTH-2'!I904</f>
        <v>22.659999999999854</v>
      </c>
      <c r="J486" s="791">
        <f>'NORTH-2'!J904</f>
        <v>60000</v>
      </c>
      <c r="K486" s="791">
        <f>'NORTH-2'!K904</f>
        <v>0</v>
      </c>
      <c r="L486" s="791">
        <f>'NORTH-2'!L904</f>
        <v>1359599.9999999912</v>
      </c>
      <c r="M486" s="791">
        <f>'NORTH-2'!M904</f>
        <v>0</v>
      </c>
      <c r="N486" s="2019" t="str">
        <f>'NORTH-2'!N904</f>
        <v>Jigatola</v>
      </c>
      <c r="O486" s="2019" t="str">
        <f>Sheet2!$C$5</f>
        <v>Green Road 33/11KV S/S</v>
      </c>
    </row>
    <row r="487" spans="1:15" x14ac:dyDescent="0.35">
      <c r="A487" s="2019">
        <f>'NORTH-2'!A905</f>
        <v>1</v>
      </c>
      <c r="B487" s="2019" t="str">
        <f>'NORTH-2'!B905</f>
        <v xml:space="preserve"> Green Road East </v>
      </c>
      <c r="C487" s="2019">
        <f>'NORTH-2'!C905</f>
        <v>11</v>
      </c>
      <c r="D487" s="2019">
        <f>'NORTH-2'!D905</f>
        <v>0</v>
      </c>
      <c r="E487" s="2019" t="str">
        <f>'NORTH-2'!E905</f>
        <v>HA-021101050</v>
      </c>
      <c r="F487" s="791">
        <f>'NORTH-2'!F905</f>
        <v>1</v>
      </c>
      <c r="G487" s="791">
        <f>'NORTH-2'!G905</f>
        <v>85911653</v>
      </c>
      <c r="H487" s="791">
        <f>'NORTH-2'!H905</f>
        <v>86736125</v>
      </c>
      <c r="I487" s="791">
        <f>'NORTH-2'!I905</f>
        <v>824472</v>
      </c>
      <c r="J487" s="791">
        <f>'NORTH-2'!J905</f>
        <v>1</v>
      </c>
      <c r="K487" s="791">
        <f>'NORTH-2'!K905</f>
        <v>0</v>
      </c>
      <c r="L487" s="791">
        <f>'NORTH-2'!L905</f>
        <v>824472</v>
      </c>
      <c r="M487" s="791">
        <f>'NORTH-2'!M905</f>
        <v>0</v>
      </c>
      <c r="N487" s="2019" t="str">
        <f>'NORTH-2'!N905</f>
        <v>Paribag</v>
      </c>
      <c r="O487" s="2019" t="str">
        <f>Sheet2!$C$5</f>
        <v>Green Road 33/11KV S/S</v>
      </c>
    </row>
    <row r="488" spans="1:15" x14ac:dyDescent="0.35">
      <c r="A488" s="2019">
        <f>'NORTH-2'!A906</f>
        <v>2</v>
      </c>
      <c r="B488" s="2019" t="str">
        <f>'NORTH-2'!B906</f>
        <v xml:space="preserve"> North Road </v>
      </c>
      <c r="C488" s="2019">
        <f>'NORTH-2'!C906</f>
        <v>11</v>
      </c>
      <c r="D488" s="2019">
        <f>'NORTH-2'!D906</f>
        <v>0</v>
      </c>
      <c r="E488" s="2019" t="str">
        <f>'NORTH-2'!E906</f>
        <v>HA-021100884</v>
      </c>
      <c r="F488" s="791">
        <f>'NORTH-2'!F906</f>
        <v>1</v>
      </c>
      <c r="G488" s="791">
        <f>'NORTH-2'!G906</f>
        <v>69173277</v>
      </c>
      <c r="H488" s="791">
        <f>'NORTH-2'!H906</f>
        <v>70228832</v>
      </c>
      <c r="I488" s="791">
        <f>'NORTH-2'!I906</f>
        <v>1055555</v>
      </c>
      <c r="J488" s="791">
        <f>'NORTH-2'!J906</f>
        <v>1</v>
      </c>
      <c r="K488" s="791">
        <f>'NORTH-2'!K906</f>
        <v>0</v>
      </c>
      <c r="L488" s="791">
        <f>'NORTH-2'!L906</f>
        <v>1055555</v>
      </c>
      <c r="M488" s="791">
        <f>'NORTH-2'!M906</f>
        <v>0</v>
      </c>
      <c r="N488" s="2019" t="str">
        <f>'NORTH-2'!N906</f>
        <v>Paribag</v>
      </c>
      <c r="O488" s="2019" t="str">
        <f>Sheet2!$C$5</f>
        <v>Green Road 33/11KV S/S</v>
      </c>
    </row>
    <row r="489" spans="1:15" x14ac:dyDescent="0.35">
      <c r="A489" s="2019">
        <f>'NORTH-2'!A907</f>
        <v>3</v>
      </c>
      <c r="B489" s="2019" t="str">
        <f>'NORTH-2'!B907</f>
        <v xml:space="preserve"> Green road SS</v>
      </c>
      <c r="C489" s="2019">
        <f>'NORTH-2'!C907</f>
        <v>11</v>
      </c>
      <c r="D489" s="2019">
        <f>'NORTH-2'!D907</f>
        <v>0</v>
      </c>
      <c r="E489" s="2019" t="str">
        <f>'NORTH-2'!E907</f>
        <v>DHK00135</v>
      </c>
      <c r="F489" s="791">
        <f>'NORTH-2'!F907</f>
        <v>1</v>
      </c>
      <c r="G489" s="791">
        <f>'NORTH-2'!G907</f>
        <v>10508258</v>
      </c>
      <c r="H489" s="791">
        <f>'NORTH-2'!H907</f>
        <v>11208601</v>
      </c>
      <c r="I489" s="791">
        <f>'NORTH-2'!I907</f>
        <v>700343</v>
      </c>
      <c r="J489" s="791">
        <f>'NORTH-2'!J907</f>
        <v>1</v>
      </c>
      <c r="K489" s="791">
        <f>'NORTH-2'!K907</f>
        <v>0</v>
      </c>
      <c r="L489" s="791">
        <f>'NORTH-2'!L907</f>
        <v>700343</v>
      </c>
      <c r="M489" s="791">
        <f>'NORTH-2'!M907</f>
        <v>0</v>
      </c>
      <c r="N489" s="2019" t="str">
        <f>'NORTH-2'!N907</f>
        <v>Paribag</v>
      </c>
      <c r="O489" s="2019" t="str">
        <f>Sheet2!$C$5</f>
        <v>Green Road 33/11KV S/S</v>
      </c>
    </row>
    <row r="490" spans="1:15" x14ac:dyDescent="0.35">
      <c r="A490" s="2019">
        <f>'NORTH-2'!A908</f>
        <v>4</v>
      </c>
      <c r="B490" s="2019" t="str">
        <f>'NORTH-2'!B908</f>
        <v xml:space="preserve"> Plane Moszid </v>
      </c>
      <c r="C490" s="2019">
        <f>'NORTH-2'!C908</f>
        <v>11</v>
      </c>
      <c r="D490" s="2019">
        <f>'NORTH-2'!D908</f>
        <v>0</v>
      </c>
      <c r="E490" s="2019" t="str">
        <f>'NORTH-2'!E908</f>
        <v>HA-021100962</v>
      </c>
      <c r="F490" s="791">
        <f>'NORTH-2'!F908</f>
        <v>1</v>
      </c>
      <c r="G490" s="791">
        <f>'NORTH-2'!G908</f>
        <v>0</v>
      </c>
      <c r="H490" s="791">
        <f>'NORTH-2'!H908</f>
        <v>0</v>
      </c>
      <c r="I490" s="791">
        <f>'NORTH-2'!I908</f>
        <v>0</v>
      </c>
      <c r="J490" s="791">
        <f>'NORTH-2'!J908</f>
        <v>1</v>
      </c>
      <c r="K490" s="791" t="str">
        <f>'NORTH-2'!K908</f>
        <v>Estemated. Meter Faulty</v>
      </c>
      <c r="L490" s="791">
        <f>'NORTH-2'!L908</f>
        <v>720000</v>
      </c>
      <c r="M490" s="791">
        <f>'NORTH-2'!M908</f>
        <v>0</v>
      </c>
      <c r="N490" s="2019" t="str">
        <f>'NORTH-2'!N908</f>
        <v>Paribag</v>
      </c>
      <c r="O490" s="2019" t="str">
        <f>Sheet2!$C$5</f>
        <v>Green Road 33/11KV S/S</v>
      </c>
    </row>
    <row r="491" spans="1:15" x14ac:dyDescent="0.35">
      <c r="A491" s="2019">
        <f>'NORTH-2'!A909</f>
        <v>5</v>
      </c>
      <c r="B491" s="2019" t="str">
        <f>'NORTH-2'!B909</f>
        <v xml:space="preserve">  Malancha</v>
      </c>
      <c r="C491" s="2019">
        <f>'NORTH-2'!C909</f>
        <v>11</v>
      </c>
      <c r="D491" s="2019">
        <f>'NORTH-2'!D909</f>
        <v>0</v>
      </c>
      <c r="E491" s="2019" t="str">
        <f>'NORTH-2'!E909</f>
        <v>HA-021100953</v>
      </c>
      <c r="F491" s="791">
        <f>'NORTH-2'!F909</f>
        <v>1</v>
      </c>
      <c r="G491" s="791">
        <f>'NORTH-2'!G909</f>
        <v>26364700</v>
      </c>
      <c r="H491" s="791">
        <f>'NORTH-2'!H909</f>
        <v>26918032</v>
      </c>
      <c r="I491" s="791">
        <f>'NORTH-2'!I909</f>
        <v>553332</v>
      </c>
      <c r="J491" s="791">
        <f>'NORTH-2'!J909</f>
        <v>1</v>
      </c>
      <c r="K491" s="791">
        <f>'NORTH-2'!K909</f>
        <v>0</v>
      </c>
      <c r="L491" s="791">
        <f>'NORTH-2'!L909</f>
        <v>553332</v>
      </c>
      <c r="M491" s="791">
        <f>'NORTH-2'!M909</f>
        <v>0</v>
      </c>
      <c r="N491" s="2019" t="str">
        <f>'NORTH-2'!N909</f>
        <v>Paribag</v>
      </c>
      <c r="O491" s="2019" t="str">
        <f>Sheet2!$C$5</f>
        <v>Green Road 33/11KV S/S</v>
      </c>
    </row>
    <row r="492" spans="1:15" x14ac:dyDescent="0.35">
      <c r="A492" s="2019">
        <f>'NORTH-2'!A910</f>
        <v>0</v>
      </c>
      <c r="B492" s="2019" t="str">
        <f>'NORTH-2'!B910</f>
        <v>AT -1</v>
      </c>
      <c r="C492" s="2019">
        <f>'NORTH-2'!C910</f>
        <v>0</v>
      </c>
      <c r="D492" s="2019">
        <f>'NORTH-2'!D910</f>
        <v>0</v>
      </c>
      <c r="E492" s="2019">
        <f>'NORTH-2'!E910</f>
        <v>0</v>
      </c>
      <c r="F492" s="791">
        <f>'NORTH-2'!F910</f>
        <v>0</v>
      </c>
      <c r="G492" s="791">
        <f>'NORTH-2'!G910</f>
        <v>22891</v>
      </c>
      <c r="H492" s="791">
        <f>'NORTH-2'!H910</f>
        <v>22891</v>
      </c>
      <c r="I492" s="791">
        <f>'NORTH-2'!I910</f>
        <v>0</v>
      </c>
      <c r="J492" s="791">
        <f>'NORTH-2'!J910</f>
        <v>1</v>
      </c>
      <c r="K492" s="791">
        <f>'NORTH-2'!K910</f>
        <v>0</v>
      </c>
      <c r="L492" s="791">
        <f>'NORTH-2'!L910</f>
        <v>5000</v>
      </c>
      <c r="M492" s="791">
        <f>'NORTH-2'!M910</f>
        <v>4603.7844131664915</v>
      </c>
      <c r="N492" s="2019" t="str">
        <f>'NORTH-2'!N910</f>
        <v>Paribag</v>
      </c>
      <c r="O492" s="2019" t="str">
        <f>Sheet2!$C$5</f>
        <v>Green Road 33/11KV S/S</v>
      </c>
    </row>
    <row r="493" spans="1:15" x14ac:dyDescent="0.35">
      <c r="A493" s="2019">
        <f>'NORTH-2'!A975</f>
        <v>1</v>
      </c>
      <c r="B493" s="2019" t="str">
        <f>'NORTH-2'!B975</f>
        <v>North Dhanmondi</v>
      </c>
      <c r="C493" s="2019">
        <f>'NORTH-2'!C975</f>
        <v>11</v>
      </c>
      <c r="D493" s="2019">
        <f>'NORTH-2'!D975</f>
        <v>0</v>
      </c>
      <c r="E493" s="2019" t="str">
        <f>'NORTH-2'!E975</f>
        <v>BD 014039</v>
      </c>
      <c r="F493" s="791">
        <f>'NORTH-2'!F975</f>
        <v>1</v>
      </c>
      <c r="G493" s="791">
        <f>'NORTH-2'!G975</f>
        <v>20087.900000000001</v>
      </c>
      <c r="H493" s="791">
        <f>'NORTH-2'!H975</f>
        <v>20483.47</v>
      </c>
      <c r="I493" s="791">
        <f>'NORTH-2'!I975</f>
        <v>395.56999999999971</v>
      </c>
      <c r="J493" s="791">
        <f>'NORTH-2'!J975</f>
        <v>2000</v>
      </c>
      <c r="K493" s="791">
        <f>'NORTH-2'!K975</f>
        <v>0</v>
      </c>
      <c r="L493" s="791">
        <f>'NORTH-2'!L975</f>
        <v>791139.99999999942</v>
      </c>
      <c r="M493" s="791">
        <f>'NORTH-2'!M975</f>
        <v>0</v>
      </c>
      <c r="N493" s="2019" t="str">
        <f>'NORTH-2'!N975</f>
        <v>Paribag</v>
      </c>
      <c r="O493" s="2019" t="str">
        <f>Sheet2!$C$36</f>
        <v>Green Road Dormatory 33/11 SS</v>
      </c>
    </row>
    <row r="494" spans="1:15" x14ac:dyDescent="0.35">
      <c r="A494" s="2019">
        <f>'NORTH-2'!A976</f>
        <v>2</v>
      </c>
      <c r="B494" s="2019" t="str">
        <f>'NORTH-2'!B976</f>
        <v>Lake circus</v>
      </c>
      <c r="C494" s="2019">
        <f>'NORTH-2'!C976</f>
        <v>11</v>
      </c>
      <c r="D494" s="2019">
        <f>'NORTH-2'!D976</f>
        <v>0</v>
      </c>
      <c r="E494" s="2019" t="str">
        <f>'NORTH-2'!E976</f>
        <v>BD 014047</v>
      </c>
      <c r="F494" s="791">
        <f>'NORTH-2'!F976</f>
        <v>1</v>
      </c>
      <c r="G494" s="791">
        <f>'NORTH-2'!G976</f>
        <v>29527.97</v>
      </c>
      <c r="H494" s="791">
        <f>'NORTH-2'!H976</f>
        <v>30071.919999999998</v>
      </c>
      <c r="I494" s="791">
        <f>'NORTH-2'!I976</f>
        <v>543.94999999999709</v>
      </c>
      <c r="J494" s="791">
        <f>'NORTH-2'!J976</f>
        <v>2000</v>
      </c>
      <c r="K494" s="791">
        <f>'NORTH-2'!K976</f>
        <v>0</v>
      </c>
      <c r="L494" s="791">
        <f>'NORTH-2'!L976</f>
        <v>1087899.9999999942</v>
      </c>
      <c r="M494" s="791">
        <f>'NORTH-2'!M976</f>
        <v>0</v>
      </c>
      <c r="N494" s="2019" t="str">
        <f>'NORTH-2'!N976</f>
        <v>Paribag</v>
      </c>
      <c r="O494" s="2019" t="str">
        <f>Sheet2!$C$36</f>
        <v>Green Road Dormatory 33/11 SS</v>
      </c>
    </row>
    <row r="495" spans="1:15" x14ac:dyDescent="0.35">
      <c r="A495" s="2019">
        <f>'NORTH-2'!A977</f>
        <v>3</v>
      </c>
      <c r="B495" s="2019" t="str">
        <f>'NORTH-2'!B977</f>
        <v>Bashir Uddin</v>
      </c>
      <c r="C495" s="2019">
        <f>'NORTH-2'!C977</f>
        <v>11</v>
      </c>
      <c r="D495" s="2019">
        <f>'NORTH-2'!D977</f>
        <v>0</v>
      </c>
      <c r="E495" s="2019" t="str">
        <f>'NORTH-2'!E977</f>
        <v>BD 014037</v>
      </c>
      <c r="F495" s="791">
        <f>'NORTH-2'!F977</f>
        <v>1</v>
      </c>
      <c r="G495" s="791">
        <f>'NORTH-2'!G977</f>
        <v>12037.8</v>
      </c>
      <c r="H495" s="791">
        <f>'NORTH-2'!H977</f>
        <v>12254.45</v>
      </c>
      <c r="I495" s="791">
        <f>'NORTH-2'!I977</f>
        <v>216.65000000000146</v>
      </c>
      <c r="J495" s="791">
        <f>'NORTH-2'!J977</f>
        <v>2000</v>
      </c>
      <c r="K495" s="791">
        <f>'NORTH-2'!K977</f>
        <v>0</v>
      </c>
      <c r="L495" s="791">
        <f>'NORTH-2'!L977</f>
        <v>433300.00000000291</v>
      </c>
      <c r="M495" s="791">
        <f>'NORTH-2'!M977</f>
        <v>0</v>
      </c>
      <c r="N495" s="2019" t="str">
        <f>'NORTH-2'!N977</f>
        <v>Paribag</v>
      </c>
      <c r="O495" s="2019" t="str">
        <f>Sheet2!$C$36</f>
        <v>Green Road Dormatory 33/11 SS</v>
      </c>
    </row>
    <row r="496" spans="1:15" x14ac:dyDescent="0.35">
      <c r="A496" s="2019">
        <f>'NORTH-2'!A978</f>
        <v>4</v>
      </c>
      <c r="B496" s="2019" t="str">
        <f>'NORTH-2'!B978</f>
        <v>Raza Bazar</v>
      </c>
      <c r="C496" s="2019">
        <f>'NORTH-2'!C978</f>
        <v>11</v>
      </c>
      <c r="D496" s="2019">
        <f>'NORTH-2'!D978</f>
        <v>0</v>
      </c>
      <c r="E496" s="2019" t="str">
        <f>'NORTH-2'!E978</f>
        <v>BD 013939</v>
      </c>
      <c r="F496" s="791">
        <f>'NORTH-2'!F978</f>
        <v>1</v>
      </c>
      <c r="G496" s="791">
        <f>'NORTH-2'!G978</f>
        <v>17148.849999999999</v>
      </c>
      <c r="H496" s="791">
        <f>'NORTH-2'!H978</f>
        <v>17501.22</v>
      </c>
      <c r="I496" s="791">
        <f>'NORTH-2'!I978</f>
        <v>352.37000000000262</v>
      </c>
      <c r="J496" s="791">
        <f>'NORTH-2'!J978</f>
        <v>2000</v>
      </c>
      <c r="K496" s="791">
        <f>'NORTH-2'!K978</f>
        <v>0</v>
      </c>
      <c r="L496" s="791">
        <f>'NORTH-2'!L978</f>
        <v>704740.00000000524</v>
      </c>
      <c r="M496" s="791">
        <f>'NORTH-2'!M978</f>
        <v>0</v>
      </c>
      <c r="N496" s="2019" t="str">
        <f>'NORTH-2'!N978</f>
        <v>Shere Banglanagar</v>
      </c>
      <c r="O496" s="2019" t="str">
        <f>Sheet2!$C$36</f>
        <v>Green Road Dormatory 33/11 SS</v>
      </c>
    </row>
    <row r="497" spans="1:15" x14ac:dyDescent="0.35">
      <c r="A497" s="2019">
        <f>'NORTH-2'!A979</f>
        <v>5</v>
      </c>
      <c r="B497" s="2019" t="str">
        <f>'NORTH-2'!B979</f>
        <v>Rasel Squar</v>
      </c>
      <c r="C497" s="2019">
        <f>'NORTH-2'!C979</f>
        <v>11</v>
      </c>
      <c r="D497" s="2019">
        <f>'NORTH-2'!D979</f>
        <v>0</v>
      </c>
      <c r="E497" s="2019" t="str">
        <f>'NORTH-2'!E979</f>
        <v>BD 013970</v>
      </c>
      <c r="F497" s="791">
        <f>'NORTH-2'!F979</f>
        <v>1</v>
      </c>
      <c r="G497" s="791">
        <f>'NORTH-2'!G979</f>
        <v>26040.55</v>
      </c>
      <c r="H497" s="791">
        <f>'NORTH-2'!H979</f>
        <v>26561.16</v>
      </c>
      <c r="I497" s="791">
        <f>'NORTH-2'!I979</f>
        <v>520.61000000000058</v>
      </c>
      <c r="J497" s="791">
        <f>'NORTH-2'!J979</f>
        <v>2000</v>
      </c>
      <c r="K497" s="791">
        <f>'NORTH-2'!K979</f>
        <v>0</v>
      </c>
      <c r="L497" s="791">
        <f>'NORTH-2'!L979</f>
        <v>1041220.0000000012</v>
      </c>
      <c r="M497" s="791">
        <f>'NORTH-2'!M979</f>
        <v>0</v>
      </c>
      <c r="N497" s="2019" t="str">
        <f>'NORTH-2'!N979</f>
        <v>Shere Banglanagar</v>
      </c>
      <c r="O497" s="2019" t="str">
        <f>Sheet2!$C$36</f>
        <v>Green Road Dormatory 33/11 SS</v>
      </c>
    </row>
    <row r="498" spans="1:15" x14ac:dyDescent="0.35">
      <c r="A498" s="2019">
        <f>'NORTH-2'!A980</f>
        <v>6</v>
      </c>
      <c r="B498" s="2019" t="str">
        <f>'NORTH-2'!B980</f>
        <v>Bow Bazar</v>
      </c>
      <c r="C498" s="2019">
        <f>'NORTH-2'!C980</f>
        <v>11</v>
      </c>
      <c r="D498" s="2019">
        <f>'NORTH-2'!D980</f>
        <v>0</v>
      </c>
      <c r="E498" s="2019" t="str">
        <f>'NORTH-2'!E980</f>
        <v>BD 013967</v>
      </c>
      <c r="F498" s="791">
        <f>'NORTH-2'!F980</f>
        <v>1</v>
      </c>
      <c r="G498" s="791">
        <f>'NORTH-2'!G980</f>
        <v>20287.68</v>
      </c>
      <c r="H498" s="791">
        <f>'NORTH-2'!H980</f>
        <v>20642.52</v>
      </c>
      <c r="I498" s="791">
        <f>'NORTH-2'!I980</f>
        <v>354.84000000000015</v>
      </c>
      <c r="J498" s="791">
        <f>'NORTH-2'!J980</f>
        <v>2000</v>
      </c>
      <c r="K498" s="791">
        <f>'NORTH-2'!K980</f>
        <v>0</v>
      </c>
      <c r="L498" s="791">
        <f>'NORTH-2'!L980</f>
        <v>709680.00000000023</v>
      </c>
      <c r="M498" s="791">
        <f>'NORTH-2'!M980</f>
        <v>0</v>
      </c>
      <c r="N498" s="2019" t="str">
        <f>'NORTH-2'!N980</f>
        <v>Shere Banglanagar</v>
      </c>
      <c r="O498" s="2019" t="str">
        <f>Sheet2!$C$36</f>
        <v>Green Road Dormatory 33/11 SS</v>
      </c>
    </row>
    <row r="499" spans="1:15" x14ac:dyDescent="0.35">
      <c r="A499" s="2019">
        <f>'NORTH-2'!A981</f>
        <v>7</v>
      </c>
      <c r="B499" s="2019" t="str">
        <f>'NORTH-2'!B981</f>
        <v>BRB Hospital</v>
      </c>
      <c r="C499" s="2019">
        <f>'NORTH-2'!C981</f>
        <v>11</v>
      </c>
      <c r="D499" s="2019">
        <f>'NORTH-2'!D981</f>
        <v>0</v>
      </c>
      <c r="E499" s="2019" t="str">
        <f>'NORTH-2'!E981</f>
        <v>BD 014003</v>
      </c>
      <c r="F499" s="791">
        <f>'NORTH-2'!F981</f>
        <v>1</v>
      </c>
      <c r="G499" s="791">
        <f>'NORTH-2'!G981</f>
        <v>10365.950000000001</v>
      </c>
      <c r="H499" s="791">
        <f>'NORTH-2'!H981</f>
        <v>10595.62</v>
      </c>
      <c r="I499" s="791">
        <f>'NORTH-2'!I981</f>
        <v>229.67000000000007</v>
      </c>
      <c r="J499" s="791">
        <f>'NORTH-2'!J981</f>
        <v>2000</v>
      </c>
      <c r="K499" s="791">
        <f>'NORTH-2'!K981</f>
        <v>0</v>
      </c>
      <c r="L499" s="791">
        <f>'NORTH-2'!L981</f>
        <v>459340.00000000012</v>
      </c>
      <c r="M499" s="791">
        <f>'NORTH-2'!M981</f>
        <v>0</v>
      </c>
      <c r="N499" s="2019" t="str">
        <f>'NORTH-2'!N981</f>
        <v>Shere Banglanagar</v>
      </c>
      <c r="O499" s="2019" t="str">
        <f>Sheet2!$C$36</f>
        <v>Green Road Dormatory 33/11 SS</v>
      </c>
    </row>
    <row r="500" spans="1:15" x14ac:dyDescent="0.35">
      <c r="A500" s="2019">
        <f>'NORTH-2'!A982</f>
        <v>8</v>
      </c>
      <c r="B500" s="2019" t="str">
        <f>'NORTH-2'!B982</f>
        <v>Green Road North</v>
      </c>
      <c r="C500" s="2019">
        <f>'NORTH-2'!C982</f>
        <v>11</v>
      </c>
      <c r="D500" s="2019">
        <f>'NORTH-2'!D982</f>
        <v>0</v>
      </c>
      <c r="E500" s="2019" t="str">
        <f>'NORTH-2'!E982</f>
        <v>BD 013969</v>
      </c>
      <c r="F500" s="791">
        <f>'NORTH-2'!F982</f>
        <v>1</v>
      </c>
      <c r="G500" s="791">
        <f>'NORTH-2'!G982</f>
        <v>11483.97</v>
      </c>
      <c r="H500" s="791">
        <f>'NORTH-2'!H982</f>
        <v>11838.66</v>
      </c>
      <c r="I500" s="791">
        <f>'NORTH-2'!I982</f>
        <v>354.69000000000051</v>
      </c>
      <c r="J500" s="791">
        <f>'NORTH-2'!J982</f>
        <v>2000</v>
      </c>
      <c r="K500" s="791">
        <f>'NORTH-2'!K982</f>
        <v>0</v>
      </c>
      <c r="L500" s="791">
        <f>'NORTH-2'!L982</f>
        <v>709380.00000000105</v>
      </c>
      <c r="M500" s="791">
        <f>'NORTH-2'!M982</f>
        <v>0</v>
      </c>
      <c r="N500" s="2019" t="str">
        <f>'NORTH-2'!N982</f>
        <v>Paribag</v>
      </c>
      <c r="O500" s="2019" t="str">
        <f>Sheet2!$C$36</f>
        <v>Green Road Dormatory 33/11 SS</v>
      </c>
    </row>
    <row r="501" spans="1:15" x14ac:dyDescent="0.35">
      <c r="A501" s="2019">
        <f>'NORTH-2'!A983</f>
        <v>1</v>
      </c>
      <c r="B501" s="2019" t="str">
        <f>'NORTH-2'!B983</f>
        <v>Water Bhaban</v>
      </c>
      <c r="C501" s="2019">
        <f>'NORTH-2'!C983</f>
        <v>11</v>
      </c>
      <c r="D501" s="2019">
        <f>'NORTH-2'!D983</f>
        <v>0</v>
      </c>
      <c r="E501" s="2019" t="str">
        <f>'NORTH-2'!E983</f>
        <v>BD 014004</v>
      </c>
      <c r="F501" s="791">
        <f>'NORTH-2'!F983</f>
        <v>1</v>
      </c>
      <c r="G501" s="791">
        <f>'NORTH-2'!G983</f>
        <v>4101.9399999999996</v>
      </c>
      <c r="H501" s="791">
        <f>'NORTH-2'!H983</f>
        <v>4188.8599999999997</v>
      </c>
      <c r="I501" s="791">
        <f>'NORTH-2'!I983</f>
        <v>86.920000000000073</v>
      </c>
      <c r="J501" s="791">
        <f>'NORTH-2'!J983</f>
        <v>2000</v>
      </c>
      <c r="K501" s="791">
        <f>'NORTH-2'!K983</f>
        <v>0</v>
      </c>
      <c r="L501" s="791">
        <f>'NORTH-2'!L983</f>
        <v>173840.00000000015</v>
      </c>
      <c r="M501" s="791">
        <f>'NORTH-2'!M983</f>
        <v>0</v>
      </c>
      <c r="N501" s="2019" t="str">
        <f>'NORTH-2'!N983</f>
        <v>Shere Banglanagar</v>
      </c>
      <c r="O501" s="2019" t="str">
        <f>Sheet2!$C$36</f>
        <v>Green Road Dormatory 33/11 SS</v>
      </c>
    </row>
    <row r="502" spans="1:15" x14ac:dyDescent="0.35">
      <c r="A502" s="2019">
        <f>'NORTH-2'!A984</f>
        <v>2</v>
      </c>
      <c r="B502" s="2019" t="str">
        <f>'NORTH-2'!B984</f>
        <v>Alamin Road</v>
      </c>
      <c r="C502" s="2019">
        <f>'NORTH-2'!C984</f>
        <v>11</v>
      </c>
      <c r="D502" s="2019">
        <f>'NORTH-2'!D984</f>
        <v>0</v>
      </c>
      <c r="E502" s="2019" t="str">
        <f>'NORTH-2'!E984</f>
        <v>BD 014006</v>
      </c>
      <c r="F502" s="791">
        <f>'NORTH-2'!F984</f>
        <v>1</v>
      </c>
      <c r="G502" s="791">
        <f>'NORTH-2'!G984</f>
        <v>16620.2</v>
      </c>
      <c r="H502" s="791">
        <f>'NORTH-2'!H984</f>
        <v>16792.66</v>
      </c>
      <c r="I502" s="791">
        <f>'NORTH-2'!I984</f>
        <v>172.45999999999913</v>
      </c>
      <c r="J502" s="791">
        <f>'NORTH-2'!J984</f>
        <v>2000</v>
      </c>
      <c r="K502" s="791">
        <f>'NORTH-2'!K984</f>
        <v>0</v>
      </c>
      <c r="L502" s="791">
        <f>'NORTH-2'!L984</f>
        <v>344919.99999999825</v>
      </c>
      <c r="M502" s="791">
        <f>'NORTH-2'!M984</f>
        <v>0</v>
      </c>
      <c r="N502" s="2019" t="str">
        <f>'NORTH-2'!N984</f>
        <v>Paribag</v>
      </c>
      <c r="O502" s="2019" t="str">
        <f>Sheet2!$C$36</f>
        <v>Green Road Dormatory 33/11 SS</v>
      </c>
    </row>
    <row r="503" spans="1:15" x14ac:dyDescent="0.35">
      <c r="A503" s="2019">
        <f>'NORTH-2'!A985</f>
        <v>3</v>
      </c>
      <c r="B503" s="2019" t="str">
        <f>'NORTH-2'!B985</f>
        <v xml:space="preserve">Katal Bagan </v>
      </c>
      <c r="C503" s="2019">
        <f>'NORTH-2'!C985</f>
        <v>11</v>
      </c>
      <c r="D503" s="2019">
        <f>'NORTH-2'!D985</f>
        <v>0</v>
      </c>
      <c r="E503" s="2019">
        <f>'NORTH-2'!E985</f>
        <v>0</v>
      </c>
      <c r="F503" s="791">
        <f>'NORTH-2'!F985</f>
        <v>1</v>
      </c>
      <c r="G503" s="791">
        <f>'NORTH-2'!G985</f>
        <v>2840.88</v>
      </c>
      <c r="H503" s="791">
        <f>'NORTH-2'!H985</f>
        <v>3060.94</v>
      </c>
      <c r="I503" s="791">
        <f>'NORTH-2'!I985</f>
        <v>220.05999999999995</v>
      </c>
      <c r="J503" s="791">
        <f>'NORTH-2'!J985</f>
        <v>2000</v>
      </c>
      <c r="K503" s="791">
        <f>'NORTH-2'!K985</f>
        <v>0</v>
      </c>
      <c r="L503" s="791">
        <f>'NORTH-2'!L985</f>
        <v>440119.99999999988</v>
      </c>
      <c r="M503" s="791">
        <f>'NORTH-2'!M985</f>
        <v>0</v>
      </c>
      <c r="N503" s="2019" t="str">
        <f>'NORTH-2'!N985</f>
        <v>Paribag</v>
      </c>
      <c r="O503" s="2019" t="str">
        <f>Sheet2!$C$36</f>
        <v>Green Road Dormatory 33/11 SS</v>
      </c>
    </row>
    <row r="504" spans="1:15" x14ac:dyDescent="0.35">
      <c r="A504" s="2019">
        <f>'NORTH-2'!A986</f>
        <v>4</v>
      </c>
      <c r="B504" s="2019" t="str">
        <f>'NORTH-2'!B986</f>
        <v>Eastern Pantho chaya</v>
      </c>
      <c r="C504" s="2019">
        <f>'NORTH-2'!C986</f>
        <v>11</v>
      </c>
      <c r="D504" s="2019">
        <f>'NORTH-2'!D986</f>
        <v>0</v>
      </c>
      <c r="E504" s="2019" t="str">
        <f>'NORTH-2'!E986</f>
        <v>BD 014002</v>
      </c>
      <c r="F504" s="791">
        <f>'NORTH-2'!F986</f>
        <v>1</v>
      </c>
      <c r="G504" s="791">
        <f>'NORTH-2'!G986</f>
        <v>2793.55</v>
      </c>
      <c r="H504" s="791">
        <f>'NORTH-2'!H986</f>
        <v>2793.55</v>
      </c>
      <c r="I504" s="791">
        <f>'NORTH-2'!I986</f>
        <v>0</v>
      </c>
      <c r="J504" s="791">
        <f>'NORTH-2'!J986</f>
        <v>2000</v>
      </c>
      <c r="K504" s="791">
        <f>'NORTH-2'!K986</f>
        <v>0</v>
      </c>
      <c r="L504" s="791">
        <f>'NORTH-2'!L986</f>
        <v>0</v>
      </c>
      <c r="M504" s="791">
        <f>'NORTH-2'!M986</f>
        <v>0</v>
      </c>
      <c r="N504" s="2019" t="str">
        <f>'NORTH-2'!N986</f>
        <v>Paribag</v>
      </c>
      <c r="O504" s="2019" t="str">
        <f>Sheet2!$C$36</f>
        <v>Green Road Dormatory 33/11 SS</v>
      </c>
    </row>
    <row r="505" spans="1:15" x14ac:dyDescent="0.35">
      <c r="A505" s="2019">
        <f>'NORTH-2'!A987</f>
        <v>5</v>
      </c>
      <c r="B505" s="2019" t="str">
        <f>'NORTH-2'!B987</f>
        <v>Kalabagan</v>
      </c>
      <c r="C505" s="2019">
        <f>'NORTH-2'!C987</f>
        <v>11</v>
      </c>
      <c r="D505" s="2019">
        <f>'NORTH-2'!D987</f>
        <v>0</v>
      </c>
      <c r="E505" s="2019" t="str">
        <f>'NORTH-2'!E987</f>
        <v>BD 014005</v>
      </c>
      <c r="F505" s="791">
        <f>'NORTH-2'!F987</f>
        <v>1</v>
      </c>
      <c r="G505" s="791">
        <f>'NORTH-2'!G987</f>
        <v>4685.41</v>
      </c>
      <c r="H505" s="791">
        <f>'NORTH-2'!H987</f>
        <v>4777.42</v>
      </c>
      <c r="I505" s="791">
        <f>'NORTH-2'!I987</f>
        <v>92.010000000000218</v>
      </c>
      <c r="J505" s="791">
        <f>'NORTH-2'!J987</f>
        <v>2000</v>
      </c>
      <c r="K505" s="791">
        <f>'NORTH-2'!K987</f>
        <v>0</v>
      </c>
      <c r="L505" s="791">
        <f>'NORTH-2'!L987</f>
        <v>184020.00000000044</v>
      </c>
      <c r="M505" s="791">
        <f>'NORTH-2'!M987</f>
        <v>0</v>
      </c>
      <c r="N505" s="2019" t="str">
        <f>'NORTH-2'!N987</f>
        <v>Paribag</v>
      </c>
      <c r="O505" s="2019" t="str">
        <f>Sheet2!$C$36</f>
        <v>Green Road Dormatory 33/11 SS</v>
      </c>
    </row>
    <row r="506" spans="1:15" x14ac:dyDescent="0.35">
      <c r="A506" s="2019">
        <f>'NORTH-2'!A988</f>
        <v>6</v>
      </c>
      <c r="B506" s="2019" t="str">
        <f>'NORTH-2'!B988</f>
        <v>Univer Hospital</v>
      </c>
      <c r="C506" s="2019">
        <f>'NORTH-2'!C988</f>
        <v>11</v>
      </c>
      <c r="D506" s="2019">
        <f>'NORTH-2'!D988</f>
        <v>0</v>
      </c>
      <c r="E506" s="2019" t="str">
        <f>'NORTH-2'!E988</f>
        <v>BD 013963</v>
      </c>
      <c r="F506" s="791">
        <f>'NORTH-2'!F988</f>
        <v>1</v>
      </c>
      <c r="G506" s="791">
        <f>'NORTH-2'!G988</f>
        <v>0</v>
      </c>
      <c r="H506" s="791">
        <f>'NORTH-2'!H988</f>
        <v>137.46</v>
      </c>
      <c r="I506" s="791">
        <f>'NORTH-2'!I988</f>
        <v>137.46</v>
      </c>
      <c r="J506" s="791">
        <f>'NORTH-2'!J988</f>
        <v>0</v>
      </c>
      <c r="K506" s="791">
        <f>'NORTH-2'!K988</f>
        <v>0</v>
      </c>
      <c r="L506" s="791">
        <f>'NORTH-2'!L988</f>
        <v>0</v>
      </c>
      <c r="M506" s="791">
        <f>'NORTH-2'!M988</f>
        <v>0</v>
      </c>
      <c r="N506" s="2019" t="str">
        <f>'NORTH-2'!N988</f>
        <v>Paribag</v>
      </c>
      <c r="O506" s="2019" t="str">
        <f>Sheet2!$C$36</f>
        <v>Green Road Dormatory 33/11 SS</v>
      </c>
    </row>
    <row r="507" spans="1:15" x14ac:dyDescent="0.35">
      <c r="A507" s="2019">
        <f>'NORTH-2'!A989</f>
        <v>7</v>
      </c>
      <c r="B507" s="2019" t="str">
        <f>'NORTH-2'!B989</f>
        <v>Green Road Staff Quarter(Anowar Khan Medical)</v>
      </c>
      <c r="C507" s="2019">
        <f>'NORTH-2'!C989</f>
        <v>11</v>
      </c>
      <c r="D507" s="2019">
        <f>'NORTH-2'!D989</f>
        <v>0</v>
      </c>
      <c r="E507" s="2019" t="str">
        <f>'NORTH-2'!E989</f>
        <v>BD 013971</v>
      </c>
      <c r="F507" s="791">
        <f>'NORTH-2'!F989</f>
        <v>1</v>
      </c>
      <c r="G507" s="791">
        <f>'NORTH-2'!G989</f>
        <v>8143.17</v>
      </c>
      <c r="H507" s="791">
        <f>'NORTH-2'!H989</f>
        <v>8295.6200000000008</v>
      </c>
      <c r="I507" s="791">
        <f>'NORTH-2'!I989</f>
        <v>152.45000000000073</v>
      </c>
      <c r="J507" s="791">
        <f>'NORTH-2'!J989</f>
        <v>2000</v>
      </c>
      <c r="K507" s="791">
        <f>'NORTH-2'!K989</f>
        <v>0</v>
      </c>
      <c r="L507" s="791">
        <f>'NORTH-2'!L989</f>
        <v>304900.00000000146</v>
      </c>
      <c r="M507" s="791">
        <f>'NORTH-2'!M989</f>
        <v>0</v>
      </c>
      <c r="N507" s="2019" t="str">
        <f>'NORTH-2'!N989</f>
        <v>Paribag</v>
      </c>
      <c r="O507" s="2019" t="str">
        <f>Sheet2!$C$36</f>
        <v>Green Road Dormatory 33/11 SS</v>
      </c>
    </row>
    <row r="508" spans="1:15" x14ac:dyDescent="0.35">
      <c r="A508" s="2019">
        <f>'NORTH-2'!A1055</f>
        <v>1</v>
      </c>
      <c r="B508" s="2019" t="str">
        <f>'NORTH-2'!B1055</f>
        <v>Matir Masjid</v>
      </c>
      <c r="C508" s="2019">
        <f>'NORTH-2'!C1055</f>
        <v>11</v>
      </c>
      <c r="D508" s="2019">
        <f>'NORTH-2'!D1055</f>
        <v>0</v>
      </c>
      <c r="E508" s="2019" t="str">
        <f>'NORTH-2'!E1055</f>
        <v>DHK00170</v>
      </c>
      <c r="F508" s="791">
        <f>'NORTH-2'!F1055</f>
        <v>1</v>
      </c>
      <c r="G508" s="791">
        <f>'NORTH-2'!G1055</f>
        <v>7094.7</v>
      </c>
      <c r="H508" s="791">
        <f>'NORTH-2'!H1055</f>
        <v>8514.7999999999993</v>
      </c>
      <c r="I508" s="791">
        <f>'NORTH-2'!I1055</f>
        <v>1420.0999999999995</v>
      </c>
      <c r="J508" s="791">
        <f>'NORTH-2'!J1055</f>
        <v>888.88</v>
      </c>
      <c r="K508" s="791">
        <f>'NORTH-2'!K1055</f>
        <v>0</v>
      </c>
      <c r="L508" s="791">
        <f>'NORTH-2'!L1055</f>
        <v>1262298.4879999994</v>
      </c>
      <c r="M508" s="791">
        <f>'NORTH-2'!M1055</f>
        <v>0</v>
      </c>
      <c r="N508" s="2019" t="str">
        <f>'NORTH-2'!N1055</f>
        <v>Khilgaon</v>
      </c>
      <c r="O508" s="2019" t="str">
        <f>Sheet2!$C$18</f>
        <v>Taltola  33/11KV S/S</v>
      </c>
    </row>
    <row r="509" spans="1:15" x14ac:dyDescent="0.35">
      <c r="A509" s="2019">
        <f>'NORTH-2'!A1056</f>
        <v>2</v>
      </c>
      <c r="B509" s="2019" t="str">
        <f>'NORTH-2'!B1056</f>
        <v>Hajipara</v>
      </c>
      <c r="C509" s="2019">
        <f>'NORTH-2'!C1056</f>
        <v>11</v>
      </c>
      <c r="D509" s="2019">
        <f>'NORTH-2'!D1056</f>
        <v>0</v>
      </c>
      <c r="E509" s="2019" t="str">
        <f>'NORTH-2'!E1056</f>
        <v>DHK-00108</v>
      </c>
      <c r="F509" s="791">
        <f>'NORTH-2'!F1056</f>
        <v>1</v>
      </c>
      <c r="G509" s="791">
        <f>'NORTH-2'!G1056</f>
        <v>97405.2</v>
      </c>
      <c r="H509" s="791">
        <f>'NORTH-2'!H1056</f>
        <v>98002</v>
      </c>
      <c r="I509" s="791">
        <f>'NORTH-2'!I1056</f>
        <v>596.80000000000291</v>
      </c>
      <c r="J509" s="791">
        <f>'NORTH-2'!J1056</f>
        <v>2222.2199999999998</v>
      </c>
      <c r="K509" s="791">
        <f>'NORTH-2'!K1056</f>
        <v>0</v>
      </c>
      <c r="L509" s="791">
        <f>'NORTH-2'!L1056</f>
        <v>1326220.8960000062</v>
      </c>
      <c r="M509" s="791">
        <f>'NORTH-2'!M1056</f>
        <v>0</v>
      </c>
      <c r="N509" s="2019" t="str">
        <f>'NORTH-2'!N1056</f>
        <v>Khilgaon</v>
      </c>
      <c r="O509" s="2019" t="str">
        <f>Sheet2!$C$18</f>
        <v>Taltola  33/11KV S/S</v>
      </c>
    </row>
    <row r="510" spans="1:15" x14ac:dyDescent="0.35">
      <c r="A510" s="2019">
        <f>'NORTH-2'!A1057</f>
        <v>3</v>
      </c>
      <c r="B510" s="2019" t="str">
        <f>'NORTH-2'!B1057</f>
        <v>Nearest Feeder</v>
      </c>
      <c r="C510" s="2019">
        <f>'NORTH-2'!C1057</f>
        <v>11</v>
      </c>
      <c r="D510" s="2019">
        <f>'NORTH-2'!D1057</f>
        <v>0</v>
      </c>
      <c r="E510" s="2019" t="str">
        <f>'NORTH-2'!E1057</f>
        <v>DHK-00106</v>
      </c>
      <c r="F510" s="791">
        <f>'NORTH-2'!F1057</f>
        <v>1</v>
      </c>
      <c r="G510" s="791">
        <f>'NORTH-2'!G1057</f>
        <v>88632.1</v>
      </c>
      <c r="H510" s="791">
        <f>'NORTH-2'!H1057</f>
        <v>88986.3</v>
      </c>
      <c r="I510" s="791">
        <f>'NORTH-2'!I1057</f>
        <v>354.19999999999709</v>
      </c>
      <c r="J510" s="791">
        <f>'NORTH-2'!J1057</f>
        <v>2222.2199999999998</v>
      </c>
      <c r="K510" s="791">
        <f>'NORTH-2'!K1057</f>
        <v>0</v>
      </c>
      <c r="L510" s="791">
        <f>'NORTH-2'!L1057</f>
        <v>787110.3239999935</v>
      </c>
      <c r="M510" s="791">
        <f>'NORTH-2'!M1057</f>
        <v>0</v>
      </c>
      <c r="N510" s="2019" t="str">
        <f>'NORTH-2'!N1057</f>
        <v>Bashabo</v>
      </c>
      <c r="O510" s="2019" t="str">
        <f>Sheet2!$C$18</f>
        <v>Taltola  33/11KV S/S</v>
      </c>
    </row>
    <row r="511" spans="1:15" x14ac:dyDescent="0.35">
      <c r="A511" s="2019">
        <f>'NORTH-2'!A1058</f>
        <v>4</v>
      </c>
      <c r="B511" s="2019" t="str">
        <f>'NORTH-2'!B1058</f>
        <v>Reazbagh</v>
      </c>
      <c r="C511" s="2019">
        <f>'NORTH-2'!C1058</f>
        <v>11</v>
      </c>
      <c r="D511" s="2019">
        <f>'NORTH-2'!D1058</f>
        <v>0</v>
      </c>
      <c r="E511" s="2019" t="str">
        <f>'NORTH-2'!E1058</f>
        <v>DHK-00109</v>
      </c>
      <c r="F511" s="791">
        <f>'NORTH-2'!F1058</f>
        <v>1</v>
      </c>
      <c r="G511" s="791">
        <f>'NORTH-2'!G1058</f>
        <v>90814.2</v>
      </c>
      <c r="H511" s="791">
        <f>'NORTH-2'!H1058</f>
        <v>91264.2</v>
      </c>
      <c r="I511" s="791">
        <f>'NORTH-2'!I1058</f>
        <v>450</v>
      </c>
      <c r="J511" s="791">
        <f>'NORTH-2'!J1058</f>
        <v>2222.2199999999998</v>
      </c>
      <c r="K511" s="791">
        <f>'NORTH-2'!K1058</f>
        <v>0</v>
      </c>
      <c r="L511" s="791">
        <f>'NORTH-2'!L1058</f>
        <v>999998.99999999988</v>
      </c>
      <c r="M511" s="791">
        <f>'NORTH-2'!M1058</f>
        <v>0</v>
      </c>
      <c r="N511" s="2019" t="str">
        <f>'NORTH-2'!N1058</f>
        <v>Khilgaon</v>
      </c>
      <c r="O511" s="2019" t="str">
        <f>Sheet2!$C$18</f>
        <v>Taltola  33/11KV S/S</v>
      </c>
    </row>
    <row r="512" spans="1:15" x14ac:dyDescent="0.35">
      <c r="A512" s="2019">
        <f>'NORTH-2'!A1059</f>
        <v>5</v>
      </c>
      <c r="B512" s="2019" t="str">
        <f>'NORTH-2'!B1059</f>
        <v>Chowdhury Para</v>
      </c>
      <c r="C512" s="2019">
        <f>'NORTH-2'!C1059</f>
        <v>11</v>
      </c>
      <c r="D512" s="2019">
        <f>'NORTH-2'!D1059</f>
        <v>0</v>
      </c>
      <c r="E512" s="2019" t="str">
        <f>'NORTH-2'!E1059</f>
        <v>DHK-00107</v>
      </c>
      <c r="F512" s="791">
        <f>'NORTH-2'!F1059</f>
        <v>1</v>
      </c>
      <c r="G512" s="791">
        <f>'NORTH-2'!G1059</f>
        <v>50507.7</v>
      </c>
      <c r="H512" s="791">
        <f>'NORTH-2'!H1059</f>
        <v>50717</v>
      </c>
      <c r="I512" s="791">
        <f>'NORTH-2'!I1059</f>
        <v>209.30000000000291</v>
      </c>
      <c r="J512" s="791">
        <f>'NORTH-2'!J1059</f>
        <v>2222.2199999999998</v>
      </c>
      <c r="K512" s="791">
        <f>'NORTH-2'!K1059</f>
        <v>0</v>
      </c>
      <c r="L512" s="791">
        <f>'NORTH-2'!L1059</f>
        <v>465110.64600000641</v>
      </c>
      <c r="M512" s="791">
        <f>'NORTH-2'!M1059</f>
        <v>0</v>
      </c>
      <c r="N512" s="2019" t="str">
        <f>'NORTH-2'!N1059</f>
        <v>Khilgaon</v>
      </c>
      <c r="O512" s="2019" t="str">
        <f>Sheet2!$C$18</f>
        <v>Taltola  33/11KV S/S</v>
      </c>
    </row>
    <row r="513" spans="1:15" x14ac:dyDescent="0.35">
      <c r="A513" s="2019">
        <f>'NORTH-2'!A1060</f>
        <v>6</v>
      </c>
      <c r="B513" s="2019" t="str">
        <f>'NORTH-2'!B1060</f>
        <v>Model Colleg</v>
      </c>
      <c r="C513" s="2019">
        <f>'NORTH-2'!C1060</f>
        <v>11</v>
      </c>
      <c r="D513" s="2019">
        <f>'NORTH-2'!D1060</f>
        <v>0</v>
      </c>
      <c r="E513" s="2019">
        <f>'NORTH-2'!E1060</f>
        <v>9122392</v>
      </c>
      <c r="F513" s="791">
        <f>'NORTH-2'!F1060</f>
        <v>1</v>
      </c>
      <c r="G513" s="791">
        <f>'NORTH-2'!G1060</f>
        <v>2329.5</v>
      </c>
      <c r="H513" s="791">
        <f>'NORTH-2'!H1060</f>
        <v>2347.7399999999998</v>
      </c>
      <c r="I513" s="791">
        <f>'NORTH-2'!I1060</f>
        <v>18.239999999999782</v>
      </c>
      <c r="J513" s="791">
        <f>'NORTH-2'!J1060</f>
        <v>40000</v>
      </c>
      <c r="K513" s="791">
        <f>'NORTH-2'!K1060</f>
        <v>0</v>
      </c>
      <c r="L513" s="791">
        <f>'NORTH-2'!L1060</f>
        <v>729599.99999999127</v>
      </c>
      <c r="M513" s="791">
        <f>'NORTH-2'!M1060</f>
        <v>0</v>
      </c>
      <c r="N513" s="2019" t="str">
        <f>'NORTH-2'!N1060</f>
        <v>Khilgaon</v>
      </c>
      <c r="O513" s="2019" t="str">
        <f>Sheet2!$C$18</f>
        <v>Taltola  33/11KV S/S</v>
      </c>
    </row>
    <row r="514" spans="1:15" x14ac:dyDescent="0.35">
      <c r="A514" s="2019">
        <f>'NORTH-2'!A1061</f>
        <v>1</v>
      </c>
      <c r="B514" s="2019" t="str">
        <f>'NORTH-2'!B1061</f>
        <v>East Rampura</v>
      </c>
      <c r="C514" s="2019">
        <f>'NORTH-2'!C1061</f>
        <v>11</v>
      </c>
      <c r="D514" s="2019">
        <f>'NORTH-2'!D1061</f>
        <v>0</v>
      </c>
      <c r="E514" s="2019" t="str">
        <f>'NORTH-2'!E1061</f>
        <v>DHK-00181</v>
      </c>
      <c r="F514" s="791">
        <f>'NORTH-2'!F1061</f>
        <v>1</v>
      </c>
      <c r="G514" s="791">
        <f>'NORTH-2'!G1061</f>
        <v>94887.7</v>
      </c>
      <c r="H514" s="791">
        <f>'NORTH-2'!H1061</f>
        <v>95189.6</v>
      </c>
      <c r="I514" s="791">
        <f>'NORTH-2'!I1061</f>
        <v>301.90000000000873</v>
      </c>
      <c r="J514" s="791">
        <f>'NORTH-2'!J1061</f>
        <v>2222.2199999999998</v>
      </c>
      <c r="K514" s="791">
        <f>'NORTH-2'!K1061</f>
        <v>0</v>
      </c>
      <c r="L514" s="791">
        <f>'NORTH-2'!L1061</f>
        <v>670888.21800001932</v>
      </c>
      <c r="M514" s="791">
        <f>'NORTH-2'!M1061</f>
        <v>0</v>
      </c>
      <c r="N514" s="2019" t="str">
        <f>'NORTH-2'!N1061</f>
        <v>Khilgaon</v>
      </c>
      <c r="O514" s="2019" t="str">
        <f>Sheet2!$C$18</f>
        <v>Taltola  33/11KV S/S</v>
      </c>
    </row>
    <row r="515" spans="1:15" x14ac:dyDescent="0.35">
      <c r="A515" s="2019">
        <f>'NORTH-2'!A1062</f>
        <v>2</v>
      </c>
      <c r="B515" s="2019" t="str">
        <f>'NORTH-2'!B1062</f>
        <v>Adarshabagh</v>
      </c>
      <c r="C515" s="2019">
        <f>'NORTH-2'!C1062</f>
        <v>11</v>
      </c>
      <c r="D515" s="2019">
        <f>'NORTH-2'!D1062</f>
        <v>0</v>
      </c>
      <c r="E515" s="2019" t="str">
        <f>'NORTH-2'!E1062</f>
        <v>DHK-00090</v>
      </c>
      <c r="F515" s="791">
        <f>'NORTH-2'!F1062</f>
        <v>1</v>
      </c>
      <c r="G515" s="791">
        <f>'NORTH-2'!G1062</f>
        <v>43003.4</v>
      </c>
      <c r="H515" s="791">
        <f>'NORTH-2'!H1062</f>
        <v>43627.9</v>
      </c>
      <c r="I515" s="791">
        <f>'NORTH-2'!I1062</f>
        <v>624.5</v>
      </c>
      <c r="J515" s="791">
        <f>'NORTH-2'!J1062</f>
        <v>2222.2199999999998</v>
      </c>
      <c r="K515" s="791">
        <f>'NORTH-2'!K1062</f>
        <v>0</v>
      </c>
      <c r="L515" s="791">
        <f>'NORTH-2'!L1062</f>
        <v>1387776.39</v>
      </c>
      <c r="M515" s="791">
        <f>'NORTH-2'!M1062</f>
        <v>0</v>
      </c>
      <c r="N515" s="2019" t="str">
        <f>'NORTH-2'!N1062</f>
        <v>Bashabo</v>
      </c>
      <c r="O515" s="2019" t="str">
        <f>Sheet2!$C$18</f>
        <v>Taltola  33/11KV S/S</v>
      </c>
    </row>
    <row r="516" spans="1:15" x14ac:dyDescent="0.35">
      <c r="A516" s="2019">
        <f>'NORTH-2'!A1063</f>
        <v>3</v>
      </c>
      <c r="B516" s="2019" t="str">
        <f>'NORTH-2'!B1063</f>
        <v>Khailgaon Govt Colony</v>
      </c>
      <c r="C516" s="2019">
        <f>'NORTH-2'!C1063</f>
        <v>11</v>
      </c>
      <c r="D516" s="2019">
        <f>'NORTH-2'!D1063</f>
        <v>0</v>
      </c>
      <c r="E516" s="2019" t="str">
        <f>'NORTH-2'!E1063</f>
        <v>DHK00167</v>
      </c>
      <c r="F516" s="791">
        <f>'NORTH-2'!F1063</f>
        <v>1</v>
      </c>
      <c r="G516" s="791">
        <f>'NORTH-2'!G1063</f>
        <v>70452.800000000003</v>
      </c>
      <c r="H516" s="791">
        <f>'NORTH-2'!H1063</f>
        <v>70862.100000000006</v>
      </c>
      <c r="I516" s="791">
        <f>'NORTH-2'!I1063</f>
        <v>409.30000000000291</v>
      </c>
      <c r="J516" s="791">
        <f>'NORTH-2'!J1063</f>
        <v>2222.2199999999998</v>
      </c>
      <c r="K516" s="791">
        <f>'NORTH-2'!K1063</f>
        <v>0</v>
      </c>
      <c r="L516" s="791">
        <f>'NORTH-2'!L1063</f>
        <v>909554.64600000635</v>
      </c>
      <c r="M516" s="791">
        <f>'NORTH-2'!M1063</f>
        <v>0</v>
      </c>
      <c r="N516" s="2019" t="str">
        <f>'NORTH-2'!N1063</f>
        <v>Khilgaon</v>
      </c>
      <c r="O516" s="2019" t="str">
        <f>Sheet2!$C$18</f>
        <v>Taltola  33/11KV S/S</v>
      </c>
    </row>
    <row r="517" spans="1:15" x14ac:dyDescent="0.35">
      <c r="A517" s="2019">
        <f>'NORTH-2'!A1064</f>
        <v>4</v>
      </c>
      <c r="B517" s="2019" t="str">
        <f>'NORTH-2'!B1064</f>
        <v>TV Road</v>
      </c>
      <c r="C517" s="2019">
        <f>'NORTH-2'!C1064</f>
        <v>11</v>
      </c>
      <c r="D517" s="2019">
        <f>'NORTH-2'!D1064</f>
        <v>0</v>
      </c>
      <c r="E517" s="2019">
        <f>'NORTH-2'!E1064</f>
        <v>6604434</v>
      </c>
      <c r="F517" s="791">
        <f>'NORTH-2'!F1064</f>
        <v>1</v>
      </c>
      <c r="G517" s="791">
        <f>'NORTH-2'!G1064</f>
        <v>4848.16</v>
      </c>
      <c r="H517" s="791">
        <f>'NORTH-2'!H1064</f>
        <v>4869.88</v>
      </c>
      <c r="I517" s="791">
        <f>'NORTH-2'!I1064</f>
        <v>21.720000000000255</v>
      </c>
      <c r="J517" s="791">
        <f>'NORTH-2'!J1064</f>
        <v>40000</v>
      </c>
      <c r="K517" s="791">
        <f>'NORTH-2'!K1064</f>
        <v>0</v>
      </c>
      <c r="L517" s="791">
        <f>'NORTH-2'!L1064</f>
        <v>868800.00000001024</v>
      </c>
      <c r="M517" s="791">
        <f>'NORTH-2'!M1064</f>
        <v>0</v>
      </c>
      <c r="N517" s="2019" t="str">
        <f>'NORTH-2'!N1064</f>
        <v>Khilgaon</v>
      </c>
      <c r="O517" s="2019" t="str">
        <f>Sheet2!$C$18</f>
        <v>Taltola  33/11KV S/S</v>
      </c>
    </row>
    <row r="518" spans="1:15" x14ac:dyDescent="0.35">
      <c r="A518" s="2019">
        <f>'NORTH-2'!A1065</f>
        <v>5</v>
      </c>
      <c r="B518" s="2019" t="str">
        <f>'NORTH-2'!B1065</f>
        <v>Tilpa Para</v>
      </c>
      <c r="C518" s="2019">
        <f>'NORTH-2'!C1065</f>
        <v>11</v>
      </c>
      <c r="D518" s="2019">
        <f>'NORTH-2'!D1065</f>
        <v>0</v>
      </c>
      <c r="E518" s="2019" t="str">
        <f>'NORTH-2'!E1065</f>
        <v>06604476</v>
      </c>
      <c r="F518" s="791">
        <f>'NORTH-2'!F1065</f>
        <v>1</v>
      </c>
      <c r="G518" s="791">
        <f>'NORTH-2'!G1065</f>
        <v>6386.34</v>
      </c>
      <c r="H518" s="791">
        <f>'NORTH-2'!H1065</f>
        <v>6412.42</v>
      </c>
      <c r="I518" s="791">
        <f>'NORTH-2'!I1065</f>
        <v>26.079999999999927</v>
      </c>
      <c r="J518" s="791">
        <f>'NORTH-2'!J1065</f>
        <v>40000</v>
      </c>
      <c r="K518" s="791">
        <f>'NORTH-2'!K1065</f>
        <v>0</v>
      </c>
      <c r="L518" s="791">
        <f>'NORTH-2'!L1065</f>
        <v>1043199.9999999971</v>
      </c>
      <c r="M518" s="791">
        <f>'NORTH-2'!M1065</f>
        <v>0</v>
      </c>
      <c r="N518" s="2019" t="str">
        <f>'NORTH-2'!N1065</f>
        <v>Bashabo</v>
      </c>
      <c r="O518" s="2019" t="str">
        <f>Sheet2!$C$18</f>
        <v>Taltola  33/11KV S/S</v>
      </c>
    </row>
    <row r="519" spans="1:15" x14ac:dyDescent="0.35">
      <c r="A519" s="2019">
        <f>'NORTH-2'!A1066</f>
        <v>1</v>
      </c>
      <c r="B519" s="2019" t="str">
        <f>'NORTH-2'!B1066</f>
        <v>Navana</v>
      </c>
      <c r="C519" s="2019">
        <f>'NORTH-2'!C1066</f>
        <v>11</v>
      </c>
      <c r="D519" s="2019">
        <f>'NORTH-2'!D1066</f>
        <v>0</v>
      </c>
      <c r="E519" s="2019" t="str">
        <f>'NORTH-2'!E1066</f>
        <v>021100963-02</v>
      </c>
      <c r="F519" s="791">
        <f>'NORTH-2'!F1066</f>
        <v>1</v>
      </c>
      <c r="G519" s="791">
        <f>'NORTH-2'!G1066</f>
        <v>59075312</v>
      </c>
      <c r="H519" s="791">
        <f>'NORTH-2'!H1066</f>
        <v>59205051</v>
      </c>
      <c r="I519" s="791">
        <f>'NORTH-2'!I1066</f>
        <v>129739</v>
      </c>
      <c r="J519" s="791">
        <f>'NORTH-2'!J1066</f>
        <v>1</v>
      </c>
      <c r="K519" s="791">
        <f>'NORTH-2'!K1066</f>
        <v>0</v>
      </c>
      <c r="L519" s="791">
        <f>'NORTH-2'!L1066</f>
        <v>129739</v>
      </c>
      <c r="M519" s="791">
        <f>'NORTH-2'!M1066</f>
        <v>0</v>
      </c>
      <c r="N519" s="2019" t="str">
        <f>'NORTH-2'!N1066</f>
        <v>Bashabo</v>
      </c>
      <c r="O519" s="2019" t="str">
        <f>Sheet2!$C$18</f>
        <v>Taltola  33/11KV S/S</v>
      </c>
    </row>
    <row r="520" spans="1:15" x14ac:dyDescent="0.35">
      <c r="A520" s="2019">
        <f>'NORTH-2'!A1067</f>
        <v>7</v>
      </c>
      <c r="B520" s="2019" t="str">
        <f>'NORTH-2'!B1067</f>
        <v>Shantipur</v>
      </c>
      <c r="C520" s="2019">
        <f>'NORTH-2'!C1067</f>
        <v>11</v>
      </c>
      <c r="D520" s="2019">
        <f>'NORTH-2'!D1067</f>
        <v>0</v>
      </c>
      <c r="E520" s="2019" t="str">
        <f>'NORTH-2'!E1067</f>
        <v>0660444</v>
      </c>
      <c r="F520" s="791">
        <f>'NORTH-2'!F1067</f>
        <v>1</v>
      </c>
      <c r="G520" s="791">
        <f>'NORTH-2'!G1067</f>
        <v>3427212</v>
      </c>
      <c r="H520" s="791">
        <f>'NORTH-2'!H1067</f>
        <v>4722135</v>
      </c>
      <c r="I520" s="791">
        <f>'NORTH-2'!I1067</f>
        <v>1294923</v>
      </c>
      <c r="J520" s="791">
        <f>'NORTH-2'!J1067</f>
        <v>1</v>
      </c>
      <c r="K520" s="791">
        <f>'NORTH-2'!K1067</f>
        <v>0</v>
      </c>
      <c r="L520" s="791">
        <f>'NORTH-2'!L1067</f>
        <v>1294923</v>
      </c>
      <c r="M520" s="791">
        <f>'NORTH-2'!M1067</f>
        <v>0</v>
      </c>
      <c r="N520" s="2019" t="str">
        <f>'NORTH-2'!N1067</f>
        <v>Bashabo</v>
      </c>
      <c r="O520" s="2019" t="str">
        <f>Sheet2!$C$18</f>
        <v>Taltola  33/11KV S/S</v>
      </c>
    </row>
    <row r="521" spans="1:15" x14ac:dyDescent="0.35">
      <c r="A521" s="2019">
        <f>'NORTH-2'!A1068</f>
        <v>2</v>
      </c>
      <c r="B521" s="2019" t="str">
        <f>'NORTH-2'!B1068</f>
        <v>AT-01</v>
      </c>
      <c r="C521" s="2019">
        <f>'NORTH-2'!C1068</f>
        <v>11</v>
      </c>
      <c r="D521" s="2019">
        <f>'NORTH-2'!D1068</f>
        <v>0</v>
      </c>
      <c r="E521" s="2019">
        <f>'NORTH-2'!E1068</f>
        <v>9187958</v>
      </c>
      <c r="F521" s="791">
        <f>'NORTH-2'!F1068</f>
        <v>1</v>
      </c>
      <c r="G521" s="791">
        <f>'NORTH-2'!G1068</f>
        <v>90027</v>
      </c>
      <c r="H521" s="791">
        <f>'NORTH-2'!H1068</f>
        <v>90027</v>
      </c>
      <c r="I521" s="791">
        <f>'NORTH-2'!I1068</f>
        <v>0</v>
      </c>
      <c r="J521" s="791">
        <f>'NORTH-2'!J1068</f>
        <v>10</v>
      </c>
      <c r="K521" s="791">
        <f>'NORTH-2'!K1068</f>
        <v>0</v>
      </c>
      <c r="L521" s="791">
        <f>'NORTH-2'!L1068</f>
        <v>0</v>
      </c>
      <c r="M521" s="791">
        <f>'NORTH-2'!M1068</f>
        <v>0</v>
      </c>
      <c r="N521" s="2019" t="str">
        <f>'NORTH-2'!N1068</f>
        <v>Bashabo</v>
      </c>
      <c r="O521" s="2019" t="str">
        <f>Sheet2!$C$18</f>
        <v>Taltola  33/11KV S/S</v>
      </c>
    </row>
    <row r="522" spans="1:15" x14ac:dyDescent="0.35">
      <c r="A522" s="2019">
        <f>'NORTH-2'!A1069</f>
        <v>3</v>
      </c>
      <c r="B522" s="2019" t="str">
        <f>'NORTH-2'!B1069</f>
        <v>AT-02</v>
      </c>
      <c r="C522" s="2019">
        <f>'NORTH-2'!C1069</f>
        <v>11</v>
      </c>
      <c r="D522" s="2019">
        <f>'NORTH-2'!D1069</f>
        <v>0</v>
      </c>
      <c r="E522" s="2019">
        <f>'NORTH-2'!E1069</f>
        <v>9187959</v>
      </c>
      <c r="F522" s="791">
        <f>'NORTH-2'!F1069</f>
        <v>1</v>
      </c>
      <c r="G522" s="791">
        <f>'NORTH-2'!G1069</f>
        <v>28181</v>
      </c>
      <c r="H522" s="791">
        <f>'NORTH-2'!H1069</f>
        <v>28181</v>
      </c>
      <c r="I522" s="791">
        <f>'NORTH-2'!I1069</f>
        <v>0</v>
      </c>
      <c r="J522" s="791">
        <f>'NORTH-2'!J1069</f>
        <v>10</v>
      </c>
      <c r="K522" s="791">
        <f>'NORTH-2'!K1069</f>
        <v>0</v>
      </c>
      <c r="L522" s="791">
        <f>'NORTH-2'!L1069</f>
        <v>0</v>
      </c>
      <c r="M522" s="791">
        <f>'NORTH-2'!M1069</f>
        <v>0</v>
      </c>
      <c r="N522" s="2019" t="str">
        <f>'NORTH-2'!N1069</f>
        <v>Bashabo</v>
      </c>
      <c r="O522" s="2019" t="str">
        <f>Sheet2!$C$18</f>
        <v>Taltola  33/11KV S/S</v>
      </c>
    </row>
    <row r="523" spans="1:15" x14ac:dyDescent="0.35">
      <c r="A523" s="2019">
        <f>'NORTH-2'!A1132</f>
        <v>1</v>
      </c>
      <c r="B523" s="2019" t="str">
        <f>'NORTH-2'!B1132</f>
        <v>Sher-e-Banglanagar Local</v>
      </c>
      <c r="C523" s="2019">
        <f>'NORTH-2'!C1132</f>
        <v>11</v>
      </c>
      <c r="D523" s="2019">
        <f>'NORTH-2'!D1132</f>
        <v>0</v>
      </c>
      <c r="E523" s="2019" t="str">
        <f>'NORTH-2'!E1132</f>
        <v>DHK 66503</v>
      </c>
      <c r="F523" s="791">
        <f>'NORTH-2'!F1132</f>
        <v>1</v>
      </c>
      <c r="G523" s="791">
        <f>'NORTH-2'!G1132</f>
        <v>65328</v>
      </c>
      <c r="H523" s="791">
        <f>'NORTH-2'!H1132</f>
        <v>66329</v>
      </c>
      <c r="I523" s="791">
        <f>'NORTH-2'!I1132</f>
        <v>1001</v>
      </c>
      <c r="J523" s="791">
        <f>'NORTH-2'!J1132</f>
        <v>60</v>
      </c>
      <c r="K523" s="791">
        <f>'NORTH-2'!K1132</f>
        <v>0</v>
      </c>
      <c r="L523" s="791">
        <f>'NORTH-2'!L1132</f>
        <v>60060</v>
      </c>
      <c r="M523" s="791">
        <f>'NORTH-2'!M1132</f>
        <v>0</v>
      </c>
      <c r="N523" s="2019" t="str">
        <f>'NORTH-2'!N1132</f>
        <v>Shere Banglanagar</v>
      </c>
      <c r="O523" s="2019" t="str">
        <f>Sheet2!$C$28</f>
        <v xml:space="preserve">SHERE BANGLA NAGAR  33/11 KV S/S </v>
      </c>
    </row>
    <row r="524" spans="1:15" x14ac:dyDescent="0.35">
      <c r="A524" s="2019">
        <f>'NORTH-2'!A1133</f>
        <v>2</v>
      </c>
      <c r="B524" s="2019" t="str">
        <f>'NORTH-2'!B1133</f>
        <v xml:space="preserve"> Mirpur Road East</v>
      </c>
      <c r="C524" s="2019">
        <f>'NORTH-2'!C1133</f>
        <v>11</v>
      </c>
      <c r="D524" s="2019">
        <f>'NORTH-2'!D1133</f>
        <v>0</v>
      </c>
      <c r="E524" s="2019" t="str">
        <f>'NORTH-2'!E1133</f>
        <v>DHK 60961</v>
      </c>
      <c r="F524" s="791">
        <f>'NORTH-2'!F1133</f>
        <v>1</v>
      </c>
      <c r="G524" s="791">
        <f>'NORTH-2'!G1133</f>
        <v>765316</v>
      </c>
      <c r="H524" s="791">
        <f>'NORTH-2'!H1133</f>
        <v>770577</v>
      </c>
      <c r="I524" s="791">
        <f>'NORTH-2'!I1133</f>
        <v>5261</v>
      </c>
      <c r="J524" s="791">
        <f>'NORTH-2'!J1133</f>
        <v>60</v>
      </c>
      <c r="K524" s="791">
        <f>'NORTH-2'!K1133</f>
        <v>0</v>
      </c>
      <c r="L524" s="791">
        <f>'NORTH-2'!L1133</f>
        <v>315660</v>
      </c>
      <c r="M524" s="791">
        <f>'NORTH-2'!M1133</f>
        <v>0</v>
      </c>
      <c r="N524" s="2019" t="str">
        <f>'NORTH-2'!N1133</f>
        <v>Shere Banglanagar</v>
      </c>
      <c r="O524" s="2019" t="str">
        <f>Sheet2!$C$28</f>
        <v xml:space="preserve">SHERE BANGLA NAGAR  33/11 KV S/S </v>
      </c>
    </row>
    <row r="525" spans="1:15" x14ac:dyDescent="0.35">
      <c r="A525" s="2019">
        <f>'NORTH-2'!A1134</f>
        <v>3</v>
      </c>
      <c r="B525" s="2019" t="str">
        <f>'NORTH-2'!B1134</f>
        <v xml:space="preserve"> Gonobhaban school</v>
      </c>
      <c r="C525" s="2019">
        <f>'NORTH-2'!C1134</f>
        <v>11</v>
      </c>
      <c r="D525" s="2019">
        <f>'NORTH-2'!D1134</f>
        <v>0</v>
      </c>
      <c r="E525" s="2019" t="str">
        <f>'NORTH-2'!E1134</f>
        <v>DHK 66492</v>
      </c>
      <c r="F525" s="791">
        <f>'NORTH-2'!F1134</f>
        <v>1</v>
      </c>
      <c r="G525" s="791">
        <f>'NORTH-2'!G1134</f>
        <v>507260</v>
      </c>
      <c r="H525" s="791">
        <f>'NORTH-2'!H1134</f>
        <v>508553</v>
      </c>
      <c r="I525" s="791">
        <f>'NORTH-2'!I1134</f>
        <v>1293</v>
      </c>
      <c r="J525" s="791">
        <f>'NORTH-2'!J1134</f>
        <v>60</v>
      </c>
      <c r="K525" s="791">
        <f>'NORTH-2'!K1134</f>
        <v>0</v>
      </c>
      <c r="L525" s="791">
        <f>'NORTH-2'!L1134</f>
        <v>77580</v>
      </c>
      <c r="M525" s="791">
        <f>'NORTH-2'!M1134</f>
        <v>0</v>
      </c>
      <c r="N525" s="2019" t="str">
        <f>'NORTH-2'!N1134</f>
        <v>Shere Banglanagar</v>
      </c>
      <c r="O525" s="2019" t="str">
        <f>Sheet2!$C$28</f>
        <v xml:space="preserve">SHERE BANGLA NAGAR  33/11 KV S/S </v>
      </c>
    </row>
    <row r="526" spans="1:15" x14ac:dyDescent="0.35">
      <c r="A526" s="2019">
        <f>'NORTH-2'!A1135</f>
        <v>4</v>
      </c>
      <c r="B526" s="2019" t="str">
        <f>'NORTH-2'!B1135</f>
        <v xml:space="preserve"> Babor Road</v>
      </c>
      <c r="C526" s="2019">
        <f>'NORTH-2'!C1135</f>
        <v>11</v>
      </c>
      <c r="D526" s="2019">
        <f>'NORTH-2'!D1135</f>
        <v>0</v>
      </c>
      <c r="E526" s="2019" t="str">
        <f>'NORTH-2'!E1135</f>
        <v>DHK 66489</v>
      </c>
      <c r="F526" s="791">
        <f>'NORTH-2'!F1135</f>
        <v>1</v>
      </c>
      <c r="G526" s="791">
        <f>'NORTH-2'!G1135</f>
        <v>579857</v>
      </c>
      <c r="H526" s="791">
        <f>'NORTH-2'!H1135</f>
        <v>587509</v>
      </c>
      <c r="I526" s="791">
        <f>'NORTH-2'!I1135</f>
        <v>7652</v>
      </c>
      <c r="J526" s="791">
        <f>'NORTH-2'!J1135</f>
        <v>60</v>
      </c>
      <c r="K526" s="791">
        <f>'NORTH-2'!K1135</f>
        <v>0</v>
      </c>
      <c r="L526" s="791">
        <f>'NORTH-2'!L1135</f>
        <v>459120</v>
      </c>
      <c r="M526" s="791">
        <f>'NORTH-2'!M1135</f>
        <v>0</v>
      </c>
      <c r="N526" s="2019" t="str">
        <f>'NORTH-2'!N1135</f>
        <v>Shyamoli</v>
      </c>
      <c r="O526" s="2019" t="str">
        <f>Sheet2!$C$28</f>
        <v xml:space="preserve">SHERE BANGLA NAGAR  33/11 KV S/S </v>
      </c>
    </row>
    <row r="527" spans="1:15" x14ac:dyDescent="0.35">
      <c r="A527" s="2019">
        <f>'NORTH-2'!A1136</f>
        <v>5</v>
      </c>
      <c r="B527" s="2019" t="str">
        <f>'NORTH-2'!B1136</f>
        <v xml:space="preserve"> College Gate</v>
      </c>
      <c r="C527" s="2019">
        <f>'NORTH-2'!C1136</f>
        <v>11</v>
      </c>
      <c r="D527" s="2019">
        <f>'NORTH-2'!D1136</f>
        <v>0</v>
      </c>
      <c r="E527" s="2019" t="str">
        <f>'NORTH-2'!E1136</f>
        <v>DHK 66487</v>
      </c>
      <c r="F527" s="791">
        <f>'NORTH-2'!F1136</f>
        <v>1</v>
      </c>
      <c r="G527" s="791">
        <f>'NORTH-2'!G1136</f>
        <v>2432834</v>
      </c>
      <c r="H527" s="791">
        <f>'NORTH-2'!H1136</f>
        <v>2452803</v>
      </c>
      <c r="I527" s="791">
        <f>'NORTH-2'!I1136</f>
        <v>19969</v>
      </c>
      <c r="J527" s="791">
        <f>'NORTH-2'!J1136</f>
        <v>60</v>
      </c>
      <c r="K527" s="791">
        <f>'NORTH-2'!K1136</f>
        <v>0</v>
      </c>
      <c r="L527" s="791">
        <f>'NORTH-2'!L1136</f>
        <v>1198140</v>
      </c>
      <c r="M527" s="791">
        <f>'NORTH-2'!M1136</f>
        <v>0</v>
      </c>
      <c r="N527" s="2019" t="str">
        <f>'NORTH-2'!N1136</f>
        <v>Shyamoli</v>
      </c>
      <c r="O527" s="2019" t="str">
        <f>Sheet2!$C$28</f>
        <v xml:space="preserve">SHERE BANGLA NAGAR  33/11 KV S/S </v>
      </c>
    </row>
    <row r="528" spans="1:15" x14ac:dyDescent="0.35">
      <c r="A528" s="2019">
        <f>'NORTH-2'!A1137</f>
        <v>6</v>
      </c>
      <c r="B528" s="2019" t="str">
        <f>'NORTH-2'!B1137</f>
        <v xml:space="preserve"> Parade ground</v>
      </c>
      <c r="C528" s="2019">
        <f>'NORTH-2'!C1137</f>
        <v>11</v>
      </c>
      <c r="D528" s="2019">
        <f>'NORTH-2'!D1137</f>
        <v>0</v>
      </c>
      <c r="E528" s="2019" t="str">
        <f>'NORTH-2'!E1137</f>
        <v>DHK 66490</v>
      </c>
      <c r="F528" s="791">
        <f>'NORTH-2'!F1137</f>
        <v>1</v>
      </c>
      <c r="G528" s="791">
        <f>'NORTH-2'!G1137</f>
        <v>938058</v>
      </c>
      <c r="H528" s="791">
        <f>'NORTH-2'!H1137</f>
        <v>938199</v>
      </c>
      <c r="I528" s="791">
        <f>'NORTH-2'!I1137</f>
        <v>141</v>
      </c>
      <c r="J528" s="791">
        <f>'NORTH-2'!J1137</f>
        <v>60</v>
      </c>
      <c r="K528" s="791">
        <f>'NORTH-2'!K1137</f>
        <v>0</v>
      </c>
      <c r="L528" s="791">
        <f>'NORTH-2'!L1137</f>
        <v>8460</v>
      </c>
      <c r="M528" s="791">
        <f>'NORTH-2'!M1137</f>
        <v>0</v>
      </c>
      <c r="N528" s="2019" t="str">
        <f>'NORTH-2'!N1137</f>
        <v>Satmosjit_Shyamoli</v>
      </c>
      <c r="O528" s="2019" t="str">
        <f>Sheet2!$C$28</f>
        <v xml:space="preserve">SHERE BANGLA NAGAR  33/11 KV S/S </v>
      </c>
    </row>
    <row r="529" spans="1:15" x14ac:dyDescent="0.35">
      <c r="A529" s="2019">
        <f>'NORTH-2'!A1138</f>
        <v>7</v>
      </c>
      <c r="B529" s="2019" t="str">
        <f>'NORTH-2'!B1138</f>
        <v xml:space="preserve"> Hospital RMU</v>
      </c>
      <c r="C529" s="2019">
        <f>'NORTH-2'!C1138</f>
        <v>11</v>
      </c>
      <c r="D529" s="2019">
        <f>'NORTH-2'!D1138</f>
        <v>0</v>
      </c>
      <c r="E529" s="2019" t="str">
        <f>'NORTH-2'!E1138</f>
        <v>DHK 66491</v>
      </c>
      <c r="F529" s="791">
        <f>'NORTH-2'!F1138</f>
        <v>1</v>
      </c>
      <c r="G529" s="791">
        <f>'NORTH-2'!G1138</f>
        <v>835689</v>
      </c>
      <c r="H529" s="791">
        <f>'NORTH-2'!H1138</f>
        <v>840389</v>
      </c>
      <c r="I529" s="791">
        <f>'NORTH-2'!I1138</f>
        <v>4700</v>
      </c>
      <c r="J529" s="791">
        <f>'NORTH-2'!J1138</f>
        <v>60</v>
      </c>
      <c r="K529" s="791">
        <f>'NORTH-2'!K1138</f>
        <v>0</v>
      </c>
      <c r="L529" s="791">
        <f>'NORTH-2'!L1138</f>
        <v>282000</v>
      </c>
      <c r="M529" s="791">
        <f>'NORTH-2'!M1138</f>
        <v>0</v>
      </c>
      <c r="N529" s="2019" t="str">
        <f>'NORTH-2'!N1138</f>
        <v>Shere Banglanagar</v>
      </c>
      <c r="O529" s="2019" t="str">
        <f>Sheet2!$C$28</f>
        <v xml:space="preserve">SHERE BANGLA NAGAR  33/11 KV S/S </v>
      </c>
    </row>
    <row r="530" spans="1:15" x14ac:dyDescent="0.35">
      <c r="A530" s="2019">
        <f>'NORTH-2'!A1139</f>
        <v>1</v>
      </c>
      <c r="B530" s="2019" t="str">
        <f>'NORTH-2'!B1139</f>
        <v xml:space="preserve"> Shamoly Square</v>
      </c>
      <c r="C530" s="2019">
        <f>'NORTH-2'!C1139</f>
        <v>11</v>
      </c>
      <c r="D530" s="2019">
        <f>'NORTH-2'!D1139</f>
        <v>0</v>
      </c>
      <c r="E530" s="2019" t="str">
        <f>'NORTH-2'!E1139</f>
        <v>DHK 61065</v>
      </c>
      <c r="F530" s="791">
        <f>'NORTH-2'!F1139</f>
        <v>1</v>
      </c>
      <c r="G530" s="791">
        <f>'NORTH-2'!G1139</f>
        <v>0</v>
      </c>
      <c r="H530" s="791">
        <f>'NORTH-2'!H1139</f>
        <v>0</v>
      </c>
      <c r="I530" s="791">
        <f>'NORTH-2'!I1139</f>
        <v>0</v>
      </c>
      <c r="J530" s="791">
        <f>'NORTH-2'!J1139</f>
        <v>60</v>
      </c>
      <c r="K530" s="791">
        <f>'NORTH-2'!K1139</f>
        <v>0</v>
      </c>
      <c r="L530" s="791">
        <f>'NORTH-2'!L1139</f>
        <v>0</v>
      </c>
      <c r="M530" s="791">
        <f>'NORTH-2'!M1139</f>
        <v>0</v>
      </c>
      <c r="N530" s="2019" t="str">
        <f>'NORTH-2'!N1139</f>
        <v>Shyamoli</v>
      </c>
      <c r="O530" s="2019" t="str">
        <f>Sheet2!$C$28</f>
        <v xml:space="preserve">SHERE BANGLA NAGAR  33/11 KV S/S </v>
      </c>
    </row>
    <row r="531" spans="1:15" x14ac:dyDescent="0.35">
      <c r="A531" s="2019">
        <f>'NORTH-2'!A1140</f>
        <v>2</v>
      </c>
      <c r="B531" s="2019" t="str">
        <f>'NORTH-2'!B1140</f>
        <v xml:space="preserve"> Gonobhaban RMU</v>
      </c>
      <c r="C531" s="2019">
        <f>'NORTH-2'!C1140</f>
        <v>11</v>
      </c>
      <c r="D531" s="2019">
        <f>'NORTH-2'!D1140</f>
        <v>0</v>
      </c>
      <c r="E531" s="2019" t="str">
        <f>'NORTH-2'!E1140</f>
        <v>DHK 60964</v>
      </c>
      <c r="F531" s="791">
        <f>'NORTH-2'!F1140</f>
        <v>1</v>
      </c>
      <c r="G531" s="791">
        <f>'NORTH-2'!G1140</f>
        <v>182360.9</v>
      </c>
      <c r="H531" s="791">
        <f>'NORTH-2'!H1140</f>
        <v>183360.8</v>
      </c>
      <c r="I531" s="791">
        <f>'NORTH-2'!I1140</f>
        <v>999.89999999999418</v>
      </c>
      <c r="J531" s="791">
        <f>'NORTH-2'!J1140</f>
        <v>60</v>
      </c>
      <c r="K531" s="791">
        <f>'NORTH-2'!K1140</f>
        <v>0</v>
      </c>
      <c r="L531" s="791">
        <f>'NORTH-2'!L1140</f>
        <v>59993.999999999651</v>
      </c>
      <c r="M531" s="791">
        <f>'NORTH-2'!M1140</f>
        <v>0</v>
      </c>
      <c r="N531" s="2019" t="str">
        <f>'NORTH-2'!N1140</f>
        <v>Shere Banglanagar</v>
      </c>
      <c r="O531" s="2019" t="str">
        <f>Sheet2!$C$28</f>
        <v xml:space="preserve">SHERE BANGLA NAGAR  33/11 KV S/S </v>
      </c>
    </row>
    <row r="532" spans="1:15" x14ac:dyDescent="0.35">
      <c r="A532" s="2019">
        <f>'NORTH-2'!A1141</f>
        <v>3</v>
      </c>
      <c r="B532" s="2019" t="str">
        <f>'NORTH-2'!B1141</f>
        <v xml:space="preserve"> Krishi University</v>
      </c>
      <c r="C532" s="2019">
        <f>'NORTH-2'!C1141</f>
        <v>11</v>
      </c>
      <c r="D532" s="2019">
        <f>'NORTH-2'!D1141</f>
        <v>0</v>
      </c>
      <c r="E532" s="2019" t="str">
        <f>'NORTH-2'!E1141</f>
        <v>DHK 60963</v>
      </c>
      <c r="F532" s="791">
        <f>'NORTH-2'!F1141</f>
        <v>1</v>
      </c>
      <c r="G532" s="791">
        <f>'NORTH-2'!G1141</f>
        <v>289274.2</v>
      </c>
      <c r="H532" s="791">
        <f>'NORTH-2'!H1141</f>
        <v>294749.7</v>
      </c>
      <c r="I532" s="791">
        <f>'NORTH-2'!I1141</f>
        <v>5475.5</v>
      </c>
      <c r="J532" s="791">
        <f>'NORTH-2'!J1141</f>
        <v>60</v>
      </c>
      <c r="K532" s="791">
        <f>'NORTH-2'!K1141</f>
        <v>0</v>
      </c>
      <c r="L532" s="791">
        <f>'NORTH-2'!L1141</f>
        <v>328530</v>
      </c>
      <c r="M532" s="791">
        <f>'NORTH-2'!M1141</f>
        <v>0</v>
      </c>
      <c r="N532" s="2019" t="str">
        <f>'NORTH-2'!N1141</f>
        <v>Shere Banglanagar</v>
      </c>
      <c r="O532" s="2019" t="str">
        <f>Sheet2!$C$28</f>
        <v xml:space="preserve">SHERE BANGLA NAGAR  33/11 KV S/S </v>
      </c>
    </row>
    <row r="533" spans="1:15" x14ac:dyDescent="0.35">
      <c r="A533" s="2019">
        <f>'NORTH-2'!A1142</f>
        <v>4</v>
      </c>
      <c r="B533" s="2019" t="str">
        <f>'NORTH-2'!B1142</f>
        <v xml:space="preserve"> NEC</v>
      </c>
      <c r="C533" s="2019">
        <f>'NORTH-2'!C1142</f>
        <v>11</v>
      </c>
      <c r="D533" s="2019">
        <f>'NORTH-2'!D1142</f>
        <v>0</v>
      </c>
      <c r="E533" s="2019" t="str">
        <f>'NORTH-2'!E1142</f>
        <v>DHK 86073</v>
      </c>
      <c r="F533" s="791">
        <f>'NORTH-2'!F1142</f>
        <v>1</v>
      </c>
      <c r="G533" s="791">
        <f>'NORTH-2'!G1142</f>
        <v>6.95</v>
      </c>
      <c r="H533" s="791">
        <f>'NORTH-2'!H1142</f>
        <v>9.39</v>
      </c>
      <c r="I533" s="791">
        <f>'NORTH-2'!I1142</f>
        <v>2.4400000000000004</v>
      </c>
      <c r="J533" s="791">
        <f>'NORTH-2'!J1142</f>
        <v>60000</v>
      </c>
      <c r="K533" s="791" t="str">
        <f>'NORTH-2'!K1142</f>
        <v>Estimated</v>
      </c>
      <c r="L533" s="791">
        <f>'NORTH-2'!L1142</f>
        <v>430000</v>
      </c>
      <c r="M533" s="791">
        <f>'NORTH-2'!M1142</f>
        <v>0</v>
      </c>
      <c r="N533" s="2019" t="str">
        <f>'NORTH-2'!N1142</f>
        <v>Shere Banglanagar</v>
      </c>
      <c r="O533" s="2019" t="str">
        <f>Sheet2!$C$28</f>
        <v xml:space="preserve">SHERE BANGLA NAGAR  33/11 KV S/S </v>
      </c>
    </row>
    <row r="534" spans="1:15" x14ac:dyDescent="0.35">
      <c r="A534" s="2019">
        <f>'NORTH-2'!A1143</f>
        <v>5</v>
      </c>
      <c r="B534" s="2019" t="str">
        <f>'NORTH-2'!B1143</f>
        <v xml:space="preserve"> Novo Theater/Army Musium</v>
      </c>
      <c r="C534" s="2019">
        <f>'NORTH-2'!C1143</f>
        <v>11</v>
      </c>
      <c r="D534" s="2019">
        <f>'NORTH-2'!D1143</f>
        <v>0</v>
      </c>
      <c r="E534" s="2019" t="str">
        <f>'NORTH-2'!E1143</f>
        <v>DHK 86074</v>
      </c>
      <c r="F534" s="791">
        <f>'NORTH-2'!F1143</f>
        <v>1</v>
      </c>
      <c r="G534" s="791">
        <f>'NORTH-2'!G1143</f>
        <v>237.78</v>
      </c>
      <c r="H534" s="791">
        <f>'NORTH-2'!H1143</f>
        <v>250.27</v>
      </c>
      <c r="I534" s="791">
        <f>'NORTH-2'!I1143</f>
        <v>12.490000000000009</v>
      </c>
      <c r="J534" s="791">
        <f>'NORTH-2'!J1143</f>
        <v>60</v>
      </c>
      <c r="K534" s="791" t="str">
        <f>'NORTH-2'!K1143</f>
        <v>Estimated</v>
      </c>
      <c r="L534" s="791">
        <f>'NORTH-2'!L1143</f>
        <v>400000</v>
      </c>
      <c r="M534" s="791">
        <f>'NORTH-2'!M1143</f>
        <v>0</v>
      </c>
      <c r="N534" s="2019" t="str">
        <f>'NORTH-2'!N1143</f>
        <v>Shere Banglanagar</v>
      </c>
      <c r="O534" s="2019" t="str">
        <f>Sheet2!$C$28</f>
        <v xml:space="preserve">SHERE BANGLA NAGAR  33/11 KV S/S </v>
      </c>
    </row>
    <row r="535" spans="1:15" x14ac:dyDescent="0.35">
      <c r="A535" s="2019">
        <f>'NORTH-2'!A1144</f>
        <v>6</v>
      </c>
      <c r="B535" s="2019" t="str">
        <f>'NORTH-2'!B1144</f>
        <v>Netor</v>
      </c>
      <c r="C535" s="2019">
        <f>'NORTH-2'!C1144</f>
        <v>11</v>
      </c>
      <c r="D535" s="2019">
        <f>'NORTH-2'!D1144</f>
        <v>0</v>
      </c>
      <c r="E535" s="2019" t="str">
        <f>'NORTH-2'!E1144</f>
        <v>DHK 60962</v>
      </c>
      <c r="F535" s="791">
        <f>'NORTH-2'!F1144</f>
        <v>1</v>
      </c>
      <c r="G535" s="791">
        <f>'NORTH-2'!G1144</f>
        <v>51476.9</v>
      </c>
      <c r="H535" s="791">
        <f>'NORTH-2'!H1144</f>
        <v>56823.1</v>
      </c>
      <c r="I535" s="791">
        <f>'NORTH-2'!I1144</f>
        <v>5346.1999999999971</v>
      </c>
      <c r="J535" s="791">
        <f>'NORTH-2'!J1144</f>
        <v>60</v>
      </c>
      <c r="K535" s="791">
        <f>'NORTH-2'!K1144</f>
        <v>0</v>
      </c>
      <c r="L535" s="791">
        <f>'NORTH-2'!L1144</f>
        <v>320771.99999999983</v>
      </c>
      <c r="M535" s="791">
        <f>'NORTH-2'!M1144</f>
        <v>0</v>
      </c>
      <c r="N535" s="2019" t="str">
        <f>'NORTH-2'!N1144</f>
        <v>Shere Banglanagar</v>
      </c>
      <c r="O535" s="2019" t="str">
        <f>Sheet2!$C$28</f>
        <v xml:space="preserve">SHERE BANGLA NAGAR  33/11 KV S/S </v>
      </c>
    </row>
    <row r="536" spans="1:15" x14ac:dyDescent="0.35">
      <c r="A536" s="2019">
        <f>'NORTH-2'!A1145</f>
        <v>7</v>
      </c>
      <c r="B536" s="2019" t="str">
        <f>'NORTH-2'!B1145</f>
        <v>BICC</v>
      </c>
      <c r="C536" s="2019">
        <f>'NORTH-2'!C1145</f>
        <v>11</v>
      </c>
      <c r="D536" s="2019">
        <f>'NORTH-2'!D1145</f>
        <v>0</v>
      </c>
      <c r="E536" s="2019">
        <f>'NORTH-2'!E1145</f>
        <v>0</v>
      </c>
      <c r="F536" s="791">
        <f>'NORTH-2'!F1145</f>
        <v>1</v>
      </c>
      <c r="G536" s="791">
        <f>'NORTH-2'!G1145</f>
        <v>8.23</v>
      </c>
      <c r="H536" s="791">
        <f>'NORTH-2'!H1145</f>
        <v>12.01</v>
      </c>
      <c r="I536" s="791">
        <f>'NORTH-2'!I1145</f>
        <v>3.7799999999999994</v>
      </c>
      <c r="J536" s="791">
        <f>'NORTH-2'!J1145</f>
        <v>60000</v>
      </c>
      <c r="K536" s="791">
        <f>'NORTH-2'!K1145</f>
        <v>0</v>
      </c>
      <c r="L536" s="791">
        <f>'NORTH-2'!L1145</f>
        <v>226799.99999999997</v>
      </c>
      <c r="M536" s="791">
        <f>'NORTH-2'!M1145</f>
        <v>0</v>
      </c>
      <c r="N536" s="2019" t="str">
        <f>'NORTH-2'!N1145</f>
        <v>Shere Banglanagar</v>
      </c>
      <c r="O536" s="2019" t="str">
        <f>Sheet2!$C$28</f>
        <v xml:space="preserve">SHERE BANGLA NAGAR  33/11 KV S/S </v>
      </c>
    </row>
    <row r="537" spans="1:15" x14ac:dyDescent="0.35">
      <c r="A537" s="2019">
        <f>'NORTH-2'!A1146</f>
        <v>8</v>
      </c>
      <c r="B537" s="2019" t="str">
        <f>'NORTH-2'!B1146</f>
        <v>Auxiliary</v>
      </c>
      <c r="C537" s="2019">
        <f>'NORTH-2'!C1146</f>
        <v>0</v>
      </c>
      <c r="D537" s="2019">
        <f>'NORTH-2'!D1146</f>
        <v>0</v>
      </c>
      <c r="E537" s="2019">
        <f>'NORTH-2'!E1146</f>
        <v>0</v>
      </c>
      <c r="F537" s="791">
        <f>'NORTH-2'!F1146</f>
        <v>1</v>
      </c>
      <c r="G537" s="791">
        <f>'NORTH-2'!G1146</f>
        <v>4871.7299999999996</v>
      </c>
      <c r="H537" s="791">
        <f>'NORTH-2'!H1146</f>
        <v>4904.25</v>
      </c>
      <c r="I537" s="791">
        <f>'NORTH-2'!I1146</f>
        <v>32.520000000000437</v>
      </c>
      <c r="J537" s="791">
        <f>'NORTH-2'!J1146</f>
        <v>60</v>
      </c>
      <c r="K537" s="791">
        <f>'NORTH-2'!K1146</f>
        <v>0</v>
      </c>
      <c r="L537" s="791">
        <f>'NORTH-2'!L1146</f>
        <v>1951.2000000000262</v>
      </c>
      <c r="M537" s="791">
        <f>'NORTH-2'!M1146</f>
        <v>0</v>
      </c>
      <c r="N537" s="2019" t="str">
        <f>'NORTH-2'!N1146</f>
        <v>Shere Banglanagar</v>
      </c>
      <c r="O537" s="2019" t="str">
        <f>Sheet2!$C$28</f>
        <v xml:space="preserve">SHERE BANGLA NAGAR  33/11 KV S/S </v>
      </c>
    </row>
    <row r="538" spans="1:15" x14ac:dyDescent="0.35">
      <c r="A538" s="2019">
        <f>'NORTH-2'!A1209</f>
        <v>1</v>
      </c>
      <c r="B538" s="2019" t="str">
        <f>'NORTH-2'!B1209</f>
        <v>City Corporation</v>
      </c>
      <c r="C538" s="2019">
        <f>'NORTH-2'!C1209</f>
        <v>11</v>
      </c>
      <c r="D538" s="2019">
        <f>'NORTH-2'!D1209</f>
        <v>0</v>
      </c>
      <c r="E538" s="2019">
        <f>'NORTH-2'!E1209</f>
        <v>93</v>
      </c>
      <c r="F538" s="791">
        <f>'NORTH-2'!F1209</f>
        <v>1</v>
      </c>
      <c r="G538" s="791">
        <f>'NORTH-2'!G1209</f>
        <v>35886632</v>
      </c>
      <c r="H538" s="791">
        <f>'NORTH-2'!H1209</f>
        <v>36315672</v>
      </c>
      <c r="I538" s="791">
        <f>'NORTH-2'!I1209</f>
        <v>429040</v>
      </c>
      <c r="J538" s="791">
        <f>'NORTH-2'!J1209</f>
        <v>1</v>
      </c>
      <c r="K538" s="791">
        <f>'NORTH-2'!K1209</f>
        <v>0</v>
      </c>
      <c r="L538" s="791">
        <f>'NORTH-2'!L1209</f>
        <v>429040</v>
      </c>
      <c r="M538" s="791">
        <f>'NORTH-2'!M1209</f>
        <v>0</v>
      </c>
      <c r="N538" s="2019" t="str">
        <f>'NORTH-2'!N1209</f>
        <v>Bashabo</v>
      </c>
      <c r="O538" s="2019" t="str">
        <f>Sheet2!$C$34</f>
        <v>Mugdhapara Hospital 33/11 KV SS</v>
      </c>
    </row>
    <row r="539" spans="1:15" x14ac:dyDescent="0.35">
      <c r="A539" s="2019">
        <f>'NORTH-2'!A1210</f>
        <v>2</v>
      </c>
      <c r="B539" s="2019" t="str">
        <f>'NORTH-2'!B1210</f>
        <v>Bot tola</v>
      </c>
      <c r="C539" s="2019">
        <f>'NORTH-2'!C1210</f>
        <v>11</v>
      </c>
      <c r="D539" s="2019">
        <f>'NORTH-2'!D1210</f>
        <v>0</v>
      </c>
      <c r="E539" s="2019">
        <f>'NORTH-2'!E1210</f>
        <v>0</v>
      </c>
      <c r="F539" s="791">
        <f>'NORTH-2'!F1210</f>
        <v>1</v>
      </c>
      <c r="G539" s="791">
        <f>'NORTH-2'!G1210</f>
        <v>38529704</v>
      </c>
      <c r="H539" s="791">
        <f>'NORTH-2'!H1210</f>
        <v>39924664</v>
      </c>
      <c r="I539" s="791">
        <f>'NORTH-2'!I1210</f>
        <v>1394960</v>
      </c>
      <c r="J539" s="791">
        <f>'NORTH-2'!J1210</f>
        <v>1</v>
      </c>
      <c r="K539" s="791">
        <f>'NORTH-2'!K1210</f>
        <v>0</v>
      </c>
      <c r="L539" s="791">
        <f>'NORTH-2'!L1210</f>
        <v>1394960</v>
      </c>
      <c r="M539" s="791">
        <f>'NORTH-2'!M1210</f>
        <v>0</v>
      </c>
      <c r="N539" s="2019" t="str">
        <f>'NORTH-2'!N1210</f>
        <v>Maniknagar</v>
      </c>
      <c r="O539" s="2019" t="str">
        <f>Sheet2!$C$34</f>
        <v>Mugdhapara Hospital 33/11 KV SS</v>
      </c>
    </row>
    <row r="540" spans="1:15" x14ac:dyDescent="0.35">
      <c r="A540" s="2019">
        <f>'NORTH-2'!A1211</f>
        <v>3</v>
      </c>
      <c r="B540" s="2019" t="str">
        <f>'NORTH-2'!B1211</f>
        <v>Jhilpar</v>
      </c>
      <c r="C540" s="2019">
        <f>'NORTH-2'!C1211</f>
        <v>11</v>
      </c>
      <c r="D540" s="2019">
        <f>'NORTH-2'!D1211</f>
        <v>0</v>
      </c>
      <c r="E540" s="2019">
        <f>'NORTH-2'!E1211</f>
        <v>145</v>
      </c>
      <c r="F540" s="791">
        <f>'NORTH-2'!F1211</f>
        <v>1</v>
      </c>
      <c r="G540" s="791">
        <f>'NORTH-2'!G1211</f>
        <v>27692052</v>
      </c>
      <c r="H540" s="791">
        <f>'NORTH-2'!H1211</f>
        <v>28255532</v>
      </c>
      <c r="I540" s="791">
        <f>'NORTH-2'!I1211</f>
        <v>563480</v>
      </c>
      <c r="J540" s="791">
        <f>'NORTH-2'!J1211</f>
        <v>1</v>
      </c>
      <c r="K540" s="791">
        <f>'NORTH-2'!K1211</f>
        <v>0</v>
      </c>
      <c r="L540" s="791">
        <f>'NORTH-2'!L1211</f>
        <v>563480</v>
      </c>
      <c r="M540" s="791">
        <f>'NORTH-2'!M1211</f>
        <v>0</v>
      </c>
      <c r="N540" s="2019" t="str">
        <f>'NORTH-2'!N1211</f>
        <v>Mugdapara</v>
      </c>
      <c r="O540" s="2019" t="str">
        <f>Sheet2!$C$34</f>
        <v>Mugdhapara Hospital 33/11 KV SS</v>
      </c>
    </row>
    <row r="541" spans="1:15" x14ac:dyDescent="0.35">
      <c r="A541" s="2019">
        <f>'NORTH-2'!A1212</f>
        <v>4</v>
      </c>
      <c r="B541" s="2019" t="str">
        <f>'NORTH-2'!B1212</f>
        <v>Central Bashaboo</v>
      </c>
      <c r="C541" s="2019">
        <f>'NORTH-2'!C1212</f>
        <v>11</v>
      </c>
      <c r="D541" s="2019">
        <f>'NORTH-2'!D1212</f>
        <v>0</v>
      </c>
      <c r="E541" s="2019">
        <f>'NORTH-2'!E1212</f>
        <v>128</v>
      </c>
      <c r="F541" s="791">
        <f>'NORTH-2'!F1212</f>
        <v>1</v>
      </c>
      <c r="G541" s="791">
        <f>'NORTH-2'!G1212</f>
        <v>29123768</v>
      </c>
      <c r="H541" s="791">
        <f>'NORTH-2'!H1212</f>
        <v>30040566</v>
      </c>
      <c r="I541" s="791">
        <f>'NORTH-2'!I1212</f>
        <v>916798</v>
      </c>
      <c r="J541" s="791">
        <f>'NORTH-2'!J1212</f>
        <v>1</v>
      </c>
      <c r="K541" s="791">
        <f>'NORTH-2'!K1212</f>
        <v>0</v>
      </c>
      <c r="L541" s="791">
        <f>'NORTH-2'!L1212</f>
        <v>916798</v>
      </c>
      <c r="M541" s="791">
        <f>'NORTH-2'!M1212</f>
        <v>0</v>
      </c>
      <c r="N541" s="2019" t="str">
        <f>'NORTH-2'!N1212</f>
        <v>Bashabo</v>
      </c>
      <c r="O541" s="2019" t="str">
        <f>Sheet2!$C$34</f>
        <v>Mugdhapara Hospital 33/11 KV SS</v>
      </c>
    </row>
    <row r="542" spans="1:15" x14ac:dyDescent="0.35">
      <c r="A542" s="2019">
        <f>'NORTH-2'!A1213</f>
        <v>5</v>
      </c>
      <c r="B542" s="2019" t="str">
        <f>'NORTH-2'!B1213</f>
        <v>Kadamtala</v>
      </c>
      <c r="C542" s="2019">
        <f>'NORTH-2'!C1213</f>
        <v>11</v>
      </c>
      <c r="D542" s="2019">
        <f>'NORTH-2'!D1213</f>
        <v>0</v>
      </c>
      <c r="E542" s="2019">
        <f>'NORTH-2'!E1213</f>
        <v>8</v>
      </c>
      <c r="F542" s="791">
        <f>'NORTH-2'!F1213</f>
        <v>1</v>
      </c>
      <c r="G542" s="791">
        <f>'NORTH-2'!G1213</f>
        <v>13487887</v>
      </c>
      <c r="H542" s="791">
        <f>'NORTH-2'!H1213</f>
        <v>13715847</v>
      </c>
      <c r="I542" s="791">
        <f>'NORTH-2'!I1213</f>
        <v>227960</v>
      </c>
      <c r="J542" s="791">
        <f>'NORTH-2'!J1213</f>
        <v>1.33</v>
      </c>
      <c r="K542" s="791">
        <f>'NORTH-2'!K1213</f>
        <v>0</v>
      </c>
      <c r="L542" s="791">
        <f>'NORTH-2'!L1213</f>
        <v>303186.8</v>
      </c>
      <c r="M542" s="791">
        <f>'NORTH-2'!M1213</f>
        <v>0</v>
      </c>
      <c r="N542" s="2019" t="str">
        <f>'NORTH-2'!N1213</f>
        <v>Mugdapara</v>
      </c>
      <c r="O542" s="2019" t="str">
        <f>Sheet2!$C$34</f>
        <v>Mugdhapara Hospital 33/11 KV SS</v>
      </c>
    </row>
    <row r="543" spans="1:15" x14ac:dyDescent="0.35">
      <c r="A543" s="2019">
        <f>'NORTH-2'!A1214</f>
        <v>6</v>
      </c>
      <c r="B543" s="2019" t="str">
        <f>'NORTH-2'!B1214</f>
        <v>Ansar VDP</v>
      </c>
      <c r="C543" s="2019">
        <f>'NORTH-2'!C1214</f>
        <v>11</v>
      </c>
      <c r="D543" s="2019">
        <f>'NORTH-2'!D1214</f>
        <v>0</v>
      </c>
      <c r="E543" s="2019">
        <f>'NORTH-2'!E1214</f>
        <v>119</v>
      </c>
      <c r="F543" s="791">
        <f>'NORTH-2'!F1214</f>
        <v>1</v>
      </c>
      <c r="G543" s="791">
        <f>'NORTH-2'!G1214</f>
        <v>14379285</v>
      </c>
      <c r="H543" s="791">
        <f>'NORTH-2'!H1214</f>
        <v>14701564</v>
      </c>
      <c r="I543" s="791">
        <f>'NORTH-2'!I1214</f>
        <v>322279</v>
      </c>
      <c r="J543" s="791">
        <f>'NORTH-2'!J1214</f>
        <v>1</v>
      </c>
      <c r="K543" s="791">
        <f>'NORTH-2'!K1214</f>
        <v>0</v>
      </c>
      <c r="L543" s="791">
        <f>'NORTH-2'!L1214</f>
        <v>322279</v>
      </c>
      <c r="M543" s="791">
        <f>'NORTH-2'!M1214</f>
        <v>0</v>
      </c>
      <c r="N543" s="2019" t="str">
        <f>'NORTH-2'!N1214</f>
        <v>Khilgaon</v>
      </c>
      <c r="O543" s="2019" t="str">
        <f>Sheet2!$C$34</f>
        <v>Mugdhapara Hospital 33/11 KV SS</v>
      </c>
    </row>
    <row r="544" spans="1:15" x14ac:dyDescent="0.35">
      <c r="A544" s="2019">
        <f>'NORTH-2'!A1215</f>
        <v>7</v>
      </c>
      <c r="B544" s="2019" t="str">
        <f>'NORTH-2'!B1215</f>
        <v>Mugda Hospital Express-01</v>
      </c>
      <c r="C544" s="2019">
        <f>'NORTH-2'!C1215</f>
        <v>11</v>
      </c>
      <c r="D544" s="2019">
        <f>'NORTH-2'!D1215</f>
        <v>0</v>
      </c>
      <c r="E544" s="2019">
        <f>'NORTH-2'!E1215</f>
        <v>0</v>
      </c>
      <c r="F544" s="791">
        <f>'NORTH-2'!F1215</f>
        <v>1</v>
      </c>
      <c r="G544" s="791">
        <f>'NORTH-2'!G1215</f>
        <v>4164829</v>
      </c>
      <c r="H544" s="791">
        <f>'NORTH-2'!H1215</f>
        <v>4303429</v>
      </c>
      <c r="I544" s="791">
        <f>'NORTH-2'!I1215</f>
        <v>138600</v>
      </c>
      <c r="J544" s="791">
        <f>'NORTH-2'!J1215</f>
        <v>1</v>
      </c>
      <c r="K544" s="791">
        <f>'NORTH-2'!K1215</f>
        <v>0</v>
      </c>
      <c r="L544" s="791">
        <f>'NORTH-2'!L1215</f>
        <v>138600</v>
      </c>
      <c r="M544" s="791">
        <f>'NORTH-2'!M1215</f>
        <v>0</v>
      </c>
      <c r="N544" s="2019" t="str">
        <f>'NORTH-2'!N1215</f>
        <v>Mugdapara</v>
      </c>
      <c r="O544" s="2019" t="str">
        <f>Sheet2!$C$34</f>
        <v>Mugdhapara Hospital 33/11 KV SS</v>
      </c>
    </row>
    <row r="545" spans="1:15" x14ac:dyDescent="0.35">
      <c r="A545" s="2019">
        <f>'NORTH-2'!A1216</f>
        <v>8</v>
      </c>
      <c r="B545" s="2019" t="str">
        <f>'NORTH-2'!B1216</f>
        <v>Boro Masjid</v>
      </c>
      <c r="C545" s="2019">
        <f>'NORTH-2'!C1216</f>
        <v>11</v>
      </c>
      <c r="D545" s="2019">
        <f>'NORTH-2'!D1216</f>
        <v>0</v>
      </c>
      <c r="E545" s="2019">
        <f>'NORTH-2'!E1216</f>
        <v>7</v>
      </c>
      <c r="F545" s="791">
        <f>'NORTH-2'!F1216</f>
        <v>1</v>
      </c>
      <c r="G545" s="791">
        <f>'NORTH-2'!G1216</f>
        <v>40343420</v>
      </c>
      <c r="H545" s="791">
        <f>'NORTH-2'!H1216</f>
        <v>41012060</v>
      </c>
      <c r="I545" s="791">
        <f>'NORTH-2'!I1216</f>
        <v>668640</v>
      </c>
      <c r="J545" s="791">
        <f>'NORTH-2'!J1216</f>
        <v>1.2</v>
      </c>
      <c r="K545" s="791">
        <f>'NORTH-2'!K1216</f>
        <v>0</v>
      </c>
      <c r="L545" s="791">
        <f>'NORTH-2'!L1216</f>
        <v>802368</v>
      </c>
      <c r="M545" s="791">
        <f>'NORTH-2'!M1216</f>
        <v>0</v>
      </c>
      <c r="N545" s="2019" t="str">
        <f>'NORTH-2'!N1216</f>
        <v>Mugdapara</v>
      </c>
      <c r="O545" s="2019" t="str">
        <f>Sheet2!$C$34</f>
        <v>Mugdhapara Hospital 33/11 KV SS</v>
      </c>
    </row>
    <row r="546" spans="1:15" x14ac:dyDescent="0.35">
      <c r="A546" s="2019">
        <f>'NORTH-2'!A1217</f>
        <v>1</v>
      </c>
      <c r="B546" s="2019" t="str">
        <f>'NORTH-2'!B1217</f>
        <v>Anandodhara</v>
      </c>
      <c r="C546" s="2019">
        <f>'NORTH-2'!C1217</f>
        <v>11</v>
      </c>
      <c r="D546" s="2019">
        <f>'NORTH-2'!D1217</f>
        <v>0</v>
      </c>
      <c r="E546" s="2019">
        <f>'NORTH-2'!E1217</f>
        <v>120</v>
      </c>
      <c r="F546" s="791">
        <f>'NORTH-2'!F1217</f>
        <v>1</v>
      </c>
      <c r="G546" s="791">
        <f>'NORTH-2'!G1217</f>
        <v>40681100</v>
      </c>
      <c r="H546" s="791">
        <f>'NORTH-2'!H1217</f>
        <v>41251020</v>
      </c>
      <c r="I546" s="791">
        <f>'NORTH-2'!I1217</f>
        <v>569920</v>
      </c>
      <c r="J546" s="791">
        <f>'NORTH-2'!J1217</f>
        <v>1</v>
      </c>
      <c r="K546" s="791">
        <f>'NORTH-2'!K1217</f>
        <v>0</v>
      </c>
      <c r="L546" s="791">
        <f>'NORTH-2'!L1217</f>
        <v>569920</v>
      </c>
      <c r="M546" s="791">
        <f>'NORTH-2'!M1217</f>
        <v>0</v>
      </c>
      <c r="N546" s="2019" t="str">
        <f>'NORTH-2'!N1217</f>
        <v>Maniknagar</v>
      </c>
      <c r="O546" s="2019" t="str">
        <f>Sheet2!$C$34</f>
        <v>Mugdhapara Hospital 33/11 KV SS</v>
      </c>
    </row>
    <row r="547" spans="1:15" x14ac:dyDescent="0.35">
      <c r="A547" s="2019">
        <f>'NORTH-2'!A1218</f>
        <v>2</v>
      </c>
      <c r="B547" s="2019" t="str">
        <f>'NORTH-2'!B1218</f>
        <v>Culvert</v>
      </c>
      <c r="C547" s="2019">
        <f>'NORTH-2'!C1218</f>
        <v>11</v>
      </c>
      <c r="D547" s="2019">
        <f>'NORTH-2'!D1218</f>
        <v>0</v>
      </c>
      <c r="E547" s="2019">
        <f>'NORTH-2'!E1218</f>
        <v>117</v>
      </c>
      <c r="F547" s="791">
        <f>'NORTH-2'!F1218</f>
        <v>1</v>
      </c>
      <c r="G547" s="791">
        <f>'NORTH-2'!G1218</f>
        <v>29143768</v>
      </c>
      <c r="H547" s="791">
        <f>'NORTH-2'!H1218</f>
        <v>29497368</v>
      </c>
      <c r="I547" s="791">
        <f>'NORTH-2'!I1218</f>
        <v>353600</v>
      </c>
      <c r="J547" s="791">
        <f>'NORTH-2'!J1218</f>
        <v>1</v>
      </c>
      <c r="K547" s="791">
        <f>'NORTH-2'!K1218</f>
        <v>0</v>
      </c>
      <c r="L547" s="791">
        <f>'NORTH-2'!L1218</f>
        <v>353600</v>
      </c>
      <c r="M547" s="791">
        <f>'NORTH-2'!M1218</f>
        <v>0</v>
      </c>
      <c r="N547" s="2019" t="str">
        <f>'NORTH-2'!N1218</f>
        <v>Bashabo</v>
      </c>
      <c r="O547" s="2019" t="str">
        <f>Sheet2!$C$34</f>
        <v>Mugdhapara Hospital 33/11 KV SS</v>
      </c>
    </row>
    <row r="548" spans="1:15" x14ac:dyDescent="0.35">
      <c r="A548" s="2019">
        <f>'NORTH-2'!A1219</f>
        <v>3</v>
      </c>
      <c r="B548" s="2019" t="str">
        <f>'NORTH-2'!B1219</f>
        <v>Mugda Hospital Express-02</v>
      </c>
      <c r="C548" s="2019">
        <f>'NORTH-2'!C1219</f>
        <v>11</v>
      </c>
      <c r="D548" s="2019">
        <f>'NORTH-2'!D1219</f>
        <v>0</v>
      </c>
      <c r="E548" s="2019">
        <f>'NORTH-2'!E1219</f>
        <v>97</v>
      </c>
      <c r="F548" s="791">
        <f>'NORTH-2'!F1219</f>
        <v>1</v>
      </c>
      <c r="G548" s="791">
        <f>'NORTH-2'!G1219</f>
        <v>4830028</v>
      </c>
      <c r="H548" s="791">
        <f>'NORTH-2'!H1219</f>
        <v>4845548</v>
      </c>
      <c r="I548" s="791">
        <f>'NORTH-2'!I1219</f>
        <v>15520</v>
      </c>
      <c r="J548" s="791">
        <f>'NORTH-2'!J1219</f>
        <v>1</v>
      </c>
      <c r="K548" s="791">
        <f>'NORTH-2'!K1219</f>
        <v>0</v>
      </c>
      <c r="L548" s="791">
        <f>'NORTH-2'!L1219</f>
        <v>15520</v>
      </c>
      <c r="M548" s="791">
        <f>'NORTH-2'!M1219</f>
        <v>0</v>
      </c>
      <c r="N548" s="2019" t="str">
        <f>'NORTH-2'!N1219</f>
        <v>Mugdapara</v>
      </c>
      <c r="O548" s="2019" t="str">
        <f>Sheet2!$C$34</f>
        <v>Mugdhapara Hospital 33/11 KV SS</v>
      </c>
    </row>
    <row r="549" spans="1:15" x14ac:dyDescent="0.35">
      <c r="A549" s="2019">
        <f>'NORTH-2'!A1220</f>
        <v>4</v>
      </c>
      <c r="B549" s="2019" t="str">
        <f>'NORTH-2'!B1220</f>
        <v>Jhor Pukur</v>
      </c>
      <c r="C549" s="2019">
        <f>'NORTH-2'!C1220</f>
        <v>11</v>
      </c>
      <c r="D549" s="2019">
        <f>'NORTH-2'!D1220</f>
        <v>0</v>
      </c>
      <c r="E549" s="2019">
        <f>'NORTH-2'!E1220</f>
        <v>98</v>
      </c>
      <c r="F549" s="791">
        <f>'NORTH-2'!F1220</f>
        <v>1</v>
      </c>
      <c r="G549" s="791">
        <f>'NORTH-2'!G1220</f>
        <v>20037592</v>
      </c>
      <c r="H549" s="791">
        <f>'NORTH-2'!H1220</f>
        <v>20259630</v>
      </c>
      <c r="I549" s="791">
        <f>'NORTH-2'!I1220</f>
        <v>222038</v>
      </c>
      <c r="J549" s="791">
        <f>'NORTH-2'!J1220</f>
        <v>1</v>
      </c>
      <c r="K549" s="791">
        <f>'NORTH-2'!K1220</f>
        <v>0</v>
      </c>
      <c r="L549" s="791">
        <f>'NORTH-2'!L1220</f>
        <v>222038</v>
      </c>
      <c r="M549" s="791">
        <f>'NORTH-2'!M1220</f>
        <v>0</v>
      </c>
      <c r="N549" s="2019" t="str">
        <f>'NORTH-2'!N1220</f>
        <v>Bashabo</v>
      </c>
      <c r="O549" s="2019" t="str">
        <f>Sheet2!$C$34</f>
        <v>Mugdhapara Hospital 33/11 KV SS</v>
      </c>
    </row>
    <row r="550" spans="1:15" x14ac:dyDescent="0.35">
      <c r="A550" s="2019">
        <f>'NORTH-2'!A1221</f>
        <v>5</v>
      </c>
      <c r="B550" s="2019" t="str">
        <f>'NORTH-2'!B1221</f>
        <v>T&amp;T</v>
      </c>
      <c r="C550" s="2019">
        <f>'NORTH-2'!C1221</f>
        <v>11</v>
      </c>
      <c r="D550" s="2019">
        <f>'NORTH-2'!D1221</f>
        <v>0</v>
      </c>
      <c r="E550" s="2019">
        <f>'NORTH-2'!E1221</f>
        <v>99</v>
      </c>
      <c r="F550" s="791">
        <f>'NORTH-2'!F1221</f>
        <v>1</v>
      </c>
      <c r="G550" s="791">
        <f>'NORTH-2'!G1221</f>
        <v>18870874</v>
      </c>
      <c r="H550" s="791">
        <f>'NORTH-2'!H1221</f>
        <v>19146994</v>
      </c>
      <c r="I550" s="791">
        <f>'NORTH-2'!I1221</f>
        <v>276120</v>
      </c>
      <c r="J550" s="791">
        <f>'NORTH-2'!J1221</f>
        <v>1</v>
      </c>
      <c r="K550" s="791">
        <f>'NORTH-2'!K1221</f>
        <v>0</v>
      </c>
      <c r="L550" s="791">
        <f>'NORTH-2'!L1221</f>
        <v>276120</v>
      </c>
      <c r="M550" s="791">
        <f>'NORTH-2'!M1221</f>
        <v>0</v>
      </c>
      <c r="N550" s="2019" t="str">
        <f>'NORTH-2'!N1221</f>
        <v>Mugdapara</v>
      </c>
      <c r="O550" s="2019" t="str">
        <f>Sheet2!$C$34</f>
        <v>Mugdhapara Hospital 33/11 KV SS</v>
      </c>
    </row>
    <row r="551" spans="1:15" x14ac:dyDescent="0.35">
      <c r="A551" s="2019">
        <f>'NORTH-2'!A1222</f>
        <v>6</v>
      </c>
      <c r="B551" s="2019" t="str">
        <f>'NORTH-2'!B1222</f>
        <v>Haider Ali</v>
      </c>
      <c r="C551" s="2019">
        <f>'NORTH-2'!C1222</f>
        <v>11</v>
      </c>
      <c r="D551" s="2019">
        <f>'NORTH-2'!D1222</f>
        <v>0</v>
      </c>
      <c r="E551" s="2019">
        <f>'NORTH-2'!E1222</f>
        <v>9</v>
      </c>
      <c r="F551" s="791">
        <f>'NORTH-2'!F1222</f>
        <v>1</v>
      </c>
      <c r="G551" s="791">
        <f>'NORTH-2'!G1222</f>
        <v>55817344</v>
      </c>
      <c r="H551" s="791">
        <f>'NORTH-2'!H1222</f>
        <v>56691820</v>
      </c>
      <c r="I551" s="791">
        <f>'NORTH-2'!I1222</f>
        <v>874476</v>
      </c>
      <c r="J551" s="791">
        <f>'NORTH-2'!J1222</f>
        <v>1</v>
      </c>
      <c r="K551" s="791">
        <f>'NORTH-2'!K1222</f>
        <v>0</v>
      </c>
      <c r="L551" s="791">
        <f>'NORTH-2'!L1222</f>
        <v>874476</v>
      </c>
      <c r="M551" s="791">
        <f>'NORTH-2'!M1222</f>
        <v>0</v>
      </c>
      <c r="N551" s="2019" t="str">
        <f>'NORTH-2'!N1222</f>
        <v>Maniknagar</v>
      </c>
      <c r="O551" s="2019" t="str">
        <f>Sheet2!$C$34</f>
        <v>Mugdhapara Hospital 33/11 KV SS</v>
      </c>
    </row>
    <row r="552" spans="1:15" x14ac:dyDescent="0.35">
      <c r="A552" s="2019">
        <f>'NORTH-2'!A1223</f>
        <v>7</v>
      </c>
      <c r="B552" s="2019" t="str">
        <f>'NORTH-2'!B1223</f>
        <v>AT-01</v>
      </c>
      <c r="C552" s="2019">
        <f>'NORTH-2'!C1223</f>
        <v>11</v>
      </c>
      <c r="D552" s="2019">
        <f>'NORTH-2'!D1223</f>
        <v>0</v>
      </c>
      <c r="E552" s="2019">
        <f>'NORTH-2'!E1223</f>
        <v>0</v>
      </c>
      <c r="F552" s="791">
        <f>'NORTH-2'!F1223</f>
        <v>1</v>
      </c>
      <c r="G552" s="791">
        <f>'NORTH-2'!G1223</f>
        <v>2480</v>
      </c>
      <c r="H552" s="791">
        <f>'NORTH-2'!H1223</f>
        <v>2497</v>
      </c>
      <c r="I552" s="791">
        <f>'NORTH-2'!I1223</f>
        <v>17</v>
      </c>
      <c r="J552" s="791">
        <f>'NORTH-2'!J1223</f>
        <v>1000</v>
      </c>
      <c r="K552" s="791">
        <f>'NORTH-2'!K1223</f>
        <v>0</v>
      </c>
      <c r="L552" s="791">
        <f>'NORTH-2'!L1223</f>
        <v>17000</v>
      </c>
      <c r="M552" s="791">
        <f>'NORTH-2'!M1223</f>
        <v>0</v>
      </c>
      <c r="N552" s="2019" t="str">
        <f>'NORTH-2'!N1223</f>
        <v>Mugdapara</v>
      </c>
      <c r="O552" s="2019" t="str">
        <f>Sheet2!$C$34</f>
        <v>Mugdhapara Hospital 33/11 KV SS</v>
      </c>
    </row>
    <row r="553" spans="1:15" x14ac:dyDescent="0.35">
      <c r="A553" s="2019">
        <f>'NORTH-2'!A1224</f>
        <v>8</v>
      </c>
      <c r="B553" s="2019" t="str">
        <f>'NORTH-2'!B1224</f>
        <v>AT-02</v>
      </c>
      <c r="C553" s="2019">
        <f>'NORTH-2'!C1224</f>
        <v>11</v>
      </c>
      <c r="D553" s="2019">
        <f>'NORTH-2'!D1224</f>
        <v>0</v>
      </c>
      <c r="E553" s="2019">
        <f>'NORTH-2'!E1224</f>
        <v>0</v>
      </c>
      <c r="F553" s="791">
        <f>'NORTH-2'!F1224</f>
        <v>1</v>
      </c>
      <c r="G553" s="791">
        <f>'NORTH-2'!G1224</f>
        <v>8.5500000000000007</v>
      </c>
      <c r="H553" s="791">
        <f>'NORTH-2'!H1224</f>
        <v>8.5500000000000007</v>
      </c>
      <c r="I553" s="791">
        <f>'NORTH-2'!I1224</f>
        <v>0</v>
      </c>
      <c r="J553" s="791">
        <f>'NORTH-2'!J1224</f>
        <v>1000</v>
      </c>
      <c r="K553" s="791">
        <f>'NORTH-2'!K1224</f>
        <v>0</v>
      </c>
      <c r="L553" s="791">
        <f>'NORTH-2'!L1224</f>
        <v>0</v>
      </c>
      <c r="M553" s="791">
        <f>'NORTH-2'!M1224</f>
        <v>0</v>
      </c>
      <c r="N553" s="2019" t="str">
        <f>'NORTH-2'!N1224</f>
        <v>Mugdapara</v>
      </c>
      <c r="O553" s="2019" t="str">
        <f>Sheet2!$C$34</f>
        <v>Mugdhapara Hospital 33/11 KV SS</v>
      </c>
    </row>
    <row r="554" spans="1:15" x14ac:dyDescent="0.35">
      <c r="A554" s="2019">
        <f>'NORTH-2'!A1291</f>
        <v>1</v>
      </c>
      <c r="B554" s="2019" t="str">
        <f>'NORTH-2'!B1291</f>
        <v>Shantinagar s/s-1</v>
      </c>
      <c r="C554" s="2019">
        <f>'NORTH-2'!C1291</f>
        <v>11</v>
      </c>
      <c r="D554" s="2019">
        <f>'NORTH-2'!D1291</f>
        <v>0</v>
      </c>
      <c r="E554" s="2019" t="str">
        <f>'NORTH-2'!E1291</f>
        <v>DHK60932</v>
      </c>
      <c r="F554" s="791">
        <f>'NORTH-2'!F1291</f>
        <v>1</v>
      </c>
      <c r="G554" s="791">
        <f>'NORTH-2'!G1291</f>
        <v>17873</v>
      </c>
      <c r="H554" s="791">
        <f>'NORTH-2'!H1291</f>
        <v>47299</v>
      </c>
      <c r="I554" s="791">
        <f>'NORTH-2'!I1291</f>
        <v>29426</v>
      </c>
      <c r="J554" s="791">
        <f>'NORTH-2'!J1291</f>
        <v>60</v>
      </c>
      <c r="K554" s="791">
        <f>'NORTH-2'!K1291</f>
        <v>0</v>
      </c>
      <c r="L554" s="791">
        <f>'NORTH-2'!L1291</f>
        <v>1765560</v>
      </c>
      <c r="M554" s="791">
        <f>'NORTH-2'!M1291</f>
        <v>0</v>
      </c>
      <c r="N554" s="2019" t="str">
        <f>'NORTH-2'!N1291</f>
        <v>Rajarbag_
Mogbazar</v>
      </c>
      <c r="O554" s="2019" t="str">
        <f>Sheet2!$C$16</f>
        <v>Khillgaon  33/11KV S/S</v>
      </c>
    </row>
    <row r="555" spans="1:15" x14ac:dyDescent="0.35">
      <c r="A555" s="2019">
        <f>'NORTH-2'!A1292</f>
        <v>2</v>
      </c>
      <c r="B555" s="2019" t="str">
        <f>'NORTH-2'!B1292</f>
        <v>Gulbagh</v>
      </c>
      <c r="C555" s="2019">
        <f>'NORTH-2'!C1292</f>
        <v>11</v>
      </c>
      <c r="D555" s="2019">
        <f>'NORTH-2'!D1292</f>
        <v>0</v>
      </c>
      <c r="E555" s="2019" t="str">
        <f>'NORTH-2'!E1292</f>
        <v>DHK60934</v>
      </c>
      <c r="F555" s="791">
        <f>'NORTH-2'!F1292</f>
        <v>1</v>
      </c>
      <c r="G555" s="791">
        <f>'NORTH-2'!G1292</f>
        <v>38945</v>
      </c>
      <c r="H555" s="791">
        <f>'NORTH-2'!H1292</f>
        <v>51100</v>
      </c>
      <c r="I555" s="791">
        <f>'NORTH-2'!I1292</f>
        <v>12155</v>
      </c>
      <c r="J555" s="791">
        <f>'NORTH-2'!J1292</f>
        <v>60</v>
      </c>
      <c r="K555" s="791">
        <f>'NORTH-2'!K1292</f>
        <v>0</v>
      </c>
      <c r="L555" s="791">
        <f>'NORTH-2'!L1292</f>
        <v>729300</v>
      </c>
      <c r="M555" s="791">
        <f>'NORTH-2'!M1292</f>
        <v>0</v>
      </c>
      <c r="N555" s="2019" t="str">
        <f>'NORTH-2'!N1292</f>
        <v>Rajarbag</v>
      </c>
      <c r="O555" s="2019" t="str">
        <f>Sheet2!$C$16</f>
        <v>Khillgaon  33/11KV S/S</v>
      </c>
    </row>
    <row r="556" spans="1:15" x14ac:dyDescent="0.35">
      <c r="A556" s="2019">
        <f>'NORTH-2'!A1293</f>
        <v>3</v>
      </c>
      <c r="B556" s="2019" t="str">
        <f>'NORTH-2'!B1293</f>
        <v>Rampura BTV</v>
      </c>
      <c r="C556" s="2019">
        <f>'NORTH-2'!C1293</f>
        <v>11</v>
      </c>
      <c r="D556" s="2019">
        <f>'NORTH-2'!D1293</f>
        <v>0</v>
      </c>
      <c r="E556" s="2019" t="str">
        <f>'NORTH-2'!E1293</f>
        <v>DHK60933</v>
      </c>
      <c r="F556" s="791">
        <f>'NORTH-2'!F1293</f>
        <v>1</v>
      </c>
      <c r="G556" s="791">
        <f>'NORTH-2'!G1293</f>
        <v>13631</v>
      </c>
      <c r="H556" s="791">
        <f>'NORTH-2'!H1293</f>
        <v>13631</v>
      </c>
      <c r="I556" s="791">
        <f>'NORTH-2'!I1293</f>
        <v>0</v>
      </c>
      <c r="J556" s="791">
        <f>'NORTH-2'!J1293</f>
        <v>60</v>
      </c>
      <c r="K556" s="791">
        <f>'NORTH-2'!K1293</f>
        <v>0</v>
      </c>
      <c r="L556" s="791">
        <f>'NORTH-2'!L1293</f>
        <v>0</v>
      </c>
      <c r="M556" s="791">
        <f>'NORTH-2'!M1293</f>
        <v>0</v>
      </c>
      <c r="N556" s="2019" t="str">
        <f>'NORTH-2'!N1293</f>
        <v>Khilgaon</v>
      </c>
      <c r="O556" s="2019" t="str">
        <f>Sheet2!$C$16</f>
        <v>Khillgaon  33/11KV S/S</v>
      </c>
    </row>
    <row r="557" spans="1:15" x14ac:dyDescent="0.35">
      <c r="A557" s="2019">
        <f>'NORTH-2'!A1294</f>
        <v>4</v>
      </c>
      <c r="B557" s="2019" t="str">
        <f>'NORTH-2'!B1294</f>
        <v>West Shantibag</v>
      </c>
      <c r="C557" s="2019">
        <f>'NORTH-2'!C1294</f>
        <v>11</v>
      </c>
      <c r="D557" s="2019">
        <f>'NORTH-2'!D1294</f>
        <v>0</v>
      </c>
      <c r="E557" s="2019" t="str">
        <f>'NORTH-2'!E1294</f>
        <v>DHK60926</v>
      </c>
      <c r="F557" s="791">
        <f>'NORTH-2'!F1294</f>
        <v>1</v>
      </c>
      <c r="G557" s="791">
        <f>'NORTH-2'!G1294</f>
        <v>424504</v>
      </c>
      <c r="H557" s="791">
        <f>'NORTH-2'!H1294</f>
        <v>433178</v>
      </c>
      <c r="I557" s="791">
        <f>'NORTH-2'!I1294</f>
        <v>8674</v>
      </c>
      <c r="J557" s="791">
        <f>'NORTH-2'!J1294</f>
        <v>60</v>
      </c>
      <c r="K557" s="791">
        <f>'NORTH-2'!K1294</f>
        <v>0</v>
      </c>
      <c r="L557" s="791">
        <f>'NORTH-2'!L1294</f>
        <v>520440</v>
      </c>
      <c r="M557" s="791">
        <f>'NORTH-2'!M1294</f>
        <v>0</v>
      </c>
      <c r="N557" s="2019" t="str">
        <f>'NORTH-2'!N1294</f>
        <v>Rajarbag</v>
      </c>
      <c r="O557" s="2019" t="str">
        <f>Sheet2!$C$16</f>
        <v>Khillgaon  33/11KV S/S</v>
      </c>
    </row>
    <row r="558" spans="1:15" x14ac:dyDescent="0.35">
      <c r="A558" s="2019">
        <f>'NORTH-2'!A1295</f>
        <v>1</v>
      </c>
      <c r="B558" s="2019" t="str">
        <f>'NORTH-2'!B1295</f>
        <v>East Malibagh</v>
      </c>
      <c r="C558" s="2019">
        <f>'NORTH-2'!C1295</f>
        <v>11</v>
      </c>
      <c r="D558" s="2019">
        <f>'NORTH-2'!D1295</f>
        <v>0</v>
      </c>
      <c r="E558" s="2019" t="str">
        <f>'NORTH-2'!E1295</f>
        <v>DHK60929</v>
      </c>
      <c r="F558" s="791">
        <f>'NORTH-2'!F1295</f>
        <v>1</v>
      </c>
      <c r="G558" s="791">
        <f>'NORTH-2'!G1295</f>
        <v>442528</v>
      </c>
      <c r="H558" s="791">
        <f>'NORTH-2'!H1295</f>
        <v>454459</v>
      </c>
      <c r="I558" s="791">
        <f>'NORTH-2'!I1295</f>
        <v>11931</v>
      </c>
      <c r="J558" s="791">
        <f>'NORTH-2'!J1295</f>
        <v>60</v>
      </c>
      <c r="K558" s="791">
        <f>'NORTH-2'!K1295</f>
        <v>0</v>
      </c>
      <c r="L558" s="791">
        <f>'NORTH-2'!L1295</f>
        <v>715860</v>
      </c>
      <c r="M558" s="791">
        <f>'NORTH-2'!M1295</f>
        <v>0</v>
      </c>
      <c r="N558" s="2019" t="str">
        <f>'NORTH-2'!N1295</f>
        <v>Rajarbag</v>
      </c>
      <c r="O558" s="2019" t="str">
        <f>Sheet2!$C$16</f>
        <v>Khillgaon  33/11KV S/S</v>
      </c>
    </row>
    <row r="559" spans="1:15" x14ac:dyDescent="0.35">
      <c r="A559" s="2019">
        <f>'NORTH-2'!A1296</f>
        <v>2</v>
      </c>
      <c r="B559" s="2019" t="str">
        <f>'NORTH-2'!B1296</f>
        <v>Police Line</v>
      </c>
      <c r="C559" s="2019">
        <f>'NORTH-2'!C1296</f>
        <v>11</v>
      </c>
      <c r="D559" s="2019">
        <f>'NORTH-2'!D1296</f>
        <v>0</v>
      </c>
      <c r="E559" s="2019" t="str">
        <f>'NORTH-2'!E1296</f>
        <v>DHK60930</v>
      </c>
      <c r="F559" s="791">
        <f>'NORTH-2'!F1296</f>
        <v>1</v>
      </c>
      <c r="G559" s="791">
        <f>'NORTH-2'!G1296</f>
        <v>506639</v>
      </c>
      <c r="H559" s="791">
        <f>'NORTH-2'!H1296</f>
        <v>511148</v>
      </c>
      <c r="I559" s="791">
        <f>'NORTH-2'!I1296</f>
        <v>4509</v>
      </c>
      <c r="J559" s="791">
        <f>'NORTH-2'!J1296</f>
        <v>60</v>
      </c>
      <c r="K559" s="791">
        <f>'NORTH-2'!K1296</f>
        <v>0</v>
      </c>
      <c r="L559" s="791">
        <f>'NORTH-2'!L1296</f>
        <v>270540</v>
      </c>
      <c r="M559" s="791">
        <f>'NORTH-2'!M1296</f>
        <v>0</v>
      </c>
      <c r="N559" s="2019" t="str">
        <f>'NORTH-2'!N1296</f>
        <v>Rajarbag</v>
      </c>
      <c r="O559" s="2019" t="str">
        <f>Sheet2!$C$16</f>
        <v>Khillgaon  33/11KV S/S</v>
      </c>
    </row>
    <row r="560" spans="1:15" x14ac:dyDescent="0.35">
      <c r="A560" s="2019">
        <f>'NORTH-2'!A1297</f>
        <v>3</v>
      </c>
      <c r="B560" s="2019" t="str">
        <f>'NORTH-2'!B1297</f>
        <v xml:space="preserve"> PWD RMU
11 KV Sajanpur Feeder.</v>
      </c>
      <c r="C560" s="2019">
        <f>'NORTH-2'!C1297</f>
        <v>11</v>
      </c>
      <c r="D560" s="2019">
        <f>'NORTH-2'!D1297</f>
        <v>0</v>
      </c>
      <c r="E560" s="2019" t="str">
        <f>'NORTH-2'!E1297</f>
        <v>DHK61017</v>
      </c>
      <c r="F560" s="791">
        <f>'NORTH-2'!F1297</f>
        <v>1</v>
      </c>
      <c r="G560" s="791">
        <f>'NORTH-2'!G1297</f>
        <v>176396</v>
      </c>
      <c r="H560" s="791">
        <f>'NORTH-2'!H1297</f>
        <v>177975</v>
      </c>
      <c r="I560" s="791">
        <f>'NORTH-2'!I1297</f>
        <v>1579</v>
      </c>
      <c r="J560" s="791">
        <f>'NORTH-2'!J1297</f>
        <v>60</v>
      </c>
      <c r="K560" s="791">
        <f>'NORTH-2'!K1297</f>
        <v>0</v>
      </c>
      <c r="L560" s="791">
        <f>'NORTH-2'!L1297</f>
        <v>94740</v>
      </c>
      <c r="M560" s="791">
        <f>'NORTH-2'!M1297</f>
        <v>0</v>
      </c>
      <c r="N560" s="2019" t="str">
        <f>'NORTH-2'!N1297</f>
        <v>Rajarbag</v>
      </c>
      <c r="O560" s="2019" t="str">
        <f>Sheet2!$C$16</f>
        <v>Khillgaon  33/11KV S/S</v>
      </c>
    </row>
    <row r="561" spans="1:15" x14ac:dyDescent="0.35">
      <c r="A561" s="2019">
        <f>'NORTH-2'!A1298</f>
        <v>4</v>
      </c>
      <c r="B561" s="2019" t="str">
        <f>'NORTH-2'!B1298</f>
        <v>Benjir Bagan</v>
      </c>
      <c r="C561" s="2019">
        <f>'NORTH-2'!C1298</f>
        <v>11</v>
      </c>
      <c r="D561" s="2019">
        <f>'NORTH-2'!D1298</f>
        <v>0</v>
      </c>
      <c r="E561" s="2019" t="str">
        <f>'NORTH-2'!E1298</f>
        <v>DHK60985</v>
      </c>
      <c r="F561" s="791">
        <f>'NORTH-2'!F1298</f>
        <v>1</v>
      </c>
      <c r="G561" s="791">
        <f>'NORTH-2'!G1298</f>
        <v>143731</v>
      </c>
      <c r="H561" s="791">
        <f>'NORTH-2'!H1298</f>
        <v>145500</v>
      </c>
      <c r="I561" s="791">
        <f>'NORTH-2'!I1298</f>
        <v>1769</v>
      </c>
      <c r="J561" s="791">
        <f>'NORTH-2'!J1298</f>
        <v>60</v>
      </c>
      <c r="K561" s="791">
        <f>'NORTH-2'!K1298</f>
        <v>0</v>
      </c>
      <c r="L561" s="791">
        <f>'NORTH-2'!L1298</f>
        <v>106140</v>
      </c>
      <c r="M561" s="791">
        <f>'NORTH-2'!M1298</f>
        <v>0</v>
      </c>
      <c r="N561" s="2019" t="str">
        <f>'NORTH-2'!N1298</f>
        <v>Rajarbag</v>
      </c>
      <c r="O561" s="2019" t="str">
        <f>Sheet2!$C$16</f>
        <v>Khillgaon  33/11KV S/S</v>
      </c>
    </row>
    <row r="562" spans="1:15" x14ac:dyDescent="0.35">
      <c r="A562" s="2019">
        <f>'NORTH-2'!A1299</f>
        <v>5</v>
      </c>
      <c r="B562" s="2019" t="str">
        <f>'NORTH-2'!B1299</f>
        <v>Shantinagar s/s-2</v>
      </c>
      <c r="C562" s="2019">
        <f>'NORTH-2'!C1299</f>
        <v>11</v>
      </c>
      <c r="D562" s="2019">
        <f>'NORTH-2'!D1299</f>
        <v>0</v>
      </c>
      <c r="E562" s="2019" t="str">
        <f>'NORTH-2'!E1299</f>
        <v>DHK60935</v>
      </c>
      <c r="F562" s="791">
        <f>'NORTH-2'!F1299</f>
        <v>1</v>
      </c>
      <c r="G562" s="791">
        <f>'NORTH-2'!G1299</f>
        <v>791090</v>
      </c>
      <c r="H562" s="791">
        <f>'NORTH-2'!H1299</f>
        <v>795873</v>
      </c>
      <c r="I562" s="791">
        <f>'NORTH-2'!I1299</f>
        <v>4783</v>
      </c>
      <c r="J562" s="791">
        <f>'NORTH-2'!J1299</f>
        <v>60</v>
      </c>
      <c r="K562" s="791">
        <f>'NORTH-2'!K1299</f>
        <v>0</v>
      </c>
      <c r="L562" s="791">
        <f>'NORTH-2'!L1299</f>
        <v>286980</v>
      </c>
      <c r="M562" s="791">
        <f>'NORTH-2'!M1299</f>
        <v>0</v>
      </c>
      <c r="N562" s="2019" t="str">
        <f>'NORTH-2'!N1299</f>
        <v>Rajarbag</v>
      </c>
      <c r="O562" s="2019" t="str">
        <f>Sheet2!$C$16</f>
        <v>Khillgaon  33/11KV S/S</v>
      </c>
    </row>
    <row r="563" spans="1:15" x14ac:dyDescent="0.35">
      <c r="A563" s="2019">
        <f>'NORTH-2'!A1300</f>
        <v>6</v>
      </c>
      <c r="B563" s="2019" t="str">
        <f>'NORTH-2'!B1300</f>
        <v>AT-1 &amp; AT-2</v>
      </c>
      <c r="C563" s="2019">
        <f>'NORTH-2'!C1300</f>
        <v>415</v>
      </c>
      <c r="D563" s="2019">
        <f>'NORTH-2'!D1300</f>
        <v>0</v>
      </c>
      <c r="E563" s="2019" t="str">
        <f>'NORTH-2'!E1300</f>
        <v>ELIB 7374</v>
      </c>
      <c r="F563" s="791">
        <f>'NORTH-2'!F1300</f>
        <v>1</v>
      </c>
      <c r="G563" s="791">
        <f>'NORTH-2'!G1300</f>
        <v>1253.5899999999999</v>
      </c>
      <c r="H563" s="791">
        <f>'NORTH-2'!H1300</f>
        <v>1317.9</v>
      </c>
      <c r="I563" s="791">
        <f>'NORTH-2'!I1300</f>
        <v>64.310000000000173</v>
      </c>
      <c r="J563" s="791">
        <f>'NORTH-2'!J1300</f>
        <v>60</v>
      </c>
      <c r="K563" s="791">
        <f>'NORTH-2'!K1300</f>
        <v>0</v>
      </c>
      <c r="L563" s="791">
        <f>'NORTH-2'!L1300</f>
        <v>3858.6000000000104</v>
      </c>
      <c r="M563" s="791">
        <f>'NORTH-2'!M1300</f>
        <v>0</v>
      </c>
      <c r="N563" s="2019" t="str">
        <f>'NORTH-2'!N1300</f>
        <v>Rajarbag</v>
      </c>
      <c r="O563" s="2019" t="str">
        <f>Sheet2!$C$16</f>
        <v>Khillgaon  33/11KV S/S</v>
      </c>
    </row>
    <row r="564" spans="1:15" x14ac:dyDescent="0.35">
      <c r="A564" s="2019">
        <f>'NORTH-2'!A1363</f>
        <v>1</v>
      </c>
      <c r="B564" s="2019" t="str">
        <f>'NORTH-2'!B1363</f>
        <v>Spare</v>
      </c>
      <c r="C564" s="2019">
        <f>'NORTH-2'!C1363</f>
        <v>11</v>
      </c>
      <c r="D564" s="2019">
        <f>'NORTH-2'!D1363</f>
        <v>0</v>
      </c>
      <c r="E564" s="2019" t="str">
        <f>'NORTH-2'!E1363</f>
        <v>BD013944</v>
      </c>
      <c r="F564" s="791">
        <f>'NORTH-2'!F1363</f>
        <v>1</v>
      </c>
      <c r="G564" s="791">
        <f>'NORTH-2'!G1363</f>
        <v>0</v>
      </c>
      <c r="H564" s="791">
        <f>'NORTH-2'!H1363</f>
        <v>0</v>
      </c>
      <c r="I564" s="791">
        <f>'NORTH-2'!I1363</f>
        <v>0</v>
      </c>
      <c r="J564" s="791">
        <f>'NORTH-2'!J1363</f>
        <v>1000</v>
      </c>
      <c r="K564" s="791">
        <f>'NORTH-2'!K1363</f>
        <v>0</v>
      </c>
      <c r="L564" s="791">
        <f>'NORTH-2'!L1363</f>
        <v>0</v>
      </c>
      <c r="M564" s="791">
        <f>'NORTH-2'!M1363</f>
        <v>0</v>
      </c>
      <c r="N564" s="2019">
        <f>'NORTH-2'!N1363</f>
        <v>0</v>
      </c>
      <c r="O564" s="2019" t="str">
        <f>Sheet2!$C$41</f>
        <v>Monipuripara 33/11 KV S/S</v>
      </c>
    </row>
    <row r="565" spans="1:15" x14ac:dyDescent="0.35">
      <c r="A565" s="2019">
        <f>'NORTH-2'!A1364</f>
        <v>2</v>
      </c>
      <c r="B565" s="2019" t="str">
        <f>'NORTH-2'!B1364</f>
        <v>Monipuripara west</v>
      </c>
      <c r="C565" s="2019">
        <f>'NORTH-2'!C1364</f>
        <v>11</v>
      </c>
      <c r="D565" s="2019">
        <f>'NORTH-2'!D1364</f>
        <v>0</v>
      </c>
      <c r="E565" s="2019" t="str">
        <f>'NORTH-2'!E1364</f>
        <v>BD013947</v>
      </c>
      <c r="F565" s="791">
        <f>'NORTH-2'!F1364</f>
        <v>1</v>
      </c>
      <c r="G565" s="791">
        <f>'NORTH-2'!G1364</f>
        <v>24972.66</v>
      </c>
      <c r="H565" s="791">
        <f>'NORTH-2'!H1364</f>
        <v>25409.27</v>
      </c>
      <c r="I565" s="791">
        <f>'NORTH-2'!I1364</f>
        <v>436.61000000000058</v>
      </c>
      <c r="J565" s="791">
        <f>'NORTH-2'!J1364</f>
        <v>1000</v>
      </c>
      <c r="K565" s="791">
        <f>'NORTH-2'!K1364</f>
        <v>0</v>
      </c>
      <c r="L565" s="791">
        <f>'NORTH-2'!L1364</f>
        <v>436610.00000000058</v>
      </c>
      <c r="M565" s="791">
        <f>'NORTH-2'!M1364</f>
        <v>0</v>
      </c>
      <c r="N565" s="2019" t="str">
        <f>'NORTH-2'!N1364</f>
        <v>Shere Banglanagar</v>
      </c>
      <c r="O565" s="2019" t="str">
        <f>Sheet2!$C$41</f>
        <v>Monipuripara 33/11 KV S/S</v>
      </c>
    </row>
    <row r="566" spans="1:15" x14ac:dyDescent="0.35">
      <c r="A566" s="2019">
        <f>'NORTH-2'!A1365</f>
        <v>3</v>
      </c>
      <c r="B566" s="2019" t="str">
        <f>'NORTH-2'!B1365</f>
        <v>Biggan College</v>
      </c>
      <c r="C566" s="2019">
        <f>'NORTH-2'!C1365</f>
        <v>11</v>
      </c>
      <c r="D566" s="2019">
        <f>'NORTH-2'!D1365</f>
        <v>0</v>
      </c>
      <c r="E566" s="2019" t="str">
        <f>'NORTH-2'!E1365</f>
        <v>BD013949</v>
      </c>
      <c r="F566" s="791">
        <f>'NORTH-2'!F1365</f>
        <v>1</v>
      </c>
      <c r="G566" s="791">
        <f>'NORTH-2'!G1365</f>
        <v>12778.76</v>
      </c>
      <c r="H566" s="791">
        <f>'NORTH-2'!H1365</f>
        <v>13273.09</v>
      </c>
      <c r="I566" s="791">
        <f>'NORTH-2'!I1365</f>
        <v>494.32999999999993</v>
      </c>
      <c r="J566" s="791">
        <f>'NORTH-2'!J1365</f>
        <v>1000</v>
      </c>
      <c r="K566" s="791">
        <f>'NORTH-2'!K1365</f>
        <v>0</v>
      </c>
      <c r="L566" s="791">
        <f>'NORTH-2'!L1365</f>
        <v>494329.99999999994</v>
      </c>
      <c r="M566" s="791">
        <f>'NORTH-2'!M1365</f>
        <v>0</v>
      </c>
      <c r="N566" s="2019" t="str">
        <f>'NORTH-2'!N1365</f>
        <v>Kakrail</v>
      </c>
      <c r="O566" s="2019" t="str">
        <f>Sheet2!$C$41</f>
        <v>Monipuripara 33/11 KV S/S</v>
      </c>
    </row>
    <row r="567" spans="1:15" x14ac:dyDescent="0.35">
      <c r="A567" s="2019">
        <f>'NORTH-2'!A1366</f>
        <v>4</v>
      </c>
      <c r="B567" s="2019" t="str">
        <f>'NORTH-2'!B1366</f>
        <v>Green Road South</v>
      </c>
      <c r="C567" s="2019">
        <f>'NORTH-2'!C1366</f>
        <v>11</v>
      </c>
      <c r="D567" s="2019">
        <f>'NORTH-2'!D1366</f>
        <v>0</v>
      </c>
      <c r="E567" s="2019" t="str">
        <f>'NORTH-2'!E1366</f>
        <v>BD013948</v>
      </c>
      <c r="F567" s="791">
        <f>'NORTH-2'!F1366</f>
        <v>1</v>
      </c>
      <c r="G567" s="791">
        <f>'NORTH-2'!G1366</f>
        <v>22097.919999999998</v>
      </c>
      <c r="H567" s="791">
        <f>'NORTH-2'!H1366</f>
        <v>22675.45</v>
      </c>
      <c r="I567" s="791">
        <f>'NORTH-2'!I1366</f>
        <v>577.53000000000247</v>
      </c>
      <c r="J567" s="791">
        <f>'NORTH-2'!J1366</f>
        <v>1000</v>
      </c>
      <c r="K567" s="791">
        <f>'NORTH-2'!K1366</f>
        <v>0</v>
      </c>
      <c r="L567" s="791">
        <f>'NORTH-2'!L1366</f>
        <v>577530.00000000244</v>
      </c>
      <c r="M567" s="791">
        <f>'NORTH-2'!M1366</f>
        <v>0</v>
      </c>
      <c r="N567" s="2019" t="str">
        <f>'NORTH-2'!N1366</f>
        <v>Shere Banglanagar</v>
      </c>
      <c r="O567" s="2019" t="str">
        <f>Sheet2!$C$41</f>
        <v>Monipuripara 33/11 KV S/S</v>
      </c>
    </row>
    <row r="568" spans="1:15" x14ac:dyDescent="0.35">
      <c r="A568" s="2019">
        <f>'NORTH-2'!A1367</f>
        <v>5</v>
      </c>
      <c r="B568" s="2019" t="str">
        <f>'NORTH-2'!B1367</f>
        <v>BARC Building O/H</v>
      </c>
      <c r="C568" s="2019">
        <f>'NORTH-2'!C1367</f>
        <v>11</v>
      </c>
      <c r="D568" s="2019">
        <f>'NORTH-2'!D1367</f>
        <v>0</v>
      </c>
      <c r="E568" s="2019" t="str">
        <f>'NORTH-2'!E1367</f>
        <v>BD014010</v>
      </c>
      <c r="F568" s="791">
        <f>'NORTH-2'!F1367</f>
        <v>1</v>
      </c>
      <c r="G568" s="791">
        <f>'NORTH-2'!G1367</f>
        <v>8866.34</v>
      </c>
      <c r="H568" s="791">
        <f>'NORTH-2'!H1367</f>
        <v>9223.57</v>
      </c>
      <c r="I568" s="791">
        <f>'NORTH-2'!I1367</f>
        <v>357.22999999999956</v>
      </c>
      <c r="J568" s="791">
        <f>'NORTH-2'!J1367</f>
        <v>1000</v>
      </c>
      <c r="K568" s="791">
        <f>'NORTH-2'!K1367</f>
        <v>0</v>
      </c>
      <c r="L568" s="791">
        <f>'NORTH-2'!L1367</f>
        <v>357229.99999999953</v>
      </c>
      <c r="M568" s="791">
        <f>'NORTH-2'!M1367</f>
        <v>0</v>
      </c>
      <c r="N568" s="2019" t="str">
        <f>'NORTH-2'!N1367</f>
        <v>Shere Banglanagar</v>
      </c>
      <c r="O568" s="2019" t="str">
        <f>Sheet2!$C$41</f>
        <v>Monipuripara 33/11 KV S/S</v>
      </c>
    </row>
    <row r="569" spans="1:15" x14ac:dyDescent="0.35">
      <c r="A569" s="2019">
        <f>'NORTH-2'!A1368</f>
        <v>6</v>
      </c>
      <c r="B569" s="2019" t="str">
        <f>'NORTH-2'!B1368</f>
        <v>Green Road North</v>
      </c>
      <c r="C569" s="2019">
        <f>'NORTH-2'!C1368</f>
        <v>11</v>
      </c>
      <c r="D569" s="2019">
        <f>'NORTH-2'!D1368</f>
        <v>0</v>
      </c>
      <c r="E569" s="2019" t="str">
        <f>'NORTH-2'!E1368</f>
        <v>BD014036</v>
      </c>
      <c r="F569" s="791">
        <f>'NORTH-2'!F1368</f>
        <v>1</v>
      </c>
      <c r="G569" s="791">
        <f>'NORTH-2'!G1368</f>
        <v>44756.78</v>
      </c>
      <c r="H569" s="791">
        <f>'NORTH-2'!H1368</f>
        <v>45781.35</v>
      </c>
      <c r="I569" s="791">
        <f>'NORTH-2'!I1368</f>
        <v>1024.5699999999997</v>
      </c>
      <c r="J569" s="791">
        <f>'NORTH-2'!J1368</f>
        <v>1000</v>
      </c>
      <c r="K569" s="791">
        <f>'NORTH-2'!K1368</f>
        <v>0</v>
      </c>
      <c r="L569" s="791">
        <f>'NORTH-2'!L1368</f>
        <v>1024569.9999999998</v>
      </c>
      <c r="M569" s="791">
        <f>'NORTH-2'!M1368</f>
        <v>0</v>
      </c>
      <c r="N569" s="2019" t="str">
        <f>'NORTH-2'!N1368</f>
        <v>Shere Banglanagar</v>
      </c>
      <c r="O569" s="2019" t="str">
        <f>Sheet2!$C$41</f>
        <v>Monipuripara 33/11 KV S/S</v>
      </c>
    </row>
    <row r="570" spans="1:15" x14ac:dyDescent="0.35">
      <c r="A570" s="2019">
        <f>'NORTH-2'!A1369</f>
        <v>7</v>
      </c>
      <c r="B570" s="2019" t="str">
        <f>'NORTH-2'!B1369</f>
        <v>Chundrima Uddan</v>
      </c>
      <c r="C570" s="2019">
        <f>'NORTH-2'!C1369</f>
        <v>11</v>
      </c>
      <c r="D570" s="2019">
        <f>'NORTH-2'!D1369</f>
        <v>0</v>
      </c>
      <c r="E570" s="2019" t="str">
        <f>'NORTH-2'!E1369</f>
        <v>BD014035</v>
      </c>
      <c r="F570" s="791">
        <f>'NORTH-2'!F1369</f>
        <v>1</v>
      </c>
      <c r="G570" s="791">
        <f>'NORTH-2'!G1369</f>
        <v>22831.54</v>
      </c>
      <c r="H570" s="791">
        <f>'NORTH-2'!H1369</f>
        <v>23342.71</v>
      </c>
      <c r="I570" s="791">
        <f>'NORTH-2'!I1369</f>
        <v>511.16999999999825</v>
      </c>
      <c r="J570" s="791">
        <f>'NORTH-2'!J1369</f>
        <v>1000</v>
      </c>
      <c r="K570" s="791">
        <f>'NORTH-2'!K1369</f>
        <v>0</v>
      </c>
      <c r="L570" s="791">
        <f>'NORTH-2'!L1369</f>
        <v>511169.99999999825</v>
      </c>
      <c r="M570" s="791">
        <f>'NORTH-2'!M1369</f>
        <v>0</v>
      </c>
      <c r="N570" s="2019" t="str">
        <f>'NORTH-2'!N1369</f>
        <v>Shere Banglanagar</v>
      </c>
      <c r="O570" s="2019" t="str">
        <f>Sheet2!$C$41</f>
        <v>Monipuripara 33/11 KV S/S</v>
      </c>
    </row>
    <row r="571" spans="1:15" x14ac:dyDescent="0.35">
      <c r="A571" s="2019">
        <f>'NORTH-2'!A1370</f>
        <v>8</v>
      </c>
      <c r="B571" s="2019" t="str">
        <f>'NORTH-2'!B1370</f>
        <v>Spare-02</v>
      </c>
      <c r="C571" s="2019">
        <f>'NORTH-2'!C1370</f>
        <v>11</v>
      </c>
      <c r="D571" s="2019">
        <f>'NORTH-2'!D1370</f>
        <v>0</v>
      </c>
      <c r="E571" s="2019" t="str">
        <f>'NORTH-2'!E1370</f>
        <v>BD013940</v>
      </c>
      <c r="F571" s="791">
        <f>'NORTH-2'!F1370</f>
        <v>1</v>
      </c>
      <c r="G571" s="791">
        <f>'NORTH-2'!G1370</f>
        <v>0</v>
      </c>
      <c r="H571" s="791">
        <f>'NORTH-2'!H1370</f>
        <v>0</v>
      </c>
      <c r="I571" s="791">
        <f>'NORTH-2'!I1370</f>
        <v>0</v>
      </c>
      <c r="J571" s="791">
        <f>'NORTH-2'!J1370</f>
        <v>1000</v>
      </c>
      <c r="K571" s="791">
        <f>'NORTH-2'!K1370</f>
        <v>0</v>
      </c>
      <c r="L571" s="791">
        <f>'NORTH-2'!L1370</f>
        <v>0</v>
      </c>
      <c r="M571" s="791">
        <f>'NORTH-2'!M1370</f>
        <v>0</v>
      </c>
      <c r="N571" s="2019" t="str">
        <f>'NORTH-2'!N1370</f>
        <v>Shere Banglanagar</v>
      </c>
      <c r="O571" s="2019" t="str">
        <f>Sheet2!$C$41</f>
        <v>Monipuripara 33/11 KV S/S</v>
      </c>
    </row>
    <row r="572" spans="1:15" x14ac:dyDescent="0.35">
      <c r="A572" s="2019">
        <f>'NORTH-2'!A1371</f>
        <v>1</v>
      </c>
      <c r="B572" s="2019" t="str">
        <f>'NORTH-2'!B1371</f>
        <v>Spare-03</v>
      </c>
      <c r="C572" s="2019">
        <f>'NORTH-2'!C1371</f>
        <v>11</v>
      </c>
      <c r="D572" s="2019">
        <f>'NORTH-2'!D1371</f>
        <v>0</v>
      </c>
      <c r="E572" s="2019" t="str">
        <f>'NORTH-2'!E1371</f>
        <v>BD013946</v>
      </c>
      <c r="F572" s="791">
        <f>'NORTH-2'!F1371</f>
        <v>1</v>
      </c>
      <c r="G572" s="791">
        <f>'NORTH-2'!G1371</f>
        <v>0</v>
      </c>
      <c r="H572" s="791">
        <f>'NORTH-2'!H1371</f>
        <v>0</v>
      </c>
      <c r="I572" s="791">
        <f>'NORTH-2'!I1371</f>
        <v>0</v>
      </c>
      <c r="J572" s="791">
        <f>'NORTH-2'!J1371</f>
        <v>1000</v>
      </c>
      <c r="K572" s="791">
        <f>'NORTH-2'!K1371</f>
        <v>0</v>
      </c>
      <c r="L572" s="791">
        <f>'NORTH-2'!L1371</f>
        <v>0</v>
      </c>
      <c r="M572" s="791">
        <f>'NORTH-2'!M1371</f>
        <v>0</v>
      </c>
      <c r="N572" s="2019" t="str">
        <f>'NORTH-2'!N1371</f>
        <v>Shere Banglanagar</v>
      </c>
      <c r="O572" s="2019" t="str">
        <f>Sheet2!$C$41</f>
        <v>Monipuripara 33/11 KV S/S</v>
      </c>
    </row>
    <row r="573" spans="1:15" x14ac:dyDescent="0.35">
      <c r="A573" s="2019">
        <f>'NORTH-2'!A1372</f>
        <v>2</v>
      </c>
      <c r="B573" s="2019" t="str">
        <f>'NORTH-2'!B1372</f>
        <v>kawran Bazar North</v>
      </c>
      <c r="C573" s="2019">
        <f>'NORTH-2'!C1372</f>
        <v>11</v>
      </c>
      <c r="D573" s="2019">
        <f>'NORTH-2'!D1372</f>
        <v>0</v>
      </c>
      <c r="E573" s="2019" t="str">
        <f>'NORTH-2'!E1372</f>
        <v>BD013964</v>
      </c>
      <c r="F573" s="791">
        <f>'NORTH-2'!F1372</f>
        <v>1</v>
      </c>
      <c r="G573" s="791">
        <f>'NORTH-2'!G1372</f>
        <v>40112.39</v>
      </c>
      <c r="H573" s="791">
        <f>'NORTH-2'!H1372</f>
        <v>40112.39</v>
      </c>
      <c r="I573" s="791">
        <f>'NORTH-2'!I1372</f>
        <v>0</v>
      </c>
      <c r="J573" s="791">
        <f>'NORTH-2'!J1372</f>
        <v>1000</v>
      </c>
      <c r="K573" s="791">
        <f>'NORTH-2'!K1372</f>
        <v>0</v>
      </c>
      <c r="L573" s="791">
        <f>'NORTH-2'!L1372</f>
        <v>0</v>
      </c>
      <c r="M573" s="791">
        <f>'NORTH-2'!M1372</f>
        <v>0</v>
      </c>
      <c r="N573" s="2019" t="str">
        <f>'NORTH-2'!N1372</f>
        <v>Kakrail</v>
      </c>
      <c r="O573" s="2019" t="str">
        <f>Sheet2!$C$41</f>
        <v>Monipuripara 33/11 KV S/S</v>
      </c>
    </row>
    <row r="574" spans="1:15" x14ac:dyDescent="0.35">
      <c r="A574" s="2019">
        <f>'NORTH-2'!A1373</f>
        <v>3</v>
      </c>
      <c r="B574" s="2019" t="str">
        <f>'NORTH-2'!B1373</f>
        <v>NAM Bhanan RMU</v>
      </c>
      <c r="C574" s="2019">
        <f>'NORTH-2'!C1373</f>
        <v>11</v>
      </c>
      <c r="D574" s="2019">
        <f>'NORTH-2'!D1373</f>
        <v>0</v>
      </c>
      <c r="E574" s="2019" t="str">
        <f>'NORTH-2'!E1373</f>
        <v>BD013950</v>
      </c>
      <c r="F574" s="791">
        <f>'NORTH-2'!F1373</f>
        <v>1</v>
      </c>
      <c r="G574" s="791">
        <f>'NORTH-2'!G1373</f>
        <v>8599.7800000000007</v>
      </c>
      <c r="H574" s="791">
        <f>'NORTH-2'!H1373</f>
        <v>9148.73</v>
      </c>
      <c r="I574" s="791">
        <f>'NORTH-2'!I1373</f>
        <v>548.94999999999891</v>
      </c>
      <c r="J574" s="791">
        <f>'NORTH-2'!J1373</f>
        <v>1000</v>
      </c>
      <c r="K574" s="791">
        <f>'NORTH-2'!K1373</f>
        <v>0</v>
      </c>
      <c r="L574" s="791">
        <f>'NORTH-2'!L1373</f>
        <v>548949.99999999895</v>
      </c>
      <c r="M574" s="791">
        <f>'NORTH-2'!M1373</f>
        <v>0</v>
      </c>
      <c r="N574" s="2019" t="str">
        <f>'NORTH-2'!N1373</f>
        <v>Shere Banglanagar</v>
      </c>
      <c r="O574" s="2019" t="str">
        <f>Sheet2!$C$41</f>
        <v>Monipuripara 33/11 KV S/S</v>
      </c>
    </row>
    <row r="575" spans="1:15" x14ac:dyDescent="0.35">
      <c r="A575" s="2019">
        <f>'NORTH-2'!A1374</f>
        <v>4</v>
      </c>
      <c r="B575" s="2019" t="str">
        <f>'NORTH-2'!B1374</f>
        <v>Novo Theater</v>
      </c>
      <c r="C575" s="2019">
        <f>'NORTH-2'!C1374</f>
        <v>11</v>
      </c>
      <c r="D575" s="2019">
        <f>'NORTH-2'!D1374</f>
        <v>0</v>
      </c>
      <c r="E575" s="2019" t="str">
        <f>'NORTH-2'!E1374</f>
        <v>BD013938</v>
      </c>
      <c r="F575" s="791">
        <f>'NORTH-2'!F1374</f>
        <v>1</v>
      </c>
      <c r="G575" s="791">
        <f>'NORTH-2'!G1374</f>
        <v>0</v>
      </c>
      <c r="H575" s="791">
        <f>'NORTH-2'!H1374</f>
        <v>0</v>
      </c>
      <c r="I575" s="791">
        <f>'NORTH-2'!I1374</f>
        <v>0</v>
      </c>
      <c r="J575" s="791">
        <f>'NORTH-2'!J1374</f>
        <v>1000</v>
      </c>
      <c r="K575" s="791">
        <f>'NORTH-2'!K1374</f>
        <v>0</v>
      </c>
      <c r="L575" s="791">
        <f>'NORTH-2'!L1374</f>
        <v>0</v>
      </c>
      <c r="M575" s="791">
        <f>'NORTH-2'!M1374</f>
        <v>0</v>
      </c>
      <c r="N575" s="2019" t="str">
        <f>'NORTH-2'!N1374</f>
        <v>Shere Banglanagar</v>
      </c>
      <c r="O575" s="2019" t="str">
        <f>Sheet2!$C$41</f>
        <v>Monipuripara 33/11 KV S/S</v>
      </c>
    </row>
    <row r="576" spans="1:15" x14ac:dyDescent="0.35">
      <c r="A576" s="2019">
        <f>'NORTH-2'!A1375</f>
        <v>5</v>
      </c>
      <c r="B576" s="2019" t="str">
        <f>'NORTH-2'!B1375</f>
        <v>Monipuripara Nearest</v>
      </c>
      <c r="C576" s="2019">
        <f>'NORTH-2'!C1375</f>
        <v>11</v>
      </c>
      <c r="D576" s="2019">
        <f>'NORTH-2'!D1375</f>
        <v>0</v>
      </c>
      <c r="E576" s="2019" t="str">
        <f>'NORTH-2'!E1375</f>
        <v>BD013962</v>
      </c>
      <c r="F576" s="791">
        <f>'NORTH-2'!F1375</f>
        <v>1</v>
      </c>
      <c r="G576" s="791">
        <f>'NORTH-2'!G1375</f>
        <v>30767.77</v>
      </c>
      <c r="H576" s="791">
        <f>'NORTH-2'!H1375</f>
        <v>31608.79</v>
      </c>
      <c r="I576" s="791">
        <f>'NORTH-2'!I1375</f>
        <v>841.02000000000044</v>
      </c>
      <c r="J576" s="791">
        <f>'NORTH-2'!J1375</f>
        <v>1000</v>
      </c>
      <c r="K576" s="791">
        <f>'NORTH-2'!K1375</f>
        <v>0</v>
      </c>
      <c r="L576" s="791">
        <f>'NORTH-2'!L1375</f>
        <v>841020.00000000047</v>
      </c>
      <c r="M576" s="791">
        <f>'NORTH-2'!M1375</f>
        <v>0</v>
      </c>
      <c r="N576" s="2019" t="str">
        <f>'NORTH-2'!N1375</f>
        <v>Tejgaon</v>
      </c>
      <c r="O576" s="2019" t="str">
        <f>Sheet2!$C$41</f>
        <v>Monipuripara 33/11 KV S/S</v>
      </c>
    </row>
    <row r="577" spans="1:15" x14ac:dyDescent="0.35">
      <c r="A577" s="2019">
        <f>'NORTH-2'!A1376</f>
        <v>6</v>
      </c>
      <c r="B577" s="2019" t="str">
        <f>'NORTH-2'!B1376</f>
        <v>Holy Cross</v>
      </c>
      <c r="C577" s="2019">
        <f>'NORTH-2'!C1376</f>
        <v>11</v>
      </c>
      <c r="D577" s="2019">
        <f>'NORTH-2'!D1376</f>
        <v>0</v>
      </c>
      <c r="E577" s="2019" t="str">
        <f>'NORTH-2'!E1376</f>
        <v>BD013965</v>
      </c>
      <c r="F577" s="791">
        <f>'NORTH-2'!F1376</f>
        <v>1</v>
      </c>
      <c r="G577" s="791">
        <f>'NORTH-2'!G1376</f>
        <v>28489.48</v>
      </c>
      <c r="H577" s="791">
        <f>'NORTH-2'!H1376</f>
        <v>29276.9</v>
      </c>
      <c r="I577" s="791">
        <f>'NORTH-2'!I1376</f>
        <v>787.42000000000189</v>
      </c>
      <c r="J577" s="791">
        <f>'NORTH-2'!J1376</f>
        <v>1000</v>
      </c>
      <c r="K577" s="791">
        <f>'NORTH-2'!K1376</f>
        <v>0</v>
      </c>
      <c r="L577" s="791">
        <f>'NORTH-2'!L1376</f>
        <v>787420.00000000186</v>
      </c>
      <c r="M577" s="791">
        <f>'NORTH-2'!M1376</f>
        <v>0</v>
      </c>
      <c r="N577" s="2019" t="str">
        <f>'NORTH-2'!N1376</f>
        <v>Tejgaon</v>
      </c>
      <c r="O577" s="2019" t="str">
        <f>Sheet2!$C$41</f>
        <v>Monipuripara 33/11 KV S/S</v>
      </c>
    </row>
    <row r="578" spans="1:15" x14ac:dyDescent="0.35">
      <c r="A578" s="2019">
        <f>'NORTH-2'!A1377</f>
        <v>7</v>
      </c>
      <c r="B578" s="2019" t="str">
        <f>'NORTH-2'!B1377</f>
        <v>Honda Goli</v>
      </c>
      <c r="C578" s="2019">
        <f>'NORTH-2'!C1377</f>
        <v>11</v>
      </c>
      <c r="D578" s="2019">
        <f>'NORTH-2'!D1377</f>
        <v>0</v>
      </c>
      <c r="E578" s="2019" t="str">
        <f>'NORTH-2'!E1377</f>
        <v>BD014011</v>
      </c>
      <c r="F578" s="791">
        <f>'NORTH-2'!F1377</f>
        <v>1</v>
      </c>
      <c r="G578" s="791">
        <f>'NORTH-2'!G1377</f>
        <v>8672.51</v>
      </c>
      <c r="H578" s="791">
        <f>'NORTH-2'!H1377</f>
        <v>8908.31</v>
      </c>
      <c r="I578" s="791">
        <f>'NORTH-2'!I1377</f>
        <v>235.79999999999927</v>
      </c>
      <c r="J578" s="791">
        <f>'NORTH-2'!J1377</f>
        <v>1000</v>
      </c>
      <c r="K578" s="791">
        <f>'NORTH-2'!K1377</f>
        <v>0</v>
      </c>
      <c r="L578" s="791">
        <f>'NORTH-2'!L1377</f>
        <v>235799.99999999927</v>
      </c>
      <c r="M578" s="791">
        <f>'NORTH-2'!M1377</f>
        <v>0</v>
      </c>
      <c r="N578" s="2019" t="str">
        <f>'NORTH-2'!N1377</f>
        <v>Tejgaon</v>
      </c>
      <c r="O578" s="2019" t="str">
        <f>Sheet2!$C$41</f>
        <v>Monipuripara 33/11 KV S/S</v>
      </c>
    </row>
    <row r="579" spans="1:15" x14ac:dyDescent="0.35">
      <c r="A579" s="2019">
        <f>'NORTH-2'!A1378</f>
        <v>8</v>
      </c>
      <c r="B579" s="2019" t="str">
        <f>'NORTH-2'!B1378</f>
        <v>Navy Quarter</v>
      </c>
      <c r="C579" s="2019">
        <f>'NORTH-2'!C1378</f>
        <v>11</v>
      </c>
      <c r="D579" s="2019">
        <f>'NORTH-2'!D1378</f>
        <v>0</v>
      </c>
      <c r="E579" s="2019" t="str">
        <f>'NORTH-2'!E1378</f>
        <v>BD013941</v>
      </c>
      <c r="F579" s="791">
        <f>'NORTH-2'!F1378</f>
        <v>1</v>
      </c>
      <c r="G579" s="791">
        <f>'NORTH-2'!G1378</f>
        <v>3968.43</v>
      </c>
      <c r="H579" s="791">
        <f>'NORTH-2'!H1378</f>
        <v>4079.97</v>
      </c>
      <c r="I579" s="791">
        <f>'NORTH-2'!I1378</f>
        <v>111.53999999999996</v>
      </c>
      <c r="J579" s="791">
        <f>'NORTH-2'!J1378</f>
        <v>1000</v>
      </c>
      <c r="K579" s="791">
        <f>'NORTH-2'!K1378</f>
        <v>0</v>
      </c>
      <c r="L579" s="791">
        <f>'NORTH-2'!L1378</f>
        <v>111539.99999999997</v>
      </c>
      <c r="M579" s="791">
        <f>'NORTH-2'!M1378</f>
        <v>0</v>
      </c>
      <c r="N579" s="2019" t="str">
        <f>'NORTH-2'!N1378</f>
        <v>Tejgaon</v>
      </c>
      <c r="O579" s="2019" t="str">
        <f>Sheet2!$C$41</f>
        <v>Monipuripara 33/11 KV S/S</v>
      </c>
    </row>
    <row r="580" spans="1:15" x14ac:dyDescent="0.35">
      <c r="A580" s="2019">
        <f>'NORTH-2'!A1379</f>
        <v>9</v>
      </c>
      <c r="B580" s="2019" t="str">
        <f>'NORTH-2'!B1379</f>
        <v>AT-01</v>
      </c>
      <c r="C580" s="2019">
        <f>'NORTH-2'!C1379</f>
        <v>415</v>
      </c>
      <c r="D580" s="2019">
        <f>'NORTH-2'!D1379</f>
        <v>0</v>
      </c>
      <c r="E580" s="2019">
        <f>'NORTH-2'!E1379</f>
        <v>0</v>
      </c>
      <c r="F580" s="791">
        <f>'NORTH-2'!F1379</f>
        <v>1</v>
      </c>
      <c r="G580" s="791">
        <f>'NORTH-2'!G1379</f>
        <v>0</v>
      </c>
      <c r="H580" s="791">
        <f>'NORTH-2'!H1379</f>
        <v>0</v>
      </c>
      <c r="I580" s="791">
        <f>'NORTH-2'!I1379</f>
        <v>0</v>
      </c>
      <c r="J580" s="791">
        <f>'NORTH-2'!J1379</f>
        <v>1</v>
      </c>
      <c r="K580" s="791">
        <f>'NORTH-2'!K1379</f>
        <v>0</v>
      </c>
      <c r="L580" s="791">
        <f>'NORTH-2'!L1379</f>
        <v>0</v>
      </c>
      <c r="M580" s="791">
        <f>'NORTH-2'!M1379</f>
        <v>0</v>
      </c>
      <c r="N580" s="2019" t="str">
        <f>'NORTH-2'!N1379</f>
        <v>Shere Banglanagar</v>
      </c>
      <c r="O580" s="2019" t="str">
        <f>Sheet2!$C$41</f>
        <v>Monipuripara 33/11 KV S/S</v>
      </c>
    </row>
    <row r="581" spans="1:15" x14ac:dyDescent="0.35">
      <c r="A581" s="2019">
        <f>'NORTH-2'!A1380</f>
        <v>10</v>
      </c>
      <c r="B581" s="2019" t="str">
        <f>'NORTH-2'!B1380</f>
        <v>AT-02</v>
      </c>
      <c r="C581" s="2019">
        <f>'NORTH-2'!C1380</f>
        <v>415</v>
      </c>
      <c r="D581" s="2019">
        <f>'NORTH-2'!D1380</f>
        <v>0</v>
      </c>
      <c r="E581" s="2019">
        <f>'NORTH-2'!E1380</f>
        <v>0</v>
      </c>
      <c r="F581" s="791">
        <f>'NORTH-2'!F1380</f>
        <v>1</v>
      </c>
      <c r="G581" s="791">
        <f>'NORTH-2'!G1380</f>
        <v>408.81</v>
      </c>
      <c r="H581" s="791">
        <f>'NORTH-2'!H1380</f>
        <v>471.18</v>
      </c>
      <c r="I581" s="791">
        <f>'NORTH-2'!I1380</f>
        <v>62.370000000000005</v>
      </c>
      <c r="J581" s="791">
        <f>'NORTH-2'!J1380</f>
        <v>1</v>
      </c>
      <c r="K581" s="791">
        <f>'NORTH-2'!K1380</f>
        <v>0</v>
      </c>
      <c r="L581" s="791">
        <f>'NORTH-2'!L1380</f>
        <v>62.370000000000005</v>
      </c>
      <c r="M581" s="791">
        <f>'NORTH-2'!M1380</f>
        <v>0</v>
      </c>
      <c r="N581" s="2019" t="str">
        <f>'NORTH-2'!N1380</f>
        <v>Shere Banglanagar</v>
      </c>
      <c r="O581" s="2019" t="str">
        <f>Sheet2!$C$41</f>
        <v>Monipuripara 33/11 KV S/S</v>
      </c>
    </row>
    <row r="582" spans="1:15" x14ac:dyDescent="0.35">
      <c r="A582" s="2019">
        <f>'NORTH-2'!A1443</f>
        <v>1</v>
      </c>
      <c r="B582" s="2019" t="str">
        <f>'NORTH-2'!B1443</f>
        <v>Doctor Goli</v>
      </c>
      <c r="C582" s="2019">
        <f>'NORTH-2'!C1443</f>
        <v>11</v>
      </c>
      <c r="D582" s="2019">
        <f>'NORTH-2'!D1443</f>
        <v>0</v>
      </c>
      <c r="E582" s="2019">
        <f>'NORTH-2'!E1443</f>
        <v>0</v>
      </c>
      <c r="F582" s="791">
        <f>'NORTH-2'!F1443</f>
        <v>1</v>
      </c>
      <c r="G582" s="791">
        <f>'NORTH-2'!G1443</f>
        <v>1920</v>
      </c>
      <c r="H582" s="791">
        <f>'NORTH-2'!H1443</f>
        <v>2437.8200000000002</v>
      </c>
      <c r="I582" s="791">
        <f>'NORTH-2'!I1443</f>
        <v>517.82000000000016</v>
      </c>
      <c r="J582" s="791">
        <f>'NORTH-2'!J1443</f>
        <v>1000</v>
      </c>
      <c r="K582" s="791">
        <f>'NORTH-2'!K1443</f>
        <v>0</v>
      </c>
      <c r="L582" s="791">
        <f>'NORTH-2'!L1443</f>
        <v>517820.00000000017</v>
      </c>
      <c r="M582" s="791">
        <f>'NORTH-2'!M1443</f>
        <v>0</v>
      </c>
      <c r="O582" s="2019" t="str">
        <f>Sheet2!$C$46</f>
        <v>Ispahani 33/11 KV SS</v>
      </c>
    </row>
    <row r="583" spans="1:15" x14ac:dyDescent="0.35">
      <c r="A583" s="2019">
        <f>'NORTH-2'!A1444</f>
        <v>2</v>
      </c>
      <c r="B583" s="2019" t="str">
        <f>'NORTH-2'!B1444</f>
        <v xml:space="preserve">Ispahani </v>
      </c>
      <c r="C583" s="2019">
        <f>'NORTH-2'!C1444</f>
        <v>11</v>
      </c>
      <c r="D583" s="2019">
        <f>'NORTH-2'!D1444</f>
        <v>0</v>
      </c>
      <c r="E583" s="2019">
        <f>'NORTH-2'!E1444</f>
        <v>0</v>
      </c>
      <c r="F583" s="791">
        <f>'NORTH-2'!F1444</f>
        <v>1</v>
      </c>
      <c r="G583" s="791">
        <f>'NORTH-2'!G1444</f>
        <v>2154.79</v>
      </c>
      <c r="H583" s="791">
        <f>'NORTH-2'!H1444</f>
        <v>2694.89</v>
      </c>
      <c r="I583" s="791">
        <f>'NORTH-2'!I1444</f>
        <v>540.09999999999991</v>
      </c>
      <c r="J583" s="791">
        <f>'NORTH-2'!J1444</f>
        <v>1000</v>
      </c>
      <c r="K583" s="791">
        <f>'NORTH-2'!K1444</f>
        <v>0</v>
      </c>
      <c r="L583" s="791">
        <f>'NORTH-2'!L1444</f>
        <v>540099.99999999988</v>
      </c>
      <c r="M583" s="791">
        <f>'NORTH-2'!M1444</f>
        <v>0</v>
      </c>
      <c r="O583" s="2019" t="str">
        <f>Sheet2!$C$46</f>
        <v>Ispahani 33/11 KV SS</v>
      </c>
    </row>
    <row r="584" spans="1:15" x14ac:dyDescent="0.35">
      <c r="A584" s="2019">
        <f>'NORTH-2'!A1445</f>
        <v>3</v>
      </c>
      <c r="B584" s="2019" t="str">
        <f>'NORTH-2'!B1445</f>
        <v>BTCL</v>
      </c>
      <c r="C584" s="2019">
        <f>'NORTH-2'!C1445</f>
        <v>11</v>
      </c>
      <c r="D584" s="2019">
        <f>'NORTH-2'!D1445</f>
        <v>0</v>
      </c>
      <c r="E584" s="2019">
        <f>'NORTH-2'!E1445</f>
        <v>0</v>
      </c>
      <c r="F584" s="791">
        <f>'NORTH-2'!F1445</f>
        <v>1</v>
      </c>
      <c r="G584" s="791">
        <f>'NORTH-2'!G1445</f>
        <v>524.49</v>
      </c>
      <c r="H584" s="791">
        <f>'NORTH-2'!H1445</f>
        <v>1001.54</v>
      </c>
      <c r="I584" s="791">
        <f>'NORTH-2'!I1445</f>
        <v>477.04999999999995</v>
      </c>
      <c r="J584" s="791">
        <f>'NORTH-2'!J1445</f>
        <v>1000</v>
      </c>
      <c r="K584" s="791">
        <f>'NORTH-2'!K1445</f>
        <v>0</v>
      </c>
      <c r="L584" s="791">
        <f>'NORTH-2'!L1445</f>
        <v>477049.99999999994</v>
      </c>
      <c r="M584" s="791">
        <f>'NORTH-2'!M1445</f>
        <v>0</v>
      </c>
      <c r="O584" s="2019" t="str">
        <f>Sheet2!$C$46</f>
        <v>Ispahani 33/11 KV SS</v>
      </c>
    </row>
    <row r="585" spans="1:15" x14ac:dyDescent="0.35">
      <c r="A585" s="2019">
        <f>'NORTH-2'!A1446</f>
        <v>4</v>
      </c>
      <c r="B585" s="2019" t="str">
        <f>'NORTH-2'!B1446</f>
        <v>Spare</v>
      </c>
      <c r="C585" s="2019">
        <f>'NORTH-2'!C1446</f>
        <v>11</v>
      </c>
      <c r="D585" s="2019">
        <f>'NORTH-2'!D1446</f>
        <v>0</v>
      </c>
      <c r="E585" s="2019">
        <f>'NORTH-2'!E1446</f>
        <v>0</v>
      </c>
      <c r="F585" s="791">
        <f>'NORTH-2'!F1446</f>
        <v>1</v>
      </c>
      <c r="G585" s="791">
        <f>'NORTH-2'!G1446</f>
        <v>0</v>
      </c>
      <c r="H585" s="791">
        <f>'NORTH-2'!H1446</f>
        <v>0</v>
      </c>
      <c r="I585" s="791">
        <f>'NORTH-2'!I1446</f>
        <v>0</v>
      </c>
      <c r="J585" s="791">
        <f>'NORTH-2'!J1446</f>
        <v>1000</v>
      </c>
      <c r="K585" s="791">
        <f>'NORTH-2'!K1446</f>
        <v>0</v>
      </c>
      <c r="L585" s="791">
        <f>'NORTH-2'!L1446</f>
        <v>0</v>
      </c>
      <c r="M585" s="791">
        <f>'NORTH-2'!M1446</f>
        <v>0</v>
      </c>
      <c r="O585" s="2019" t="str">
        <f>Sheet2!$C$46</f>
        <v>Ispahani 33/11 KV SS</v>
      </c>
    </row>
    <row r="586" spans="1:15" x14ac:dyDescent="0.35">
      <c r="A586" s="2019">
        <f>'NORTH-2'!A1447</f>
        <v>5</v>
      </c>
      <c r="B586" s="2019" t="str">
        <f>'NORTH-2'!B1447</f>
        <v>Spare</v>
      </c>
      <c r="C586" s="2019">
        <f>'NORTH-2'!C1447</f>
        <v>11</v>
      </c>
      <c r="D586" s="2019">
        <f>'NORTH-2'!D1447</f>
        <v>0</v>
      </c>
      <c r="E586" s="2019">
        <f>'NORTH-2'!E1447</f>
        <v>0</v>
      </c>
      <c r="F586" s="791">
        <f>'NORTH-2'!F1447</f>
        <v>1</v>
      </c>
      <c r="G586" s="791">
        <f>'NORTH-2'!G1447</f>
        <v>0</v>
      </c>
      <c r="H586" s="791">
        <f>'NORTH-2'!H1447</f>
        <v>0</v>
      </c>
      <c r="I586" s="791">
        <f>'NORTH-2'!I1447</f>
        <v>0</v>
      </c>
      <c r="J586" s="791">
        <f>'NORTH-2'!J1447</f>
        <v>1000</v>
      </c>
      <c r="K586" s="791">
        <f>'NORTH-2'!K1447</f>
        <v>0</v>
      </c>
      <c r="L586" s="791">
        <f>'NORTH-2'!L1447</f>
        <v>0</v>
      </c>
      <c r="M586" s="791">
        <f>'NORTH-2'!M1447</f>
        <v>0</v>
      </c>
      <c r="O586" s="2019" t="str">
        <f>Sheet2!$C$46</f>
        <v>Ispahani 33/11 KV SS</v>
      </c>
    </row>
    <row r="587" spans="1:15" x14ac:dyDescent="0.35">
      <c r="A587" s="2019">
        <f>'NORTH-2'!A1448</f>
        <v>6</v>
      </c>
      <c r="B587" s="2019" t="str">
        <f>'NORTH-2'!B1448</f>
        <v>Spare</v>
      </c>
      <c r="C587" s="2019">
        <f>'NORTH-2'!C1448</f>
        <v>11</v>
      </c>
      <c r="D587" s="2019">
        <f>'NORTH-2'!D1448</f>
        <v>0</v>
      </c>
      <c r="E587" s="2019">
        <f>'NORTH-2'!E1448</f>
        <v>0</v>
      </c>
      <c r="F587" s="791">
        <f>'NORTH-2'!F1448</f>
        <v>1</v>
      </c>
      <c r="G587" s="791">
        <f>'NORTH-2'!G1448</f>
        <v>0</v>
      </c>
      <c r="H587" s="791">
        <f>'NORTH-2'!H1448</f>
        <v>0</v>
      </c>
      <c r="I587" s="791">
        <f>'NORTH-2'!I1448</f>
        <v>0</v>
      </c>
      <c r="J587" s="791">
        <f>'NORTH-2'!J1448</f>
        <v>1000</v>
      </c>
      <c r="K587" s="791">
        <f>'NORTH-2'!K1448</f>
        <v>0</v>
      </c>
      <c r="L587" s="791">
        <f>'NORTH-2'!L1448</f>
        <v>0</v>
      </c>
      <c r="M587" s="791">
        <f>'NORTH-2'!M1448</f>
        <v>0</v>
      </c>
      <c r="O587" s="2019" t="str">
        <f>Sheet2!$C$46</f>
        <v>Ispahani 33/11 KV SS</v>
      </c>
    </row>
    <row r="588" spans="1:15" x14ac:dyDescent="0.35">
      <c r="A588" s="2019">
        <f>'NORTH-2'!A1449</f>
        <v>7</v>
      </c>
      <c r="B588" s="2019" t="str">
        <f>'NORTH-2'!B1449</f>
        <v>Spare</v>
      </c>
      <c r="C588" s="2019">
        <f>'NORTH-2'!C1449</f>
        <v>11</v>
      </c>
      <c r="D588" s="2019">
        <f>'NORTH-2'!D1449</f>
        <v>0</v>
      </c>
      <c r="E588" s="2019">
        <f>'NORTH-2'!E1449</f>
        <v>0</v>
      </c>
      <c r="F588" s="791">
        <f>'NORTH-2'!F1449</f>
        <v>1</v>
      </c>
      <c r="G588" s="791">
        <f>'NORTH-2'!G1449</f>
        <v>0</v>
      </c>
      <c r="H588" s="791">
        <f>'NORTH-2'!H1449</f>
        <v>0</v>
      </c>
      <c r="I588" s="791">
        <f>'NORTH-2'!I1449</f>
        <v>0</v>
      </c>
      <c r="J588" s="791">
        <f>'NORTH-2'!J1449</f>
        <v>1000</v>
      </c>
      <c r="K588" s="791">
        <f>'NORTH-2'!K1449</f>
        <v>0</v>
      </c>
      <c r="L588" s="791">
        <f>'NORTH-2'!L1449</f>
        <v>0</v>
      </c>
      <c r="M588" s="791">
        <f>'NORTH-2'!M1449</f>
        <v>0</v>
      </c>
      <c r="O588" s="2019" t="str">
        <f>Sheet2!$C$46</f>
        <v>Ispahani 33/11 KV SS</v>
      </c>
    </row>
    <row r="589" spans="1:15" x14ac:dyDescent="0.35">
      <c r="A589" s="2019">
        <f>'NORTH-2'!A1450</f>
        <v>8</v>
      </c>
      <c r="B589" s="2019" t="str">
        <f>'NORTH-2'!B1450</f>
        <v>Spare</v>
      </c>
      <c r="C589" s="2019">
        <f>'NORTH-2'!C1450</f>
        <v>11</v>
      </c>
      <c r="D589" s="2019">
        <f>'NORTH-2'!D1450</f>
        <v>0</v>
      </c>
      <c r="E589" s="2019">
        <f>'NORTH-2'!E1450</f>
        <v>0</v>
      </c>
      <c r="F589" s="791">
        <f>'NORTH-2'!F1450</f>
        <v>1</v>
      </c>
      <c r="G589" s="791">
        <f>'NORTH-2'!G1450</f>
        <v>0</v>
      </c>
      <c r="H589" s="791">
        <f>'NORTH-2'!H1450</f>
        <v>0</v>
      </c>
      <c r="I589" s="791">
        <f>'NORTH-2'!I1450</f>
        <v>0</v>
      </c>
      <c r="J589" s="791">
        <f>'NORTH-2'!J1450</f>
        <v>1000</v>
      </c>
      <c r="K589" s="791">
        <f>'NORTH-2'!K1450</f>
        <v>0</v>
      </c>
      <c r="L589" s="791">
        <f>'NORTH-2'!L1450</f>
        <v>0</v>
      </c>
      <c r="M589" s="791">
        <f>'NORTH-2'!M1450</f>
        <v>0</v>
      </c>
      <c r="O589" s="2019" t="str">
        <f>Sheet2!$C$46</f>
        <v>Ispahani 33/11 KV SS</v>
      </c>
    </row>
    <row r="590" spans="1:15" x14ac:dyDescent="0.35">
      <c r="A590" s="2019">
        <f>'NORTH-2'!A1451</f>
        <v>1</v>
      </c>
      <c r="B590" s="2019" t="str">
        <f>'NORTH-2'!B1451</f>
        <v>Wireless</v>
      </c>
      <c r="C590" s="2019">
        <f>'NORTH-2'!C1451</f>
        <v>11</v>
      </c>
      <c r="D590" s="2019">
        <f>'NORTH-2'!D1451</f>
        <v>0</v>
      </c>
      <c r="E590" s="2019">
        <f>'NORTH-2'!E1451</f>
        <v>0</v>
      </c>
      <c r="F590" s="791">
        <f>'NORTH-2'!F1451</f>
        <v>1</v>
      </c>
      <c r="G590" s="791">
        <f>'NORTH-2'!G1451</f>
        <v>1586.6</v>
      </c>
      <c r="H590" s="791">
        <f>'NORTH-2'!H1451</f>
        <v>2021.65</v>
      </c>
      <c r="I590" s="791">
        <f>'NORTH-2'!I1451</f>
        <v>435.05000000000018</v>
      </c>
      <c r="J590" s="791">
        <f>'NORTH-2'!J1451</f>
        <v>1000</v>
      </c>
      <c r="K590" s="791">
        <f>'NORTH-2'!K1451</f>
        <v>0</v>
      </c>
      <c r="L590" s="791">
        <f>'NORTH-2'!L1451</f>
        <v>435050.00000000017</v>
      </c>
      <c r="M590" s="791">
        <f>'NORTH-2'!M1451</f>
        <v>0</v>
      </c>
      <c r="O590" s="2019" t="str">
        <f>Sheet2!$C$46</f>
        <v>Ispahani 33/11 KV SS</v>
      </c>
    </row>
    <row r="591" spans="1:15" x14ac:dyDescent="0.35">
      <c r="A591" s="2019">
        <f>'NORTH-2'!A1452</f>
        <v>2</v>
      </c>
      <c r="B591" s="2019" t="str">
        <f>'NORTH-2'!B1452</f>
        <v>Spare</v>
      </c>
      <c r="C591" s="2019">
        <f>'NORTH-2'!C1452</f>
        <v>11</v>
      </c>
      <c r="D591" s="2019">
        <f>'NORTH-2'!D1452</f>
        <v>0</v>
      </c>
      <c r="E591" s="2019">
        <f>'NORTH-2'!E1452</f>
        <v>0</v>
      </c>
      <c r="F591" s="791">
        <f>'NORTH-2'!F1452</f>
        <v>1</v>
      </c>
      <c r="G591" s="791">
        <f>'NORTH-2'!G1452</f>
        <v>0</v>
      </c>
      <c r="H591" s="791">
        <f>'NORTH-2'!H1452</f>
        <v>0</v>
      </c>
      <c r="I591" s="791">
        <f>'NORTH-2'!I1452</f>
        <v>0</v>
      </c>
      <c r="J591" s="791">
        <f>'NORTH-2'!J1452</f>
        <v>1000</v>
      </c>
      <c r="K591" s="791">
        <f>'NORTH-2'!K1452</f>
        <v>0</v>
      </c>
      <c r="L591" s="791">
        <f>'NORTH-2'!L1452</f>
        <v>0</v>
      </c>
      <c r="M591" s="791">
        <f>'NORTH-2'!M1452</f>
        <v>0</v>
      </c>
      <c r="O591" s="2019" t="str">
        <f>Sheet2!$C$46</f>
        <v>Ispahani 33/11 KV SS</v>
      </c>
    </row>
    <row r="592" spans="1:15" x14ac:dyDescent="0.35">
      <c r="A592" s="2019">
        <f>'NORTH-2'!A1453</f>
        <v>3</v>
      </c>
      <c r="B592" s="2019" t="str">
        <f>'NORTH-2'!B1453</f>
        <v>Spare</v>
      </c>
      <c r="C592" s="2019">
        <f>'NORTH-2'!C1453</f>
        <v>11</v>
      </c>
      <c r="D592" s="2019">
        <f>'NORTH-2'!D1453</f>
        <v>0</v>
      </c>
      <c r="E592" s="2019">
        <f>'NORTH-2'!E1453</f>
        <v>0</v>
      </c>
      <c r="F592" s="791">
        <f>'NORTH-2'!F1453</f>
        <v>1</v>
      </c>
      <c r="G592" s="791">
        <f>'NORTH-2'!G1453</f>
        <v>0</v>
      </c>
      <c r="H592" s="791">
        <f>'NORTH-2'!H1453</f>
        <v>0</v>
      </c>
      <c r="I592" s="791">
        <f>'NORTH-2'!I1453</f>
        <v>0</v>
      </c>
      <c r="J592" s="791">
        <f>'NORTH-2'!J1453</f>
        <v>1000</v>
      </c>
      <c r="K592" s="791">
        <f>'NORTH-2'!K1453</f>
        <v>0</v>
      </c>
      <c r="L592" s="791">
        <f>'NORTH-2'!L1453</f>
        <v>0</v>
      </c>
      <c r="M592" s="791">
        <f>'NORTH-2'!M1453</f>
        <v>0</v>
      </c>
      <c r="O592" s="2019" t="str">
        <f>Sheet2!$C$46</f>
        <v>Ispahani 33/11 KV SS</v>
      </c>
    </row>
    <row r="593" spans="1:15" x14ac:dyDescent="0.35">
      <c r="A593" s="2019">
        <f>'NORTH-2'!A1454</f>
        <v>4</v>
      </c>
      <c r="B593" s="2019" t="str">
        <f>'NORTH-2'!B1454</f>
        <v>Spare</v>
      </c>
      <c r="C593" s="2019">
        <f>'NORTH-2'!C1454</f>
        <v>11</v>
      </c>
      <c r="D593" s="2019">
        <f>'NORTH-2'!D1454</f>
        <v>0</v>
      </c>
      <c r="E593" s="2019">
        <f>'NORTH-2'!E1454</f>
        <v>0</v>
      </c>
      <c r="F593" s="791">
        <f>'NORTH-2'!F1454</f>
        <v>1</v>
      </c>
      <c r="G593" s="791">
        <f>'NORTH-2'!G1454</f>
        <v>0</v>
      </c>
      <c r="H593" s="791">
        <f>'NORTH-2'!H1454</f>
        <v>0</v>
      </c>
      <c r="I593" s="791">
        <f>'NORTH-2'!I1454</f>
        <v>0</v>
      </c>
      <c r="J593" s="791">
        <f>'NORTH-2'!J1454</f>
        <v>1000</v>
      </c>
      <c r="K593" s="791">
        <f>'NORTH-2'!K1454</f>
        <v>0</v>
      </c>
      <c r="L593" s="791">
        <f>'NORTH-2'!L1454</f>
        <v>0</v>
      </c>
      <c r="M593" s="791">
        <f>'NORTH-2'!M1454</f>
        <v>0</v>
      </c>
      <c r="O593" s="2019" t="str">
        <f>Sheet2!$C$46</f>
        <v>Ispahani 33/11 KV SS</v>
      </c>
    </row>
    <row r="594" spans="1:15" x14ac:dyDescent="0.35">
      <c r="A594" s="2019">
        <f>'NORTH-2'!A1455</f>
        <v>5</v>
      </c>
      <c r="B594" s="2019" t="str">
        <f>'NORTH-2'!B1455</f>
        <v>Spare</v>
      </c>
      <c r="C594" s="2019">
        <f>'NORTH-2'!C1455</f>
        <v>11</v>
      </c>
      <c r="D594" s="2019">
        <f>'NORTH-2'!D1455</f>
        <v>0</v>
      </c>
      <c r="E594" s="2019">
        <f>'NORTH-2'!E1455</f>
        <v>0</v>
      </c>
      <c r="F594" s="791">
        <f>'NORTH-2'!F1455</f>
        <v>1</v>
      </c>
      <c r="G594" s="791">
        <f>'NORTH-2'!G1455</f>
        <v>0</v>
      </c>
      <c r="H594" s="791">
        <f>'NORTH-2'!H1455</f>
        <v>0</v>
      </c>
      <c r="I594" s="791">
        <f>'NORTH-2'!I1455</f>
        <v>0</v>
      </c>
      <c r="J594" s="791">
        <f>'NORTH-2'!J1455</f>
        <v>1000</v>
      </c>
      <c r="K594" s="791">
        <f>'NORTH-2'!K1455</f>
        <v>0</v>
      </c>
      <c r="L594" s="791">
        <f>'NORTH-2'!L1455</f>
        <v>0</v>
      </c>
      <c r="M594" s="791">
        <f>'NORTH-2'!M1455</f>
        <v>0</v>
      </c>
      <c r="O594" s="2019" t="str">
        <f>Sheet2!$C$46</f>
        <v>Ispahani 33/11 KV SS</v>
      </c>
    </row>
    <row r="595" spans="1:15" x14ac:dyDescent="0.35">
      <c r="A595" s="2019">
        <f>'NORTH-2'!A1456</f>
        <v>6</v>
      </c>
      <c r="B595" s="2019" t="str">
        <f>'NORTH-2'!B1456</f>
        <v>Spare</v>
      </c>
      <c r="C595" s="2019">
        <f>'NORTH-2'!C1456</f>
        <v>11</v>
      </c>
      <c r="D595" s="2019">
        <f>'NORTH-2'!D1456</f>
        <v>0</v>
      </c>
      <c r="E595" s="2019">
        <f>'NORTH-2'!E1456</f>
        <v>0</v>
      </c>
      <c r="F595" s="791">
        <f>'NORTH-2'!F1456</f>
        <v>1</v>
      </c>
      <c r="G595" s="791">
        <f>'NORTH-2'!G1456</f>
        <v>0</v>
      </c>
      <c r="H595" s="791">
        <f>'NORTH-2'!H1456</f>
        <v>0</v>
      </c>
      <c r="I595" s="791">
        <f>'NORTH-2'!I1456</f>
        <v>0</v>
      </c>
      <c r="J595" s="791">
        <f>'NORTH-2'!J1456</f>
        <v>1000</v>
      </c>
      <c r="K595" s="791">
        <f>'NORTH-2'!K1456</f>
        <v>0</v>
      </c>
      <c r="L595" s="791">
        <f>'NORTH-2'!L1456</f>
        <v>0</v>
      </c>
      <c r="M595" s="791">
        <f>'NORTH-2'!M1456</f>
        <v>0</v>
      </c>
      <c r="O595" s="2019" t="str">
        <f>Sheet2!$C$46</f>
        <v>Ispahani 33/11 KV SS</v>
      </c>
    </row>
    <row r="596" spans="1:15" x14ac:dyDescent="0.35">
      <c r="A596" s="2019">
        <f>'NORTH-2'!A1457</f>
        <v>7</v>
      </c>
      <c r="B596" s="2019" t="str">
        <f>'NORTH-2'!B1457</f>
        <v>Spare</v>
      </c>
      <c r="C596" s="2019">
        <f>'NORTH-2'!C1457</f>
        <v>11</v>
      </c>
      <c r="D596" s="2019">
        <f>'NORTH-2'!D1457</f>
        <v>0</v>
      </c>
      <c r="E596" s="2019">
        <f>'NORTH-2'!E1457</f>
        <v>0</v>
      </c>
      <c r="F596" s="791">
        <f>'NORTH-2'!F1457</f>
        <v>1</v>
      </c>
      <c r="G596" s="791">
        <f>'NORTH-2'!G1457</f>
        <v>0</v>
      </c>
      <c r="H596" s="791">
        <f>'NORTH-2'!H1457</f>
        <v>0</v>
      </c>
      <c r="I596" s="791">
        <f>'NORTH-2'!I1457</f>
        <v>0</v>
      </c>
      <c r="J596" s="791">
        <f>'NORTH-2'!J1457</f>
        <v>1000</v>
      </c>
      <c r="K596" s="791">
        <f>'NORTH-2'!K1457</f>
        <v>0</v>
      </c>
      <c r="L596" s="791">
        <f>'NORTH-2'!L1457</f>
        <v>0</v>
      </c>
      <c r="M596" s="791">
        <f>'NORTH-2'!M1457</f>
        <v>0</v>
      </c>
      <c r="O596" s="2019" t="str">
        <f>Sheet2!$C$46</f>
        <v>Ispahani 33/11 KV SS</v>
      </c>
    </row>
    <row r="597" spans="1:15" x14ac:dyDescent="0.35">
      <c r="A597" s="2019">
        <f>'NORTH-2'!A1458</f>
        <v>8</v>
      </c>
      <c r="B597" s="2019" t="str">
        <f>'NORTH-2'!B1458</f>
        <v>Spare</v>
      </c>
      <c r="C597" s="2019">
        <f>'NORTH-2'!C1458</f>
        <v>11</v>
      </c>
      <c r="D597" s="2019">
        <f>'NORTH-2'!D1458</f>
        <v>0</v>
      </c>
      <c r="E597" s="2019">
        <f>'NORTH-2'!E1458</f>
        <v>0</v>
      </c>
      <c r="F597" s="791">
        <f>'NORTH-2'!F1458</f>
        <v>1</v>
      </c>
      <c r="G597" s="791">
        <f>'NORTH-2'!G1458</f>
        <v>0</v>
      </c>
      <c r="H597" s="791">
        <f>'NORTH-2'!H1458</f>
        <v>0</v>
      </c>
      <c r="I597" s="791">
        <f>'NORTH-2'!I1458</f>
        <v>0</v>
      </c>
      <c r="J597" s="791">
        <f>'NORTH-2'!J1458</f>
        <v>1000</v>
      </c>
      <c r="K597" s="791">
        <f>'NORTH-2'!K1458</f>
        <v>0</v>
      </c>
      <c r="L597" s="791">
        <f>'NORTH-2'!L1458</f>
        <v>0</v>
      </c>
      <c r="M597" s="791">
        <f>'NORTH-2'!M1458</f>
        <v>0</v>
      </c>
      <c r="O597" s="2019" t="str">
        <f>Sheet2!$C$46</f>
        <v>Ispahani 33/11 KV SS</v>
      </c>
    </row>
    <row r="598" spans="1:15" x14ac:dyDescent="0.35">
      <c r="A598" s="2019">
        <f>'NORTH-2'!A1459</f>
        <v>9</v>
      </c>
      <c r="B598" s="2019" t="str">
        <f>'NORTH-2'!B1459</f>
        <v>AT-01</v>
      </c>
      <c r="C598" s="2019">
        <f>'NORTH-2'!C1459</f>
        <v>415</v>
      </c>
      <c r="D598" s="2019">
        <f>'NORTH-2'!D1459</f>
        <v>0</v>
      </c>
      <c r="E598" s="2019">
        <f>'NORTH-2'!E1459</f>
        <v>0</v>
      </c>
      <c r="F598" s="791">
        <f>'NORTH-2'!F1459</f>
        <v>1</v>
      </c>
      <c r="G598" s="791">
        <f>'NORTH-2'!G1459</f>
        <v>0</v>
      </c>
      <c r="H598" s="791">
        <f>'NORTH-2'!H1459</f>
        <v>0</v>
      </c>
      <c r="I598" s="791">
        <f>'NORTH-2'!I1459</f>
        <v>0</v>
      </c>
      <c r="J598" s="791">
        <f>'NORTH-2'!J1459</f>
        <v>1</v>
      </c>
      <c r="K598" s="791">
        <f>'NORTH-2'!K1459</f>
        <v>0</v>
      </c>
      <c r="L598" s="791">
        <f>'NORTH-2'!L1459</f>
        <v>0</v>
      </c>
      <c r="M598" s="791">
        <f>'NORTH-2'!M1459</f>
        <v>0</v>
      </c>
      <c r="O598" s="2019" t="str">
        <f>Sheet2!$C$46</f>
        <v>Ispahani 33/11 KV SS</v>
      </c>
    </row>
    <row r="599" spans="1:15" x14ac:dyDescent="0.35">
      <c r="A599" s="2019">
        <f>'NORTH-2'!A1460</f>
        <v>10</v>
      </c>
      <c r="B599" s="2019" t="str">
        <f>'NORTH-2'!B1460</f>
        <v>AT-02</v>
      </c>
      <c r="C599" s="2019">
        <f>'NORTH-2'!C1460</f>
        <v>415</v>
      </c>
      <c r="D599" s="2019">
        <f>'NORTH-2'!D1460</f>
        <v>0</v>
      </c>
      <c r="E599" s="2019">
        <f>'NORTH-2'!E1460</f>
        <v>0</v>
      </c>
      <c r="F599" s="791">
        <f>'NORTH-2'!F1460</f>
        <v>1</v>
      </c>
      <c r="G599" s="791">
        <f>'NORTH-2'!G1460</f>
        <v>0</v>
      </c>
      <c r="H599" s="791">
        <f>'NORTH-2'!H1460</f>
        <v>0</v>
      </c>
      <c r="I599" s="791">
        <f>'NORTH-2'!I1460</f>
        <v>0</v>
      </c>
      <c r="J599" s="791">
        <f>'NORTH-2'!J1460</f>
        <v>1</v>
      </c>
      <c r="K599" s="791">
        <f>'NORTH-2'!K1460</f>
        <v>0</v>
      </c>
      <c r="L599" s="791">
        <f>'NORTH-2'!L1460</f>
        <v>0</v>
      </c>
      <c r="M599" s="791">
        <f>'NORTH-2'!M1460</f>
        <v>0</v>
      </c>
      <c r="O599" s="2019" t="str">
        <f>Sheet2!$C$46</f>
        <v>Ispahani 33/11 KV SS</v>
      </c>
    </row>
    <row r="600" spans="1:15" x14ac:dyDescent="0.35">
      <c r="A600" s="2019">
        <f>'SOUTH-1'!A95</f>
        <v>3</v>
      </c>
      <c r="B600" s="2019" t="str">
        <f>'SOUTH-1'!B95</f>
        <v xml:space="preserve">11 kV DCM Feeder (F-1) (old AEPZ-1) </v>
      </c>
      <c r="C600" s="2019">
        <f>'SOUTH-1'!C95</f>
        <v>11</v>
      </c>
      <c r="D600" s="2019" t="str">
        <f>'SOUTH-1'!D95</f>
        <v>New</v>
      </c>
      <c r="E600" s="2019" t="str">
        <f>'SOUTH-1'!E95</f>
        <v>XA587377</v>
      </c>
      <c r="F600" s="791">
        <f>'SOUTH-1'!F95</f>
        <v>1</v>
      </c>
      <c r="G600" s="791">
        <f>'SOUTH-1'!G95</f>
        <v>196845.3</v>
      </c>
      <c r="H600" s="791">
        <f>'SOUTH-1'!H95</f>
        <v>198253</v>
      </c>
      <c r="I600" s="791">
        <f>'SOUTH-1'!I95</f>
        <v>1407.7000000000116</v>
      </c>
      <c r="J600" s="791">
        <f>'SOUTH-1'!J95</f>
        <v>1000</v>
      </c>
      <c r="K600" s="791">
        <f>'SOUTH-1'!K95</f>
        <v>0</v>
      </c>
      <c r="L600" s="791">
        <f>'SOUTH-1'!L95</f>
        <v>1407700.0000000116</v>
      </c>
      <c r="M600" s="791">
        <f>'SOUTH-1'!M95</f>
        <v>1434096.4834007018</v>
      </c>
      <c r="N600" s="2019" t="str">
        <f>'SOUTH-1'!N95</f>
        <v>Siddirgonj</v>
      </c>
      <c r="O600" s="2019" t="str">
        <f>Sheet2!$C$66</f>
        <v>Siddhirganj  33/11KV S/S</v>
      </c>
    </row>
    <row r="601" spans="1:15" x14ac:dyDescent="0.35">
      <c r="A601" s="2019">
        <f>'SOUTH-1'!A96</f>
        <v>4</v>
      </c>
      <c r="B601" s="2019" t="str">
        <f>'SOUTH-1'!B96</f>
        <v>11 kV Local &amp; Staff Qtr (F-2) + Adamjeenagar Pump Station</v>
      </c>
      <c r="C601" s="2019">
        <f>'SOUTH-1'!C96</f>
        <v>11</v>
      </c>
      <c r="D601" s="2019" t="str">
        <f>'SOUTH-1'!D96</f>
        <v>New</v>
      </c>
      <c r="E601" s="2019" t="str">
        <f>'SOUTH-1'!E96</f>
        <v>XA587359</v>
      </c>
      <c r="F601" s="791">
        <f>'SOUTH-1'!F96</f>
        <v>1</v>
      </c>
      <c r="G601" s="791">
        <f>'SOUTH-1'!G96</f>
        <v>15932</v>
      </c>
      <c r="H601" s="791">
        <f>'SOUTH-1'!H96</f>
        <v>16023.1</v>
      </c>
      <c r="I601" s="791">
        <f>'SOUTH-1'!I96</f>
        <v>91.100000000000364</v>
      </c>
      <c r="J601" s="791">
        <f>'SOUTH-1'!J96</f>
        <v>1000</v>
      </c>
      <c r="K601" s="791">
        <f>'SOUTH-1'!K96</f>
        <v>0</v>
      </c>
      <c r="L601" s="791">
        <f>'SOUTH-1'!L96</f>
        <v>91100.000000000364</v>
      </c>
      <c r="M601" s="791">
        <f>'SOUTH-1'!M96</f>
        <v>92808.261446191202</v>
      </c>
      <c r="N601" s="2019" t="str">
        <f>'SOUTH-1'!N96</f>
        <v>Siddirgonj</v>
      </c>
      <c r="O601" s="2019" t="str">
        <f>Sheet2!$C$66</f>
        <v>Siddhirganj  33/11KV S/S</v>
      </c>
    </row>
    <row r="602" spans="1:15" x14ac:dyDescent="0.35">
      <c r="A602" s="2019">
        <f>'SOUTH-1'!A97</f>
        <v>5</v>
      </c>
      <c r="B602" s="2019" t="str">
        <f>'SOUTH-1'!B97</f>
        <v>11 kV Narayangonj Direct Feeder (F-3)</v>
      </c>
      <c r="C602" s="2019">
        <f>'SOUTH-1'!C97</f>
        <v>11</v>
      </c>
      <c r="D602" s="2019" t="str">
        <f>'SOUTH-1'!D97</f>
        <v>New</v>
      </c>
      <c r="E602" s="2019" t="str">
        <f>'SOUTH-1'!E97</f>
        <v>XA586385</v>
      </c>
      <c r="F602" s="791">
        <f>'SOUTH-1'!F97</f>
        <v>1</v>
      </c>
      <c r="G602" s="791">
        <f>'SOUTH-1'!G97</f>
        <v>97827.5</v>
      </c>
      <c r="H602" s="791">
        <f>'SOUTH-1'!H97</f>
        <v>98923.5</v>
      </c>
      <c r="I602" s="791">
        <f>'SOUTH-1'!I97</f>
        <v>1096</v>
      </c>
      <c r="J602" s="791">
        <f>'SOUTH-1'!J97</f>
        <v>1000</v>
      </c>
      <c r="K602" s="791">
        <f>'SOUTH-1'!K97</f>
        <v>0</v>
      </c>
      <c r="L602" s="791">
        <f>'SOUTH-1'!L97</f>
        <v>1096000</v>
      </c>
      <c r="M602" s="791">
        <f>'SOUTH-1'!M97</f>
        <v>1116551.6415480259</v>
      </c>
      <c r="N602" s="2019" t="str">
        <f>'SOUTH-1'!N97</f>
        <v>Siddirgonj</v>
      </c>
      <c r="O602" s="2019" t="str">
        <f>Sheet2!$C$66</f>
        <v>Siddhirganj  33/11KV S/S</v>
      </c>
    </row>
    <row r="603" spans="1:15" x14ac:dyDescent="0.35">
      <c r="A603" s="2019">
        <f>'SOUTH-1'!A98</f>
        <v>6</v>
      </c>
      <c r="B603" s="2019" t="str">
        <f>'SOUTH-1'!B98</f>
        <v>11 kV Ekata Steel  Feeder (F-4)</v>
      </c>
      <c r="C603" s="2019">
        <f>'SOUTH-1'!C98</f>
        <v>11</v>
      </c>
      <c r="D603" s="2019" t="str">
        <f>'SOUTH-1'!D98</f>
        <v>New</v>
      </c>
      <c r="E603" s="2019" t="str">
        <f>'SOUTH-1'!E98</f>
        <v>XA587376</v>
      </c>
      <c r="F603" s="791">
        <f>'SOUTH-1'!F98</f>
        <v>1</v>
      </c>
      <c r="G603" s="791">
        <f>'SOUTH-1'!G98</f>
        <v>152806</v>
      </c>
      <c r="H603" s="791">
        <f>'SOUTH-1'!H98</f>
        <v>154470.5</v>
      </c>
      <c r="I603" s="791">
        <f>'SOUTH-1'!I98</f>
        <v>1664.5</v>
      </c>
      <c r="J603" s="791">
        <f>'SOUTH-1'!J98</f>
        <v>1000</v>
      </c>
      <c r="K603" s="791">
        <f>'SOUTH-1'!K98</f>
        <v>0</v>
      </c>
      <c r="L603" s="791">
        <f>'SOUTH-1'!L98</f>
        <v>1664500</v>
      </c>
      <c r="M603" s="791">
        <f>'SOUTH-1'!M98</f>
        <v>1695711.868026176</v>
      </c>
      <c r="N603" s="2019" t="str">
        <f>'SOUTH-1'!N98</f>
        <v>Siddirgonj</v>
      </c>
      <c r="O603" s="2019" t="str">
        <f>Sheet2!$C$66</f>
        <v>Siddhirganj  33/11KV S/S</v>
      </c>
    </row>
    <row r="604" spans="1:15" x14ac:dyDescent="0.35">
      <c r="A604" s="2019">
        <f>'SOUTH-1'!A99</f>
        <v>7</v>
      </c>
      <c r="B604" s="2019" t="str">
        <f>'SOUTH-1'!B99</f>
        <v>11 kV Silo+Titas Feeder (F-5)</v>
      </c>
      <c r="C604" s="2019">
        <f>'SOUTH-1'!C99</f>
        <v>11</v>
      </c>
      <c r="D604" s="2019" t="str">
        <f>'SOUTH-1'!D99</f>
        <v>New</v>
      </c>
      <c r="E604" s="2019" t="str">
        <f>'SOUTH-1'!E99</f>
        <v>XA575929</v>
      </c>
      <c r="F604" s="791">
        <f>'SOUTH-1'!F99</f>
        <v>1</v>
      </c>
      <c r="G604" s="791">
        <f>'SOUTH-1'!G99</f>
        <v>6308</v>
      </c>
      <c r="H604" s="791">
        <f>'SOUTH-1'!H99</f>
        <v>6438.1</v>
      </c>
      <c r="I604" s="791">
        <f>'SOUTH-1'!I99</f>
        <v>130.10000000000036</v>
      </c>
      <c r="J604" s="791">
        <f>'SOUTH-1'!J99</f>
        <v>1000</v>
      </c>
      <c r="K604" s="791">
        <f>'SOUTH-1'!K99</f>
        <v>0</v>
      </c>
      <c r="L604" s="791">
        <f>'SOUTH-1'!L99</f>
        <v>130100.00000000036</v>
      </c>
      <c r="M604" s="791">
        <f>'SOUTH-1'!M99</f>
        <v>132539.56985894032</v>
      </c>
      <c r="N604" s="2019" t="str">
        <f>'SOUTH-1'!N99</f>
        <v>Siddirgonj</v>
      </c>
      <c r="O604" s="2019" t="str">
        <f>Sheet2!$C$66</f>
        <v>Siddhirganj  33/11KV S/S</v>
      </c>
    </row>
    <row r="605" spans="1:15" x14ac:dyDescent="0.35">
      <c r="A605" s="2019">
        <f>'SOUTH-1'!A100</f>
        <v>10</v>
      </c>
      <c r="B605" s="2019" t="str">
        <f>'SOUTH-1'!B100</f>
        <v>11 kV Monowar  Feeder (F-6)</v>
      </c>
      <c r="C605" s="2019">
        <f>'SOUTH-1'!C100</f>
        <v>11</v>
      </c>
      <c r="D605" s="2019" t="str">
        <f>'SOUTH-1'!D100</f>
        <v>New</v>
      </c>
      <c r="E605" s="2019" t="str">
        <f>'SOUTH-1'!E100</f>
        <v>XA587363</v>
      </c>
      <c r="F605" s="791">
        <f>'SOUTH-1'!F100</f>
        <v>1</v>
      </c>
      <c r="G605" s="791">
        <f>'SOUTH-1'!G100</f>
        <v>65260.5</v>
      </c>
      <c r="H605" s="791">
        <f>'SOUTH-1'!H100</f>
        <v>66247.100000000006</v>
      </c>
      <c r="I605" s="791">
        <f>'SOUTH-1'!I100</f>
        <v>986.60000000000582</v>
      </c>
      <c r="J605" s="791">
        <f>'SOUTH-1'!J100</f>
        <v>1000</v>
      </c>
      <c r="K605" s="791">
        <f>'SOUTH-1'!K100</f>
        <v>0</v>
      </c>
      <c r="L605" s="791">
        <f>'SOUTH-1'!L100</f>
        <v>986600.00000000582</v>
      </c>
      <c r="M605" s="791">
        <f>'SOUTH-1'!M100</f>
        <v>1005100.2276927818</v>
      </c>
      <c r="N605" s="2019" t="str">
        <f>'SOUTH-1'!N100</f>
        <v>Siddirgonj</v>
      </c>
      <c r="O605" s="2019" t="str">
        <f>Sheet2!$C$66</f>
        <v>Siddhirganj  33/11KV S/S</v>
      </c>
    </row>
    <row r="606" spans="1:15" x14ac:dyDescent="0.35">
      <c r="A606" s="2019">
        <f>'SOUTH-1'!A101</f>
        <v>11</v>
      </c>
      <c r="B606" s="2019" t="str">
        <f>'SOUTH-1'!B101</f>
        <v>11 kV Era Steel Feeder (F-7)</v>
      </c>
      <c r="C606" s="2019">
        <f>'SOUTH-1'!C101</f>
        <v>11</v>
      </c>
      <c r="D606" s="2019" t="str">
        <f>'SOUTH-1'!D101</f>
        <v>New</v>
      </c>
      <c r="E606" s="2019" t="str">
        <f>'SOUTH-1'!E101</f>
        <v>XA587355</v>
      </c>
      <c r="F606" s="791">
        <f>'SOUTH-1'!F101</f>
        <v>1</v>
      </c>
      <c r="G606" s="791">
        <f>'SOUTH-1'!G101</f>
        <v>27085.200000000001</v>
      </c>
      <c r="H606" s="791">
        <f>'SOUTH-1'!H101</f>
        <v>27187.8</v>
      </c>
      <c r="I606" s="791">
        <f>'SOUTH-1'!I101</f>
        <v>102.59999999999854</v>
      </c>
      <c r="J606" s="791">
        <f>'SOUTH-1'!J101</f>
        <v>1000</v>
      </c>
      <c r="K606" s="791">
        <f>'SOUTH-1'!K101</f>
        <v>0</v>
      </c>
      <c r="L606" s="791">
        <f>'SOUTH-1'!L101</f>
        <v>102599.99999999854</v>
      </c>
      <c r="M606" s="791">
        <f>'SOUTH-1'!M101</f>
        <v>104523.90367046151</v>
      </c>
      <c r="N606" s="2019" t="str">
        <f>'SOUTH-1'!N101</f>
        <v>Siddirgonj</v>
      </c>
      <c r="O606" s="2019" t="str">
        <f>Sheet2!$C$66</f>
        <v>Siddhirganj  33/11KV S/S</v>
      </c>
    </row>
    <row r="607" spans="1:15" x14ac:dyDescent="0.35">
      <c r="A607" s="2019">
        <f>'SOUTH-1'!A102</f>
        <v>12</v>
      </c>
      <c r="B607" s="2019" t="str">
        <f>'SOUTH-1'!B102</f>
        <v>11 kV Kalu Haji Road Feeder (F-8)</v>
      </c>
      <c r="C607" s="2019">
        <f>'SOUTH-1'!C102</f>
        <v>11</v>
      </c>
      <c r="D607" s="2019" t="str">
        <f>'SOUTH-1'!D102</f>
        <v>New</v>
      </c>
      <c r="E607" s="2019">
        <f>'SOUTH-1'!E102</f>
        <v>0</v>
      </c>
      <c r="F607" s="791">
        <f>'SOUTH-1'!F102</f>
        <v>1</v>
      </c>
      <c r="G607" s="791">
        <f>'SOUTH-1'!G102</f>
        <v>25.575700000000001</v>
      </c>
      <c r="H607" s="791">
        <f>'SOUTH-1'!H102</f>
        <v>25.575700000000001</v>
      </c>
      <c r="I607" s="791">
        <f>'SOUTH-1'!I102</f>
        <v>0</v>
      </c>
      <c r="J607" s="791">
        <f>'SOUTH-1'!J102</f>
        <v>40000</v>
      </c>
      <c r="K607" s="791">
        <f>'SOUTH-1'!K102</f>
        <v>0</v>
      </c>
      <c r="L607" s="791">
        <f>'SOUTH-1'!L102</f>
        <v>0</v>
      </c>
      <c r="M607" s="791">
        <f>'SOUTH-1'!M102</f>
        <v>0</v>
      </c>
      <c r="N607" s="2019" t="str">
        <f>'SOUTH-1'!N102</f>
        <v>Siddirgonj</v>
      </c>
      <c r="O607" s="2019" t="str">
        <f>Sheet2!$C$66</f>
        <v>Siddhirganj  33/11KV S/S</v>
      </c>
    </row>
    <row r="608" spans="1:15" x14ac:dyDescent="0.35">
      <c r="A608" s="2019">
        <f>'SOUTH-1'!A103</f>
        <v>13</v>
      </c>
      <c r="B608" s="2019" t="str">
        <f>'SOUTH-1'!B103</f>
        <v>11 kV Mizmizi Feeder (F-9)</v>
      </c>
      <c r="C608" s="2019">
        <f>'SOUTH-1'!C103</f>
        <v>11</v>
      </c>
      <c r="D608" s="2019" t="str">
        <f>'SOUTH-1'!D103</f>
        <v>New</v>
      </c>
      <c r="E608" s="2019" t="str">
        <f>'SOUTH-1'!E103</f>
        <v>XA587358</v>
      </c>
      <c r="F608" s="791">
        <f>'SOUTH-1'!F103</f>
        <v>1</v>
      </c>
      <c r="G608" s="791">
        <f>'SOUTH-1'!G103</f>
        <v>131035.8</v>
      </c>
      <c r="H608" s="791">
        <f>'SOUTH-1'!H103</f>
        <v>132441</v>
      </c>
      <c r="I608" s="791">
        <f>'SOUTH-1'!I103</f>
        <v>1405.1999999999971</v>
      </c>
      <c r="J608" s="791">
        <f>'SOUTH-1'!J103</f>
        <v>1000</v>
      </c>
      <c r="K608" s="791">
        <f>'SOUTH-1'!K103</f>
        <v>0</v>
      </c>
      <c r="L608" s="791">
        <f>'SOUTH-1'!L103</f>
        <v>1405199.9999999972</v>
      </c>
      <c r="M608" s="791">
        <f>'SOUTH-1'!M103</f>
        <v>1431549.60465628</v>
      </c>
      <c r="N608" s="2019" t="str">
        <f>'SOUTH-1'!N103</f>
        <v>Siddirgonj</v>
      </c>
      <c r="O608" s="2019" t="str">
        <f>Sheet2!$C$66</f>
        <v>Siddhirganj  33/11KV S/S</v>
      </c>
    </row>
    <row r="609" spans="1:15" x14ac:dyDescent="0.35">
      <c r="A609" s="2019">
        <f>'SOUTH-1'!A104</f>
        <v>14</v>
      </c>
      <c r="B609" s="2019" t="str">
        <f>'SOUTH-1'!B104</f>
        <v>11 KV Jhilpar (F-10)</v>
      </c>
      <c r="C609" s="2019">
        <f>'SOUTH-1'!C104</f>
        <v>11</v>
      </c>
      <c r="D609" s="2019" t="str">
        <f>'SOUTH-1'!D104</f>
        <v>New</v>
      </c>
      <c r="E609" s="2019" t="str">
        <f>'SOUTH-1'!E104</f>
        <v>XA587369</v>
      </c>
      <c r="F609" s="791">
        <f>'SOUTH-1'!F104</f>
        <v>1</v>
      </c>
      <c r="G609" s="791">
        <f>'SOUTH-1'!G104</f>
        <v>12.301600000000001</v>
      </c>
      <c r="H609" s="791">
        <f>'SOUTH-1'!H104</f>
        <v>15.940899999999999</v>
      </c>
      <c r="I609" s="791">
        <f>'SOUTH-1'!I104</f>
        <v>3.6392999999999986</v>
      </c>
      <c r="J609" s="791">
        <f>'SOUTH-1'!J104</f>
        <v>40000</v>
      </c>
      <c r="K609" s="791">
        <f>'SOUTH-1'!K104</f>
        <v>0</v>
      </c>
      <c r="L609" s="791">
        <f>'SOUTH-1'!L104</f>
        <v>145571.99999999994</v>
      </c>
      <c r="M609" s="791">
        <f>'SOUTH-1'!M104</f>
        <v>148301.69303232586</v>
      </c>
      <c r="N609" s="2019" t="str">
        <f>'SOUTH-1'!N104</f>
        <v>Matuail</v>
      </c>
      <c r="O609" s="2019" t="str">
        <f>Sheet2!$C$66</f>
        <v>Siddhirganj  33/11KV S/S</v>
      </c>
    </row>
    <row r="610" spans="1:15" x14ac:dyDescent="0.35">
      <c r="A610" s="2019">
        <f>'SOUTH-1'!A105</f>
        <v>15</v>
      </c>
      <c r="B610" s="2019" t="str">
        <f>'SOUTH-1'!B105</f>
        <v>11 kV Madrasha Road Feeder (F-11)</v>
      </c>
      <c r="C610" s="2019">
        <f>'SOUTH-1'!C105</f>
        <v>11</v>
      </c>
      <c r="D610" s="2019" t="str">
        <f>'SOUTH-1'!D105</f>
        <v>New</v>
      </c>
      <c r="E610" s="2019" t="str">
        <f>'SOUTH-1'!E105</f>
        <v>XA575919</v>
      </c>
      <c r="F610" s="791">
        <f>'SOUTH-1'!F105</f>
        <v>1</v>
      </c>
      <c r="G610" s="791">
        <f>'SOUTH-1'!G105</f>
        <v>1.83E-2</v>
      </c>
      <c r="H610" s="791">
        <f>'SOUTH-1'!H105</f>
        <v>1.83E-2</v>
      </c>
      <c r="I610" s="791">
        <f>'SOUTH-1'!I105</f>
        <v>0</v>
      </c>
      <c r="J610" s="791">
        <f>'SOUTH-1'!J105</f>
        <v>1000</v>
      </c>
      <c r="K610" s="791">
        <f>'SOUTH-1'!K105</f>
        <v>0</v>
      </c>
      <c r="L610" s="791">
        <f>'SOUTH-1'!L105</f>
        <v>0</v>
      </c>
      <c r="M610" s="791">
        <f>'SOUTH-1'!M105</f>
        <v>0</v>
      </c>
      <c r="N610" s="2019" t="str">
        <f>'SOUTH-1'!N105</f>
        <v>Siddirgonj</v>
      </c>
      <c r="O610" s="2019" t="str">
        <f>Sheet2!$C$66</f>
        <v>Siddhirganj  33/11KV S/S</v>
      </c>
    </row>
    <row r="611" spans="1:15" x14ac:dyDescent="0.35">
      <c r="A611" s="2019">
        <f>'SOUTH-1'!A106</f>
        <v>16</v>
      </c>
      <c r="B611" s="2019" t="str">
        <f>'SOUTH-1'!B106</f>
        <v>11 kV Orion Pharma Ltd (Old EGCB 335 MW) (F-12)</v>
      </c>
      <c r="C611" s="2019">
        <f>'SOUTH-1'!C106</f>
        <v>11</v>
      </c>
      <c r="D611" s="2019" t="str">
        <f>'SOUTH-1'!D106</f>
        <v>New</v>
      </c>
      <c r="E611" s="2019" t="str">
        <f>'SOUTH-1'!E106</f>
        <v>XA587383</v>
      </c>
      <c r="F611" s="791">
        <f>'SOUTH-1'!F106</f>
        <v>1</v>
      </c>
      <c r="G611" s="791">
        <f>'SOUTH-1'!G106</f>
        <v>9849.4</v>
      </c>
      <c r="H611" s="791">
        <f>'SOUTH-1'!H106</f>
        <v>10318</v>
      </c>
      <c r="I611" s="791">
        <f>'SOUTH-1'!I106</f>
        <v>468.60000000000036</v>
      </c>
      <c r="J611" s="791">
        <f>'SOUTH-1'!J106</f>
        <v>1000</v>
      </c>
      <c r="K611" s="791">
        <f>'SOUTH-1'!K106</f>
        <v>0</v>
      </c>
      <c r="L611" s="791">
        <f>'SOUTH-1'!L106</f>
        <v>468600.00000000035</v>
      </c>
      <c r="M611" s="791">
        <f>'SOUTH-1'!M106</f>
        <v>477386.95185164711</v>
      </c>
      <c r="N611" s="2019" t="str">
        <f>'SOUTH-1'!N106</f>
        <v>Siddirgonj</v>
      </c>
      <c r="O611" s="2019" t="str">
        <f>Sheet2!$C$66</f>
        <v>Siddhirganj  33/11KV S/S</v>
      </c>
    </row>
    <row r="612" spans="1:15" x14ac:dyDescent="0.35">
      <c r="A612" s="2019">
        <f>'SOUTH-1'!A107</f>
        <v>17</v>
      </c>
      <c r="B612" s="2019" t="str">
        <f>'SOUTH-1'!B107</f>
        <v>Seven Horse Feeder (F-13)</v>
      </c>
      <c r="C612" s="2019">
        <f>'SOUTH-1'!C107</f>
        <v>11</v>
      </c>
      <c r="D612" s="2019" t="str">
        <f>'SOUTH-1'!D107</f>
        <v>New</v>
      </c>
      <c r="E612" s="2019" t="str">
        <f>'SOUTH-1'!E107</f>
        <v>XA587373</v>
      </c>
      <c r="F612" s="791">
        <f>'SOUTH-1'!F107</f>
        <v>1</v>
      </c>
      <c r="G612" s="791">
        <f>'SOUTH-1'!G107</f>
        <v>129895.9</v>
      </c>
      <c r="H612" s="791">
        <f>'SOUTH-1'!H107</f>
        <v>129895.9</v>
      </c>
      <c r="I612" s="791">
        <f>'SOUTH-1'!I107</f>
        <v>0</v>
      </c>
      <c r="J612" s="791">
        <f>'SOUTH-1'!J107</f>
        <v>1000</v>
      </c>
      <c r="K612" s="791">
        <f>'SOUTH-1'!K107</f>
        <v>0</v>
      </c>
      <c r="L612" s="791">
        <f>'SOUTH-1'!L107</f>
        <v>0</v>
      </c>
      <c r="M612" s="791">
        <f>'SOUTH-1'!M107</f>
        <v>0</v>
      </c>
      <c r="N612" s="2019" t="str">
        <f>'SOUTH-1'!N107</f>
        <v>Siddirgonj</v>
      </c>
      <c r="O612" s="2019" t="str">
        <f>Sheet2!$C$66</f>
        <v>Siddhirganj  33/11KV S/S</v>
      </c>
    </row>
    <row r="613" spans="1:15" x14ac:dyDescent="0.35">
      <c r="A613" s="2019">
        <f>'SOUTH-1'!A108</f>
        <v>18</v>
      </c>
      <c r="B613" s="2019" t="str">
        <f>'SOUTH-1'!B108</f>
        <v>11 kV Shanti Nagar  (F-14)</v>
      </c>
      <c r="C613" s="2019">
        <f>'SOUTH-1'!C108</f>
        <v>11</v>
      </c>
      <c r="D613" s="2019" t="str">
        <f>'SOUTH-1'!D108</f>
        <v>New</v>
      </c>
      <c r="E613" s="2019" t="str">
        <f>'SOUTH-1'!E108</f>
        <v>XA587371</v>
      </c>
      <c r="F613" s="791">
        <f>'SOUTH-1'!F108</f>
        <v>1</v>
      </c>
      <c r="G613" s="791">
        <f>'SOUTH-1'!G108</f>
        <v>129102.1</v>
      </c>
      <c r="H613" s="791">
        <f>'SOUTH-1'!H108</f>
        <v>130816.5</v>
      </c>
      <c r="I613" s="791">
        <f>'SOUTH-1'!I108</f>
        <v>1714.3999999999942</v>
      </c>
      <c r="J613" s="791">
        <f>'SOUTH-1'!J108</f>
        <v>1000</v>
      </c>
      <c r="K613" s="791">
        <f>'SOUTH-1'!K108</f>
        <v>0</v>
      </c>
      <c r="L613" s="791">
        <f>'SOUTH-1'!L108</f>
        <v>1714399.9999999942</v>
      </c>
      <c r="M613" s="791">
        <f>'SOUTH-1'!M108</f>
        <v>1746547.5677645337</v>
      </c>
      <c r="N613" s="2019" t="str">
        <f>'SOUTH-1'!N108</f>
        <v>Siddirgonj</v>
      </c>
      <c r="O613" s="2019" t="str">
        <f>Sheet2!$C$66</f>
        <v>Siddhirganj  33/11KV S/S</v>
      </c>
    </row>
    <row r="614" spans="1:15" x14ac:dyDescent="0.35">
      <c r="A614" s="2019">
        <f>'SOUTH-1'!A170</f>
        <v>11</v>
      </c>
      <c r="B614" s="2019" t="str">
        <f>'SOUTH-1'!B170</f>
        <v>11 kV New Town O/H (Old Sarulia U/G Cable Circuit-2)</v>
      </c>
      <c r="C614" s="2019">
        <f>'SOUTH-1'!C170</f>
        <v>11</v>
      </c>
      <c r="D614" s="2019">
        <f>'SOUTH-1'!D170</f>
        <v>0</v>
      </c>
      <c r="E614" s="2019" t="str">
        <f>'SOUTH-1'!E170</f>
        <v>HA021101013-02</v>
      </c>
      <c r="F614" s="791">
        <f>'SOUTH-1'!F170</f>
        <v>1</v>
      </c>
      <c r="G614" s="791">
        <f>'SOUTH-1'!G170</f>
        <v>31923339</v>
      </c>
      <c r="H614" s="791">
        <f>'SOUTH-1'!H170</f>
        <v>33208560</v>
      </c>
      <c r="I614" s="791">
        <f>'SOUTH-1'!I170</f>
        <v>1285221</v>
      </c>
      <c r="J614" s="791">
        <f>'SOUTH-1'!J170</f>
        <v>1</v>
      </c>
      <c r="K614" s="791">
        <f>'SOUTH-1'!K170</f>
        <v>0</v>
      </c>
      <c r="L614" s="791">
        <f>'SOUTH-1'!L170</f>
        <v>1285221</v>
      </c>
      <c r="M614" s="791">
        <f>'SOUTH-1'!M170</f>
        <v>1300765.9983862799</v>
      </c>
      <c r="N614" s="2019" t="str">
        <f>'SOUTH-1'!N170</f>
        <v>Matuail</v>
      </c>
      <c r="O614" s="2019" t="str">
        <f>Sheet2!$C$67</f>
        <v>Demra 33/11KV S/S</v>
      </c>
    </row>
    <row r="615" spans="1:15" x14ac:dyDescent="0.35">
      <c r="A615" s="2019">
        <f>'SOUTH-1'!A171</f>
        <v>12</v>
      </c>
      <c r="B615" s="2019" t="str">
        <f>'SOUTH-1'!B171</f>
        <v>11 kV DND (WASA) Feeder.</v>
      </c>
      <c r="C615" s="2019">
        <f>'SOUTH-1'!C171</f>
        <v>11</v>
      </c>
      <c r="D615" s="2019">
        <f>'SOUTH-1'!D171</f>
        <v>0</v>
      </c>
      <c r="E615" s="2019" t="str">
        <f>'SOUTH-1'!E171</f>
        <v>HA021100992-02</v>
      </c>
      <c r="F615" s="791">
        <f>'SOUTH-1'!F171</f>
        <v>1</v>
      </c>
      <c r="G615" s="791">
        <f>'SOUTH-1'!G171</f>
        <v>5245599</v>
      </c>
      <c r="H615" s="791">
        <f>'SOUTH-1'!H171</f>
        <v>5252856</v>
      </c>
      <c r="I615" s="791">
        <f>'SOUTH-1'!I171</f>
        <v>7257</v>
      </c>
      <c r="J615" s="791">
        <f>'SOUTH-1'!J171</f>
        <v>1</v>
      </c>
      <c r="K615" s="791">
        <f>'SOUTH-1'!K171</f>
        <v>0</v>
      </c>
      <c r="L615" s="791">
        <f>'SOUTH-1'!L171</f>
        <v>7257</v>
      </c>
      <c r="M615" s="791">
        <f>'SOUTH-1'!M171</f>
        <v>7344.7748288342891</v>
      </c>
      <c r="N615" s="2019" t="str">
        <f>'SOUTH-1'!N171</f>
        <v>Siddirgonj</v>
      </c>
      <c r="O615" s="2019" t="str">
        <f>Sheet2!$C$67</f>
        <v>Demra 33/11KV S/S</v>
      </c>
    </row>
    <row r="616" spans="1:15" x14ac:dyDescent="0.35">
      <c r="A616" s="2019">
        <f>'SOUTH-1'!A172</f>
        <v>13</v>
      </c>
      <c r="B616" s="2019" t="str">
        <f>'SOUTH-1'!B172</f>
        <v>11 kV Local Feeder</v>
      </c>
      <c r="C616" s="2019">
        <f>'SOUTH-1'!C172</f>
        <v>11</v>
      </c>
      <c r="D616" s="2019">
        <f>'SOUTH-1'!D172</f>
        <v>0</v>
      </c>
      <c r="E616" s="2019" t="str">
        <f>'SOUTH-1'!E172</f>
        <v>HA021100794-02</v>
      </c>
      <c r="F616" s="791">
        <f>'SOUTH-1'!F172</f>
        <v>1</v>
      </c>
      <c r="G616" s="791">
        <f>'SOUTH-1'!G172</f>
        <v>965466</v>
      </c>
      <c r="H616" s="791">
        <f>'SOUTH-1'!H172</f>
        <v>1645660</v>
      </c>
      <c r="I616" s="791">
        <f>'SOUTH-1'!I172</f>
        <v>680194</v>
      </c>
      <c r="J616" s="791">
        <f>'SOUTH-1'!J172</f>
        <v>1</v>
      </c>
      <c r="K616" s="791">
        <f>'SOUTH-1'!K172</f>
        <v>0</v>
      </c>
      <c r="L616" s="791">
        <f>'SOUTH-1'!L172</f>
        <v>680194</v>
      </c>
      <c r="M616" s="791">
        <f>'SOUTH-1'!M172</f>
        <v>688421.07894778973</v>
      </c>
      <c r="N616" s="2019" t="str">
        <f>'SOUTH-1'!N172</f>
        <v>Siddirgonj</v>
      </c>
      <c r="O616" s="2019" t="str">
        <f>Sheet2!$C$67</f>
        <v>Demra 33/11KV S/S</v>
      </c>
    </row>
    <row r="617" spans="1:15" x14ac:dyDescent="0.35">
      <c r="A617" s="2019">
        <f>'SOUTH-1'!A173</f>
        <v>14</v>
      </c>
      <c r="B617" s="2019" t="str">
        <f>'SOUTH-1'!B173</f>
        <v>11 kV Mouchak Feeder</v>
      </c>
      <c r="C617" s="2019">
        <f>'SOUTH-1'!C173</f>
        <v>11</v>
      </c>
      <c r="D617" s="2019">
        <f>'SOUTH-1'!D173</f>
        <v>0</v>
      </c>
      <c r="E617" s="2019" t="str">
        <f>'SOUTH-1'!E173</f>
        <v>DHK60888</v>
      </c>
      <c r="F617" s="791">
        <f>'SOUTH-1'!F173</f>
        <v>1</v>
      </c>
      <c r="G617" s="791">
        <f>'SOUTH-1'!G173</f>
        <v>643070.6</v>
      </c>
      <c r="H617" s="791">
        <f>'SOUTH-1'!H173</f>
        <v>669570.6</v>
      </c>
      <c r="I617" s="791">
        <f>'SOUTH-1'!I173</f>
        <v>26500</v>
      </c>
      <c r="J617" s="791">
        <f>'SOUTH-1'!J173</f>
        <v>60</v>
      </c>
      <c r="K617" s="791">
        <f>'SOUTH-1'!K173</f>
        <v>0</v>
      </c>
      <c r="L617" s="791">
        <f>'SOUTH-1'!L173</f>
        <v>1590000</v>
      </c>
      <c r="M617" s="791">
        <f>'SOUTH-1'!M173</f>
        <v>1609231.3597693976</v>
      </c>
      <c r="N617" s="2019" t="str">
        <f>'SOUTH-1'!N173</f>
        <v>Siddirgonj</v>
      </c>
      <c r="O617" s="2019" t="str">
        <f>Sheet2!$C$67</f>
        <v>Demra 33/11KV S/S</v>
      </c>
    </row>
    <row r="618" spans="1:15" x14ac:dyDescent="0.35">
      <c r="A618" s="2019">
        <f>'SOUTH-1'!A174</f>
        <v>15</v>
      </c>
      <c r="B618" s="2019" t="str">
        <f>'SOUTH-1'!B174</f>
        <v>11 kV Overhead-1 Feeder</v>
      </c>
      <c r="C618" s="2019">
        <f>'SOUTH-1'!C174</f>
        <v>11</v>
      </c>
      <c r="D618" s="2019">
        <f>'SOUTH-1'!D174</f>
        <v>0</v>
      </c>
      <c r="E618" s="2019" t="str">
        <f>'SOUTH-1'!E174</f>
        <v>HA021100829-02</v>
      </c>
      <c r="F618" s="791">
        <f>'SOUTH-1'!F174</f>
        <v>1</v>
      </c>
      <c r="G618" s="791">
        <f>'SOUTH-1'!G174</f>
        <v>69793663</v>
      </c>
      <c r="H618" s="791">
        <f>'SOUTH-1'!H174</f>
        <v>70734570</v>
      </c>
      <c r="I618" s="791">
        <f>'SOUTH-1'!I174</f>
        <v>940907</v>
      </c>
      <c r="J618" s="791">
        <f>'SOUTH-1'!J174</f>
        <v>1</v>
      </c>
      <c r="K618" s="791">
        <f>'SOUTH-1'!K174</f>
        <v>0</v>
      </c>
      <c r="L618" s="791">
        <f>'SOUTH-1'!L174</f>
        <v>940907</v>
      </c>
      <c r="M618" s="791">
        <f>'SOUTH-1'!M174</f>
        <v>952287.45347581431</v>
      </c>
      <c r="N618" s="2019" t="str">
        <f>'SOUTH-1'!N174</f>
        <v>Siddirgonj</v>
      </c>
      <c r="O618" s="2019" t="str">
        <f>Sheet2!$C$67</f>
        <v>Demra 33/11KV S/S</v>
      </c>
    </row>
    <row r="619" spans="1:15" x14ac:dyDescent="0.35">
      <c r="A619" s="2019">
        <f>'SOUTH-1'!A175</f>
        <v>16</v>
      </c>
      <c r="B619" s="2019" t="str">
        <f>'SOUTH-1'!B175</f>
        <v>11 kV Provati Steel Feeder</v>
      </c>
      <c r="C619" s="2019">
        <f>'SOUTH-1'!C175</f>
        <v>11</v>
      </c>
      <c r="D619" s="2019">
        <f>'SOUTH-1'!D175</f>
        <v>0</v>
      </c>
      <c r="E619" s="2019" t="str">
        <f>'SOUTH-1'!E175</f>
        <v>DHK60874</v>
      </c>
      <c r="F619" s="791">
        <f>'SOUTH-1'!F175</f>
        <v>1</v>
      </c>
      <c r="G619" s="791">
        <f>'SOUTH-1'!G175</f>
        <v>538764.69999999995</v>
      </c>
      <c r="H619" s="791">
        <f>'SOUTH-1'!H175</f>
        <v>539080.1</v>
      </c>
      <c r="I619" s="791">
        <f>'SOUTH-1'!I175</f>
        <v>315.40000000002328</v>
      </c>
      <c r="J619" s="791">
        <f>'SOUTH-1'!J175</f>
        <v>60</v>
      </c>
      <c r="K619" s="791">
        <f>'SOUTH-1'!K175</f>
        <v>0</v>
      </c>
      <c r="L619" s="791">
        <f>'SOUTH-1'!L175</f>
        <v>18924.000000001397</v>
      </c>
      <c r="M619" s="791">
        <f>'SOUTH-1'!M175</f>
        <v>19152.889466841716</v>
      </c>
      <c r="N619" s="2019" t="str">
        <f>'SOUTH-1'!N175</f>
        <v>Siddirgonj</v>
      </c>
      <c r="O619" s="2019" t="str">
        <f>Sheet2!$C$67</f>
        <v>Demra 33/11KV S/S</v>
      </c>
    </row>
    <row r="620" spans="1:15" x14ac:dyDescent="0.35">
      <c r="A620" s="2019">
        <f>'SOUTH-1'!A176</f>
        <v>17</v>
      </c>
      <c r="B620" s="2019" t="str">
        <f>'SOUTH-1'!B176</f>
        <v>11 kV Islambagh Feeder.</v>
      </c>
      <c r="C620" s="2019">
        <f>'SOUTH-1'!C176</f>
        <v>11</v>
      </c>
      <c r="D620" s="2019">
        <f>'SOUTH-1'!D176</f>
        <v>0</v>
      </c>
      <c r="E620" s="2019" t="str">
        <f>'SOUTH-1'!E176</f>
        <v>DHKA2190</v>
      </c>
      <c r="F620" s="791">
        <f>'SOUTH-1'!F176</f>
        <v>1</v>
      </c>
      <c r="G620" s="791">
        <f>'SOUTH-1'!G176</f>
        <v>695.95050000000003</v>
      </c>
      <c r="H620" s="791">
        <f>'SOUTH-1'!H176</f>
        <v>735.5684</v>
      </c>
      <c r="I620" s="791">
        <f>'SOUTH-1'!I176</f>
        <v>39.617899999999963</v>
      </c>
      <c r="J620" s="791">
        <f>'SOUTH-1'!J176</f>
        <v>60000</v>
      </c>
      <c r="K620" s="791">
        <f>'SOUTH-1'!K176</f>
        <v>0</v>
      </c>
      <c r="L620" s="791">
        <f>'SOUTH-1'!L176</f>
        <v>2377073.9999999977</v>
      </c>
      <c r="M620" s="791">
        <f>'SOUTH-1'!M176</f>
        <v>2405825.1731399233</v>
      </c>
      <c r="N620" s="2019" t="str">
        <f>'SOUTH-1'!N176</f>
        <v>Matuail</v>
      </c>
      <c r="O620" s="2019" t="str">
        <f>Sheet2!$C$67</f>
        <v>Demra 33/11KV S/S</v>
      </c>
    </row>
    <row r="621" spans="1:15" x14ac:dyDescent="0.35">
      <c r="A621" s="2019">
        <f>'SOUTH-1'!A177</f>
        <v>20</v>
      </c>
      <c r="B621" s="2019" t="str">
        <f>'SOUTH-1'!B177</f>
        <v>11 kV Taj Jute Feeder.</v>
      </c>
      <c r="C621" s="2019">
        <f>'SOUTH-1'!C177</f>
        <v>11</v>
      </c>
      <c r="D621" s="2019">
        <f>'SOUTH-1'!D177</f>
        <v>0</v>
      </c>
      <c r="E621" s="2019" t="str">
        <f>'SOUTH-1'!E177</f>
        <v>DHK61062</v>
      </c>
      <c r="F621" s="791">
        <f>'SOUTH-1'!F177</f>
        <v>1</v>
      </c>
      <c r="G621" s="791">
        <f>'SOUTH-1'!G177</f>
        <v>446352.3</v>
      </c>
      <c r="H621" s="791">
        <f>'SOUTH-1'!H177</f>
        <v>463540.4</v>
      </c>
      <c r="I621" s="791">
        <f>'SOUTH-1'!I177</f>
        <v>17188.100000000035</v>
      </c>
      <c r="J621" s="791">
        <f>'SOUTH-1'!J177</f>
        <v>60</v>
      </c>
      <c r="K621" s="791">
        <f>'SOUTH-1'!K177</f>
        <v>0</v>
      </c>
      <c r="L621" s="791">
        <f>'SOUTH-1'!L177</f>
        <v>1031286.0000000021</v>
      </c>
      <c r="M621" s="791">
        <f>'SOUTH-1'!M177</f>
        <v>1043759.6050887713</v>
      </c>
      <c r="N621" s="2019" t="str">
        <f>'SOUTH-1'!N177</f>
        <v>Siddirgonj</v>
      </c>
      <c r="O621" s="2019" t="str">
        <f>Sheet2!$C$67</f>
        <v>Demra 33/11KV S/S</v>
      </c>
    </row>
    <row r="622" spans="1:15" x14ac:dyDescent="0.35">
      <c r="A622" s="2019">
        <f>'SOUTH-1'!A178</f>
        <v>21</v>
      </c>
      <c r="B622" s="2019" t="str">
        <f>'SOUTH-1'!B178</f>
        <v>11 kV Al-Aksa Steel Feeder</v>
      </c>
      <c r="C622" s="2019">
        <f>'SOUTH-1'!C178</f>
        <v>11</v>
      </c>
      <c r="D622" s="2019">
        <f>'SOUTH-1'!D178</f>
        <v>0</v>
      </c>
      <c r="E622" s="2019" t="str">
        <f>'SOUTH-1'!E178</f>
        <v>DHK61061</v>
      </c>
      <c r="F622" s="791">
        <f>'SOUTH-1'!F178</f>
        <v>1</v>
      </c>
      <c r="G622" s="791">
        <f>'SOUTH-1'!G178</f>
        <v>561258.80000000005</v>
      </c>
      <c r="H622" s="791">
        <f>'SOUTH-1'!H178</f>
        <v>585299.9</v>
      </c>
      <c r="I622" s="791">
        <f>'SOUTH-1'!I178</f>
        <v>24041.099999999977</v>
      </c>
      <c r="J622" s="791">
        <f>'SOUTH-1'!J178</f>
        <v>60</v>
      </c>
      <c r="K622" s="791">
        <f>'SOUTH-1'!K178</f>
        <v>0</v>
      </c>
      <c r="L622" s="791">
        <f>'SOUTH-1'!L178</f>
        <v>1442465.9999999986</v>
      </c>
      <c r="M622" s="791">
        <f>'SOUTH-1'!M178</f>
        <v>1459912.907296303</v>
      </c>
      <c r="N622" s="2019" t="str">
        <f>'SOUTH-1'!N178</f>
        <v>Siddirgonj</v>
      </c>
      <c r="O622" s="2019" t="str">
        <f>Sheet2!$C$67</f>
        <v>Demra 33/11KV S/S</v>
      </c>
    </row>
    <row r="623" spans="1:15" x14ac:dyDescent="0.35">
      <c r="A623" s="2019">
        <f>'SOUTH-1'!A179</f>
        <v>22</v>
      </c>
      <c r="B623" s="2019" t="str">
        <f>'SOUTH-1'!B179</f>
        <v>11 kV Sahebpara O/H (Old Spare Feeder)</v>
      </c>
      <c r="C623" s="2019">
        <f>'SOUTH-1'!C179</f>
        <v>11</v>
      </c>
      <c r="D623" s="2019">
        <f>'SOUTH-1'!D179</f>
        <v>0</v>
      </c>
      <c r="E623" s="2019" t="str">
        <f>'SOUTH-1'!E179</f>
        <v>DHKA2189</v>
      </c>
      <c r="F623" s="791">
        <f>'SOUTH-1'!F179</f>
        <v>1</v>
      </c>
      <c r="G623" s="791">
        <f>'SOUTH-1'!G179</f>
        <v>704.97109999999998</v>
      </c>
      <c r="H623" s="791">
        <f>'SOUTH-1'!H179</f>
        <v>732.23749999999995</v>
      </c>
      <c r="I623" s="791">
        <f>'SOUTH-1'!I179</f>
        <v>27.266399999999976</v>
      </c>
      <c r="J623" s="791">
        <f>'SOUTH-1'!J179</f>
        <v>60000</v>
      </c>
      <c r="K623" s="791">
        <f>'SOUTH-1'!K179</f>
        <v>0</v>
      </c>
      <c r="L623" s="791">
        <f>'SOUTH-1'!L179</f>
        <v>1635983.9999999986</v>
      </c>
      <c r="M623" s="791">
        <f>'SOUTH-1'!M179</f>
        <v>1655771.545208161</v>
      </c>
      <c r="N623" s="2019" t="str">
        <f>'SOUTH-1'!N179</f>
        <v>Siddirgonj</v>
      </c>
      <c r="O623" s="2019" t="str">
        <f>Sheet2!$C$67</f>
        <v>Demra 33/11KV S/S</v>
      </c>
    </row>
    <row r="624" spans="1:15" x14ac:dyDescent="0.35">
      <c r="A624" s="2019">
        <f>'SOUTH-1'!A180</f>
        <v>23</v>
      </c>
      <c r="B624" s="2019" t="str">
        <f>'SOUTH-1'!B180</f>
        <v>11 kV Over Head Feeder-2.</v>
      </c>
      <c r="C624" s="2019">
        <f>'SOUTH-1'!C180</f>
        <v>11</v>
      </c>
      <c r="D624" s="2019">
        <f>'SOUTH-1'!D180</f>
        <v>0</v>
      </c>
      <c r="E624" s="2019" t="str">
        <f>'SOUTH-1'!E180</f>
        <v>HA021100488-02</v>
      </c>
      <c r="F624" s="791">
        <f>'SOUTH-1'!F180</f>
        <v>1</v>
      </c>
      <c r="G624" s="791">
        <f>'SOUTH-1'!G180</f>
        <v>12721900</v>
      </c>
      <c r="H624" s="791">
        <f>'SOUTH-1'!H180</f>
        <v>14271802</v>
      </c>
      <c r="I624" s="791">
        <f>'SOUTH-1'!I180</f>
        <v>1549902</v>
      </c>
      <c r="J624" s="791">
        <f>'SOUTH-1'!J180</f>
        <v>1</v>
      </c>
      <c r="K624" s="791">
        <f>'SOUTH-1'!K180</f>
        <v>0</v>
      </c>
      <c r="L624" s="791">
        <f>'SOUTH-1'!L180</f>
        <v>1549902</v>
      </c>
      <c r="M624" s="791">
        <f>'SOUTH-1'!M180</f>
        <v>1568648.3666473641</v>
      </c>
      <c r="N624" s="2019" t="str">
        <f>'SOUTH-1'!N180</f>
        <v>Demra</v>
      </c>
      <c r="O624" s="2019" t="str">
        <f>Sheet2!$C$67</f>
        <v>Demra 33/11KV S/S</v>
      </c>
    </row>
    <row r="625" spans="1:15" x14ac:dyDescent="0.35">
      <c r="A625" s="2019">
        <f>'SOUTH-1'!A181</f>
        <v>24</v>
      </c>
      <c r="B625" s="2019" t="str">
        <f>'SOUTH-1'!B181</f>
        <v>11 kV Shimrail Express Feeder.</v>
      </c>
      <c r="C625" s="2019">
        <f>'SOUTH-1'!C181</f>
        <v>11</v>
      </c>
      <c r="D625" s="2019">
        <f>'SOUTH-1'!D181</f>
        <v>0</v>
      </c>
      <c r="E625" s="2019" t="str">
        <f>'SOUTH-1'!E181</f>
        <v>HA021100511-02</v>
      </c>
      <c r="F625" s="791">
        <f>'SOUTH-1'!F181</f>
        <v>1</v>
      </c>
      <c r="G625" s="791">
        <f>'SOUTH-1'!G181</f>
        <v>8067028</v>
      </c>
      <c r="H625" s="791">
        <f>'SOUTH-1'!H181</f>
        <v>8067082</v>
      </c>
      <c r="I625" s="791">
        <f>'SOUTH-1'!I181</f>
        <v>54</v>
      </c>
      <c r="J625" s="791">
        <f>'SOUTH-1'!J181</f>
        <v>1</v>
      </c>
      <c r="K625" s="791">
        <f>'SOUTH-1'!K181</f>
        <v>0</v>
      </c>
      <c r="L625" s="791">
        <f>'SOUTH-1'!L181</f>
        <v>54</v>
      </c>
      <c r="M625" s="791">
        <f>'SOUTH-1'!M181</f>
        <v>54.65314052047011</v>
      </c>
      <c r="N625" s="2019" t="str">
        <f>'SOUTH-1'!N181</f>
        <v>Siddirgonj</v>
      </c>
      <c r="O625" s="2019" t="str">
        <f>Sheet2!$C$67</f>
        <v>Demra 33/11KV S/S</v>
      </c>
    </row>
    <row r="626" spans="1:15" x14ac:dyDescent="0.35">
      <c r="A626" s="2019">
        <f>'SOUTH-1'!A182</f>
        <v>25</v>
      </c>
      <c r="B626" s="2019" t="str">
        <f>'SOUTH-1'!B182</f>
        <v>11 kV Sarder &amp; Khadem Steel Feeder</v>
      </c>
      <c r="C626" s="2019">
        <f>'SOUTH-1'!C182</f>
        <v>11</v>
      </c>
      <c r="D626" s="2019">
        <f>'SOUTH-1'!D182</f>
        <v>0</v>
      </c>
      <c r="E626" s="2019" t="str">
        <f>'SOUTH-1'!E182</f>
        <v>HA021100413-02</v>
      </c>
      <c r="F626" s="791">
        <f>'SOUTH-1'!F182</f>
        <v>1</v>
      </c>
      <c r="G626" s="791">
        <f>'SOUTH-1'!G182</f>
        <v>76883280</v>
      </c>
      <c r="H626" s="791">
        <f>'SOUTH-1'!H182</f>
        <v>77355130</v>
      </c>
      <c r="I626" s="791">
        <f>'SOUTH-1'!I182</f>
        <v>471850</v>
      </c>
      <c r="J626" s="791">
        <f>'SOUTH-1'!J182</f>
        <v>1</v>
      </c>
      <c r="K626" s="791">
        <f>'SOUTH-1'!K182</f>
        <v>0</v>
      </c>
      <c r="L626" s="791">
        <f>'SOUTH-1'!L182</f>
        <v>471850</v>
      </c>
      <c r="M626" s="791">
        <f>'SOUTH-1'!M182</f>
        <v>477557.11767747818</v>
      </c>
      <c r="N626" s="2019" t="str">
        <f>'SOUTH-1'!N182</f>
        <v>Demra</v>
      </c>
      <c r="O626" s="2019" t="str">
        <f>Sheet2!$C$67</f>
        <v>Demra 33/11KV S/S</v>
      </c>
    </row>
    <row r="627" spans="1:15" x14ac:dyDescent="0.35">
      <c r="A627" s="2019">
        <f>'SOUTH-1'!A183</f>
        <v>26</v>
      </c>
      <c r="B627" s="2019" t="str">
        <f>'SOUTH-1'!B183</f>
        <v>11 kV Siddhirgonj Mazar Feeder</v>
      </c>
      <c r="C627" s="2019">
        <f>'SOUTH-1'!C183</f>
        <v>11</v>
      </c>
      <c r="D627" s="2019">
        <f>'SOUTH-1'!D183</f>
        <v>0</v>
      </c>
      <c r="E627" s="2019" t="str">
        <f>'SOUTH-1'!E183</f>
        <v>HA021100393-02</v>
      </c>
      <c r="F627" s="791">
        <f>'SOUTH-1'!F183</f>
        <v>1</v>
      </c>
      <c r="G627" s="791">
        <f>'SOUTH-1'!G183</f>
        <v>41882669</v>
      </c>
      <c r="H627" s="791">
        <f>'SOUTH-1'!H183</f>
        <v>42680280</v>
      </c>
      <c r="I627" s="791">
        <f>'SOUTH-1'!I183</f>
        <v>797611</v>
      </c>
      <c r="J627" s="791">
        <f>'SOUTH-1'!J183</f>
        <v>1</v>
      </c>
      <c r="K627" s="791">
        <f>'SOUTH-1'!K183</f>
        <v>0</v>
      </c>
      <c r="L627" s="791">
        <f>'SOUTH-1'!L183</f>
        <v>797611</v>
      </c>
      <c r="M627" s="791">
        <f>'SOUTH-1'!M183</f>
        <v>807258.26043838297</v>
      </c>
      <c r="N627" s="2019" t="str">
        <f>'SOUTH-1'!N183</f>
        <v>Siddirgonj</v>
      </c>
      <c r="O627" s="2019" t="str">
        <f>Sheet2!$C$67</f>
        <v>Demra 33/11KV S/S</v>
      </c>
    </row>
    <row r="628" spans="1:15" x14ac:dyDescent="0.35">
      <c r="A628" s="2019">
        <f>'SOUTH-1'!A184</f>
        <v>27</v>
      </c>
      <c r="B628" s="2019" t="str">
        <f>'SOUTH-1'!B184</f>
        <v>11 kV AST Beverage Feeder</v>
      </c>
      <c r="C628" s="2019">
        <f>'SOUTH-1'!C184</f>
        <v>11</v>
      </c>
      <c r="D628" s="2019">
        <f>'SOUTH-1'!D184</f>
        <v>0</v>
      </c>
      <c r="E628" s="2019">
        <f>'SOUTH-1'!E184</f>
        <v>0</v>
      </c>
      <c r="F628" s="791">
        <f>'SOUTH-1'!F184</f>
        <v>1</v>
      </c>
      <c r="G628" s="791">
        <f>'SOUTH-1'!G184</f>
        <v>14366912</v>
      </c>
      <c r="H628" s="791">
        <f>'SOUTH-1'!H184</f>
        <v>14507910</v>
      </c>
      <c r="I628" s="791">
        <f>'SOUTH-1'!I184</f>
        <v>140998</v>
      </c>
      <c r="J628" s="791">
        <f>'SOUTH-1'!J184</f>
        <v>1</v>
      </c>
      <c r="K628" s="791">
        <f>'SOUTH-1'!K184</f>
        <v>0</v>
      </c>
      <c r="L628" s="791">
        <f>'SOUTH-1'!L184</f>
        <v>140998</v>
      </c>
      <c r="M628" s="791">
        <f>'SOUTH-1'!M184</f>
        <v>142703.39827972674</v>
      </c>
      <c r="N628" s="2019" t="str">
        <f>'SOUTH-1'!N184</f>
        <v>Siddirgonj</v>
      </c>
      <c r="O628" s="2019" t="str">
        <f>Sheet2!$C$67</f>
        <v>Demra 33/11KV S/S</v>
      </c>
    </row>
    <row r="629" spans="1:15" x14ac:dyDescent="0.35">
      <c r="A629" s="2019">
        <f>'SOUTH-1'!A185</f>
        <v>28</v>
      </c>
      <c r="B629" s="2019" t="str">
        <f>'SOUTH-1'!B185</f>
        <v>11 kV Karim Market Feeder</v>
      </c>
      <c r="C629" s="2019">
        <f>'SOUTH-1'!C185</f>
        <v>11</v>
      </c>
      <c r="D629" s="2019">
        <f>'SOUTH-1'!D185</f>
        <v>0</v>
      </c>
      <c r="E629" s="2019">
        <f>'SOUTH-1'!E185</f>
        <v>0</v>
      </c>
      <c r="F629" s="791">
        <f>'SOUTH-1'!F185</f>
        <v>1</v>
      </c>
      <c r="G629" s="791">
        <f>'SOUTH-1'!G185</f>
        <v>42373952</v>
      </c>
      <c r="H629" s="791">
        <f>'SOUTH-1'!H185</f>
        <v>43722704</v>
      </c>
      <c r="I629" s="791">
        <f>'SOUTH-1'!I185</f>
        <v>1348752</v>
      </c>
      <c r="J629" s="791">
        <f>'SOUTH-1'!J185</f>
        <v>1</v>
      </c>
      <c r="K629" s="791">
        <f>'SOUTH-1'!K185</f>
        <v>0</v>
      </c>
      <c r="L629" s="791">
        <f>'SOUTH-1'!L185</f>
        <v>1348752</v>
      </c>
      <c r="M629" s="791">
        <f>'SOUTH-1'!M185</f>
        <v>1365065.4182086128</v>
      </c>
      <c r="N629" s="2019" t="str">
        <f>'SOUTH-1'!N185</f>
        <v>Matuail</v>
      </c>
      <c r="O629" s="2019" t="str">
        <f>Sheet2!$C$67</f>
        <v>Demra 33/11KV S/S</v>
      </c>
    </row>
    <row r="630" spans="1:15" x14ac:dyDescent="0.35">
      <c r="A630" s="2019">
        <f>'SOUTH-1'!A186</f>
        <v>29</v>
      </c>
      <c r="B630" s="2019" t="str">
        <f>'SOUTH-1'!B186</f>
        <v>11/0.415 kV Transformer,AT-1+AT-2</v>
      </c>
      <c r="C630" s="2019">
        <f>'SOUTH-1'!C186</f>
        <v>0.41499999999999998</v>
      </c>
      <c r="D630" s="2019">
        <f>'SOUTH-1'!D186</f>
        <v>0</v>
      </c>
      <c r="E630" s="2019" t="str">
        <f>'SOUTH-1'!E186</f>
        <v>ELIB2771</v>
      </c>
      <c r="F630" s="791">
        <f>'SOUTH-1'!F186</f>
        <v>1</v>
      </c>
      <c r="G630" s="791">
        <f>'SOUTH-1'!G186</f>
        <v>375996</v>
      </c>
      <c r="H630" s="791">
        <f>'SOUTH-1'!H186</f>
        <v>375996</v>
      </c>
      <c r="I630" s="791">
        <f>'SOUTH-1'!I186</f>
        <v>0</v>
      </c>
      <c r="J630" s="791">
        <f>'SOUTH-1'!J186</f>
        <v>1</v>
      </c>
      <c r="K630" s="791">
        <f>'SOUTH-1'!K186</f>
        <v>0</v>
      </c>
      <c r="L630" s="791">
        <f>'SOUTH-1'!L186</f>
        <v>0</v>
      </c>
      <c r="M630" s="791">
        <f>'SOUTH-1'!M186</f>
        <v>0</v>
      </c>
      <c r="N630" s="2019" t="str">
        <f>'SOUTH-1'!N186</f>
        <v>Siddirgonj</v>
      </c>
      <c r="O630" s="2019" t="str">
        <f>Sheet2!$C$67</f>
        <v>Demra 33/11KV S/S</v>
      </c>
    </row>
    <row r="631" spans="1:15" x14ac:dyDescent="0.35">
      <c r="A631" s="2019">
        <f>'SOUTH-1'!A251</f>
        <v>8</v>
      </c>
      <c r="B631" s="2019" t="str">
        <f>'SOUTH-1'!B251</f>
        <v>11 kV Dayagonj Feeder (=L11)</v>
      </c>
      <c r="C631" s="2019">
        <f>'SOUTH-1'!C251</f>
        <v>11</v>
      </c>
      <c r="D631" s="2019">
        <f>'SOUTH-1'!D251</f>
        <v>0</v>
      </c>
      <c r="E631" s="2019">
        <f>'SOUTH-1'!E251</f>
        <v>2007755114</v>
      </c>
      <c r="F631" s="791">
        <f>'SOUTH-1'!F251</f>
        <v>1</v>
      </c>
      <c r="G631" s="791">
        <f>'SOUTH-1'!G251</f>
        <v>5492.35</v>
      </c>
      <c r="H631" s="791">
        <f>'SOUTH-1'!H251</f>
        <v>5514.35</v>
      </c>
      <c r="I631" s="791">
        <f>'SOUTH-1'!I251</f>
        <v>22</v>
      </c>
      <c r="J631" s="791">
        <f>'SOUTH-1'!J251</f>
        <v>60000</v>
      </c>
      <c r="K631" s="791">
        <f>'SOUTH-1'!K251</f>
        <v>0</v>
      </c>
      <c r="L631" s="791">
        <f>'SOUTH-1'!L251</f>
        <v>1320000</v>
      </c>
      <c r="M631" s="791">
        <f>'SOUTH-1'!M251</f>
        <v>1330247.5090997682</v>
      </c>
      <c r="N631" s="2019" t="str">
        <f>'SOUTH-1'!N251</f>
        <v>Demra</v>
      </c>
      <c r="O631" s="2019" t="str">
        <f>Sheet2!$C$72</f>
        <v>Sarulia  33/11KV S/S</v>
      </c>
    </row>
    <row r="632" spans="1:15" x14ac:dyDescent="0.35">
      <c r="A632" s="2019">
        <f>'SOUTH-1'!A252</f>
        <v>9</v>
      </c>
      <c r="B632" s="2019" t="str">
        <f>'SOUTH-1'!B252</f>
        <v>11 kV Karim Jute Feeder (=L12)</v>
      </c>
      <c r="C632" s="2019">
        <f>'SOUTH-1'!C252</f>
        <v>11</v>
      </c>
      <c r="D632" s="2019">
        <f>'SOUTH-1'!D252</f>
        <v>0</v>
      </c>
      <c r="E632" s="2019">
        <f>'SOUTH-1'!E252</f>
        <v>30799484</v>
      </c>
      <c r="F632" s="791">
        <f>'SOUTH-1'!F252</f>
        <v>1</v>
      </c>
      <c r="G632" s="791">
        <f>'SOUTH-1'!G252</f>
        <v>19.643000000000001</v>
      </c>
      <c r="H632" s="791">
        <f>'SOUTH-1'!H252</f>
        <v>19.858699999999999</v>
      </c>
      <c r="I632" s="791">
        <f>'SOUTH-1'!I252</f>
        <v>0.21569999999999823</v>
      </c>
      <c r="J632" s="791">
        <f>'SOUTH-1'!J252</f>
        <v>60000</v>
      </c>
      <c r="K632" s="791">
        <f>'SOUTH-1'!K252</f>
        <v>0</v>
      </c>
      <c r="L632" s="791">
        <f>'SOUTH-1'!L252</f>
        <v>12941.999999999894</v>
      </c>
      <c r="M632" s="791">
        <f>'SOUTH-1'!M252</f>
        <v>13042.472168764441</v>
      </c>
      <c r="N632" s="2019" t="str">
        <f>'SOUTH-1'!N252</f>
        <v>Demra</v>
      </c>
      <c r="O632" s="2019" t="str">
        <f>Sheet2!$C$72</f>
        <v>Sarulia  33/11KV S/S</v>
      </c>
    </row>
    <row r="633" spans="1:15" x14ac:dyDescent="0.35">
      <c r="A633" s="2019">
        <f>'SOUTH-1'!A253</f>
        <v>11</v>
      </c>
      <c r="B633" s="2019" t="str">
        <f>'SOUTH-1'!B253</f>
        <v xml:space="preserve">11 kV Konapara (=L13) **** </v>
      </c>
      <c r="C633" s="2019">
        <f>'SOUTH-1'!C253</f>
        <v>11</v>
      </c>
      <c r="D633" s="2019">
        <f>'SOUTH-1'!D253</f>
        <v>0</v>
      </c>
      <c r="E633" s="2019" t="str">
        <f>'SOUTH-1'!E253</f>
        <v>DHKA2191</v>
      </c>
      <c r="F633" s="791">
        <f>'SOUTH-1'!F253</f>
        <v>1</v>
      </c>
      <c r="G633" s="791">
        <f>'SOUTH-1'!G253</f>
        <v>1755.4724000000001</v>
      </c>
      <c r="H633" s="791">
        <f>'SOUTH-1'!H253</f>
        <v>1781.3025</v>
      </c>
      <c r="I633" s="791">
        <f>'SOUTH-1'!I253</f>
        <v>25.830099999999902</v>
      </c>
      <c r="J633" s="791">
        <f>'SOUTH-1'!J253</f>
        <v>60000</v>
      </c>
      <c r="K633" s="791">
        <f>'SOUTH-1'!K253</f>
        <v>0</v>
      </c>
      <c r="L633" s="791">
        <f>'SOUTH-1'!L253</f>
        <v>1549805.9999999942</v>
      </c>
      <c r="M633" s="791">
        <f>'SOUTH-1'!M253</f>
        <v>1561837.5538544455</v>
      </c>
      <c r="N633" s="2019" t="str">
        <f>'SOUTH-1'!N253</f>
        <v>Demra</v>
      </c>
      <c r="O633" s="2019" t="str">
        <f>Sheet2!$C$72</f>
        <v>Sarulia  33/11KV S/S</v>
      </c>
    </row>
    <row r="634" spans="1:15" x14ac:dyDescent="0.35">
      <c r="A634" s="2019">
        <f>'SOUTH-1'!A254</f>
        <v>12</v>
      </c>
      <c r="B634" s="2019" t="str">
        <f>'SOUTH-1'!B254</f>
        <v>11 kV Sanarpar Feeder (=L14)</v>
      </c>
      <c r="C634" s="2019">
        <f>'SOUTH-1'!C254</f>
        <v>0</v>
      </c>
      <c r="D634" s="2019">
        <f>'SOUTH-1'!D254</f>
        <v>0</v>
      </c>
      <c r="E634" s="2019">
        <f>'SOUTH-1'!E254</f>
        <v>575926</v>
      </c>
      <c r="F634" s="791">
        <f>'SOUTH-1'!F254</f>
        <v>1</v>
      </c>
      <c r="G634" s="791">
        <f>'SOUTH-1'!G254</f>
        <v>34509.199999999997</v>
      </c>
      <c r="H634" s="791">
        <f>'SOUTH-1'!H254</f>
        <v>36044.6</v>
      </c>
      <c r="I634" s="791">
        <f>'SOUTH-1'!I254</f>
        <v>1535.4000000000015</v>
      </c>
      <c r="J634" s="791">
        <f>'SOUTH-1'!J254</f>
        <v>1000</v>
      </c>
      <c r="K634" s="791">
        <f>'SOUTH-1'!K254</f>
        <v>0</v>
      </c>
      <c r="L634" s="791">
        <f>'SOUTH-1'!L254</f>
        <v>1535400.0000000014</v>
      </c>
      <c r="M634" s="791">
        <f>'SOUTH-1'!M254</f>
        <v>1547319.7162665045</v>
      </c>
      <c r="N634" s="2019" t="str">
        <f>'SOUTH-1'!N254</f>
        <v>Matuail</v>
      </c>
      <c r="O634" s="2019" t="str">
        <f>Sheet2!$C$72</f>
        <v>Sarulia  33/11KV S/S</v>
      </c>
    </row>
    <row r="635" spans="1:15" x14ac:dyDescent="0.35">
      <c r="A635" s="2019">
        <f>'SOUTH-1'!A255</f>
        <v>13</v>
      </c>
      <c r="B635" s="2019" t="str">
        <f>'SOUTH-1'!B255</f>
        <v xml:space="preserve">11 kV Latif Bawani Feeder (=L15) </v>
      </c>
      <c r="C635" s="2019">
        <f>'SOUTH-1'!C255</f>
        <v>11</v>
      </c>
      <c r="D635" s="2019">
        <f>'SOUTH-1'!D255</f>
        <v>0</v>
      </c>
      <c r="E635" s="2019">
        <f>'SOUTH-1'!E255</f>
        <v>30799450</v>
      </c>
      <c r="F635" s="791">
        <f>'SOUTH-1'!F255</f>
        <v>1</v>
      </c>
      <c r="G635" s="791">
        <f>'SOUTH-1'!G255</f>
        <v>1775.23</v>
      </c>
      <c r="H635" s="791">
        <f>'SOUTH-1'!H255</f>
        <v>1778.6</v>
      </c>
      <c r="I635" s="791">
        <f>'SOUTH-1'!I255</f>
        <v>3.3699999999998909</v>
      </c>
      <c r="J635" s="791">
        <f>'SOUTH-1'!J255</f>
        <v>60000</v>
      </c>
      <c r="K635" s="791">
        <f>'SOUTH-1'!K255</f>
        <v>0</v>
      </c>
      <c r="L635" s="791">
        <f>'SOUTH-1'!L255</f>
        <v>202199.99999999345</v>
      </c>
      <c r="M635" s="791">
        <f>'SOUTH-1'!M255</f>
        <v>203769.73207573066</v>
      </c>
      <c r="N635" s="2019" t="str">
        <f>'SOUTH-1'!N255</f>
        <v>Demra</v>
      </c>
      <c r="O635" s="2019" t="str">
        <f>Sheet2!$C$72</f>
        <v>Sarulia  33/11KV S/S</v>
      </c>
    </row>
    <row r="636" spans="1:15" x14ac:dyDescent="0.35">
      <c r="A636" s="2019">
        <f>'SOUTH-1'!A256</f>
        <v>14</v>
      </c>
      <c r="B636" s="2019" t="str">
        <f>'SOUTH-1'!B256</f>
        <v>11 kV Tengra Feeder (=L16)</v>
      </c>
      <c r="C636" s="2019">
        <f>'SOUTH-1'!C256</f>
        <v>11</v>
      </c>
      <c r="D636" s="2019">
        <f>'SOUTH-1'!D256</f>
        <v>0</v>
      </c>
      <c r="E636" s="2019">
        <f>'SOUTH-1'!E256</f>
        <v>30799145</v>
      </c>
      <c r="F636" s="791">
        <f>'SOUTH-1'!F256</f>
        <v>1</v>
      </c>
      <c r="G636" s="791">
        <f>'SOUTH-1'!G256</f>
        <v>5159.45</v>
      </c>
      <c r="H636" s="791">
        <f>'SOUTH-1'!H256</f>
        <v>5191.12</v>
      </c>
      <c r="I636" s="791">
        <f>'SOUTH-1'!I256</f>
        <v>31.670000000000073</v>
      </c>
      <c r="J636" s="791">
        <f>'SOUTH-1'!J256</f>
        <v>60000</v>
      </c>
      <c r="K636" s="791">
        <f>'SOUTH-1'!K256</f>
        <v>0</v>
      </c>
      <c r="L636" s="791">
        <f>'SOUTH-1'!L256</f>
        <v>1900200.0000000044</v>
      </c>
      <c r="M636" s="791">
        <f>'SOUTH-1'!M256</f>
        <v>1914951.7551449894</v>
      </c>
      <c r="N636" s="2019" t="str">
        <f>'SOUTH-1'!N256</f>
        <v>Demra</v>
      </c>
      <c r="O636" s="2019" t="str">
        <f>Sheet2!$C$72</f>
        <v>Sarulia  33/11KV S/S</v>
      </c>
    </row>
    <row r="637" spans="1:15" x14ac:dyDescent="0.35">
      <c r="A637" s="2019">
        <f>'SOUTH-1'!A257</f>
        <v>16</v>
      </c>
      <c r="B637" s="2019" t="str">
        <f>'SOUTH-1'!B257</f>
        <v>11 kV Police Line Feeder  (=L17)</v>
      </c>
      <c r="C637" s="2019">
        <f>'SOUTH-1'!C257</f>
        <v>11</v>
      </c>
      <c r="D637" s="2019">
        <f>'SOUTH-1'!D257</f>
        <v>0</v>
      </c>
      <c r="E637" s="2019">
        <f>'SOUTH-1'!E257</f>
        <v>30799480</v>
      </c>
      <c r="F637" s="791">
        <f>'SOUTH-1'!F257</f>
        <v>1</v>
      </c>
      <c r="G637" s="791">
        <f>'SOUTH-1'!G257</f>
        <v>3188.2</v>
      </c>
      <c r="H637" s="791">
        <f>'SOUTH-1'!H257</f>
        <v>3200.59</v>
      </c>
      <c r="I637" s="791">
        <f>'SOUTH-1'!I257</f>
        <v>12.390000000000327</v>
      </c>
      <c r="J637" s="791">
        <f>'SOUTH-1'!J257</f>
        <v>60000</v>
      </c>
      <c r="K637" s="791">
        <f>'SOUTH-1'!K257</f>
        <v>0</v>
      </c>
      <c r="L637" s="791">
        <f>'SOUTH-1'!L257</f>
        <v>743400.00000001967</v>
      </c>
      <c r="M637" s="791">
        <f>'SOUTH-1'!M257</f>
        <v>749171.2108066621</v>
      </c>
      <c r="N637" s="2019" t="str">
        <f>'SOUTH-1'!N257</f>
        <v>Demra</v>
      </c>
      <c r="O637" s="2019" t="str">
        <f>Sheet2!$C$72</f>
        <v>Sarulia  33/11KV S/S</v>
      </c>
    </row>
    <row r="638" spans="1:15" x14ac:dyDescent="0.35">
      <c r="A638" s="2019">
        <f>'SOUTH-1'!A258</f>
        <v>17</v>
      </c>
      <c r="B638" s="2019" t="str">
        <f>'SOUTH-1'!B258</f>
        <v>11 kV Demra Bazar Feeder (=L18)</v>
      </c>
      <c r="C638" s="2019">
        <f>'SOUTH-1'!C258</f>
        <v>11</v>
      </c>
      <c r="D638" s="2019">
        <f>'SOUTH-1'!D258</f>
        <v>0</v>
      </c>
      <c r="E638" s="2019">
        <f>'SOUTH-1'!E258</f>
        <v>30799119</v>
      </c>
      <c r="F638" s="791">
        <f>'SOUTH-1'!F258</f>
        <v>1</v>
      </c>
      <c r="G638" s="791">
        <f>'SOUTH-1'!G258</f>
        <v>1586.97</v>
      </c>
      <c r="H638" s="791">
        <f>'SOUTH-1'!H258</f>
        <v>1590.1</v>
      </c>
      <c r="I638" s="791">
        <f>'SOUTH-1'!I258</f>
        <v>3.1299999999998818</v>
      </c>
      <c r="J638" s="791">
        <f>'SOUTH-1'!J258</f>
        <v>60000</v>
      </c>
      <c r="K638" s="791">
        <f>'SOUTH-1'!K258</f>
        <v>0</v>
      </c>
      <c r="L638" s="791">
        <f>'SOUTH-1'!L258</f>
        <v>187799.9999999929</v>
      </c>
      <c r="M638" s="791">
        <f>'SOUTH-1'!M258</f>
        <v>189257.94106736896</v>
      </c>
      <c r="N638" s="2019" t="str">
        <f>'SOUTH-1'!N258</f>
        <v>Demra</v>
      </c>
      <c r="O638" s="2019" t="str">
        <f>Sheet2!$C$72</f>
        <v>Sarulia  33/11KV S/S</v>
      </c>
    </row>
    <row r="639" spans="1:15" x14ac:dyDescent="0.35">
      <c r="A639" s="2019">
        <f>'SOUTH-1'!A259</f>
        <v>18</v>
      </c>
      <c r="B639" s="2019" t="str">
        <f>'SOUTH-1'!B259</f>
        <v xml:space="preserve">11 kV Spare Feeder (=F9) </v>
      </c>
      <c r="C639" s="2019">
        <f>'SOUTH-1'!C259</f>
        <v>11</v>
      </c>
      <c r="D639" s="2019">
        <f>'SOUTH-1'!D259</f>
        <v>0</v>
      </c>
      <c r="E639" s="2019" t="str">
        <f>'SOUTH-1'!E259</f>
        <v>HA021100859-02</v>
      </c>
      <c r="F639" s="791">
        <f>'SOUTH-1'!F259</f>
        <v>1</v>
      </c>
      <c r="G639" s="791">
        <f>'SOUTH-1'!G259</f>
        <v>0</v>
      </c>
      <c r="H639" s="791">
        <f>'SOUTH-1'!H259</f>
        <v>0</v>
      </c>
      <c r="I639" s="791">
        <f>'SOUTH-1'!I259</f>
        <v>0</v>
      </c>
      <c r="J639" s="791">
        <f>'SOUTH-1'!J259</f>
        <v>1</v>
      </c>
      <c r="K639" s="791">
        <f>'SOUTH-1'!K259</f>
        <v>0</v>
      </c>
      <c r="L639" s="791">
        <f>'SOUTH-1'!L259</f>
        <v>0</v>
      </c>
      <c r="M639" s="791">
        <f>'SOUTH-1'!M259</f>
        <v>0</v>
      </c>
      <c r="N639" s="2019" t="str">
        <f>'SOUTH-1'!N259</f>
        <v>Demra</v>
      </c>
      <c r="O639" s="2019" t="str">
        <f>Sheet2!$C$72</f>
        <v>Sarulia  33/11KV S/S</v>
      </c>
    </row>
    <row r="640" spans="1:15" x14ac:dyDescent="0.35">
      <c r="A640" s="2019">
        <f>'SOUTH-1'!A260</f>
        <v>19</v>
      </c>
      <c r="B640" s="2019" t="str">
        <f>'SOUTH-1'!B260</f>
        <v xml:space="preserve">11 kV Boxnagar Feeder (=F10) </v>
      </c>
      <c r="C640" s="2019">
        <f>'SOUTH-1'!C260</f>
        <v>11</v>
      </c>
      <c r="D640" s="2019">
        <f>'SOUTH-1'!D260</f>
        <v>0</v>
      </c>
      <c r="E640" s="2019" t="str">
        <f>'SOUTH-1'!E260</f>
        <v>HA021100493-02</v>
      </c>
      <c r="F640" s="791">
        <f>'SOUTH-1'!F260</f>
        <v>1</v>
      </c>
      <c r="G640" s="791">
        <f>'SOUTH-1'!G260</f>
        <v>62373234</v>
      </c>
      <c r="H640" s="791">
        <f>'SOUTH-1'!H260</f>
        <v>63778763</v>
      </c>
      <c r="I640" s="791">
        <f>'SOUTH-1'!I260</f>
        <v>1405529</v>
      </c>
      <c r="J640" s="791">
        <f>'SOUTH-1'!J260</f>
        <v>1</v>
      </c>
      <c r="K640" s="791">
        <f>'SOUTH-1'!K260</f>
        <v>0</v>
      </c>
      <c r="L640" s="791">
        <f>'SOUTH-1'!L260</f>
        <v>1405529</v>
      </c>
      <c r="M640" s="791">
        <f>'SOUTH-1'!M260</f>
        <v>1416440.4933465822</v>
      </c>
      <c r="N640" s="2019" t="str">
        <f>'SOUTH-1'!N260</f>
        <v>Demra</v>
      </c>
      <c r="O640" s="2019" t="str">
        <f>Sheet2!$C$72</f>
        <v>Sarulia  33/11KV S/S</v>
      </c>
    </row>
    <row r="641" spans="1:15" x14ac:dyDescent="0.35">
      <c r="A641" s="2019">
        <f>'SOUTH-1'!A261</f>
        <v>21</v>
      </c>
      <c r="B641" s="2019" t="str">
        <f>'SOUTH-1'!B261</f>
        <v>11 kV Baser Pool Feeder  (=L11)</v>
      </c>
      <c r="C641" s="2019">
        <f>'SOUTH-1'!C261</f>
        <v>11</v>
      </c>
      <c r="D641" s="2019">
        <f>'SOUTH-1'!D261</f>
        <v>0</v>
      </c>
      <c r="E641" s="2019" t="str">
        <f>'SOUTH-1'!E261</f>
        <v>HA021100518-02</v>
      </c>
      <c r="F641" s="791">
        <f>'SOUTH-1'!F261</f>
        <v>1</v>
      </c>
      <c r="G641" s="791">
        <f>'SOUTH-1'!G261</f>
        <v>46187652</v>
      </c>
      <c r="H641" s="791">
        <f>'SOUTH-1'!H261</f>
        <v>47645110</v>
      </c>
      <c r="I641" s="791">
        <f>'SOUTH-1'!I261</f>
        <v>1457458</v>
      </c>
      <c r="J641" s="791">
        <f>'SOUTH-1'!J261</f>
        <v>1</v>
      </c>
      <c r="K641" s="791">
        <f>'SOUTH-1'!K261</f>
        <v>0</v>
      </c>
      <c r="L641" s="791">
        <f>'SOUTH-1'!L261</f>
        <v>1457458</v>
      </c>
      <c r="M641" s="791">
        <f>'SOUTH-1'!M261</f>
        <v>1468772.6319072198</v>
      </c>
      <c r="N641" s="2019" t="str">
        <f>'SOUTH-1'!N261</f>
        <v>Demra</v>
      </c>
      <c r="O641" s="2019" t="str">
        <f>Sheet2!$C$72</f>
        <v>Sarulia  33/11KV S/S</v>
      </c>
    </row>
    <row r="642" spans="1:15" x14ac:dyDescent="0.35">
      <c r="A642" s="2019">
        <f>'SOUTH-1'!A262</f>
        <v>22</v>
      </c>
      <c r="B642" s="2019" t="str">
        <f>'SOUTH-1'!B262</f>
        <v>11 kV Dip-Pur Feeder (=L12)</v>
      </c>
      <c r="C642" s="2019">
        <f>'SOUTH-1'!C262</f>
        <v>11</v>
      </c>
      <c r="D642" s="2019">
        <f>'SOUTH-1'!D262</f>
        <v>0</v>
      </c>
      <c r="E642" s="2019" t="str">
        <f>'SOUTH-1'!E262</f>
        <v>HA021100697-02</v>
      </c>
      <c r="F642" s="791">
        <f>'SOUTH-1'!F262</f>
        <v>1</v>
      </c>
      <c r="G642" s="791">
        <f>'SOUTH-1'!G262</f>
        <v>6579130</v>
      </c>
      <c r="H642" s="791">
        <f>'SOUTH-1'!H262</f>
        <v>8418128</v>
      </c>
      <c r="I642" s="791">
        <f>'SOUTH-1'!I262</f>
        <v>1838998</v>
      </c>
      <c r="J642" s="791">
        <f>'SOUTH-1'!J262</f>
        <v>1</v>
      </c>
      <c r="K642" s="791">
        <f>'SOUTH-1'!K262</f>
        <v>0</v>
      </c>
      <c r="L642" s="791">
        <f>'SOUTH-1'!L262</f>
        <v>1838998</v>
      </c>
      <c r="M642" s="791">
        <f>'SOUTH-1'!M262</f>
        <v>1853274.6278329212</v>
      </c>
      <c r="N642" s="2019" t="str">
        <f>'SOUTH-1'!N262</f>
        <v>Demra</v>
      </c>
      <c r="O642" s="2019" t="str">
        <f>Sheet2!$C$72</f>
        <v>Sarulia  33/11KV S/S</v>
      </c>
    </row>
    <row r="643" spans="1:15" x14ac:dyDescent="0.35">
      <c r="A643" s="2019">
        <f>'SOUTH-1'!A263</f>
        <v>23</v>
      </c>
      <c r="B643" s="2019" t="str">
        <f>'SOUTH-1'!B263</f>
        <v>11/0.4 kV Auxiliary Transformer-1(AT-1)</v>
      </c>
      <c r="C643" s="2019">
        <f>'SOUTH-1'!C263</f>
        <v>0.41499999999999998</v>
      </c>
      <c r="D643" s="2019">
        <f>'SOUTH-1'!D263</f>
        <v>0</v>
      </c>
      <c r="E643" s="2019" t="str">
        <f>'SOUTH-1'!E263</f>
        <v>05378800</v>
      </c>
      <c r="F643" s="791">
        <f>'SOUTH-1'!F263</f>
        <v>1</v>
      </c>
      <c r="G643" s="791">
        <f>'SOUTH-1'!G263</f>
        <v>564750.6</v>
      </c>
      <c r="H643" s="791">
        <f>'SOUTH-1'!H263</f>
        <v>566454.55000000005</v>
      </c>
      <c r="I643" s="791">
        <f>'SOUTH-1'!I263</f>
        <v>1703.9500000000698</v>
      </c>
      <c r="J643" s="791">
        <f>'SOUTH-1'!J263</f>
        <v>2</v>
      </c>
      <c r="K643" s="791">
        <f>'SOUTH-1'!K263</f>
        <v>0</v>
      </c>
      <c r="L643" s="791">
        <f>'SOUTH-1'!L263</f>
        <v>3407.9000000001397</v>
      </c>
      <c r="M643" s="791">
        <f>'SOUTH-1'!M263</f>
        <v>3434.3564289858227</v>
      </c>
      <c r="N643" s="2019" t="str">
        <f>'SOUTH-1'!N263</f>
        <v>Demra</v>
      </c>
      <c r="O643" s="2019" t="str">
        <f>Sheet2!$C$72</f>
        <v>Sarulia  33/11KV S/S</v>
      </c>
    </row>
    <row r="644" spans="1:15" x14ac:dyDescent="0.35">
      <c r="A644" s="2019">
        <f>'SOUTH-1'!A264</f>
        <v>24</v>
      </c>
      <c r="B644" s="2019" t="str">
        <f>'SOUTH-1'!B264</f>
        <v>11/0.4 kV Auxiliary Transformer-2 (AT-2)</v>
      </c>
      <c r="C644" s="2019">
        <f>'SOUTH-1'!C264</f>
        <v>0.41499999999999998</v>
      </c>
      <c r="D644" s="2019">
        <f>'SOUTH-1'!D264</f>
        <v>0</v>
      </c>
      <c r="E644" s="2019" t="str">
        <f>'SOUTH-1'!E264</f>
        <v>05395814</v>
      </c>
      <c r="F644" s="791">
        <f>'SOUTH-1'!F264</f>
        <v>1</v>
      </c>
      <c r="G644" s="791">
        <f>'SOUTH-1'!G264</f>
        <v>0</v>
      </c>
      <c r="H644" s="791">
        <f>'SOUTH-1'!H264</f>
        <v>0</v>
      </c>
      <c r="I644" s="791">
        <f>'SOUTH-1'!I264</f>
        <v>0</v>
      </c>
      <c r="J644" s="791">
        <f>'SOUTH-1'!J264</f>
        <v>2</v>
      </c>
      <c r="K644" s="791">
        <f>'SOUTH-1'!K264</f>
        <v>0</v>
      </c>
      <c r="L644" s="791">
        <f>'SOUTH-1'!L264</f>
        <v>0</v>
      </c>
      <c r="M644" s="791">
        <f>'SOUTH-1'!M264</f>
        <v>0</v>
      </c>
      <c r="N644" s="2019" t="str">
        <f>'SOUTH-1'!N264</f>
        <v>Demra</v>
      </c>
      <c r="O644" s="2019" t="str">
        <f>Sheet2!$C$72</f>
        <v>Sarulia  33/11KV S/S</v>
      </c>
    </row>
    <row r="645" spans="1:15" x14ac:dyDescent="0.35">
      <c r="A645" s="2019">
        <f>'SOUTH-1'!A334</f>
        <v>12</v>
      </c>
      <c r="B645" s="2019" t="str">
        <f>'SOUTH-1'!B334</f>
        <v>11 kV Khanpur Feeder</v>
      </c>
      <c r="C645" s="2019">
        <f>'SOUTH-1'!C334</f>
        <v>11</v>
      </c>
      <c r="D645" s="2019">
        <f>'SOUTH-1'!D334</f>
        <v>0</v>
      </c>
      <c r="E645" s="2019" t="str">
        <f>'SOUTH-1'!E334</f>
        <v>DHKC 9348</v>
      </c>
      <c r="F645" s="791">
        <f>'SOUTH-1'!F334</f>
        <v>1</v>
      </c>
      <c r="G645" s="791">
        <f>'SOUTH-1'!G334</f>
        <v>18261.439999999999</v>
      </c>
      <c r="H645" s="791">
        <f>'SOUTH-1'!H334</f>
        <v>34649.9</v>
      </c>
      <c r="I645" s="791">
        <f>'SOUTH-1'!I334</f>
        <v>16388.460000000003</v>
      </c>
      <c r="J645" s="791">
        <f>'SOUTH-1'!J334</f>
        <v>60</v>
      </c>
      <c r="K645" s="791">
        <f>'SOUTH-1'!K334</f>
        <v>0</v>
      </c>
      <c r="L645" s="791">
        <f>'SOUTH-1'!L334</f>
        <v>983307.60000000021</v>
      </c>
      <c r="M645" s="791">
        <f>'SOUTH-1'!M334</f>
        <v>994131.21559107979</v>
      </c>
      <c r="N645" s="2019" t="str">
        <f>'SOUTH-1'!N334</f>
        <v>N.Gonj (East)</v>
      </c>
      <c r="O645" s="2019" t="str">
        <f>Sheet2!$C$69</f>
        <v>Khanpur 33/11KV S/S</v>
      </c>
    </row>
    <row r="646" spans="1:15" x14ac:dyDescent="0.35">
      <c r="A646" s="2019">
        <f>'SOUTH-1'!A335</f>
        <v>13</v>
      </c>
      <c r="B646" s="2019" t="str">
        <f>'SOUTH-1'!B335</f>
        <v>11 kV Mission Para Feeder.</v>
      </c>
      <c r="C646" s="2019">
        <f>'SOUTH-1'!C335</f>
        <v>11</v>
      </c>
      <c r="D646" s="2019">
        <f>'SOUTH-1'!D335</f>
        <v>0</v>
      </c>
      <c r="E646" s="2019" t="str">
        <f>'SOUTH-1'!E335</f>
        <v>DHKC 9347</v>
      </c>
      <c r="F646" s="791">
        <f>'SOUTH-1'!F335</f>
        <v>1</v>
      </c>
      <c r="G646" s="791">
        <f>'SOUTH-1'!G335</f>
        <v>30528.54</v>
      </c>
      <c r="H646" s="791">
        <f>'SOUTH-1'!H335</f>
        <v>46182.98</v>
      </c>
      <c r="I646" s="791">
        <f>'SOUTH-1'!I335</f>
        <v>15654.440000000002</v>
      </c>
      <c r="J646" s="791">
        <f>'SOUTH-1'!J335</f>
        <v>60</v>
      </c>
      <c r="K646" s="791">
        <f>'SOUTH-1'!K335</f>
        <v>0</v>
      </c>
      <c r="L646" s="791">
        <f>'SOUTH-1'!L335</f>
        <v>939266.40000000014</v>
      </c>
      <c r="M646" s="791">
        <f>'SOUTH-1'!M335</f>
        <v>949605.23847863823</v>
      </c>
      <c r="N646" s="2019" t="str">
        <f>'SOUTH-1'!N335</f>
        <v>N.Gonj (East)</v>
      </c>
      <c r="O646" s="2019" t="str">
        <f>Sheet2!$C$69</f>
        <v>Khanpur 33/11KV S/S</v>
      </c>
    </row>
    <row r="647" spans="1:15" x14ac:dyDescent="0.35">
      <c r="A647" s="2019">
        <f>'SOUTH-1'!A336</f>
        <v>14</v>
      </c>
      <c r="B647" s="2019" t="str">
        <f>'SOUTH-1'!B336</f>
        <v>11 kV Esha Kha Feeder</v>
      </c>
      <c r="C647" s="2019">
        <f>'SOUTH-1'!C336</f>
        <v>11</v>
      </c>
      <c r="D647" s="2019">
        <f>'SOUTH-1'!D336</f>
        <v>0</v>
      </c>
      <c r="E647" s="2019" t="str">
        <f>'SOUTH-1'!E336</f>
        <v>DHKC 9311</v>
      </c>
      <c r="F647" s="791">
        <f>'SOUTH-1'!F336</f>
        <v>1</v>
      </c>
      <c r="G647" s="791">
        <f>'SOUTH-1'!G336</f>
        <v>66284.14</v>
      </c>
      <c r="H647" s="791">
        <f>'SOUTH-1'!H336</f>
        <v>79349.38</v>
      </c>
      <c r="I647" s="791">
        <f>'SOUTH-1'!I336</f>
        <v>13065.240000000005</v>
      </c>
      <c r="J647" s="791">
        <f>'SOUTH-1'!J336</f>
        <v>60</v>
      </c>
      <c r="K647" s="791">
        <f>'SOUTH-1'!K336</f>
        <v>0</v>
      </c>
      <c r="L647" s="791">
        <f>'SOUTH-1'!L336</f>
        <v>783914.40000000037</v>
      </c>
      <c r="M647" s="791">
        <f>'SOUTH-1'!M336</f>
        <v>792543.2239020142</v>
      </c>
      <c r="N647" s="2019" t="str">
        <f>'SOUTH-1'!N336</f>
        <v>N.Gonj (East)</v>
      </c>
      <c r="O647" s="2019" t="str">
        <f>Sheet2!$C$69</f>
        <v>Khanpur 33/11KV S/S</v>
      </c>
    </row>
    <row r="648" spans="1:15" x14ac:dyDescent="0.35">
      <c r="A648" s="2019">
        <f>'SOUTH-1'!A337</f>
        <v>15</v>
      </c>
      <c r="B648" s="2019" t="str">
        <f>'SOUTH-1'!B337</f>
        <v>11 kV New Hazigonj Feeder</v>
      </c>
      <c r="C648" s="2019">
        <f>'SOUTH-1'!C337</f>
        <v>11</v>
      </c>
      <c r="D648" s="2019">
        <f>'SOUTH-1'!D337</f>
        <v>0</v>
      </c>
      <c r="E648" s="2019" t="str">
        <f>'SOUTH-1'!E337</f>
        <v>DHKC 9314</v>
      </c>
      <c r="F648" s="791">
        <f>'SOUTH-1'!F337</f>
        <v>1</v>
      </c>
      <c r="G648" s="791">
        <f>'SOUTH-1'!G337</f>
        <v>64637.440000000002</v>
      </c>
      <c r="H648" s="791">
        <f>'SOUTH-1'!H337</f>
        <v>92733.82</v>
      </c>
      <c r="I648" s="791">
        <f>'SOUTH-1'!I337</f>
        <v>28096.380000000005</v>
      </c>
      <c r="J648" s="791">
        <f>'SOUTH-1'!J337</f>
        <v>60</v>
      </c>
      <c r="K648" s="791">
        <f>'SOUTH-1'!K337</f>
        <v>0</v>
      </c>
      <c r="L648" s="791">
        <f>'SOUTH-1'!L337</f>
        <v>1685782.8000000003</v>
      </c>
      <c r="M648" s="791">
        <f>'SOUTH-1'!M337</f>
        <v>1704338.80932735</v>
      </c>
      <c r="N648" s="2019" t="str">
        <f>'SOUTH-1'!N337</f>
        <v>N.Gonj (East)</v>
      </c>
      <c r="O648" s="2019" t="str">
        <f>Sheet2!$C$69</f>
        <v>Khanpur 33/11KV S/S</v>
      </c>
    </row>
    <row r="649" spans="1:15" x14ac:dyDescent="0.35">
      <c r="A649" s="2019">
        <f>'SOUTH-1'!A338</f>
        <v>16</v>
      </c>
      <c r="B649" s="2019" t="str">
        <f>'SOUTH-1'!B338</f>
        <v>11 kV Spare Feeder.</v>
      </c>
      <c r="C649" s="2019">
        <f>'SOUTH-1'!C338</f>
        <v>11</v>
      </c>
      <c r="D649" s="2019">
        <f>'SOUTH-1'!D338</f>
        <v>0</v>
      </c>
      <c r="E649" s="2019" t="str">
        <f>'SOUTH-1'!E338</f>
        <v>DHKC 9345</v>
      </c>
      <c r="F649" s="791">
        <f>'SOUTH-1'!F338</f>
        <v>1</v>
      </c>
      <c r="G649" s="791">
        <f>'SOUTH-1'!G338</f>
        <v>0</v>
      </c>
      <c r="H649" s="791">
        <f>'SOUTH-1'!H338</f>
        <v>0</v>
      </c>
      <c r="I649" s="791">
        <f>'SOUTH-1'!I338</f>
        <v>0</v>
      </c>
      <c r="J649" s="791">
        <f>'SOUTH-1'!J338</f>
        <v>60</v>
      </c>
      <c r="K649" s="791">
        <f>'SOUTH-1'!K338</f>
        <v>0</v>
      </c>
      <c r="L649" s="791">
        <f>'SOUTH-1'!L338</f>
        <v>0</v>
      </c>
      <c r="M649" s="791">
        <f>'SOUTH-1'!M338</f>
        <v>0</v>
      </c>
      <c r="N649" s="2019">
        <f>'SOUTH-1'!N338</f>
        <v>0</v>
      </c>
      <c r="O649" s="2019" t="str">
        <f>Sheet2!$C$69</f>
        <v>Khanpur 33/11KV S/S</v>
      </c>
    </row>
    <row r="650" spans="1:15" x14ac:dyDescent="0.35">
      <c r="A650" s="2019">
        <f>'SOUTH-1'!A339</f>
        <v>19</v>
      </c>
      <c r="B650" s="2019" t="str">
        <f>'SOUTH-1'!B339</f>
        <v xml:space="preserve">11 kV Hospital RMU Feeder. </v>
      </c>
      <c r="C650" s="2019">
        <f>'SOUTH-1'!C339</f>
        <v>11</v>
      </c>
      <c r="D650" s="2019">
        <f>'SOUTH-1'!D339</f>
        <v>0</v>
      </c>
      <c r="E650" s="2019">
        <f>'SOUTH-1'!E339</f>
        <v>6604412</v>
      </c>
      <c r="F650" s="791">
        <f>'SOUTH-1'!F339</f>
        <v>1</v>
      </c>
      <c r="G650" s="791">
        <f>'SOUTH-1'!G339</f>
        <v>13505.75</v>
      </c>
      <c r="H650" s="791">
        <f>'SOUTH-1'!H339</f>
        <v>13509.87</v>
      </c>
      <c r="I650" s="791">
        <f>'SOUTH-1'!I339</f>
        <v>4.1200000000008004</v>
      </c>
      <c r="J650" s="791">
        <f>'SOUTH-1'!J339</f>
        <v>8000</v>
      </c>
      <c r="K650" s="791">
        <f>'SOUTH-1'!K339</f>
        <v>0</v>
      </c>
      <c r="L650" s="791">
        <f>'SOUTH-1'!L339</f>
        <v>32960.000000006403</v>
      </c>
      <c r="M650" s="791">
        <f>'SOUTH-1'!M339</f>
        <v>33322.802412885198</v>
      </c>
      <c r="N650" s="2019" t="str">
        <f>'SOUTH-1'!N339</f>
        <v>N.Gonj (East)</v>
      </c>
      <c r="O650" s="2019" t="str">
        <f>Sheet2!$C$69</f>
        <v>Khanpur 33/11KV S/S</v>
      </c>
    </row>
    <row r="651" spans="1:15" x14ac:dyDescent="0.35">
      <c r="A651" s="2019">
        <f>'SOUTH-1'!A340</f>
        <v>20</v>
      </c>
      <c r="B651" s="2019" t="str">
        <f>'SOUTH-1'!B340</f>
        <v>11 kV Old Hajiganj Feeder.</v>
      </c>
      <c r="C651" s="2019">
        <f>'SOUTH-1'!C340</f>
        <v>11</v>
      </c>
      <c r="D651" s="2019">
        <f>'SOUTH-1'!D340</f>
        <v>0</v>
      </c>
      <c r="E651" s="2019" t="str">
        <f>'SOUTH-1'!E340</f>
        <v>DHK00189</v>
      </c>
      <c r="F651" s="791">
        <f>'SOUTH-1'!F340</f>
        <v>1</v>
      </c>
      <c r="G651" s="791">
        <f>'SOUTH-1'!G340</f>
        <v>6059.21</v>
      </c>
      <c r="H651" s="791">
        <f>'SOUTH-1'!H340</f>
        <v>7112.9</v>
      </c>
      <c r="I651" s="791">
        <f>'SOUTH-1'!I340</f>
        <v>1053.6899999999996</v>
      </c>
      <c r="J651" s="791">
        <f>'SOUTH-1'!J340</f>
        <v>444.44</v>
      </c>
      <c r="K651" s="791">
        <f>'SOUTH-1'!K340</f>
        <v>0</v>
      </c>
      <c r="L651" s="791">
        <f>'SOUTH-1'!L340</f>
        <v>468301.9835999998</v>
      </c>
      <c r="M651" s="791">
        <f>'SOUTH-1'!M340</f>
        <v>473456.74966814212</v>
      </c>
      <c r="N651" s="2019" t="str">
        <f>'SOUTH-1'!N340</f>
        <v>N.Gonj (East)</v>
      </c>
      <c r="O651" s="2019" t="str">
        <f>Sheet2!$C$69</f>
        <v>Khanpur 33/11KV S/S</v>
      </c>
    </row>
    <row r="652" spans="1:15" x14ac:dyDescent="0.35">
      <c r="A652" s="2019">
        <f>'SOUTH-1'!A341</f>
        <v>21</v>
      </c>
      <c r="B652" s="2019" t="str">
        <f>'SOUTH-1'!B341</f>
        <v>11 kV Siraj-ud-daullah Feeder.</v>
      </c>
      <c r="C652" s="2019">
        <f>'SOUTH-1'!C341</f>
        <v>11</v>
      </c>
      <c r="D652" s="2019">
        <f>'SOUTH-1'!D341</f>
        <v>0</v>
      </c>
      <c r="E652" s="2019" t="str">
        <f>'SOUTH-1'!E341</f>
        <v>06604389</v>
      </c>
      <c r="F652" s="791">
        <f>'SOUTH-1'!F341</f>
        <v>1</v>
      </c>
      <c r="G652" s="791">
        <f>'SOUTH-1'!G341</f>
        <v>30831.599999999999</v>
      </c>
      <c r="H652" s="791">
        <f>'SOUTH-1'!H341</f>
        <v>30930.54</v>
      </c>
      <c r="I652" s="791">
        <f>'SOUTH-1'!I341</f>
        <v>98.940000000002328</v>
      </c>
      <c r="J652" s="791">
        <f>'SOUTH-1'!J341</f>
        <v>8000</v>
      </c>
      <c r="K652" s="791">
        <f>'SOUTH-1'!K341</f>
        <v>0</v>
      </c>
      <c r="L652" s="791">
        <f>'SOUTH-1'!L341</f>
        <v>791520.00000001863</v>
      </c>
      <c r="M652" s="791">
        <f>'SOUTH-1'!M341</f>
        <v>800232.54143939284</v>
      </c>
      <c r="N652" s="2019" t="str">
        <f>'SOUTH-1'!N341</f>
        <v>N.Gonj (East)</v>
      </c>
      <c r="O652" s="2019" t="str">
        <f>Sheet2!$C$69</f>
        <v>Khanpur 33/11KV S/S</v>
      </c>
    </row>
    <row r="653" spans="1:15" x14ac:dyDescent="0.35">
      <c r="A653" s="2019">
        <f>'SOUTH-1'!A342</f>
        <v>22</v>
      </c>
      <c r="B653" s="2019" t="str">
        <f>'SOUTH-1'!B342</f>
        <v>11 kV Spare Feeder.</v>
      </c>
      <c r="C653" s="2019">
        <f>'SOUTH-1'!C342</f>
        <v>11</v>
      </c>
      <c r="D653" s="2019">
        <f>'SOUTH-1'!D342</f>
        <v>0</v>
      </c>
      <c r="E653" s="2019">
        <f>'SOUTH-1'!E342</f>
        <v>8576983</v>
      </c>
      <c r="F653" s="791">
        <f>'SOUTH-1'!F342</f>
        <v>1</v>
      </c>
      <c r="G653" s="791">
        <f>'SOUTH-1'!G342</f>
        <v>0</v>
      </c>
      <c r="H653" s="791">
        <f>'SOUTH-1'!H342</f>
        <v>0</v>
      </c>
      <c r="I653" s="791">
        <f>'SOUTH-1'!I342</f>
        <v>0</v>
      </c>
      <c r="J653" s="791">
        <f>'SOUTH-1'!J342</f>
        <v>1000</v>
      </c>
      <c r="K653" s="791">
        <f>'SOUTH-1'!K342</f>
        <v>0</v>
      </c>
      <c r="L653" s="791">
        <f>'SOUTH-1'!L342</f>
        <v>0</v>
      </c>
      <c r="M653" s="791">
        <f>'SOUTH-1'!M342</f>
        <v>0</v>
      </c>
      <c r="N653" s="2019">
        <f>'SOUTH-1'!N342</f>
        <v>0</v>
      </c>
      <c r="O653" s="2019" t="str">
        <f>Sheet2!$C$69</f>
        <v>Khanpur 33/11KV S/S</v>
      </c>
    </row>
    <row r="654" spans="1:15" x14ac:dyDescent="0.35">
      <c r="A654" s="2019">
        <f>'SOUTH-1'!A343</f>
        <v>23</v>
      </c>
      <c r="B654" s="2019" t="str">
        <f>'SOUTH-1'!B343</f>
        <v xml:space="preserve">Old 33/11 kV 10/14 MVA T1 Incoming </v>
      </c>
      <c r="C654" s="2019">
        <f>'SOUTH-1'!C343</f>
        <v>11</v>
      </c>
      <c r="D654" s="2019">
        <f>'SOUTH-1'!D343</f>
        <v>0</v>
      </c>
      <c r="E654" s="2019" t="str">
        <f>'SOUTH-1'!E343</f>
        <v>06604371</v>
      </c>
      <c r="F654" s="791">
        <f>'SOUTH-1'!F343</f>
        <v>1</v>
      </c>
      <c r="G654" s="791">
        <f>'SOUTH-1'!G343</f>
        <v>4422.93</v>
      </c>
      <c r="H654" s="791">
        <f>'SOUTH-1'!H343</f>
        <v>4422.93</v>
      </c>
      <c r="I654" s="791">
        <f>'SOUTH-1'!I343</f>
        <v>0</v>
      </c>
      <c r="J654" s="791">
        <f>'SOUTH-1'!J343</f>
        <v>80000</v>
      </c>
      <c r="K654" s="791">
        <f>'SOUTH-1'!K343</f>
        <v>0</v>
      </c>
      <c r="L654" s="791">
        <f>'SOUTH-1'!L343</f>
        <v>0</v>
      </c>
      <c r="M654" s="791">
        <f>'SOUTH-1'!M343</f>
        <v>0</v>
      </c>
      <c r="N654" s="2019">
        <f>'SOUTH-1'!N343</f>
        <v>0</v>
      </c>
      <c r="O654" s="2019" t="str">
        <f>Sheet2!$C$69</f>
        <v>Khanpur 33/11KV S/S</v>
      </c>
    </row>
    <row r="655" spans="1:15" x14ac:dyDescent="0.35">
      <c r="A655" s="2019">
        <f>'SOUTH-1'!A344</f>
        <v>25</v>
      </c>
      <c r="B655" s="2019" t="str">
        <f>'SOUTH-1'!B344</f>
        <v>11 kV B. B. Road West Feeder.</v>
      </c>
      <c r="C655" s="2019">
        <f>'SOUTH-1'!C344</f>
        <v>11</v>
      </c>
      <c r="D655" s="2019">
        <f>'SOUTH-1'!D344</f>
        <v>0</v>
      </c>
      <c r="E655" s="2019">
        <f>'SOUTH-1'!E344</f>
        <v>6604415</v>
      </c>
      <c r="F655" s="791">
        <f>'SOUTH-1'!F344</f>
        <v>1</v>
      </c>
      <c r="G655" s="791">
        <f>'SOUTH-1'!G344</f>
        <v>30945.599999999999</v>
      </c>
      <c r="H655" s="791">
        <f>'SOUTH-1'!H344</f>
        <v>31090.74</v>
      </c>
      <c r="I655" s="791">
        <f>'SOUTH-1'!I344</f>
        <v>145.14000000000306</v>
      </c>
      <c r="J655" s="791">
        <f>'SOUTH-1'!J344</f>
        <v>8000</v>
      </c>
      <c r="K655" s="791">
        <f>'SOUTH-1'!K344</f>
        <v>0</v>
      </c>
      <c r="L655" s="791">
        <f>'SOUTH-1'!L344</f>
        <v>1161120.0000000244</v>
      </c>
      <c r="M655" s="791">
        <f>'SOUTH-1'!M344</f>
        <v>1173900.8597585727</v>
      </c>
      <c r="N655" s="2019" t="str">
        <f>'SOUTH-1'!N344</f>
        <v>N.Gonj (West)</v>
      </c>
      <c r="O655" s="2019" t="str">
        <f>Sheet2!$C$69</f>
        <v>Khanpur 33/11KV S/S</v>
      </c>
    </row>
    <row r="656" spans="1:15" x14ac:dyDescent="0.35">
      <c r="A656" s="2019">
        <f>'SOUTH-1'!A345</f>
        <v>26</v>
      </c>
      <c r="B656" s="2019" t="str">
        <f>'SOUTH-1'!B345</f>
        <v>11 kV Mondalpara Feeder.</v>
      </c>
      <c r="C656" s="2019">
        <f>'SOUTH-1'!C345</f>
        <v>11</v>
      </c>
      <c r="D656" s="2019">
        <f>'SOUTH-1'!D345</f>
        <v>0</v>
      </c>
      <c r="E656" s="2019" t="str">
        <f>'SOUTH-1'!E345</f>
        <v>06604394</v>
      </c>
      <c r="F656" s="791">
        <f>'SOUTH-1'!F345</f>
        <v>1</v>
      </c>
      <c r="G656" s="791">
        <f>'SOUTH-1'!G345</f>
        <v>267.16000000000003</v>
      </c>
      <c r="H656" s="791">
        <f>'SOUTH-1'!H345</f>
        <v>267.16000000000003</v>
      </c>
      <c r="I656" s="791">
        <f>'SOUTH-1'!I345</f>
        <v>0</v>
      </c>
      <c r="J656" s="791">
        <f>'SOUTH-1'!J345</f>
        <v>8000</v>
      </c>
      <c r="K656" s="791">
        <f>'SOUTH-1'!K345</f>
        <v>0</v>
      </c>
      <c r="L656" s="791">
        <f>'SOUTH-1'!L345</f>
        <v>0</v>
      </c>
      <c r="M656" s="791">
        <f>'SOUTH-1'!M345</f>
        <v>0</v>
      </c>
      <c r="N656" s="2019">
        <f>'SOUTH-1'!N345</f>
        <v>0</v>
      </c>
      <c r="O656" s="2019" t="str">
        <f>Sheet2!$C$69</f>
        <v>Khanpur 33/11KV S/S</v>
      </c>
    </row>
    <row r="657" spans="1:15" x14ac:dyDescent="0.35">
      <c r="A657" s="2019">
        <f>'SOUTH-1'!A346</f>
        <v>27</v>
      </c>
      <c r="B657" s="2019" t="str">
        <f>'SOUTH-1'!B346</f>
        <v>11 kV B. B. Road East Feeder.</v>
      </c>
      <c r="C657" s="2019">
        <f>'SOUTH-1'!C346</f>
        <v>11</v>
      </c>
      <c r="D657" s="2019">
        <f>'SOUTH-1'!D346</f>
        <v>0</v>
      </c>
      <c r="E657" s="2019" t="str">
        <f>'SOUTH-1'!E346</f>
        <v>06604392</v>
      </c>
      <c r="F657" s="791">
        <f>'SOUTH-1'!F346</f>
        <v>1</v>
      </c>
      <c r="G657" s="791">
        <f>'SOUTH-1'!G346</f>
        <v>26712.79</v>
      </c>
      <c r="H657" s="791">
        <f>'SOUTH-1'!H346</f>
        <v>26823.27</v>
      </c>
      <c r="I657" s="791">
        <f>'SOUTH-1'!I346</f>
        <v>110.47999999999956</v>
      </c>
      <c r="J657" s="791">
        <f>'SOUTH-1'!J346</f>
        <v>8000</v>
      </c>
      <c r="K657" s="791">
        <f>'SOUTH-1'!K346</f>
        <v>0</v>
      </c>
      <c r="L657" s="791">
        <f>'SOUTH-1'!L346</f>
        <v>883839.99999999651</v>
      </c>
      <c r="M657" s="791">
        <f>'SOUTH-1'!M346</f>
        <v>893568.74043078313</v>
      </c>
      <c r="N657" s="2019" t="str">
        <f>'SOUTH-1'!N346</f>
        <v>N.Gonj (East)</v>
      </c>
      <c r="O657" s="2019" t="str">
        <f>Sheet2!$C$69</f>
        <v>Khanpur 33/11KV S/S</v>
      </c>
    </row>
    <row r="658" spans="1:15" x14ac:dyDescent="0.35">
      <c r="A658" s="2019">
        <f>'SOUTH-1'!A347</f>
        <v>28</v>
      </c>
      <c r="B658" s="2019" t="str">
        <f>'SOUTH-1'!B347</f>
        <v>11 kV Bishaw Road Feeder.</v>
      </c>
      <c r="C658" s="2019">
        <f>'SOUTH-1'!C347</f>
        <v>11</v>
      </c>
      <c r="D658" s="2019">
        <f>'SOUTH-1'!D347</f>
        <v>0</v>
      </c>
      <c r="E658" s="2019" t="str">
        <f>'SOUTH-1'!E347</f>
        <v>06604393</v>
      </c>
      <c r="F658" s="791">
        <f>'SOUTH-1'!F347</f>
        <v>1</v>
      </c>
      <c r="G658" s="791">
        <f>'SOUTH-1'!G347</f>
        <v>37358.129999999997</v>
      </c>
      <c r="H658" s="791">
        <f>'SOUTH-1'!H347</f>
        <v>37525.519999999997</v>
      </c>
      <c r="I658" s="791">
        <f>'SOUTH-1'!I347</f>
        <v>167.38999999999942</v>
      </c>
      <c r="J658" s="791">
        <f>'SOUTH-1'!J347</f>
        <v>8000</v>
      </c>
      <c r="K658" s="791">
        <f>'SOUTH-1'!K347</f>
        <v>0</v>
      </c>
      <c r="L658" s="791">
        <f>'SOUTH-1'!L347</f>
        <v>1339119.9999999953</v>
      </c>
      <c r="M658" s="791">
        <f>'SOUTH-1'!M347</f>
        <v>1353860.1689057646</v>
      </c>
      <c r="N658" s="2019" t="str">
        <f>'SOUTH-1'!N347</f>
        <v>N.Gonj (East)</v>
      </c>
      <c r="O658" s="2019" t="str">
        <f>Sheet2!$C$69</f>
        <v>Khanpur 33/11KV S/S</v>
      </c>
    </row>
    <row r="659" spans="1:15" x14ac:dyDescent="0.35">
      <c r="A659" s="2019">
        <f>'SOUTH-1'!A348</f>
        <v>29</v>
      </c>
      <c r="B659" s="2019" t="str">
        <f>'SOUTH-1'!B348</f>
        <v>11 kV Chasara Feeder.</v>
      </c>
      <c r="C659" s="2019">
        <f>'SOUTH-1'!C348</f>
        <v>11</v>
      </c>
      <c r="D659" s="2019">
        <f>'SOUTH-1'!D348</f>
        <v>0</v>
      </c>
      <c r="E659" s="2019" t="str">
        <f>'SOUTH-1'!E348</f>
        <v>06604391</v>
      </c>
      <c r="F659" s="791">
        <f>'SOUTH-1'!F348</f>
        <v>1</v>
      </c>
      <c r="G659" s="791">
        <f>'SOUTH-1'!G348</f>
        <v>37551.19</v>
      </c>
      <c r="H659" s="791">
        <f>'SOUTH-1'!H348</f>
        <v>37698.730000000003</v>
      </c>
      <c r="I659" s="791">
        <f>'SOUTH-1'!I348</f>
        <v>147.54000000000087</v>
      </c>
      <c r="J659" s="791">
        <f>'SOUTH-1'!J348</f>
        <v>8000</v>
      </c>
      <c r="K659" s="791">
        <f>'SOUTH-1'!K348</f>
        <v>0</v>
      </c>
      <c r="L659" s="791">
        <f>'SOUTH-1'!L348</f>
        <v>1180320.000000007</v>
      </c>
      <c r="M659" s="791">
        <f>'SOUTH-1'!M348</f>
        <v>1193312.2009699407</v>
      </c>
      <c r="N659" s="2019" t="str">
        <f>'SOUTH-1'!N348</f>
        <v>N.Gonj (West)</v>
      </c>
      <c r="O659" s="2019" t="str">
        <f>Sheet2!$C$69</f>
        <v>Khanpur 33/11KV S/S</v>
      </c>
    </row>
    <row r="660" spans="1:15" x14ac:dyDescent="0.35">
      <c r="A660" s="2019">
        <f>'SOUTH-1'!A349</f>
        <v>31</v>
      </c>
      <c r="B660" s="2019" t="str">
        <f>'SOUTH-1'!B349</f>
        <v>11 kV Pathan Tully Feeder.</v>
      </c>
      <c r="C660" s="2019">
        <f>'SOUTH-1'!C349</f>
        <v>11</v>
      </c>
      <c r="D660" s="2019">
        <f>'SOUTH-1'!D349</f>
        <v>0</v>
      </c>
      <c r="E660" s="2019" t="str">
        <f>'SOUTH-1'!E349</f>
        <v>06604388</v>
      </c>
      <c r="F660" s="791">
        <f>'SOUTH-1'!F349</f>
        <v>1</v>
      </c>
      <c r="G660" s="791">
        <f>'SOUTH-1'!G349</f>
        <v>6520.24</v>
      </c>
      <c r="H660" s="791">
        <f>'SOUTH-1'!H349</f>
        <v>6520.24</v>
      </c>
      <c r="I660" s="791">
        <f>'SOUTH-1'!I349</f>
        <v>0</v>
      </c>
      <c r="J660" s="791">
        <f>'SOUTH-1'!J349</f>
        <v>40000</v>
      </c>
      <c r="K660" s="791">
        <f>'SOUTH-1'!K349</f>
        <v>0</v>
      </c>
      <c r="L660" s="791">
        <f>'SOUTH-1'!L349</f>
        <v>0</v>
      </c>
      <c r="M660" s="791">
        <f>'SOUTH-1'!M349</f>
        <v>0</v>
      </c>
      <c r="N660" s="2019" t="str">
        <f>'SOUTH-1'!N349</f>
        <v>N.Gonj (East)</v>
      </c>
      <c r="O660" s="2019" t="str">
        <f>Sheet2!$C$69</f>
        <v>Khanpur 33/11KV S/S</v>
      </c>
    </row>
    <row r="661" spans="1:15" x14ac:dyDescent="0.35">
      <c r="A661" s="2019">
        <f>'SOUTH-1'!A350</f>
        <v>32</v>
      </c>
      <c r="B661" s="2019" t="str">
        <f>'SOUTH-1'!B350</f>
        <v>11 kV Spare Feeder.</v>
      </c>
      <c r="C661" s="2019">
        <f>'SOUTH-1'!C350</f>
        <v>11</v>
      </c>
      <c r="D661" s="2019">
        <f>'SOUTH-1'!D350</f>
        <v>0</v>
      </c>
      <c r="E661" s="2019">
        <f>'SOUTH-1'!E350</f>
        <v>9120051</v>
      </c>
      <c r="F661" s="791">
        <f>'SOUTH-1'!F350</f>
        <v>1</v>
      </c>
      <c r="G661" s="791">
        <f>'SOUTH-1'!G350</f>
        <v>0</v>
      </c>
      <c r="H661" s="791">
        <f>'SOUTH-1'!H350</f>
        <v>0</v>
      </c>
      <c r="I661" s="791">
        <f>'SOUTH-1'!I350</f>
        <v>0</v>
      </c>
      <c r="J661" s="791">
        <f>'SOUTH-1'!J350</f>
        <v>1000</v>
      </c>
      <c r="K661" s="791">
        <f>'SOUTH-1'!K350</f>
        <v>0</v>
      </c>
      <c r="L661" s="791">
        <f>'SOUTH-1'!L350</f>
        <v>0</v>
      </c>
      <c r="M661" s="791">
        <f>'SOUTH-1'!M350</f>
        <v>0</v>
      </c>
      <c r="N661" s="2019">
        <f>'SOUTH-1'!N350</f>
        <v>0</v>
      </c>
      <c r="O661" s="2019" t="str">
        <f>Sheet2!$C$69</f>
        <v>Khanpur 33/11KV S/S</v>
      </c>
    </row>
    <row r="662" spans="1:15" x14ac:dyDescent="0.35">
      <c r="A662" s="2019">
        <f>'SOUTH-1'!A351</f>
        <v>33</v>
      </c>
      <c r="B662" s="2019" t="str">
        <f>'SOUTH-1'!B351</f>
        <v>11 kV Nayamati Feeder.</v>
      </c>
      <c r="C662" s="2019">
        <f>'SOUTH-1'!C351</f>
        <v>11</v>
      </c>
      <c r="D662" s="2019">
        <f>'SOUTH-1'!D351</f>
        <v>0</v>
      </c>
      <c r="E662" s="2019">
        <f>'SOUTH-1'!E351</f>
        <v>6604289</v>
      </c>
      <c r="F662" s="791">
        <f>'SOUTH-1'!F351</f>
        <v>1</v>
      </c>
      <c r="G662" s="791">
        <f>'SOUTH-1'!G351</f>
        <v>4092.31</v>
      </c>
      <c r="H662" s="791">
        <f>'SOUTH-1'!H351</f>
        <v>4117.75</v>
      </c>
      <c r="I662" s="791">
        <f>'SOUTH-1'!I351</f>
        <v>25.440000000000055</v>
      </c>
      <c r="J662" s="791">
        <f>'SOUTH-1'!J351</f>
        <v>40000</v>
      </c>
      <c r="K662" s="791">
        <f>'SOUTH-1'!K351</f>
        <v>0</v>
      </c>
      <c r="L662" s="791">
        <f>'SOUTH-1'!L351</f>
        <v>1017600.0000000022</v>
      </c>
      <c r="M662" s="791">
        <f>'SOUTH-1'!M351</f>
        <v>1028801.0842034424</v>
      </c>
      <c r="N662" s="2019" t="str">
        <f>'SOUTH-1'!N351</f>
        <v>N.Gonj (East)</v>
      </c>
      <c r="O662" s="2019" t="str">
        <f>Sheet2!$C$69</f>
        <v>Khanpur 33/11KV S/S</v>
      </c>
    </row>
    <row r="663" spans="1:15" x14ac:dyDescent="0.35">
      <c r="A663" s="2019">
        <f>'SOUTH-1'!A352</f>
        <v>34</v>
      </c>
      <c r="B663" s="2019" t="str">
        <f>'SOUTH-1'!B352</f>
        <v>11 kV Spare Feeder.</v>
      </c>
      <c r="C663" s="2019">
        <f>'SOUTH-1'!C352</f>
        <v>11</v>
      </c>
      <c r="D663" s="2019">
        <f>'SOUTH-1'!D352</f>
        <v>0</v>
      </c>
      <c r="E663" s="2019" t="str">
        <f>'SOUTH-1'!E352</f>
        <v>DHKC9310</v>
      </c>
      <c r="F663" s="791">
        <f>'SOUTH-1'!F352</f>
        <v>1</v>
      </c>
      <c r="G663" s="791">
        <f>'SOUTH-1'!G352</f>
        <v>0</v>
      </c>
      <c r="H663" s="791">
        <f>'SOUTH-1'!H352</f>
        <v>0</v>
      </c>
      <c r="I663" s="791">
        <f>'SOUTH-1'!I352</f>
        <v>0</v>
      </c>
      <c r="J663" s="791">
        <f>'SOUTH-1'!J352</f>
        <v>60</v>
      </c>
      <c r="K663" s="791">
        <f>'SOUTH-1'!K352</f>
        <v>0</v>
      </c>
      <c r="L663" s="791">
        <f>'SOUTH-1'!L352</f>
        <v>0</v>
      </c>
      <c r="M663" s="791">
        <f>'SOUTH-1'!M352</f>
        <v>0</v>
      </c>
      <c r="N663" s="2019">
        <f>'SOUTH-1'!N352</f>
        <v>0</v>
      </c>
      <c r="O663" s="2019" t="str">
        <f>Sheet2!$C$69</f>
        <v>Khanpur 33/11KV S/S</v>
      </c>
    </row>
    <row r="664" spans="1:15" x14ac:dyDescent="0.35">
      <c r="A664" s="2019">
        <f>'SOUTH-1'!A353</f>
        <v>35</v>
      </c>
      <c r="B664" s="2019" t="str">
        <f>'SOUTH-1'!B353</f>
        <v>11 kV Spare Feeder.</v>
      </c>
      <c r="C664" s="2019">
        <f>'SOUTH-1'!C353</f>
        <v>11</v>
      </c>
      <c r="D664" s="2019">
        <f>'SOUTH-1'!D353</f>
        <v>0</v>
      </c>
      <c r="E664" s="2019" t="str">
        <f>'SOUTH-1'!E353</f>
        <v>DHKC9349</v>
      </c>
      <c r="F664" s="791">
        <f>'SOUTH-1'!F353</f>
        <v>1</v>
      </c>
      <c r="G664" s="791">
        <f>'SOUTH-1'!G353</f>
        <v>0</v>
      </c>
      <c r="H664" s="791">
        <f>'SOUTH-1'!H353</f>
        <v>0</v>
      </c>
      <c r="I664" s="791">
        <f>'SOUTH-1'!I353</f>
        <v>0</v>
      </c>
      <c r="J664" s="791">
        <f>'SOUTH-1'!J353</f>
        <v>60</v>
      </c>
      <c r="K664" s="791">
        <f>'SOUTH-1'!K353</f>
        <v>0</v>
      </c>
      <c r="L664" s="791">
        <f>'SOUTH-1'!L353</f>
        <v>0</v>
      </c>
      <c r="M664" s="791">
        <f>'SOUTH-1'!M353</f>
        <v>0</v>
      </c>
      <c r="N664" s="2019">
        <f>'SOUTH-1'!N353</f>
        <v>0</v>
      </c>
      <c r="O664" s="2019" t="str">
        <f>Sheet2!$C$69</f>
        <v>Khanpur 33/11KV S/S</v>
      </c>
    </row>
    <row r="665" spans="1:15" x14ac:dyDescent="0.35">
      <c r="A665" s="2019">
        <f>'SOUTH-1'!A354</f>
        <v>36</v>
      </c>
      <c r="B665" s="2019" t="str">
        <f>'SOUTH-1'!B354</f>
        <v>11 kV Spare Feeder.</v>
      </c>
      <c r="C665" s="2019">
        <f>'SOUTH-1'!C354</f>
        <v>11</v>
      </c>
      <c r="D665" s="2019">
        <f>'SOUTH-1'!D354</f>
        <v>0</v>
      </c>
      <c r="E665" s="2019" t="str">
        <f>'SOUTH-1'!E354</f>
        <v>DHKC9312</v>
      </c>
      <c r="F665" s="791">
        <f>'SOUTH-1'!F354</f>
        <v>1</v>
      </c>
      <c r="G665" s="791">
        <f>'SOUTH-1'!G354</f>
        <v>0</v>
      </c>
      <c r="H665" s="791">
        <f>'SOUTH-1'!H354</f>
        <v>0</v>
      </c>
      <c r="I665" s="791">
        <f>'SOUTH-1'!I354</f>
        <v>0</v>
      </c>
      <c r="J665" s="791">
        <f>'SOUTH-1'!J354</f>
        <v>60</v>
      </c>
      <c r="K665" s="791">
        <f>'SOUTH-1'!K354</f>
        <v>0</v>
      </c>
      <c r="L665" s="791">
        <f>'SOUTH-1'!L354</f>
        <v>0</v>
      </c>
      <c r="M665" s="791">
        <f>'SOUTH-1'!M354</f>
        <v>0</v>
      </c>
      <c r="N665" s="2019">
        <f>'SOUTH-1'!N354</f>
        <v>0</v>
      </c>
      <c r="O665" s="2019" t="str">
        <f>Sheet2!$C$69</f>
        <v>Khanpur 33/11KV S/S</v>
      </c>
    </row>
    <row r="666" spans="1:15" x14ac:dyDescent="0.35">
      <c r="A666" s="2019">
        <f>'SOUTH-1'!A355</f>
        <v>37</v>
      </c>
      <c r="B666" s="2019" t="str">
        <f>'SOUTH-1'!B355</f>
        <v>33/0.415 kV Auxiliary Transformer-1</v>
      </c>
      <c r="C666" s="2019">
        <f>'SOUTH-1'!C355</f>
        <v>0.41499999999999998</v>
      </c>
      <c r="D666" s="2019">
        <f>'SOUTH-1'!D355</f>
        <v>0</v>
      </c>
      <c r="E666" s="2019">
        <f>'SOUTH-1'!E355</f>
        <v>412109</v>
      </c>
      <c r="F666" s="791">
        <f>'SOUTH-1'!F355</f>
        <v>1</v>
      </c>
      <c r="G666" s="791">
        <f>'SOUTH-1'!G355</f>
        <v>9097.2999999999993</v>
      </c>
      <c r="H666" s="791">
        <f>'SOUTH-1'!H355</f>
        <v>9104</v>
      </c>
      <c r="I666" s="791">
        <f>'SOUTH-1'!I355</f>
        <v>6.7000000000007276</v>
      </c>
      <c r="J666" s="791">
        <f>'SOUTH-1'!J355</f>
        <v>10</v>
      </c>
      <c r="K666" s="791">
        <f>'SOUTH-1'!K355</f>
        <v>0</v>
      </c>
      <c r="L666" s="791">
        <f>'SOUTH-1'!L355</f>
        <v>67.000000000007276</v>
      </c>
      <c r="M666" s="791">
        <f>'SOUTH-1'!M355</f>
        <v>67.737492768905241</v>
      </c>
      <c r="N666" s="2019" t="str">
        <f>'SOUTH-1'!N355</f>
        <v>N.Gonj (East)</v>
      </c>
      <c r="O666" s="2019" t="str">
        <f>Sheet2!$C$69</f>
        <v>Khanpur 33/11KV S/S</v>
      </c>
    </row>
    <row r="667" spans="1:15" x14ac:dyDescent="0.35">
      <c r="A667" s="2019">
        <f>'SOUTH-1'!A356</f>
        <v>38</v>
      </c>
      <c r="B667" s="2019" t="str">
        <f>'SOUTH-1'!B356</f>
        <v>33/0.415 kV Auxiliary Transformer-2</v>
      </c>
      <c r="C667" s="2019">
        <f>'SOUTH-1'!C356</f>
        <v>0.41499999999999998</v>
      </c>
      <c r="D667" s="2019">
        <f>'SOUTH-1'!D356</f>
        <v>0</v>
      </c>
      <c r="E667" s="2019">
        <f>'SOUTH-1'!E356</f>
        <v>243285</v>
      </c>
      <c r="F667" s="791">
        <f>'SOUTH-1'!F356</f>
        <v>1</v>
      </c>
      <c r="G667" s="791">
        <f>'SOUTH-1'!G356</f>
        <v>6237.2</v>
      </c>
      <c r="H667" s="791">
        <f>'SOUTH-1'!H356</f>
        <v>6242.9</v>
      </c>
      <c r="I667" s="791">
        <f>'SOUTH-1'!I356</f>
        <v>5.6999999999998181</v>
      </c>
      <c r="J667" s="791">
        <f>'SOUTH-1'!J356</f>
        <v>10</v>
      </c>
      <c r="K667" s="791">
        <f>'SOUTH-1'!K356</f>
        <v>0</v>
      </c>
      <c r="L667" s="791">
        <f>'SOUTH-1'!L356</f>
        <v>56.999999999998181</v>
      </c>
      <c r="M667" s="791">
        <f>'SOUTH-1'!M356</f>
        <v>57.627419221299348</v>
      </c>
      <c r="N667" s="2019" t="str">
        <f>'SOUTH-1'!N356</f>
        <v>N.Gonj (East)</v>
      </c>
      <c r="O667" s="2019" t="str">
        <f>Sheet2!$C$69</f>
        <v>Khanpur 33/11KV S/S</v>
      </c>
    </row>
    <row r="668" spans="1:15" x14ac:dyDescent="0.35">
      <c r="A668" s="2019">
        <f>'SOUTH-1'!A475</f>
        <v>3</v>
      </c>
      <c r="B668" s="2019" t="str">
        <f>'SOUTH-1'!B475</f>
        <v>11 kV Link Road Feeder</v>
      </c>
      <c r="C668" s="2019">
        <f>'SOUTH-1'!C475</f>
        <v>11</v>
      </c>
      <c r="D668" s="2019">
        <f>'SOUTH-1'!D475</f>
        <v>0</v>
      </c>
      <c r="E668" s="2019" t="str">
        <f>'SOUTH-1'!E475</f>
        <v>DHK66629</v>
      </c>
      <c r="F668" s="791">
        <f>'SOUTH-1'!F475</f>
        <v>1</v>
      </c>
      <c r="G668" s="791">
        <f>'SOUTH-1'!G475</f>
        <v>21796.65</v>
      </c>
      <c r="H668" s="791">
        <f>'SOUTH-1'!H475</f>
        <v>21940.799999999999</v>
      </c>
      <c r="I668" s="791">
        <f>'SOUTH-1'!I475</f>
        <v>144.14999999999782</v>
      </c>
      <c r="J668" s="791">
        <f>'SOUTH-1'!J475</f>
        <v>8000</v>
      </c>
      <c r="K668" s="791">
        <f>'SOUTH-1'!K475</f>
        <v>0</v>
      </c>
      <c r="L668" s="791">
        <f>'SOUTH-1'!L475</f>
        <v>1153199.9999999825</v>
      </c>
      <c r="M668" s="791">
        <f>'SOUTH-1'!M475</f>
        <v>0</v>
      </c>
      <c r="N668" s="2019" t="str">
        <f>'SOUTH-1'!N475</f>
        <v>N.Gonj (East)</v>
      </c>
      <c r="O668" s="2019" t="str">
        <f>Sheet2!$C$70</f>
        <v>Matuail 33/11KV S/S</v>
      </c>
    </row>
    <row r="669" spans="1:15" x14ac:dyDescent="0.35">
      <c r="A669" s="2019">
        <f>'SOUTH-1'!A476</f>
        <v>0</v>
      </c>
      <c r="B669" s="2019">
        <f>'SOUTH-1'!B476</f>
        <v>0</v>
      </c>
      <c r="C669" s="2019">
        <f>'SOUTH-1'!C476</f>
        <v>11</v>
      </c>
      <c r="D669" s="2019">
        <f>'SOUTH-1'!D476</f>
        <v>0</v>
      </c>
      <c r="E669" s="2019" t="str">
        <f>'SOUTH-1'!E476</f>
        <v>HA021100475-02</v>
      </c>
      <c r="F669" s="791">
        <f>'SOUTH-1'!F476</f>
        <v>1</v>
      </c>
      <c r="G669" s="791">
        <f>'SOUTH-1'!G476</f>
        <v>73977.648000000001</v>
      </c>
      <c r="H669" s="791">
        <f>'SOUTH-1'!H476</f>
        <v>75128.472999999998</v>
      </c>
      <c r="I669" s="791">
        <f>'SOUTH-1'!I476</f>
        <v>1150.8249999999971</v>
      </c>
      <c r="J669" s="791">
        <f>'SOUTH-1'!J476</f>
        <v>1000</v>
      </c>
      <c r="K669" s="791">
        <f>'SOUTH-1'!K476</f>
        <v>0</v>
      </c>
      <c r="L669" s="791">
        <f>'SOUTH-1'!L476</f>
        <v>1150824.9999999972</v>
      </c>
      <c r="M669" s="791">
        <f>'SOUTH-1'!M476</f>
        <v>0</v>
      </c>
      <c r="N669" s="2019" t="str">
        <f>'SOUTH-1'!N476</f>
        <v>N.Gonj (East)</v>
      </c>
      <c r="O669" s="2019" t="str">
        <f>Sheet2!$C$70</f>
        <v>Matuail 33/11KV S/S</v>
      </c>
    </row>
    <row r="670" spans="1:15" x14ac:dyDescent="0.35">
      <c r="A670" s="2019">
        <f>'SOUTH-1'!A477</f>
        <v>4</v>
      </c>
      <c r="B670" s="2019" t="str">
        <f>'SOUTH-1'!B477</f>
        <v>11 kV Lamapara Express Feeder</v>
      </c>
      <c r="C670" s="2019">
        <f>'SOUTH-1'!C477</f>
        <v>11</v>
      </c>
      <c r="D670" s="2019">
        <f>'SOUTH-1'!D477</f>
        <v>0</v>
      </c>
      <c r="E670" s="2019" t="str">
        <f>'SOUTH-1'!E477</f>
        <v>HA021100928-03</v>
      </c>
      <c r="F670" s="791">
        <f>'SOUTH-1'!F477</f>
        <v>1</v>
      </c>
      <c r="G670" s="791">
        <f>'SOUTH-1'!G477</f>
        <v>69897.758000000002</v>
      </c>
      <c r="H670" s="791">
        <f>'SOUTH-1'!H477</f>
        <v>70732.34</v>
      </c>
      <c r="I670" s="791">
        <f>'SOUTH-1'!I477</f>
        <v>834.58199999999488</v>
      </c>
      <c r="J670" s="791">
        <f>'SOUTH-1'!J477</f>
        <v>1000</v>
      </c>
      <c r="K670" s="791">
        <f>'SOUTH-1'!K477</f>
        <v>0</v>
      </c>
      <c r="L670" s="791">
        <f>'SOUTH-1'!L477</f>
        <v>834581.99999999488</v>
      </c>
      <c r="M670" s="791">
        <f>'SOUTH-1'!M477</f>
        <v>0</v>
      </c>
      <c r="N670" s="2019" t="str">
        <f>'SOUTH-1'!N477</f>
        <v>N.Gonj (East)</v>
      </c>
      <c r="O670" s="2019" t="str">
        <f>Sheet2!$C$70</f>
        <v>Matuail 33/11KV S/S</v>
      </c>
    </row>
    <row r="671" spans="1:15" x14ac:dyDescent="0.35">
      <c r="A671" s="2019">
        <f>'SOUTH-1'!A478</f>
        <v>5</v>
      </c>
      <c r="B671" s="2019" t="str">
        <f>'SOUTH-1'!B478</f>
        <v>11 kV Kutubpur Feeder***</v>
      </c>
      <c r="C671" s="2019">
        <f>'SOUTH-1'!C478</f>
        <v>11</v>
      </c>
      <c r="D671" s="2019">
        <f>'SOUTH-1'!D478</f>
        <v>0</v>
      </c>
      <c r="E671" s="2019" t="str">
        <f>'SOUTH-1'!E478</f>
        <v>DHK66616</v>
      </c>
      <c r="F671" s="791">
        <f>'SOUTH-1'!F478</f>
        <v>1</v>
      </c>
      <c r="G671" s="791">
        <f>'SOUTH-1'!G478</f>
        <v>16137.22</v>
      </c>
      <c r="H671" s="791">
        <f>'SOUTH-1'!H478</f>
        <v>16334.92</v>
      </c>
      <c r="I671" s="791">
        <f>'SOUTH-1'!I478</f>
        <v>197.70000000000073</v>
      </c>
      <c r="J671" s="791">
        <f>'SOUTH-1'!J478</f>
        <v>8000</v>
      </c>
      <c r="K671" s="791">
        <f>'SOUTH-1'!K478</f>
        <v>0</v>
      </c>
      <c r="L671" s="791">
        <f>'SOUTH-1'!L478</f>
        <v>1581600.0000000058</v>
      </c>
      <c r="M671" s="791">
        <f>'SOUTH-1'!M478</f>
        <v>0</v>
      </c>
      <c r="N671" s="2019" t="str">
        <f>'SOUTH-1'!N478</f>
        <v>N.Gonj (East)</v>
      </c>
      <c r="O671" s="2019" t="str">
        <f>Sheet2!$C$70</f>
        <v>Matuail 33/11KV S/S</v>
      </c>
    </row>
    <row r="672" spans="1:15" x14ac:dyDescent="0.35">
      <c r="A672" s="2019">
        <f>'SOUTH-1'!A479</f>
        <v>0</v>
      </c>
      <c r="B672" s="2019">
        <f>'SOUTH-1'!B479</f>
        <v>0</v>
      </c>
      <c r="C672" s="2019">
        <f>'SOUTH-1'!C479</f>
        <v>11</v>
      </c>
      <c r="D672" s="2019">
        <f>'SOUTH-1'!D479</f>
        <v>0</v>
      </c>
      <c r="E672" s="2019" t="str">
        <f>'SOUTH-1'!E479</f>
        <v>XA575929</v>
      </c>
      <c r="F672" s="791">
        <f>'SOUTH-1'!F479</f>
        <v>1</v>
      </c>
      <c r="G672" s="791">
        <f>'SOUTH-1'!G479</f>
        <v>28023.599999999999</v>
      </c>
      <c r="H672" s="791">
        <f>'SOUTH-1'!H479</f>
        <v>29603.599999999999</v>
      </c>
      <c r="I672" s="791">
        <f>'SOUTH-1'!I479</f>
        <v>1580</v>
      </c>
      <c r="J672" s="791">
        <f>'SOUTH-1'!J479</f>
        <v>1000</v>
      </c>
      <c r="K672" s="791">
        <f>'SOUTH-1'!K479</f>
        <v>0</v>
      </c>
      <c r="L672" s="791">
        <f>'SOUTH-1'!L479</f>
        <v>1580000</v>
      </c>
      <c r="M672" s="791">
        <f>'SOUTH-1'!M479</f>
        <v>0</v>
      </c>
      <c r="N672" s="2019" t="str">
        <f>'SOUTH-1'!N479</f>
        <v>N.Gonj (East)</v>
      </c>
      <c r="O672" s="2019" t="str">
        <f>Sheet2!$C$70</f>
        <v>Matuail 33/11KV S/S</v>
      </c>
    </row>
    <row r="673" spans="1:15" x14ac:dyDescent="0.35">
      <c r="A673" s="2019">
        <f>'SOUTH-1'!A480</f>
        <v>6</v>
      </c>
      <c r="B673" s="2019" t="str">
        <f>'SOUTH-1'!B480</f>
        <v>11 kV Ramarbagh Feeder (F1)</v>
      </c>
      <c r="C673" s="2019">
        <f>'SOUTH-1'!C480</f>
        <v>11</v>
      </c>
      <c r="D673" s="2019">
        <f>'SOUTH-1'!D480</f>
        <v>0</v>
      </c>
      <c r="E673" s="2019" t="str">
        <f>'SOUTH-1'!E480</f>
        <v>DHK66625</v>
      </c>
      <c r="F673" s="791">
        <f>'SOUTH-1'!F480</f>
        <v>1</v>
      </c>
      <c r="G673" s="791">
        <f>'SOUTH-1'!G480</f>
        <v>3449.44</v>
      </c>
      <c r="H673" s="791">
        <f>'SOUTH-1'!H480</f>
        <v>3449.44</v>
      </c>
      <c r="I673" s="791">
        <f>'SOUTH-1'!I480</f>
        <v>0</v>
      </c>
      <c r="J673" s="791">
        <f>'SOUTH-1'!J480</f>
        <v>60000</v>
      </c>
      <c r="K673" s="791">
        <f>'SOUTH-1'!K480</f>
        <v>0</v>
      </c>
      <c r="L673" s="791">
        <f>'SOUTH-1'!L480</f>
        <v>0</v>
      </c>
      <c r="M673" s="791">
        <f>'SOUTH-1'!M480</f>
        <v>0</v>
      </c>
      <c r="N673" s="2019" t="str">
        <f>'SOUTH-1'!N480</f>
        <v>Fatullah</v>
      </c>
      <c r="O673" s="2019" t="str">
        <f>Sheet2!$C$70</f>
        <v>Matuail 33/11KV S/S</v>
      </c>
    </row>
    <row r="674" spans="1:15" x14ac:dyDescent="0.35">
      <c r="A674" s="2019">
        <f>'SOUTH-1'!A481</f>
        <v>0</v>
      </c>
      <c r="B674" s="2019">
        <f>'SOUTH-1'!B481</f>
        <v>0</v>
      </c>
      <c r="C674" s="2019">
        <f>'SOUTH-1'!C481</f>
        <v>11</v>
      </c>
      <c r="D674" s="2019">
        <f>'SOUTH-1'!D481</f>
        <v>0</v>
      </c>
      <c r="E674" s="2019">
        <f>'SOUTH-1'!E481</f>
        <v>0</v>
      </c>
      <c r="F674" s="791">
        <f>'SOUTH-1'!F481</f>
        <v>1</v>
      </c>
      <c r="G674" s="791">
        <f>'SOUTH-1'!G481</f>
        <v>7525.0190000000002</v>
      </c>
      <c r="H674" s="791">
        <f>'SOUTH-1'!H481</f>
        <v>7525.067</v>
      </c>
      <c r="I674" s="791">
        <f>'SOUTH-1'!I481</f>
        <v>4.7999999999774445E-2</v>
      </c>
      <c r="J674" s="791">
        <f>'SOUTH-1'!J481</f>
        <v>1000</v>
      </c>
      <c r="K674" s="791">
        <f>'SOUTH-1'!K481</f>
        <v>0</v>
      </c>
      <c r="L674" s="791">
        <f>'SOUTH-1'!L481</f>
        <v>47.999999999774445</v>
      </c>
      <c r="M674" s="791">
        <f>'SOUTH-1'!M481</f>
        <v>0</v>
      </c>
      <c r="N674" s="2019" t="str">
        <f>'SOUTH-1'!N481</f>
        <v>Fatullah</v>
      </c>
      <c r="O674" s="2019" t="str">
        <f>Sheet2!$C$70</f>
        <v>Matuail 33/11KV S/S</v>
      </c>
    </row>
    <row r="675" spans="1:15" x14ac:dyDescent="0.35">
      <c r="A675" s="2019">
        <f>'SOUTH-1'!A482</f>
        <v>7</v>
      </c>
      <c r="B675" s="2019" t="str">
        <f>'SOUTH-1'!B482</f>
        <v>11 kV Tushardhara Feeder (F2)</v>
      </c>
      <c r="C675" s="2019">
        <f>'SOUTH-1'!C482</f>
        <v>11</v>
      </c>
      <c r="D675" s="2019">
        <f>'SOUTH-1'!D482</f>
        <v>0</v>
      </c>
      <c r="E675" s="2019" t="str">
        <f>'SOUTH-1'!E482</f>
        <v>DHK66623</v>
      </c>
      <c r="F675" s="791">
        <f>'SOUTH-1'!F482</f>
        <v>1</v>
      </c>
      <c r="G675" s="791">
        <f>'SOUTH-1'!G482</f>
        <v>3465.95</v>
      </c>
      <c r="H675" s="791">
        <f>'SOUTH-1'!H482</f>
        <v>3502.17</v>
      </c>
      <c r="I675" s="791">
        <f>'SOUTH-1'!I482</f>
        <v>36.220000000000255</v>
      </c>
      <c r="J675" s="791">
        <f>'SOUTH-1'!J482</f>
        <v>60000</v>
      </c>
      <c r="K675" s="791">
        <f>'SOUTH-1'!K482</f>
        <v>0</v>
      </c>
      <c r="L675" s="791">
        <f>'SOUTH-1'!L482</f>
        <v>2173200.0000000154</v>
      </c>
      <c r="M675" s="791">
        <f>'SOUTH-1'!M482</f>
        <v>0</v>
      </c>
      <c r="N675" s="2019" t="str">
        <f>'SOUTH-1'!N482</f>
        <v>Matuail</v>
      </c>
      <c r="O675" s="2019" t="str">
        <f>Sheet2!$C$70</f>
        <v>Matuail 33/11KV S/S</v>
      </c>
    </row>
    <row r="676" spans="1:15" x14ac:dyDescent="0.35">
      <c r="A676" s="2019">
        <f>'SOUTH-1'!A483</f>
        <v>8</v>
      </c>
      <c r="B676" s="2019" t="str">
        <f>'SOUTH-1'!B483</f>
        <v>11 kV Matuail Medical Feeder (F3)</v>
      </c>
      <c r="C676" s="2019">
        <f>'SOUTH-1'!C483</f>
        <v>11</v>
      </c>
      <c r="D676" s="2019">
        <f>'SOUTH-1'!D483</f>
        <v>0</v>
      </c>
      <c r="E676" s="2019" t="str">
        <f>'SOUTH-1'!E483</f>
        <v>DHK66627</v>
      </c>
      <c r="F676" s="791">
        <f>'SOUTH-1'!F483</f>
        <v>1</v>
      </c>
      <c r="G676" s="791">
        <f>'SOUTH-1'!G483</f>
        <v>3186.66</v>
      </c>
      <c r="H676" s="791">
        <f>'SOUTH-1'!H483</f>
        <v>3198.24</v>
      </c>
      <c r="I676" s="791">
        <f>'SOUTH-1'!I483</f>
        <v>11.579999999999927</v>
      </c>
      <c r="J676" s="791">
        <f>'SOUTH-1'!J483</f>
        <v>60000</v>
      </c>
      <c r="K676" s="791">
        <f>'SOUTH-1'!K483</f>
        <v>0</v>
      </c>
      <c r="L676" s="791">
        <f>'SOUTH-1'!L483</f>
        <v>694799.99999999558</v>
      </c>
      <c r="M676" s="791">
        <f>'SOUTH-1'!M483</f>
        <v>0</v>
      </c>
      <c r="N676" s="2019" t="str">
        <f>'SOUTH-1'!N483</f>
        <v>Matuail</v>
      </c>
      <c r="O676" s="2019" t="str">
        <f>Sheet2!$C$70</f>
        <v>Matuail 33/11KV S/S</v>
      </c>
    </row>
    <row r="677" spans="1:15" x14ac:dyDescent="0.35">
      <c r="A677" s="2019">
        <f>'SOUTH-1'!A484</f>
        <v>0</v>
      </c>
      <c r="B677" s="2019">
        <f>'SOUTH-1'!B484</f>
        <v>0</v>
      </c>
      <c r="C677" s="2019">
        <f>'SOUTH-1'!C484</f>
        <v>11</v>
      </c>
      <c r="D677" s="2019">
        <f>'SOUTH-1'!D484</f>
        <v>0</v>
      </c>
      <c r="E677" s="2019">
        <f>'SOUTH-1'!E484</f>
        <v>0</v>
      </c>
      <c r="F677" s="791">
        <f>'SOUTH-1'!F484</f>
        <v>1</v>
      </c>
      <c r="G677" s="791">
        <f>'SOUTH-1'!G484</f>
        <v>63825.370999999999</v>
      </c>
      <c r="H677" s="791">
        <f>'SOUTH-1'!H484</f>
        <v>63825.370999999999</v>
      </c>
      <c r="I677" s="791">
        <f>'SOUTH-1'!I484</f>
        <v>0</v>
      </c>
      <c r="J677" s="791">
        <f>'SOUTH-1'!J484</f>
        <v>1000</v>
      </c>
      <c r="K677" s="791">
        <f>'SOUTH-1'!K484</f>
        <v>0</v>
      </c>
      <c r="L677" s="791">
        <f>'SOUTH-1'!L484</f>
        <v>0</v>
      </c>
      <c r="M677" s="791">
        <f>'SOUTH-1'!M484</f>
        <v>0</v>
      </c>
      <c r="N677" s="2019" t="str">
        <f>'SOUTH-1'!N484</f>
        <v>Matuail</v>
      </c>
      <c r="O677" s="2019" t="str">
        <f>Sheet2!$C$70</f>
        <v>Matuail 33/11KV S/S</v>
      </c>
    </row>
    <row r="678" spans="1:15" x14ac:dyDescent="0.35">
      <c r="A678" s="2019">
        <f>'SOUTH-1'!A485</f>
        <v>9</v>
      </c>
      <c r="B678" s="2019" t="str">
        <f>'SOUTH-1'!B485</f>
        <v>11 kV Rupayan Town Feeder (F4)</v>
      </c>
      <c r="C678" s="2019">
        <f>'SOUTH-1'!C485</f>
        <v>11</v>
      </c>
      <c r="D678" s="2019">
        <f>'SOUTH-1'!D485</f>
        <v>0</v>
      </c>
      <c r="E678" s="2019" t="str">
        <f>'SOUTH-1'!E485</f>
        <v>HA021101044-02</v>
      </c>
      <c r="F678" s="791">
        <f>'SOUTH-1'!F485</f>
        <v>1</v>
      </c>
      <c r="G678" s="791">
        <f>'SOUTH-1'!G485</f>
        <v>63385.279999999999</v>
      </c>
      <c r="H678" s="791">
        <f>'SOUTH-1'!H485</f>
        <v>63562.739000000001</v>
      </c>
      <c r="I678" s="791">
        <f>'SOUTH-1'!I485</f>
        <v>177.45900000000256</v>
      </c>
      <c r="J678" s="791">
        <f>'SOUTH-1'!J485</f>
        <v>1000</v>
      </c>
      <c r="K678" s="791">
        <f>'SOUTH-1'!K485</f>
        <v>0</v>
      </c>
      <c r="L678" s="791">
        <f>'SOUTH-1'!L485</f>
        <v>177459.00000000256</v>
      </c>
      <c r="M678" s="791">
        <f>'SOUTH-1'!M485</f>
        <v>0</v>
      </c>
      <c r="N678" s="2019" t="str">
        <f>'SOUTH-1'!N485</f>
        <v>Matuail</v>
      </c>
      <c r="O678" s="2019" t="str">
        <f>Sheet2!$C$70</f>
        <v>Matuail 33/11KV S/S</v>
      </c>
    </row>
    <row r="679" spans="1:15" x14ac:dyDescent="0.35">
      <c r="A679" s="2019">
        <f>'SOUTH-1'!A486</f>
        <v>12</v>
      </c>
      <c r="B679" s="2019" t="str">
        <f>'SOUTH-1'!B486</f>
        <v>11 kV Shibu Market Feeder (F7)</v>
      </c>
      <c r="C679" s="2019">
        <f>'SOUTH-1'!C486</f>
        <v>11</v>
      </c>
      <c r="D679" s="2019">
        <f>'SOUTH-1'!D486</f>
        <v>0</v>
      </c>
      <c r="E679" s="2019" t="str">
        <f>'SOUTH-1'!E486</f>
        <v>DHK66624</v>
      </c>
      <c r="F679" s="791">
        <f>'SOUTH-1'!F486</f>
        <v>1</v>
      </c>
      <c r="G679" s="791">
        <f>'SOUTH-1'!G486</f>
        <v>2262.73</v>
      </c>
      <c r="H679" s="791">
        <f>'SOUTH-1'!H486</f>
        <v>2278.23</v>
      </c>
      <c r="I679" s="791">
        <f>'SOUTH-1'!I486</f>
        <v>15.5</v>
      </c>
      <c r="J679" s="791">
        <f>'SOUTH-1'!J486</f>
        <v>60000</v>
      </c>
      <c r="K679" s="791">
        <f>'SOUTH-1'!K486</f>
        <v>0</v>
      </c>
      <c r="L679" s="791">
        <f>'SOUTH-1'!L486</f>
        <v>930000</v>
      </c>
      <c r="M679" s="791">
        <f>'SOUTH-1'!M486</f>
        <v>0</v>
      </c>
      <c r="N679" s="2019" t="str">
        <f>'SOUTH-1'!N486</f>
        <v>Fatullah</v>
      </c>
      <c r="O679" s="2019" t="str">
        <f>Sheet2!$C$70</f>
        <v>Matuail 33/11KV S/S</v>
      </c>
    </row>
    <row r="680" spans="1:15" x14ac:dyDescent="0.35">
      <c r="A680" s="2019">
        <f>'SOUTH-1'!A487</f>
        <v>13</v>
      </c>
      <c r="B680" s="2019" t="str">
        <f>'SOUTH-1'!B487</f>
        <v>11 kV Soma-Sagar Steel (F6)</v>
      </c>
      <c r="C680" s="2019">
        <f>'SOUTH-1'!C487</f>
        <v>11</v>
      </c>
      <c r="D680" s="2019">
        <f>'SOUTH-1'!D487</f>
        <v>0</v>
      </c>
      <c r="E680" s="2019" t="str">
        <f>'SOUTH-1'!E487</f>
        <v>HA060300286-03</v>
      </c>
      <c r="F680" s="791">
        <f>'SOUTH-1'!F487</f>
        <v>1</v>
      </c>
      <c r="G680" s="791">
        <f>'SOUTH-1'!G487</f>
        <v>68037.474000000002</v>
      </c>
      <c r="H680" s="791">
        <f>'SOUTH-1'!H487</f>
        <v>69306.42</v>
      </c>
      <c r="I680" s="791">
        <f>'SOUTH-1'!I487</f>
        <v>1268.9459999999963</v>
      </c>
      <c r="J680" s="791">
        <f>'SOUTH-1'!J487</f>
        <v>1000</v>
      </c>
      <c r="K680" s="791">
        <f>'SOUTH-1'!K487</f>
        <v>0</v>
      </c>
      <c r="L680" s="791">
        <f>'SOUTH-1'!L487</f>
        <v>1268945.9999999963</v>
      </c>
      <c r="M680" s="791">
        <f>'SOUTH-1'!M487</f>
        <v>0</v>
      </c>
      <c r="N680" s="2019" t="str">
        <f>'SOUTH-1'!N487</f>
        <v>Fatullah</v>
      </c>
      <c r="O680" s="2019" t="str">
        <f>Sheet2!$C$70</f>
        <v>Matuail 33/11KV S/S</v>
      </c>
    </row>
    <row r="681" spans="1:15" x14ac:dyDescent="0.35">
      <c r="A681" s="2019">
        <f>'SOUTH-1'!A488</f>
        <v>14</v>
      </c>
      <c r="B681" s="2019" t="str">
        <f>'SOUTH-1'!B488</f>
        <v>11 kV Jhalkuri Feeder (F8)</v>
      </c>
      <c r="C681" s="2019">
        <f>'SOUTH-1'!C488</f>
        <v>11</v>
      </c>
      <c r="D681" s="2019">
        <f>'SOUTH-1'!D488</f>
        <v>0</v>
      </c>
      <c r="E681" s="2019" t="str">
        <f>'SOUTH-1'!E488</f>
        <v>DHK66626</v>
      </c>
      <c r="F681" s="791">
        <f>'SOUTH-1'!F488</f>
        <v>1</v>
      </c>
      <c r="G681" s="791">
        <f>'SOUTH-1'!G488</f>
        <v>4097.2700000000004</v>
      </c>
      <c r="H681" s="791">
        <f>'SOUTH-1'!H488</f>
        <v>4131.0600000000004</v>
      </c>
      <c r="I681" s="791">
        <f>'SOUTH-1'!I488</f>
        <v>33.789999999999964</v>
      </c>
      <c r="J681" s="791">
        <f>'SOUTH-1'!J488</f>
        <v>60000</v>
      </c>
      <c r="K681" s="791">
        <f>'SOUTH-1'!K488</f>
        <v>0</v>
      </c>
      <c r="L681" s="791">
        <f>'SOUTH-1'!L488</f>
        <v>2027399.9999999979</v>
      </c>
      <c r="M681" s="791">
        <f>'SOUTH-1'!M488</f>
        <v>0</v>
      </c>
      <c r="N681" s="2019" t="str">
        <f>'SOUTH-1'!N488</f>
        <v>Matuail</v>
      </c>
      <c r="O681" s="2019" t="str">
        <f>Sheet2!$C$70</f>
        <v>Matuail 33/11KV S/S</v>
      </c>
    </row>
    <row r="682" spans="1:15" x14ac:dyDescent="0.35">
      <c r="A682" s="2019">
        <f>'SOUTH-1'!A489</f>
        <v>15</v>
      </c>
      <c r="B682" s="2019" t="str">
        <f>'SOUTH-1'!B489</f>
        <v>11 kV Madani Nagar Feeder (F9)</v>
      </c>
      <c r="C682" s="2019">
        <f>'SOUTH-1'!C489</f>
        <v>11</v>
      </c>
      <c r="D682" s="2019">
        <f>'SOUTH-1'!D489</f>
        <v>0</v>
      </c>
      <c r="E682" s="2019" t="str">
        <f>'SOUTH-1'!E489</f>
        <v>HA021100922-02</v>
      </c>
      <c r="F682" s="791">
        <f>'SOUTH-1'!F489</f>
        <v>1</v>
      </c>
      <c r="G682" s="791">
        <f>'SOUTH-1'!G489</f>
        <v>42215.368000000002</v>
      </c>
      <c r="H682" s="791">
        <f>'SOUTH-1'!H489</f>
        <v>42215.368000000002</v>
      </c>
      <c r="I682" s="791">
        <f>'SOUTH-1'!I489</f>
        <v>0</v>
      </c>
      <c r="J682" s="791">
        <f>'SOUTH-1'!J489</f>
        <v>1000</v>
      </c>
      <c r="K682" s="791">
        <f>'SOUTH-1'!K489</f>
        <v>0</v>
      </c>
      <c r="L682" s="791">
        <f>'SOUTH-1'!L489</f>
        <v>0</v>
      </c>
      <c r="M682" s="791">
        <f>'SOUTH-1'!M489</f>
        <v>0</v>
      </c>
      <c r="N682" s="2019" t="str">
        <f>'SOUTH-1'!N489</f>
        <v>Matuail</v>
      </c>
      <c r="O682" s="2019" t="str">
        <f>Sheet2!$C$70</f>
        <v>Matuail 33/11KV S/S</v>
      </c>
    </row>
    <row r="683" spans="1:15" x14ac:dyDescent="0.35">
      <c r="A683" s="2019">
        <f>'SOUTH-1'!A490</f>
        <v>0</v>
      </c>
      <c r="B683" s="2019">
        <f>'SOUTH-1'!B490</f>
        <v>0</v>
      </c>
      <c r="C683" s="2019">
        <f>'SOUTH-1'!C490</f>
        <v>11</v>
      </c>
      <c r="D683" s="2019">
        <f>'SOUTH-1'!D490</f>
        <v>0</v>
      </c>
      <c r="E683" s="2019" t="str">
        <f>'SOUTH-1'!E490</f>
        <v>DHK6622</v>
      </c>
      <c r="F683" s="791">
        <f>'SOUTH-1'!F490</f>
        <v>1</v>
      </c>
      <c r="G683" s="791">
        <f>'SOUTH-1'!G490</f>
        <v>4030.06</v>
      </c>
      <c r="H683" s="791">
        <f>'SOUTH-1'!H490</f>
        <v>4047.16</v>
      </c>
      <c r="I683" s="791">
        <f>'SOUTH-1'!I490</f>
        <v>17.099999999999909</v>
      </c>
      <c r="J683" s="791">
        <f>'SOUTH-1'!J490</f>
        <v>60000</v>
      </c>
      <c r="K683" s="791">
        <f>'SOUTH-1'!K490</f>
        <v>0</v>
      </c>
      <c r="L683" s="791">
        <f>'SOUTH-1'!L490</f>
        <v>1025999.9999999945</v>
      </c>
      <c r="M683" s="791">
        <f>'SOUTH-1'!M490</f>
        <v>0</v>
      </c>
      <c r="N683" s="2019" t="str">
        <f>'SOUTH-1'!N490</f>
        <v>Matuail</v>
      </c>
      <c r="O683" s="2019" t="str">
        <f>Sheet2!$C$70</f>
        <v>Matuail 33/11KV S/S</v>
      </c>
    </row>
    <row r="684" spans="1:15" x14ac:dyDescent="0.35">
      <c r="A684" s="2019">
        <f>'SOUTH-1'!A491</f>
        <v>16</v>
      </c>
      <c r="B684" s="2019" t="str">
        <f>'SOUTH-1'!B491</f>
        <v>11 kV Rajmahal Feeder (F10)</v>
      </c>
      <c r="C684" s="2019">
        <f>'SOUTH-1'!C491</f>
        <v>11</v>
      </c>
      <c r="D684" s="2019">
        <f>'SOUTH-1'!D491</f>
        <v>0</v>
      </c>
      <c r="E684" s="2019" t="str">
        <f>'SOUTH-1'!E491</f>
        <v>DHKA2187</v>
      </c>
      <c r="F684" s="791">
        <f>'SOUTH-1'!F491</f>
        <v>1</v>
      </c>
      <c r="G684" s="791">
        <f>'SOUTH-1'!G491</f>
        <v>85.832099999999997</v>
      </c>
      <c r="H684" s="791">
        <f>'SOUTH-1'!H491</f>
        <v>88.459400000000002</v>
      </c>
      <c r="I684" s="791">
        <f>'SOUTH-1'!I491</f>
        <v>2.6273000000000053</v>
      </c>
      <c r="J684" s="791">
        <f>'SOUTH-1'!J491</f>
        <v>60000</v>
      </c>
      <c r="K684" s="791">
        <f>'SOUTH-1'!K491</f>
        <v>0</v>
      </c>
      <c r="L684" s="791">
        <f>'SOUTH-1'!L491</f>
        <v>157638.00000000032</v>
      </c>
      <c r="M684" s="791">
        <f>'SOUTH-1'!M491</f>
        <v>0</v>
      </c>
      <c r="N684" s="2019" t="str">
        <f>'SOUTH-1'!N491</f>
        <v>Shyampur</v>
      </c>
      <c r="O684" s="2019" t="str">
        <f>Sheet2!$C$70</f>
        <v>Matuail 33/11KV S/S</v>
      </c>
    </row>
    <row r="685" spans="1:15" x14ac:dyDescent="0.35">
      <c r="A685" s="2019">
        <f>'SOUTH-1'!A492</f>
        <v>17</v>
      </c>
      <c r="B685" s="2019" t="str">
        <f>'SOUTH-1'!B492</f>
        <v>11 kV Bhuighor Bazar</v>
      </c>
      <c r="C685" s="2019">
        <f>'SOUTH-1'!C492</f>
        <v>11</v>
      </c>
      <c r="D685" s="2019">
        <f>'SOUTH-1'!D492</f>
        <v>0</v>
      </c>
      <c r="E685" s="2019" t="str">
        <f>'SOUTH-1'!E492</f>
        <v>HA021100861-02</v>
      </c>
      <c r="F685" s="791">
        <f>'SOUTH-1'!F492</f>
        <v>1</v>
      </c>
      <c r="G685" s="791">
        <f>'SOUTH-1'!G492</f>
        <v>67201.703999999998</v>
      </c>
      <c r="H685" s="791">
        <f>'SOUTH-1'!H492</f>
        <v>68058.660999999993</v>
      </c>
      <c r="I685" s="791">
        <f>'SOUTH-1'!I492</f>
        <v>856.95699999999488</v>
      </c>
      <c r="J685" s="791">
        <f>'SOUTH-1'!J492</f>
        <v>1000</v>
      </c>
      <c r="K685" s="791">
        <f>'SOUTH-1'!K492</f>
        <v>0</v>
      </c>
      <c r="L685" s="791">
        <f>'SOUTH-1'!L492</f>
        <v>856956.99999999488</v>
      </c>
      <c r="M685" s="791">
        <f>'SOUTH-1'!M492</f>
        <v>0</v>
      </c>
      <c r="N685" s="2019" t="str">
        <f>'SOUTH-1'!N492</f>
        <v>Matuail</v>
      </c>
      <c r="O685" s="2019" t="str">
        <f>Sheet2!$C$70</f>
        <v>Matuail 33/11KV S/S</v>
      </c>
    </row>
    <row r="686" spans="1:15" x14ac:dyDescent="0.35">
      <c r="A686" s="2019">
        <f>'SOUTH-1'!A493</f>
        <v>18</v>
      </c>
      <c r="B686" s="2019" t="str">
        <f>'SOUTH-1'!B493</f>
        <v xml:space="preserve">11 kV Tokkar Math Feeder </v>
      </c>
      <c r="C686" s="2019">
        <f>'SOUTH-1'!C493</f>
        <v>11</v>
      </c>
      <c r="D686" s="2019">
        <f>'SOUTH-1'!D493</f>
        <v>0</v>
      </c>
      <c r="E686" s="2019" t="str">
        <f>'SOUTH-1'!E493</f>
        <v>HA021200298-02</v>
      </c>
      <c r="F686" s="791">
        <f>'SOUTH-1'!F493</f>
        <v>1</v>
      </c>
      <c r="G686" s="791">
        <f>'SOUTH-1'!G493</f>
        <v>74948.479000000007</v>
      </c>
      <c r="H686" s="791">
        <f>'SOUTH-1'!H493</f>
        <v>75493.644</v>
      </c>
      <c r="I686" s="791">
        <f>'SOUTH-1'!I493</f>
        <v>545.1649999999936</v>
      </c>
      <c r="J686" s="791">
        <f>'SOUTH-1'!J493</f>
        <v>1000</v>
      </c>
      <c r="K686" s="791">
        <f>'SOUTH-1'!K493</f>
        <v>0</v>
      </c>
      <c r="L686" s="791">
        <f>'SOUTH-1'!L493</f>
        <v>545164.9999999936</v>
      </c>
      <c r="M686" s="791">
        <f>'SOUTH-1'!M493</f>
        <v>0</v>
      </c>
      <c r="N686" s="2019" t="str">
        <f>'SOUTH-1'!N493</f>
        <v>Fatullah</v>
      </c>
      <c r="O686" s="2019" t="str">
        <f>Sheet2!$C$70</f>
        <v>Matuail 33/11KV S/S</v>
      </c>
    </row>
    <row r="687" spans="1:15" x14ac:dyDescent="0.35">
      <c r="A687" s="2019">
        <f>'SOUTH-1'!A494</f>
        <v>19</v>
      </c>
      <c r="B687" s="2019" t="str">
        <f>'SOUTH-1'!B494</f>
        <v>11 kV Osmani Stadium Feeder*****</v>
      </c>
      <c r="C687" s="2019">
        <f>'SOUTH-1'!C494</f>
        <v>11</v>
      </c>
      <c r="D687" s="2019">
        <f>'SOUTH-1'!D494</f>
        <v>0</v>
      </c>
      <c r="E687" s="2019" t="str">
        <f>'SOUTH-1'!E494</f>
        <v>XA575922</v>
      </c>
      <c r="F687" s="791">
        <f>'SOUTH-1'!F494</f>
        <v>1</v>
      </c>
      <c r="G687" s="791">
        <f>'SOUTH-1'!G494</f>
        <v>93.2</v>
      </c>
      <c r="H687" s="791">
        <f>'SOUTH-1'!H494</f>
        <v>105.4</v>
      </c>
      <c r="I687" s="791">
        <f>'SOUTH-1'!I494</f>
        <v>12.200000000000003</v>
      </c>
      <c r="J687" s="791">
        <f>'SOUTH-1'!J494</f>
        <v>1000</v>
      </c>
      <c r="K687" s="791">
        <f>'SOUTH-1'!K494</f>
        <v>0</v>
      </c>
      <c r="L687" s="791">
        <f>'SOUTH-1'!L494</f>
        <v>12200.000000000004</v>
      </c>
      <c r="M687" s="791">
        <f>'SOUTH-1'!M494</f>
        <v>0</v>
      </c>
      <c r="N687" s="2019" t="str">
        <f>'SOUTH-1'!N494</f>
        <v>Fatullah</v>
      </c>
      <c r="O687" s="2019" t="str">
        <f>Sheet2!$C$70</f>
        <v>Matuail 33/11KV S/S</v>
      </c>
    </row>
    <row r="688" spans="1:15" x14ac:dyDescent="0.35">
      <c r="A688" s="2019">
        <f>'SOUTH-1'!A495</f>
        <v>16</v>
      </c>
      <c r="B688" s="2019" t="str">
        <f>'SOUTH-1'!B495</f>
        <v>33/0.415 KV Transformer, AT-1</v>
      </c>
      <c r="C688" s="2019">
        <f>'SOUTH-1'!C495</f>
        <v>0.41499999999999998</v>
      </c>
      <c r="D688" s="2019">
        <f>'SOUTH-1'!D495</f>
        <v>0</v>
      </c>
      <c r="E688" s="2019">
        <f>'SOUTH-1'!E495</f>
        <v>2001123043119</v>
      </c>
      <c r="F688" s="791">
        <f>'SOUTH-1'!F495</f>
        <v>1</v>
      </c>
      <c r="G688" s="791">
        <f>'SOUTH-1'!G495</f>
        <v>6867.4</v>
      </c>
      <c r="H688" s="791">
        <f>'SOUTH-1'!H495</f>
        <v>6899.2</v>
      </c>
      <c r="I688" s="791">
        <f>'SOUTH-1'!I495</f>
        <v>31.800000000000182</v>
      </c>
      <c r="J688" s="791">
        <f>'SOUTH-1'!J495</f>
        <v>160</v>
      </c>
      <c r="K688" s="791">
        <f>'SOUTH-1'!K495</f>
        <v>0</v>
      </c>
      <c r="L688" s="791">
        <f>'SOUTH-1'!L495</f>
        <v>5088.0000000000291</v>
      </c>
      <c r="M688" s="791">
        <f>'SOUTH-1'!M495</f>
        <v>0</v>
      </c>
      <c r="N688" s="2019" t="str">
        <f>'SOUTH-1'!N495</f>
        <v>Shyampur</v>
      </c>
      <c r="O688" s="2019" t="str">
        <f>Sheet2!$C$70</f>
        <v>Matuail 33/11KV S/S</v>
      </c>
    </row>
    <row r="689" spans="1:15" x14ac:dyDescent="0.35">
      <c r="A689" s="2019">
        <f>'SOUTH-1'!A496</f>
        <v>17</v>
      </c>
      <c r="B689" s="2019" t="str">
        <f>'SOUTH-1'!B496</f>
        <v>33/0.415 KV Transformer, AT-2</v>
      </c>
      <c r="C689" s="2019">
        <f>'SOUTH-1'!C496</f>
        <v>0.41499999999999998</v>
      </c>
      <c r="D689" s="2019">
        <f>'SOUTH-1'!D496</f>
        <v>0</v>
      </c>
      <c r="E689" s="2019">
        <f>'SOUTH-1'!E496</f>
        <v>2001123043157</v>
      </c>
      <c r="F689" s="791">
        <f>'SOUTH-1'!F496</f>
        <v>1</v>
      </c>
      <c r="G689" s="791">
        <f>'SOUTH-1'!G496</f>
        <v>4700.6000000000004</v>
      </c>
      <c r="H689" s="791">
        <f>'SOUTH-1'!H496</f>
        <v>4714.5</v>
      </c>
      <c r="I689" s="791">
        <f>'SOUTH-1'!I496</f>
        <v>13.899999999999636</v>
      </c>
      <c r="J689" s="791">
        <f>'SOUTH-1'!J496</f>
        <v>160</v>
      </c>
      <c r="K689" s="791">
        <f>'SOUTH-1'!K496</f>
        <v>0</v>
      </c>
      <c r="L689" s="791">
        <f>'SOUTH-1'!L496</f>
        <v>2223.9999999999418</v>
      </c>
      <c r="M689" s="791">
        <f>'SOUTH-1'!M496</f>
        <v>0</v>
      </c>
      <c r="N689" s="2019" t="str">
        <f>'SOUTH-1'!N496</f>
        <v>Shyampur</v>
      </c>
      <c r="O689" s="2019" t="str">
        <f>Sheet2!$C$70</f>
        <v>Matuail 33/11KV S/S</v>
      </c>
    </row>
    <row r="690" spans="1:15" x14ac:dyDescent="0.35">
      <c r="A690" s="2019">
        <f>'SOUTH-1'!A558</f>
        <v>1</v>
      </c>
      <c r="B690" s="2019" t="str">
        <f>'SOUTH-1'!B558</f>
        <v>11 kV Godnail (F16)</v>
      </c>
      <c r="C690" s="2019">
        <f>'SOUTH-1'!C558</f>
        <v>11</v>
      </c>
      <c r="D690" s="2019">
        <f>'SOUTH-1'!D558</f>
        <v>0</v>
      </c>
      <c r="E690" s="2019" t="str">
        <f>'SOUTH-1'!E558</f>
        <v>00000109</v>
      </c>
      <c r="F690" s="791">
        <f>'SOUTH-1'!F558</f>
        <v>1</v>
      </c>
      <c r="G690" s="791">
        <f>'SOUTH-1'!G558</f>
        <v>11822371</v>
      </c>
      <c r="H690" s="791">
        <f>'SOUTH-1'!H558</f>
        <v>13130288</v>
      </c>
      <c r="I690" s="791">
        <f>'SOUTH-1'!I558</f>
        <v>1307917</v>
      </c>
      <c r="J690" s="791">
        <f>'SOUTH-1'!J558</f>
        <v>1</v>
      </c>
      <c r="K690" s="791">
        <f>'SOUTH-1'!K558</f>
        <v>0</v>
      </c>
      <c r="L690" s="791">
        <f>'SOUTH-1'!L558</f>
        <v>1307917</v>
      </c>
      <c r="M690" s="791">
        <f>'SOUTH-1'!M558</f>
        <v>0</v>
      </c>
      <c r="N690" s="2019" t="str">
        <f>'SOUTH-1'!N558</f>
        <v>Siddirgonj</v>
      </c>
      <c r="O690" s="2019" t="str">
        <f>Sheet2!$C$80</f>
        <v>Laxmi Narayan Cotton Mill 33/11 kV</v>
      </c>
    </row>
    <row r="691" spans="1:15" x14ac:dyDescent="0.35">
      <c r="A691" s="2019">
        <f>'SOUTH-1'!A559</f>
        <v>2</v>
      </c>
      <c r="B691" s="2019" t="str">
        <f>'SOUTH-1'!B559</f>
        <v>11 kV M. Circus (F15)</v>
      </c>
      <c r="C691" s="2019">
        <f>'SOUTH-1'!C559</f>
        <v>11</v>
      </c>
      <c r="D691" s="2019">
        <f>'SOUTH-1'!D559</f>
        <v>0</v>
      </c>
      <c r="E691" s="2019" t="str">
        <f>'SOUTH-1'!E559</f>
        <v>00000123</v>
      </c>
      <c r="F691" s="791">
        <f>'SOUTH-1'!F559</f>
        <v>1</v>
      </c>
      <c r="G691" s="791">
        <f>'SOUTH-1'!G559</f>
        <v>3962168</v>
      </c>
      <c r="H691" s="791">
        <f>'SOUTH-1'!H559</f>
        <v>5070648</v>
      </c>
      <c r="I691" s="791">
        <f>'SOUTH-1'!I559</f>
        <v>1108480</v>
      </c>
      <c r="J691" s="791">
        <f>'SOUTH-1'!J559</f>
        <v>1</v>
      </c>
      <c r="K691" s="791">
        <f>'SOUTH-1'!K559</f>
        <v>0</v>
      </c>
      <c r="L691" s="791">
        <f>'SOUTH-1'!L559</f>
        <v>1108480</v>
      </c>
      <c r="M691" s="791">
        <f>'SOUTH-1'!M559</f>
        <v>0</v>
      </c>
      <c r="N691" s="2019" t="str">
        <f>'SOUTH-1'!N559</f>
        <v>N.Gonj (East)</v>
      </c>
      <c r="O691" s="2019" t="str">
        <f>Sheet2!$C$80</f>
        <v>Laxmi Narayan Cotton Mill 33/11 kV</v>
      </c>
    </row>
    <row r="692" spans="1:15" x14ac:dyDescent="0.35">
      <c r="A692" s="2019">
        <f>'SOUTH-1'!A560</f>
        <v>3</v>
      </c>
      <c r="B692" s="2019" t="str">
        <f>'SOUTH-1'!B560</f>
        <v>11 kV Wapderpool (F14)</v>
      </c>
      <c r="C692" s="2019">
        <f>'SOUTH-1'!C560</f>
        <v>11</v>
      </c>
      <c r="D692" s="2019">
        <f>'SOUTH-1'!D560</f>
        <v>0</v>
      </c>
      <c r="E692" s="2019" t="str">
        <f>'SOUTH-1'!E560</f>
        <v>00000190</v>
      </c>
      <c r="F692" s="791">
        <f>'SOUTH-1'!F560</f>
        <v>1</v>
      </c>
      <c r="G692" s="791">
        <f>'SOUTH-1'!G560</f>
        <v>9704920</v>
      </c>
      <c r="H692" s="791">
        <f>'SOUTH-1'!H560</f>
        <v>10417116</v>
      </c>
      <c r="I692" s="791">
        <f>'SOUTH-1'!I560</f>
        <v>712196</v>
      </c>
      <c r="J692" s="791">
        <f>'SOUTH-1'!J560</f>
        <v>1</v>
      </c>
      <c r="K692" s="791">
        <f>'SOUTH-1'!K560</f>
        <v>0</v>
      </c>
      <c r="L692" s="791">
        <f>'SOUTH-1'!L560</f>
        <v>712196</v>
      </c>
      <c r="M692" s="791">
        <f>'SOUTH-1'!M560</f>
        <v>0</v>
      </c>
      <c r="N692" s="2019" t="str">
        <f>'SOUTH-1'!N560</f>
        <v>N.Gonj (East)</v>
      </c>
      <c r="O692" s="2019" t="str">
        <f>Sheet2!$C$80</f>
        <v>Laxmi Narayan Cotton Mill 33/11 kV</v>
      </c>
    </row>
    <row r="693" spans="1:15" x14ac:dyDescent="0.35">
      <c r="A693" s="2019">
        <f>'SOUTH-1'!A561</f>
        <v>4</v>
      </c>
      <c r="B693" s="2019" t="str">
        <f>'SOUTH-1'!B561</f>
        <v>11 kV Chowdhury Bari  (F13)</v>
      </c>
      <c r="C693" s="2019">
        <f>'SOUTH-1'!C561</f>
        <v>11</v>
      </c>
      <c r="D693" s="2019">
        <f>'SOUTH-1'!D561</f>
        <v>0</v>
      </c>
      <c r="E693" s="2019" t="str">
        <f>'SOUTH-1'!E561</f>
        <v>00000191</v>
      </c>
      <c r="F693" s="791">
        <f>'SOUTH-1'!F561</f>
        <v>1</v>
      </c>
      <c r="G693" s="791">
        <f>'SOUTH-1'!G561</f>
        <v>11853440</v>
      </c>
      <c r="H693" s="791">
        <f>'SOUTH-1'!H561</f>
        <v>13593192</v>
      </c>
      <c r="I693" s="791">
        <f>'SOUTH-1'!I561</f>
        <v>1739752</v>
      </c>
      <c r="J693" s="791">
        <f>'SOUTH-1'!J561</f>
        <v>1</v>
      </c>
      <c r="K693" s="791">
        <f>'SOUTH-1'!K561</f>
        <v>0</v>
      </c>
      <c r="L693" s="791">
        <f>'SOUTH-1'!L561</f>
        <v>1739752</v>
      </c>
      <c r="M693" s="791">
        <f>'SOUTH-1'!M561</f>
        <v>0</v>
      </c>
      <c r="N693" s="2019" t="str">
        <f>'SOUTH-1'!N561</f>
        <v>Siddirgonj</v>
      </c>
      <c r="O693" s="2019" t="str">
        <f>Sheet2!$C$80</f>
        <v>Laxmi Narayan Cotton Mill 33/11 kV</v>
      </c>
    </row>
    <row r="694" spans="1:15" x14ac:dyDescent="0.35">
      <c r="A694" s="2019">
        <f>'SOUTH-1'!A562</f>
        <v>5</v>
      </c>
      <c r="B694" s="2019" t="str">
        <f>'SOUTH-1'!B562</f>
        <v>11 kV  Ailpara (F12)</v>
      </c>
      <c r="C694" s="2019">
        <f>'SOUTH-1'!C562</f>
        <v>1</v>
      </c>
      <c r="D694" s="2019">
        <f>'SOUTH-1'!D562</f>
        <v>0</v>
      </c>
      <c r="E694" s="2019" t="str">
        <f>'SOUTH-1'!E562</f>
        <v>00000192</v>
      </c>
      <c r="F694" s="791">
        <f>'SOUTH-1'!F562</f>
        <v>1</v>
      </c>
      <c r="G694" s="791">
        <f>'SOUTH-1'!G562</f>
        <v>5719992</v>
      </c>
      <c r="H694" s="791">
        <f>'SOUTH-1'!H562</f>
        <v>7328068</v>
      </c>
      <c r="I694" s="791">
        <f>'SOUTH-1'!I562</f>
        <v>1608076</v>
      </c>
      <c r="J694" s="791">
        <f>'SOUTH-1'!J562</f>
        <v>1</v>
      </c>
      <c r="K694" s="791">
        <f>'SOUTH-1'!K562</f>
        <v>0</v>
      </c>
      <c r="L694" s="791">
        <f>'SOUTH-1'!L562</f>
        <v>1608076</v>
      </c>
      <c r="M694" s="791">
        <f>'SOUTH-1'!M562</f>
        <v>0</v>
      </c>
      <c r="N694" s="2019" t="str">
        <f>'SOUTH-1'!N562</f>
        <v>N.Gonj (East)</v>
      </c>
      <c r="O694" s="2019" t="str">
        <f>Sheet2!$C$80</f>
        <v>Laxmi Narayan Cotton Mill 33/11 kV</v>
      </c>
    </row>
    <row r="695" spans="1:15" x14ac:dyDescent="0.35">
      <c r="A695" s="2019">
        <f>'SOUTH-1'!A563</f>
        <v>6</v>
      </c>
      <c r="B695" s="2019" t="str">
        <f>'SOUTH-1'!B563</f>
        <v>11 kV Spare (F11)</v>
      </c>
      <c r="C695" s="2019">
        <f>'SOUTH-1'!C563</f>
        <v>11</v>
      </c>
      <c r="D695" s="2019">
        <f>'SOUTH-1'!D563</f>
        <v>0</v>
      </c>
      <c r="E695" s="2019" t="str">
        <f>'SOUTH-1'!E563</f>
        <v>00000193</v>
      </c>
      <c r="F695" s="791">
        <f>'SOUTH-1'!F563</f>
        <v>1</v>
      </c>
      <c r="G695" s="791">
        <f>'SOUTH-1'!G563</f>
        <v>0</v>
      </c>
      <c r="H695" s="791">
        <f>'SOUTH-1'!H563</f>
        <v>0</v>
      </c>
      <c r="I695" s="791">
        <f>'SOUTH-1'!I563</f>
        <v>0</v>
      </c>
      <c r="J695" s="791">
        <f>'SOUTH-1'!J563</f>
        <v>1</v>
      </c>
      <c r="K695" s="791">
        <f>'SOUTH-1'!K563</f>
        <v>0</v>
      </c>
      <c r="L695" s="791">
        <f>'SOUTH-1'!L563</f>
        <v>0</v>
      </c>
      <c r="M695" s="791">
        <f>'SOUTH-1'!M563</f>
        <v>0</v>
      </c>
      <c r="N695" s="2019">
        <f>'SOUTH-1'!N563</f>
        <v>0</v>
      </c>
      <c r="O695" s="2019" t="str">
        <f>Sheet2!$C$80</f>
        <v>Laxmi Narayan Cotton Mill 33/11 kV</v>
      </c>
    </row>
    <row r="696" spans="1:15" x14ac:dyDescent="0.35">
      <c r="A696" s="2019">
        <f>'SOUTH-1'!A564</f>
        <v>7</v>
      </c>
      <c r="B696" s="2019" t="str">
        <f>'SOUTH-1'!B564</f>
        <v>11 kV Spare (F10)</v>
      </c>
      <c r="C696" s="2019">
        <f>'SOUTH-1'!C564</f>
        <v>11</v>
      </c>
      <c r="D696" s="2019">
        <f>'SOUTH-1'!D564</f>
        <v>0</v>
      </c>
      <c r="E696" s="2019" t="str">
        <f>'SOUTH-1'!E564</f>
        <v>00000194</v>
      </c>
      <c r="F696" s="791">
        <f>'SOUTH-1'!F564</f>
        <v>1</v>
      </c>
      <c r="G696" s="791">
        <f>'SOUTH-1'!G564</f>
        <v>0</v>
      </c>
      <c r="H696" s="791">
        <f>'SOUTH-1'!H564</f>
        <v>0</v>
      </c>
      <c r="I696" s="791">
        <f>'SOUTH-1'!I564</f>
        <v>0</v>
      </c>
      <c r="J696" s="791">
        <f>'SOUTH-1'!J564</f>
        <v>1</v>
      </c>
      <c r="K696" s="791">
        <f>'SOUTH-1'!K564</f>
        <v>0</v>
      </c>
      <c r="L696" s="791">
        <f>'SOUTH-1'!L564</f>
        <v>0</v>
      </c>
      <c r="M696" s="791">
        <f>'SOUTH-1'!M564</f>
        <v>0</v>
      </c>
      <c r="N696" s="2019">
        <f>'SOUTH-1'!N564</f>
        <v>0</v>
      </c>
      <c r="O696" s="2019" t="str">
        <f>Sheet2!$C$80</f>
        <v>Laxmi Narayan Cotton Mill 33/11 kV</v>
      </c>
    </row>
    <row r="697" spans="1:15" x14ac:dyDescent="0.35">
      <c r="A697" s="2019">
        <f>'SOUTH-1'!A565</f>
        <v>8</v>
      </c>
      <c r="B697" s="2019" t="str">
        <f>'SOUTH-1'!B565</f>
        <v>11 kV Spare (F9)</v>
      </c>
      <c r="C697" s="2019">
        <f>'SOUTH-1'!C565</f>
        <v>11</v>
      </c>
      <c r="D697" s="2019">
        <f>'SOUTH-1'!D565</f>
        <v>0</v>
      </c>
      <c r="E697" s="2019" t="str">
        <f>'SOUTH-1'!E565</f>
        <v>00000195</v>
      </c>
      <c r="F697" s="791">
        <f>'SOUTH-1'!F565</f>
        <v>1</v>
      </c>
      <c r="G697" s="791">
        <f>'SOUTH-1'!G565</f>
        <v>0</v>
      </c>
      <c r="H697" s="791">
        <f>'SOUTH-1'!H565</f>
        <v>0</v>
      </c>
      <c r="I697" s="791">
        <f>'SOUTH-1'!I565</f>
        <v>0</v>
      </c>
      <c r="J697" s="791">
        <f>'SOUTH-1'!J565</f>
        <v>1</v>
      </c>
      <c r="K697" s="791">
        <f>'SOUTH-1'!K565</f>
        <v>0</v>
      </c>
      <c r="L697" s="791">
        <f>'SOUTH-1'!L565</f>
        <v>0</v>
      </c>
      <c r="M697" s="791">
        <f>'SOUTH-1'!M565</f>
        <v>0</v>
      </c>
      <c r="N697" s="2019">
        <f>'SOUTH-1'!N565</f>
        <v>0</v>
      </c>
      <c r="O697" s="2019" t="str">
        <f>Sheet2!$C$80</f>
        <v>Laxmi Narayan Cotton Mill 33/11 kV</v>
      </c>
    </row>
    <row r="698" spans="1:15" x14ac:dyDescent="0.35">
      <c r="A698" s="2019">
        <f>'SOUTH-1'!A566</f>
        <v>9</v>
      </c>
      <c r="B698" s="2019" t="str">
        <f>'SOUTH-1'!B566</f>
        <v xml:space="preserve">11 kV Spare (F8) </v>
      </c>
      <c r="C698" s="2019">
        <f>'SOUTH-1'!C566</f>
        <v>11</v>
      </c>
      <c r="D698" s="2019">
        <f>'SOUTH-1'!D566</f>
        <v>0</v>
      </c>
      <c r="E698" s="2019" t="str">
        <f>'SOUTH-1'!E566</f>
        <v>00000196</v>
      </c>
      <c r="F698" s="791">
        <f>'SOUTH-1'!F566</f>
        <v>1</v>
      </c>
      <c r="G698" s="791">
        <f>'SOUTH-1'!G566</f>
        <v>0</v>
      </c>
      <c r="H698" s="791">
        <f>'SOUTH-1'!H566</f>
        <v>0</v>
      </c>
      <c r="I698" s="791">
        <f>'SOUTH-1'!I566</f>
        <v>0</v>
      </c>
      <c r="J698" s="791">
        <f>'SOUTH-1'!J566</f>
        <v>0</v>
      </c>
      <c r="K698" s="791">
        <f>'SOUTH-1'!K566</f>
        <v>0</v>
      </c>
      <c r="L698" s="791">
        <f>'SOUTH-1'!L566</f>
        <v>0</v>
      </c>
      <c r="M698" s="791">
        <f>'SOUTH-1'!M566</f>
        <v>0</v>
      </c>
      <c r="N698" s="2019">
        <f>'SOUTH-1'!N566</f>
        <v>0</v>
      </c>
      <c r="O698" s="2019" t="str">
        <f>Sheet2!$C$80</f>
        <v>Laxmi Narayan Cotton Mill 33/11 kV</v>
      </c>
    </row>
    <row r="699" spans="1:15" x14ac:dyDescent="0.35">
      <c r="A699" s="2019">
        <f>'SOUTH-1'!A567</f>
        <v>10</v>
      </c>
      <c r="B699" s="2019" t="str">
        <f>'SOUTH-1'!B567</f>
        <v xml:space="preserve">11 kV Zulfiqur Steel </v>
      </c>
      <c r="C699" s="2019">
        <f>'SOUTH-1'!C567</f>
        <v>11</v>
      </c>
      <c r="D699" s="2019">
        <f>'SOUTH-1'!D567</f>
        <v>0</v>
      </c>
      <c r="E699" s="2019" t="str">
        <f>'SOUTH-1'!E567</f>
        <v>00000197</v>
      </c>
      <c r="F699" s="791">
        <f>'SOUTH-1'!F567</f>
        <v>1</v>
      </c>
      <c r="G699" s="791">
        <f>'SOUTH-1'!G567</f>
        <v>5976065</v>
      </c>
      <c r="H699" s="791">
        <f>'SOUTH-1'!H567</f>
        <v>6977343</v>
      </c>
      <c r="I699" s="791">
        <f>'SOUTH-1'!I567</f>
        <v>1001278</v>
      </c>
      <c r="J699" s="791">
        <f>'SOUTH-1'!J567</f>
        <v>1</v>
      </c>
      <c r="K699" s="791">
        <f>'SOUTH-1'!K567</f>
        <v>0</v>
      </c>
      <c r="L699" s="791">
        <f>'SOUTH-1'!L567</f>
        <v>1001278</v>
      </c>
      <c r="M699" s="791">
        <f>'SOUTH-1'!M567</f>
        <v>0</v>
      </c>
      <c r="N699" s="2019" t="str">
        <f>'SOUTH-1'!N567</f>
        <v>Siddirgonj</v>
      </c>
      <c r="O699" s="2019" t="str">
        <f>Sheet2!$C$80</f>
        <v>Laxmi Narayan Cotton Mill 33/11 kV</v>
      </c>
    </row>
    <row r="700" spans="1:15" x14ac:dyDescent="0.35">
      <c r="A700" s="2019">
        <f>'SOUTH-1'!A568</f>
        <v>11</v>
      </c>
      <c r="B700" s="2019" t="str">
        <f>'SOUTH-1'!B568</f>
        <v>11 kV New Laxmi Narayan Cotton Mill (F6)</v>
      </c>
      <c r="C700" s="2019">
        <f>'SOUTH-1'!C568</f>
        <v>11</v>
      </c>
      <c r="D700" s="2019">
        <f>'SOUTH-1'!D568</f>
        <v>0</v>
      </c>
      <c r="E700" s="2019" t="str">
        <f>'SOUTH-1'!E568</f>
        <v>00000198</v>
      </c>
      <c r="F700" s="791">
        <f>'SOUTH-1'!F568</f>
        <v>1</v>
      </c>
      <c r="G700" s="791">
        <f>'SOUTH-1'!G568</f>
        <v>3773190</v>
      </c>
      <c r="H700" s="791">
        <f>'SOUTH-1'!H568</f>
        <v>3783590</v>
      </c>
      <c r="I700" s="791">
        <f>'SOUTH-1'!I568</f>
        <v>10400</v>
      </c>
      <c r="J700" s="791">
        <f>'SOUTH-1'!J568</f>
        <v>1</v>
      </c>
      <c r="K700" s="791">
        <f>'SOUTH-1'!K568</f>
        <v>0</v>
      </c>
      <c r="L700" s="791">
        <f>'SOUTH-1'!L568</f>
        <v>10400</v>
      </c>
      <c r="M700" s="791">
        <f>'SOUTH-1'!M568</f>
        <v>0</v>
      </c>
      <c r="N700" s="2019" t="str">
        <f>'SOUTH-1'!N568</f>
        <v>N.Gonj (East)</v>
      </c>
      <c r="O700" s="2019" t="str">
        <f>Sheet2!$C$80</f>
        <v>Laxmi Narayan Cotton Mill 33/11 kV</v>
      </c>
    </row>
    <row r="701" spans="1:15" x14ac:dyDescent="0.35">
      <c r="A701" s="2019">
        <f>'SOUTH-1'!A569</f>
        <v>12</v>
      </c>
      <c r="B701" s="2019" t="str">
        <f>'SOUTH-1'!B569</f>
        <v>11 kV Lucky Bazar (F5)</v>
      </c>
      <c r="C701" s="2019">
        <f>'SOUTH-1'!C569</f>
        <v>11</v>
      </c>
      <c r="D701" s="2019">
        <f>'SOUTH-1'!D569</f>
        <v>0</v>
      </c>
      <c r="E701" s="2019" t="str">
        <f>'SOUTH-1'!E569</f>
        <v>00000199</v>
      </c>
      <c r="F701" s="791">
        <f>'SOUTH-1'!F569</f>
        <v>1</v>
      </c>
      <c r="G701" s="791">
        <f>'SOUTH-1'!G569</f>
        <v>8024248</v>
      </c>
      <c r="H701" s="791">
        <f>'SOUTH-1'!H569</f>
        <v>9079488</v>
      </c>
      <c r="I701" s="791">
        <f>'SOUTH-1'!I569</f>
        <v>1055240</v>
      </c>
      <c r="J701" s="791">
        <f>'SOUTH-1'!J569</f>
        <v>1</v>
      </c>
      <c r="K701" s="791">
        <f>'SOUTH-1'!K569</f>
        <v>0</v>
      </c>
      <c r="L701" s="791">
        <f>'SOUTH-1'!L569</f>
        <v>1055240</v>
      </c>
      <c r="M701" s="791">
        <f>'SOUTH-1'!M569</f>
        <v>0</v>
      </c>
      <c r="N701" s="2019" t="str">
        <f>'SOUTH-1'!N569</f>
        <v>N.Gonj (East)</v>
      </c>
      <c r="O701" s="2019" t="str">
        <f>Sheet2!$C$80</f>
        <v>Laxmi Narayan Cotton Mill 33/11 kV</v>
      </c>
    </row>
    <row r="702" spans="1:15" x14ac:dyDescent="0.35">
      <c r="A702" s="2019">
        <f>'SOUTH-1'!A570</f>
        <v>13</v>
      </c>
      <c r="B702" s="2019" t="str">
        <f>'SOUTH-1'!B570</f>
        <v>11 kV Enayetnagar (F4)</v>
      </c>
      <c r="C702" s="2019">
        <f>'SOUTH-1'!C570</f>
        <v>11</v>
      </c>
      <c r="D702" s="2019">
        <f>'SOUTH-1'!D570</f>
        <v>0</v>
      </c>
      <c r="E702" s="2019" t="str">
        <f>'SOUTH-1'!E570</f>
        <v>00000200</v>
      </c>
      <c r="F702" s="791">
        <f>'SOUTH-1'!F570</f>
        <v>1</v>
      </c>
      <c r="G702" s="791">
        <f>'SOUTH-1'!G570</f>
        <v>9418672</v>
      </c>
      <c r="H702" s="791">
        <f>'SOUTH-1'!H570</f>
        <v>10629230</v>
      </c>
      <c r="I702" s="791">
        <f>'SOUTH-1'!I570</f>
        <v>1210558</v>
      </c>
      <c r="J702" s="791">
        <f>'SOUTH-1'!J570</f>
        <v>1</v>
      </c>
      <c r="K702" s="791">
        <f>'SOUTH-1'!K570</f>
        <v>0</v>
      </c>
      <c r="L702" s="791">
        <f>'SOUTH-1'!L570</f>
        <v>1210558</v>
      </c>
      <c r="M702" s="791">
        <f>'SOUTH-1'!M570</f>
        <v>0</v>
      </c>
      <c r="N702" s="2019" t="str">
        <f>'SOUTH-1'!N570</f>
        <v>Siddirgonj</v>
      </c>
      <c r="O702" s="2019" t="str">
        <f>Sheet2!$C$80</f>
        <v>Laxmi Narayan Cotton Mill 33/11 kV</v>
      </c>
    </row>
    <row r="703" spans="1:15" x14ac:dyDescent="0.35">
      <c r="A703" s="2019">
        <f>'SOUTH-1'!A571</f>
        <v>14</v>
      </c>
      <c r="B703" s="2019" t="str">
        <f>'SOUTH-1'!B571</f>
        <v>11 kV Bhuiyapara (F3)</v>
      </c>
      <c r="C703" s="2019">
        <f>'SOUTH-1'!C571</f>
        <v>11</v>
      </c>
      <c r="D703" s="2019">
        <f>'SOUTH-1'!D571</f>
        <v>0</v>
      </c>
      <c r="E703" s="2019" t="str">
        <f>'SOUTH-1'!E571</f>
        <v>00000201</v>
      </c>
      <c r="F703" s="791">
        <f>'SOUTH-1'!F571</f>
        <v>1</v>
      </c>
      <c r="G703" s="791">
        <f>'SOUTH-1'!G571</f>
        <v>10799236</v>
      </c>
      <c r="H703" s="791">
        <f>'SOUTH-1'!H571</f>
        <v>12252112</v>
      </c>
      <c r="I703" s="791">
        <f>'SOUTH-1'!I571</f>
        <v>1452876</v>
      </c>
      <c r="J703" s="791">
        <f>'SOUTH-1'!J571</f>
        <v>1</v>
      </c>
      <c r="K703" s="791">
        <f>'SOUTH-1'!K571</f>
        <v>0</v>
      </c>
      <c r="L703" s="791">
        <f>'SOUTH-1'!L571</f>
        <v>1452876</v>
      </c>
      <c r="M703" s="791">
        <f>'SOUTH-1'!M571</f>
        <v>0</v>
      </c>
      <c r="N703" s="2019" t="str">
        <f>'SOUTH-1'!N571</f>
        <v>Siddirgonj</v>
      </c>
      <c r="O703" s="2019" t="str">
        <f>Sheet2!$C$80</f>
        <v>Laxmi Narayan Cotton Mill 33/11 kV</v>
      </c>
    </row>
    <row r="704" spans="1:15" x14ac:dyDescent="0.35">
      <c r="A704" s="2019">
        <f>'SOUTH-1'!A572</f>
        <v>15</v>
      </c>
      <c r="B704" s="2019" t="str">
        <f>'SOUTH-1'!B572</f>
        <v>11 kV Arambagh (F2)</v>
      </c>
      <c r="C704" s="2019">
        <f>'SOUTH-1'!C572</f>
        <v>11</v>
      </c>
      <c r="D704" s="2019">
        <f>'SOUTH-1'!D572</f>
        <v>0</v>
      </c>
      <c r="E704" s="2019" t="str">
        <f>'SOUTH-1'!E572</f>
        <v>00000202</v>
      </c>
      <c r="F704" s="791">
        <f>'SOUTH-1'!F572</f>
        <v>1</v>
      </c>
      <c r="G704" s="791">
        <f>'SOUTH-1'!G572</f>
        <v>605958</v>
      </c>
      <c r="H704" s="791">
        <f>'SOUTH-1'!H572</f>
        <v>1400996</v>
      </c>
      <c r="I704" s="791">
        <f>'SOUTH-1'!I572</f>
        <v>795038</v>
      </c>
      <c r="J704" s="791">
        <f>'SOUTH-1'!J572</f>
        <v>1</v>
      </c>
      <c r="K704" s="791">
        <f>'SOUTH-1'!K572</f>
        <v>0</v>
      </c>
      <c r="L704" s="791">
        <f>'SOUTH-1'!L572</f>
        <v>795038</v>
      </c>
      <c r="M704" s="791">
        <f>'SOUTH-1'!M572</f>
        <v>0</v>
      </c>
      <c r="N704" s="2019" t="str">
        <f>'SOUTH-1'!N572</f>
        <v>N.Gonj (East)</v>
      </c>
      <c r="O704" s="2019" t="str">
        <f>Sheet2!$C$80</f>
        <v>Laxmi Narayan Cotton Mill 33/11 kV</v>
      </c>
    </row>
    <row r="705" spans="1:15" x14ac:dyDescent="0.35">
      <c r="A705" s="2019">
        <f>'SOUTH-1'!A573</f>
        <v>16</v>
      </c>
      <c r="B705" s="2019" t="str">
        <f>'SOUTH-1'!B573</f>
        <v>11 kV Spare (F1)</v>
      </c>
      <c r="C705" s="2019">
        <f>'SOUTH-1'!C573</f>
        <v>11</v>
      </c>
      <c r="D705" s="2019">
        <f>'SOUTH-1'!D573</f>
        <v>0</v>
      </c>
      <c r="E705" s="2019" t="str">
        <f>'SOUTH-1'!E573</f>
        <v>00000203</v>
      </c>
      <c r="F705" s="791">
        <f>'SOUTH-1'!F573</f>
        <v>1</v>
      </c>
      <c r="G705" s="791">
        <f>'SOUTH-1'!G573</f>
        <v>0</v>
      </c>
      <c r="H705" s="791">
        <f>'SOUTH-1'!H573</f>
        <v>0</v>
      </c>
      <c r="I705" s="791">
        <f>'SOUTH-1'!I573</f>
        <v>0</v>
      </c>
      <c r="J705" s="791">
        <f>'SOUTH-1'!J573</f>
        <v>1</v>
      </c>
      <c r="K705" s="791">
        <f>'SOUTH-1'!K573</f>
        <v>0</v>
      </c>
      <c r="L705" s="791">
        <f>'SOUTH-1'!L573</f>
        <v>0</v>
      </c>
      <c r="M705" s="791">
        <f>'SOUTH-1'!M573</f>
        <v>0</v>
      </c>
      <c r="N705" s="2019" t="str">
        <f>'SOUTH-1'!N573</f>
        <v>Siddirgonj</v>
      </c>
      <c r="O705" s="2019" t="str">
        <f>Sheet2!$C$80</f>
        <v>Laxmi Narayan Cotton Mill 33/11 kV</v>
      </c>
    </row>
    <row r="706" spans="1:15" x14ac:dyDescent="0.35">
      <c r="A706" s="2019">
        <f>'SOUTH-1'!A574</f>
        <v>17</v>
      </c>
      <c r="B706" s="2019" t="str">
        <f>'SOUTH-1'!B574</f>
        <v>11/0.415 kV Aux. Transformer-1</v>
      </c>
      <c r="C706" s="2019">
        <f>'SOUTH-1'!C574</f>
        <v>0.4</v>
      </c>
      <c r="D706" s="2019">
        <f>'SOUTH-1'!D574</f>
        <v>0</v>
      </c>
      <c r="E706" s="2019" t="str">
        <f>'SOUTH-1'!E574</f>
        <v>00000204</v>
      </c>
      <c r="F706" s="791">
        <f>'SOUTH-1'!F574</f>
        <v>1</v>
      </c>
      <c r="G706" s="791">
        <f>'SOUTH-1'!G574</f>
        <v>1328</v>
      </c>
      <c r="H706" s="791">
        <f>'SOUTH-1'!H574</f>
        <v>1352.96</v>
      </c>
      <c r="I706" s="791">
        <f>'SOUTH-1'!I574</f>
        <v>24.960000000000036</v>
      </c>
      <c r="J706" s="791">
        <f>'SOUTH-1'!J574</f>
        <v>100</v>
      </c>
      <c r="K706" s="791">
        <f>'SOUTH-1'!K574</f>
        <v>0</v>
      </c>
      <c r="L706" s="791">
        <f>'SOUTH-1'!L574</f>
        <v>2496.0000000000036</v>
      </c>
      <c r="M706" s="791">
        <f>'SOUTH-1'!M574</f>
        <v>0</v>
      </c>
      <c r="N706" s="2019" t="str">
        <f>'SOUTH-1'!N574</f>
        <v>N.Gonj (East)</v>
      </c>
      <c r="O706" s="2019" t="str">
        <f>Sheet2!$C$80</f>
        <v>Laxmi Narayan Cotton Mill 33/11 kV</v>
      </c>
    </row>
    <row r="707" spans="1:15" x14ac:dyDescent="0.35">
      <c r="A707" s="2019">
        <f>'SOUTH-1'!A575</f>
        <v>18</v>
      </c>
      <c r="B707" s="2019" t="str">
        <f>'SOUTH-1'!B575</f>
        <v>11/0.415 kV Aux. Transformer-2</v>
      </c>
      <c r="C707" s="2019">
        <f>'SOUTH-1'!C575</f>
        <v>0.41499999999999998</v>
      </c>
      <c r="D707" s="2019">
        <f>'SOUTH-1'!D575</f>
        <v>0</v>
      </c>
      <c r="E707" s="2019" t="str">
        <f>'SOUTH-1'!E575</f>
        <v>00000205</v>
      </c>
      <c r="F707" s="791">
        <f>'SOUTH-1'!F575</f>
        <v>1</v>
      </c>
      <c r="G707" s="791">
        <f>'SOUTH-1'!G575</f>
        <v>60</v>
      </c>
      <c r="H707" s="791">
        <f>'SOUTH-1'!H575</f>
        <v>60.71</v>
      </c>
      <c r="I707" s="791">
        <f>'SOUTH-1'!I575</f>
        <v>0.71000000000000085</v>
      </c>
      <c r="J707" s="791">
        <f>'SOUTH-1'!J575</f>
        <v>100</v>
      </c>
      <c r="K707" s="791">
        <f>'SOUTH-1'!K575</f>
        <v>0</v>
      </c>
      <c r="L707" s="791">
        <f>'SOUTH-1'!L575</f>
        <v>71.000000000000085</v>
      </c>
      <c r="M707" s="791">
        <f>'SOUTH-1'!M575</f>
        <v>0</v>
      </c>
      <c r="N707" s="2019" t="str">
        <f>'SOUTH-1'!N575</f>
        <v>N.Gonj (East)</v>
      </c>
      <c r="O707" s="2019" t="str">
        <f>Sheet2!$C$80</f>
        <v>Laxmi Narayan Cotton Mill 33/11 kV</v>
      </c>
    </row>
    <row r="708" spans="1:15" x14ac:dyDescent="0.35">
      <c r="A708" s="2019">
        <f>'SOUTH-1'!A640</f>
        <v>14</v>
      </c>
      <c r="B708" s="2019" t="str">
        <f>'SOUTH-1'!B640</f>
        <v>11 kV Minan Steel Feeder</v>
      </c>
      <c r="C708" s="2019">
        <f>'SOUTH-1'!C640</f>
        <v>11</v>
      </c>
      <c r="D708" s="2019" t="str">
        <f>'SOUTH-1'!D640</f>
        <v>New</v>
      </c>
      <c r="E708" s="2019">
        <f>'SOUTH-1'!E640</f>
        <v>0</v>
      </c>
      <c r="F708" s="791">
        <f>'SOUTH-1'!F640</f>
        <v>1</v>
      </c>
      <c r="G708" s="791">
        <f>'SOUTH-1'!G640</f>
        <v>71151668</v>
      </c>
      <c r="H708" s="791">
        <f>'SOUTH-1'!H640</f>
        <v>71764201</v>
      </c>
      <c r="I708" s="791">
        <f>'SOUTH-1'!I640</f>
        <v>612533</v>
      </c>
      <c r="J708" s="791">
        <f>'SOUTH-1'!J640</f>
        <v>1</v>
      </c>
      <c r="K708" s="791">
        <f>'SOUTH-1'!K640</f>
        <v>0</v>
      </c>
      <c r="L708" s="791">
        <f>'SOUTH-1'!L640</f>
        <v>612533</v>
      </c>
      <c r="M708" s="791">
        <f>'SOUTH-1'!M640</f>
        <v>0</v>
      </c>
      <c r="N708" s="2019" t="str">
        <f>'SOUTH-1'!N640</f>
        <v>N.Gonj (West)</v>
      </c>
      <c r="O708" s="2019" t="str">
        <f>Sheet2!$C$60</f>
        <v>Fatullah 33/11KV S/S</v>
      </c>
    </row>
    <row r="709" spans="1:15" x14ac:dyDescent="0.35">
      <c r="A709" s="2019">
        <f>'SOUTH-1'!A641</f>
        <v>15</v>
      </c>
      <c r="B709" s="2019" t="str">
        <f>'SOUTH-1'!B641</f>
        <v>11  kV Shovon Garments</v>
      </c>
      <c r="C709" s="2019">
        <f>'SOUTH-1'!C641</f>
        <v>11</v>
      </c>
      <c r="D709" s="2019" t="str">
        <f>'SOUTH-1'!D641</f>
        <v>New</v>
      </c>
      <c r="E709" s="2019" t="str">
        <f>'SOUTH-1'!E641</f>
        <v>HA021100480-02</v>
      </c>
      <c r="F709" s="791">
        <f>'SOUTH-1'!F641</f>
        <v>1</v>
      </c>
      <c r="G709" s="791">
        <f>'SOUTH-1'!G641</f>
        <v>81809788</v>
      </c>
      <c r="H709" s="791">
        <f>'SOUTH-1'!H641</f>
        <v>82628968</v>
      </c>
      <c r="I709" s="791">
        <f>'SOUTH-1'!I641</f>
        <v>819180</v>
      </c>
      <c r="J709" s="791">
        <f>'SOUTH-1'!J641</f>
        <v>1</v>
      </c>
      <c r="K709" s="791">
        <f>'SOUTH-1'!K641</f>
        <v>0</v>
      </c>
      <c r="L709" s="791">
        <f>'SOUTH-1'!L641</f>
        <v>819180</v>
      </c>
      <c r="M709" s="791">
        <f>'SOUTH-1'!M641</f>
        <v>0</v>
      </c>
      <c r="N709" s="2019" t="str">
        <f>'SOUTH-1'!N641</f>
        <v>N.Gonj (West)</v>
      </c>
      <c r="O709" s="2019" t="str">
        <f>Sheet2!$C$60</f>
        <v>Fatullah 33/11KV S/S</v>
      </c>
    </row>
    <row r="710" spans="1:15" x14ac:dyDescent="0.35">
      <c r="A710" s="2019">
        <f>'SOUTH-1'!A642</f>
        <v>16</v>
      </c>
      <c r="B710" s="2019" t="str">
        <f>'SOUTH-1'!B642</f>
        <v>11 kV Mazar O/H Feeder</v>
      </c>
      <c r="C710" s="2019">
        <f>'SOUTH-1'!C642</f>
        <v>11</v>
      </c>
      <c r="D710" s="2019" t="str">
        <f>'SOUTH-1'!D642</f>
        <v>New</v>
      </c>
      <c r="E710" s="2019" t="str">
        <f>'SOUTH-1'!E642</f>
        <v>DHK61059</v>
      </c>
      <c r="F710" s="791">
        <f>'SOUTH-1'!F642</f>
        <v>1</v>
      </c>
      <c r="G710" s="791">
        <f>'SOUTH-1'!G642</f>
        <v>950100.1</v>
      </c>
      <c r="H710" s="791">
        <f>'SOUTH-1'!H642</f>
        <v>967097.7</v>
      </c>
      <c r="I710" s="791">
        <f>'SOUTH-1'!I642</f>
        <v>16997.599999999977</v>
      </c>
      <c r="J710" s="791">
        <f>'SOUTH-1'!J642</f>
        <v>60</v>
      </c>
      <c r="K710" s="791">
        <f>'SOUTH-1'!K642</f>
        <v>0</v>
      </c>
      <c r="L710" s="791">
        <f>'SOUTH-1'!L642</f>
        <v>1019855.9999999986</v>
      </c>
      <c r="M710" s="791">
        <f>'SOUTH-1'!M642</f>
        <v>0</v>
      </c>
      <c r="N710" s="2019" t="str">
        <f>'SOUTH-1'!N642</f>
        <v>Fatullah</v>
      </c>
      <c r="O710" s="2019" t="str">
        <f>Sheet2!$C$60</f>
        <v>Fatullah 33/11KV S/S</v>
      </c>
    </row>
    <row r="711" spans="1:15" x14ac:dyDescent="0.35">
      <c r="A711" s="2019">
        <f>'SOUTH-1'!A643</f>
        <v>17</v>
      </c>
      <c r="B711" s="2019" t="str">
        <f>'SOUTH-1'!B643</f>
        <v>11 kV Shahjahan Steel.</v>
      </c>
      <c r="C711" s="2019">
        <f>'SOUTH-1'!C643</f>
        <v>11</v>
      </c>
      <c r="D711" s="2019" t="str">
        <f>'SOUTH-1'!D643</f>
        <v>New</v>
      </c>
      <c r="E711" s="2019" t="str">
        <f>'SOUTH-1'!E643</f>
        <v>DHK61055</v>
      </c>
      <c r="F711" s="791">
        <f>'SOUTH-1'!F643</f>
        <v>1</v>
      </c>
      <c r="G711" s="791">
        <f>'SOUTH-1'!G643</f>
        <v>115800.1</v>
      </c>
      <c r="H711" s="791">
        <f>'SOUTH-1'!H643</f>
        <v>115800.8</v>
      </c>
      <c r="I711" s="791">
        <f>'SOUTH-1'!I643</f>
        <v>0.69999999999708962</v>
      </c>
      <c r="J711" s="791">
        <f>'SOUTH-1'!J643</f>
        <v>60</v>
      </c>
      <c r="K711" s="791">
        <f>'SOUTH-1'!K643</f>
        <v>0</v>
      </c>
      <c r="L711" s="791">
        <f>'SOUTH-1'!L643</f>
        <v>41.999999999825377</v>
      </c>
      <c r="M711" s="791">
        <f>'SOUTH-1'!M643</f>
        <v>0</v>
      </c>
      <c r="N711" s="2019" t="str">
        <f>'SOUTH-1'!N643</f>
        <v>Fatullah</v>
      </c>
      <c r="O711" s="2019" t="str">
        <f>Sheet2!$C$60</f>
        <v>Fatullah 33/11KV S/S</v>
      </c>
    </row>
    <row r="712" spans="1:15" x14ac:dyDescent="0.35">
      <c r="A712" s="2019">
        <f>'SOUTH-1'!A644</f>
        <v>18</v>
      </c>
      <c r="B712" s="2019" t="str">
        <f>'SOUTH-1'!B644</f>
        <v>11 kV Pilkuni O/H Feeder.</v>
      </c>
      <c r="C712" s="2019">
        <f>'SOUTH-1'!C644</f>
        <v>11</v>
      </c>
      <c r="D712" s="2019" t="str">
        <f>'SOUTH-1'!D644</f>
        <v>New</v>
      </c>
      <c r="E712" s="2019" t="str">
        <f>'SOUTH-1'!E644</f>
        <v>DHK61058</v>
      </c>
      <c r="F712" s="791">
        <f>'SOUTH-1'!F644</f>
        <v>1</v>
      </c>
      <c r="G712" s="791">
        <f>'SOUTH-1'!G644</f>
        <v>198749.2</v>
      </c>
      <c r="H712" s="791">
        <f>'SOUTH-1'!H644</f>
        <v>209082.4</v>
      </c>
      <c r="I712" s="791">
        <f>'SOUTH-1'!I644</f>
        <v>10333.199999999983</v>
      </c>
      <c r="J712" s="791">
        <f>'SOUTH-1'!J644</f>
        <v>60</v>
      </c>
      <c r="K712" s="791">
        <f>'SOUTH-1'!K644</f>
        <v>0</v>
      </c>
      <c r="L712" s="791">
        <f>'SOUTH-1'!L644</f>
        <v>619991.99999999895</v>
      </c>
      <c r="M712" s="791">
        <f>'SOUTH-1'!M644</f>
        <v>0</v>
      </c>
      <c r="N712" s="2019" t="str">
        <f>'SOUTH-1'!N644</f>
        <v>Fatullah</v>
      </c>
      <c r="O712" s="2019" t="str">
        <f>Sheet2!$C$60</f>
        <v>Fatullah 33/11KV S/S</v>
      </c>
    </row>
    <row r="713" spans="1:15" x14ac:dyDescent="0.35">
      <c r="A713" s="2019">
        <f>'SOUTH-1'!A645</f>
        <v>19</v>
      </c>
      <c r="B713" s="2019" t="str">
        <f>'SOUTH-1'!B645</f>
        <v>11 kV Narayangonj Express Feeder.</v>
      </c>
      <c r="C713" s="2019">
        <f>'SOUTH-1'!C645</f>
        <v>11</v>
      </c>
      <c r="D713" s="2019" t="str">
        <f>'SOUTH-1'!D645</f>
        <v>New</v>
      </c>
      <c r="E713" s="2019" t="str">
        <f>'SOUTH-1'!E645</f>
        <v>DHK61052</v>
      </c>
      <c r="F713" s="791">
        <f>'SOUTH-1'!F645</f>
        <v>1</v>
      </c>
      <c r="G713" s="791">
        <f>'SOUTH-1'!G645</f>
        <v>759270.3</v>
      </c>
      <c r="H713" s="791">
        <f>'SOUTH-1'!H645</f>
        <v>779902.8</v>
      </c>
      <c r="I713" s="791">
        <f>'SOUTH-1'!I645</f>
        <v>20632.5</v>
      </c>
      <c r="J713" s="791">
        <f>'SOUTH-1'!J645</f>
        <v>60</v>
      </c>
      <c r="K713" s="791">
        <f>'SOUTH-1'!K645</f>
        <v>0</v>
      </c>
      <c r="L713" s="791">
        <f>'SOUTH-1'!L645</f>
        <v>1237950</v>
      </c>
      <c r="M713" s="791">
        <f>'SOUTH-1'!M645</f>
        <v>0</v>
      </c>
      <c r="N713" s="2019" t="str">
        <f>'SOUTH-1'!N645</f>
        <v>Fatullah</v>
      </c>
      <c r="O713" s="2019" t="str">
        <f>Sheet2!$C$60</f>
        <v>Fatullah 33/11KV S/S</v>
      </c>
    </row>
    <row r="714" spans="1:15" x14ac:dyDescent="0.35">
      <c r="A714" s="2019">
        <f>'SOUTH-1'!A646</f>
        <v>20</v>
      </c>
      <c r="B714" s="2019" t="str">
        <f>'SOUTH-1'!B646</f>
        <v>11 kV Post Office Road Feeder.</v>
      </c>
      <c r="C714" s="2019">
        <f>'SOUTH-1'!C646</f>
        <v>11</v>
      </c>
      <c r="D714" s="2019" t="str">
        <f>'SOUTH-1'!D646</f>
        <v>New</v>
      </c>
      <c r="E714" s="2019" t="str">
        <f>'SOUTH-1'!E646</f>
        <v>DHK61053</v>
      </c>
      <c r="F714" s="791">
        <f>'SOUTH-1'!F646</f>
        <v>1</v>
      </c>
      <c r="G714" s="791">
        <f>'SOUTH-1'!G646</f>
        <v>976797.4</v>
      </c>
      <c r="H714" s="791">
        <f>'SOUTH-1'!H646</f>
        <v>986344.3</v>
      </c>
      <c r="I714" s="791">
        <f>'SOUTH-1'!I646</f>
        <v>9546.9000000000233</v>
      </c>
      <c r="J714" s="791">
        <f>'SOUTH-1'!J646</f>
        <v>60</v>
      </c>
      <c r="K714" s="791">
        <f>'SOUTH-1'!K646</f>
        <v>0</v>
      </c>
      <c r="L714" s="791">
        <f>'SOUTH-1'!L646</f>
        <v>572814.0000000014</v>
      </c>
      <c r="M714" s="791">
        <f>'SOUTH-1'!M646</f>
        <v>0</v>
      </c>
      <c r="N714" s="2019" t="str">
        <f>'SOUTH-1'!N646</f>
        <v>Fatullah</v>
      </c>
      <c r="O714" s="2019" t="str">
        <f>Sheet2!$C$60</f>
        <v>Fatullah 33/11KV S/S</v>
      </c>
    </row>
    <row r="715" spans="1:15" x14ac:dyDescent="0.35">
      <c r="A715" s="2019">
        <f>'SOUTH-1'!A647</f>
        <v>23</v>
      </c>
      <c r="B715" s="2019" t="str">
        <f>'SOUTH-1'!B647</f>
        <v>11 kV Fatullah Feeder.</v>
      </c>
      <c r="C715" s="2019">
        <f>'SOUTH-1'!C647</f>
        <v>11</v>
      </c>
      <c r="D715" s="2019" t="str">
        <f>'SOUTH-1'!D647</f>
        <v>New</v>
      </c>
      <c r="E715" s="2019" t="str">
        <f>'SOUTH-1'!E647</f>
        <v>DHK61056</v>
      </c>
      <c r="F715" s="791">
        <f>'SOUTH-1'!F647</f>
        <v>1</v>
      </c>
      <c r="G715" s="791">
        <f>'SOUTH-1'!G647</f>
        <v>519030.5</v>
      </c>
      <c r="H715" s="791">
        <f>'SOUTH-1'!H647</f>
        <v>529098.6</v>
      </c>
      <c r="I715" s="791">
        <f>'SOUTH-1'!I647</f>
        <v>10068.099999999977</v>
      </c>
      <c r="J715" s="791">
        <f>'SOUTH-1'!J647</f>
        <v>60</v>
      </c>
      <c r="K715" s="791">
        <f>'SOUTH-1'!K647</f>
        <v>0</v>
      </c>
      <c r="L715" s="791">
        <f>'SOUTH-1'!L647</f>
        <v>604085.9999999986</v>
      </c>
      <c r="M715" s="791">
        <f>'SOUTH-1'!M647</f>
        <v>0</v>
      </c>
      <c r="N715" s="2019" t="str">
        <f>'SOUTH-1'!N647</f>
        <v>Fatullah</v>
      </c>
      <c r="O715" s="2019" t="str">
        <f>Sheet2!$C$60</f>
        <v>Fatullah 33/11KV S/S</v>
      </c>
    </row>
    <row r="716" spans="1:15" x14ac:dyDescent="0.35">
      <c r="A716" s="2019">
        <f>'SOUTH-1'!A648</f>
        <v>24</v>
      </c>
      <c r="B716" s="2019" t="str">
        <f>'SOUTH-1'!B648</f>
        <v>11 kV Al-baraka &amp; Shah Fatullah.</v>
      </c>
      <c r="C716" s="2019">
        <f>'SOUTH-1'!C648</f>
        <v>11</v>
      </c>
      <c r="D716" s="2019" t="str">
        <f>'SOUTH-1'!D648</f>
        <v>New</v>
      </c>
      <c r="E716" s="2019" t="str">
        <f>'SOUTH-1'!E648</f>
        <v>DHK61114</v>
      </c>
      <c r="F716" s="791">
        <f>'SOUTH-1'!F648</f>
        <v>1</v>
      </c>
      <c r="G716" s="791">
        <f>'SOUTH-1'!G648</f>
        <v>363927.6</v>
      </c>
      <c r="H716" s="791">
        <f>'SOUTH-1'!H648</f>
        <v>383607.6</v>
      </c>
      <c r="I716" s="791">
        <f>'SOUTH-1'!I648</f>
        <v>19680</v>
      </c>
      <c r="J716" s="791">
        <f>'SOUTH-1'!J648</f>
        <v>60</v>
      </c>
      <c r="K716" s="791">
        <f>'SOUTH-1'!K648</f>
        <v>0</v>
      </c>
      <c r="L716" s="791">
        <f>'SOUTH-1'!L648</f>
        <v>1180800</v>
      </c>
      <c r="M716" s="791">
        <f>'SOUTH-1'!M648</f>
        <v>0</v>
      </c>
      <c r="N716" s="2019" t="str">
        <f>'SOUTH-1'!N648</f>
        <v>Fatullah</v>
      </c>
      <c r="O716" s="2019" t="str">
        <f>Sheet2!$C$60</f>
        <v>Fatullah 33/11KV S/S</v>
      </c>
    </row>
    <row r="717" spans="1:15" x14ac:dyDescent="0.35">
      <c r="A717" s="2019">
        <f>'SOUTH-1'!A649</f>
        <v>25</v>
      </c>
      <c r="B717" s="2019" t="str">
        <f>'SOUTH-1'!B649</f>
        <v>11 kV Haque Steel &amp; Shilpi Steel</v>
      </c>
      <c r="C717" s="2019">
        <f>'SOUTH-1'!C649</f>
        <v>11</v>
      </c>
      <c r="D717" s="2019" t="str">
        <f>'SOUTH-1'!D649</f>
        <v>New</v>
      </c>
      <c r="E717" s="2019" t="str">
        <f>'SOUTH-1'!E649</f>
        <v>DHK61111</v>
      </c>
      <c r="F717" s="791">
        <f>'SOUTH-1'!F649</f>
        <v>1</v>
      </c>
      <c r="G717" s="791">
        <f>'SOUTH-1'!G649</f>
        <v>802820.7</v>
      </c>
      <c r="H717" s="791">
        <f>'SOUTH-1'!H649</f>
        <v>811561.4</v>
      </c>
      <c r="I717" s="791">
        <f>'SOUTH-1'!I649</f>
        <v>8740.7000000000698</v>
      </c>
      <c r="J717" s="791">
        <f>'SOUTH-1'!J649</f>
        <v>60</v>
      </c>
      <c r="K717" s="791">
        <f>'SOUTH-1'!K649</f>
        <v>0</v>
      </c>
      <c r="L717" s="791">
        <f>'SOUTH-1'!L649</f>
        <v>524442.00000000419</v>
      </c>
      <c r="M717" s="791">
        <f>'SOUTH-1'!M649</f>
        <v>0</v>
      </c>
      <c r="N717" s="2019" t="str">
        <f>'SOUTH-1'!N649</f>
        <v>Fatullah</v>
      </c>
      <c r="O717" s="2019" t="str">
        <f>Sheet2!$C$60</f>
        <v>Fatullah 33/11KV S/S</v>
      </c>
    </row>
    <row r="718" spans="1:15" x14ac:dyDescent="0.35">
      <c r="A718" s="2019">
        <f>'SOUTH-1'!A650</f>
        <v>26</v>
      </c>
      <c r="B718" s="2019" t="str">
        <f>'SOUTH-1'!B650</f>
        <v>11 kV Dhaka Steel</v>
      </c>
      <c r="C718" s="2019">
        <f>'SOUTH-1'!C650</f>
        <v>11</v>
      </c>
      <c r="D718" s="2019" t="str">
        <f>'SOUTH-1'!D650</f>
        <v>New</v>
      </c>
      <c r="E718" s="2019" t="str">
        <f>'SOUTH-1'!E650</f>
        <v>DHK60923</v>
      </c>
      <c r="F718" s="791">
        <f>'SOUTH-1'!F650</f>
        <v>1</v>
      </c>
      <c r="G718" s="791">
        <f>'SOUTH-1'!G650</f>
        <v>443166.8</v>
      </c>
      <c r="H718" s="791">
        <f>'SOUTH-1'!H650</f>
        <v>452585.2</v>
      </c>
      <c r="I718" s="791">
        <f>'SOUTH-1'!I650</f>
        <v>9418.4000000000233</v>
      </c>
      <c r="J718" s="791">
        <f>'SOUTH-1'!J650</f>
        <v>60</v>
      </c>
      <c r="K718" s="791">
        <f>'SOUTH-1'!K650</f>
        <v>0</v>
      </c>
      <c r="L718" s="791">
        <f>'SOUTH-1'!L650</f>
        <v>565104.0000000014</v>
      </c>
      <c r="M718" s="791">
        <f>'SOUTH-1'!M650</f>
        <v>0</v>
      </c>
      <c r="N718" s="2019" t="str">
        <f>'SOUTH-1'!N650</f>
        <v>Fatullah</v>
      </c>
      <c r="O718" s="2019" t="str">
        <f>Sheet2!$C$60</f>
        <v>Fatullah 33/11KV S/S</v>
      </c>
    </row>
    <row r="719" spans="1:15" x14ac:dyDescent="0.35">
      <c r="A719" s="2019">
        <f>'SOUTH-1'!A651</f>
        <v>27</v>
      </c>
      <c r="B719" s="2019" t="str">
        <f>'SOUTH-1'!B651</f>
        <v>11 kV Panchabati O/H Feeder</v>
      </c>
      <c r="C719" s="2019">
        <f>'SOUTH-1'!C651</f>
        <v>11</v>
      </c>
      <c r="D719" s="2019" t="str">
        <f>'SOUTH-1'!D651</f>
        <v>New</v>
      </c>
      <c r="E719" s="2019" t="str">
        <f>'SOUTH-1'!E651</f>
        <v>HA021100891-02</v>
      </c>
      <c r="F719" s="791">
        <f>'SOUTH-1'!F651</f>
        <v>1</v>
      </c>
      <c r="G719" s="791">
        <f>'SOUTH-1'!G651</f>
        <v>95719038</v>
      </c>
      <c r="H719" s="791">
        <f>'SOUTH-1'!H651</f>
        <v>96159693</v>
      </c>
      <c r="I719" s="791">
        <f>'SOUTH-1'!I651</f>
        <v>440655</v>
      </c>
      <c r="J719" s="791">
        <f>'SOUTH-1'!J651</f>
        <v>1</v>
      </c>
      <c r="K719" s="791">
        <f>'SOUTH-1'!K651</f>
        <v>0</v>
      </c>
      <c r="L719" s="791">
        <f>'SOUTH-1'!L651</f>
        <v>440655</v>
      </c>
      <c r="M719" s="791">
        <f>'SOUTH-1'!M651</f>
        <v>0</v>
      </c>
      <c r="N719" s="2019" t="str">
        <f>'SOUTH-1'!N651</f>
        <v>Sytalakhya</v>
      </c>
      <c r="O719" s="2019" t="str">
        <f>Sheet2!$C$60</f>
        <v>Fatullah 33/11KV S/S</v>
      </c>
    </row>
    <row r="720" spans="1:15" x14ac:dyDescent="0.35">
      <c r="A720" s="2019">
        <f>'SOUTH-1'!A652</f>
        <v>28</v>
      </c>
      <c r="B720" s="2019" t="str">
        <f>'SOUTH-1'!B652</f>
        <v>11 kV Dharmagonj Feeder.</v>
      </c>
      <c r="C720" s="2019">
        <f>'SOUTH-1'!C652</f>
        <v>11</v>
      </c>
      <c r="D720" s="2019" t="str">
        <f>'SOUTH-1'!D652</f>
        <v>New</v>
      </c>
      <c r="E720" s="2019" t="str">
        <f>'SOUTH-1'!E652</f>
        <v>HA021101231-02</v>
      </c>
      <c r="F720" s="791">
        <f>'SOUTH-1'!F652</f>
        <v>1</v>
      </c>
      <c r="G720" s="791">
        <f>'SOUTH-1'!G652</f>
        <v>22727356</v>
      </c>
      <c r="H720" s="791">
        <f>'SOUTH-1'!H652</f>
        <v>22941937</v>
      </c>
      <c r="I720" s="791">
        <f>'SOUTH-1'!I652</f>
        <v>214581</v>
      </c>
      <c r="J720" s="791">
        <f>'SOUTH-1'!J652</f>
        <v>1</v>
      </c>
      <c r="K720" s="791">
        <f>'SOUTH-1'!K652</f>
        <v>0</v>
      </c>
      <c r="L720" s="791">
        <f>'SOUTH-1'!L652</f>
        <v>214581</v>
      </c>
      <c r="M720" s="791">
        <f>'SOUTH-1'!M652</f>
        <v>0</v>
      </c>
      <c r="N720" s="2019" t="str">
        <f>'SOUTH-1'!N652</f>
        <v>Sytalakhya</v>
      </c>
      <c r="O720" s="2019" t="str">
        <f>Sheet2!$C$60</f>
        <v>Fatullah 33/11KV S/S</v>
      </c>
    </row>
    <row r="721" spans="1:15" x14ac:dyDescent="0.35">
      <c r="A721" s="2019">
        <f>'SOUTH-1'!A653</f>
        <v>29</v>
      </c>
      <c r="B721" s="2019" t="str">
        <f>'SOUTH-1'!B653</f>
        <v>11 kV Sena Edible Oil Feeder.</v>
      </c>
      <c r="C721" s="2019">
        <f>'SOUTH-1'!C653</f>
        <v>11</v>
      </c>
      <c r="D721" s="2019" t="str">
        <f>'SOUTH-1'!D653</f>
        <v>New</v>
      </c>
      <c r="E721" s="2019" t="str">
        <f>'SOUTH-1'!E653</f>
        <v>HA021101108-02</v>
      </c>
      <c r="F721" s="791">
        <f>'SOUTH-1'!F653</f>
        <v>1</v>
      </c>
      <c r="G721" s="791">
        <f>'SOUTH-1'!G653</f>
        <v>11911988</v>
      </c>
      <c r="H721" s="791">
        <f>'SOUTH-1'!H653</f>
        <v>12179480</v>
      </c>
      <c r="I721" s="791">
        <f>'SOUTH-1'!I653</f>
        <v>267492</v>
      </c>
      <c r="J721" s="791">
        <f>'SOUTH-1'!J653</f>
        <v>1</v>
      </c>
      <c r="K721" s="791">
        <f>'SOUTH-1'!K653</f>
        <v>0</v>
      </c>
      <c r="L721" s="791">
        <f>'SOUTH-1'!L653</f>
        <v>267492</v>
      </c>
      <c r="M721" s="791">
        <f>'SOUTH-1'!M653</f>
        <v>0</v>
      </c>
      <c r="N721" s="2019" t="str">
        <f>'SOUTH-1'!N653</f>
        <v>Sytalakhya</v>
      </c>
      <c r="O721" s="2019" t="str">
        <f>Sheet2!$C$60</f>
        <v>Fatullah 33/11KV S/S</v>
      </c>
    </row>
    <row r="722" spans="1:15" x14ac:dyDescent="0.35">
      <c r="A722" s="2019">
        <f>'SOUTH-1'!A654</f>
        <v>30</v>
      </c>
      <c r="B722" s="2019" t="str">
        <f>'SOUTH-1'!B654</f>
        <v>11 kV Kutubail Feeder</v>
      </c>
      <c r="C722" s="2019">
        <f>'SOUTH-1'!C654</f>
        <v>11</v>
      </c>
      <c r="D722" s="2019" t="str">
        <f>'SOUTH-1'!D654</f>
        <v>New</v>
      </c>
      <c r="E722" s="2019" t="str">
        <f>'SOUTH-1'!E654</f>
        <v>HA021101010-02</v>
      </c>
      <c r="F722" s="791">
        <f>'SOUTH-1'!F654</f>
        <v>1</v>
      </c>
      <c r="G722" s="791">
        <f>'SOUTH-1'!G654</f>
        <v>78709899</v>
      </c>
      <c r="H722" s="791">
        <f>'SOUTH-1'!H654</f>
        <v>78709899</v>
      </c>
      <c r="I722" s="791">
        <f>'SOUTH-1'!I654</f>
        <v>0</v>
      </c>
      <c r="J722" s="791">
        <f>'SOUTH-1'!J654</f>
        <v>1</v>
      </c>
      <c r="K722" s="791">
        <f>'SOUTH-1'!K654</f>
        <v>0</v>
      </c>
      <c r="L722" s="791">
        <f>'SOUTH-1'!L654</f>
        <v>0</v>
      </c>
      <c r="M722" s="791">
        <f>'SOUTH-1'!M654</f>
        <v>0</v>
      </c>
      <c r="N722" s="2019" t="str">
        <f>'SOUTH-1'!N654</f>
        <v>Fatullah</v>
      </c>
      <c r="O722" s="2019" t="str">
        <f>Sheet2!$C$60</f>
        <v>Fatullah 33/11KV S/S</v>
      </c>
    </row>
    <row r="723" spans="1:15" x14ac:dyDescent="0.35">
      <c r="A723" s="2019">
        <f>'SOUTH-1'!A655</f>
        <v>33</v>
      </c>
      <c r="B723" s="2019" t="str">
        <f>'SOUTH-1'!B655</f>
        <v>11 kV Aligonj Feeder</v>
      </c>
      <c r="C723" s="2019">
        <f>'SOUTH-1'!C655</f>
        <v>11</v>
      </c>
      <c r="D723" s="2019" t="str">
        <f>'SOUTH-1'!D655</f>
        <v>New</v>
      </c>
      <c r="E723" s="2019" t="str">
        <f>'SOUTH-1'!E655</f>
        <v>HA021100973-02</v>
      </c>
      <c r="F723" s="791">
        <f>'SOUTH-1'!F655</f>
        <v>1</v>
      </c>
      <c r="G723" s="791">
        <f>'SOUTH-1'!G655</f>
        <v>24527028</v>
      </c>
      <c r="H723" s="791">
        <f>'SOUTH-1'!H655</f>
        <v>24819311</v>
      </c>
      <c r="I723" s="791">
        <f>'SOUTH-1'!I655</f>
        <v>292283</v>
      </c>
      <c r="J723" s="791">
        <f>'SOUTH-1'!J655</f>
        <v>1</v>
      </c>
      <c r="K723" s="791">
        <f>'SOUTH-1'!K655</f>
        <v>0</v>
      </c>
      <c r="L723" s="791">
        <f>'SOUTH-1'!L655</f>
        <v>292283</v>
      </c>
      <c r="M723" s="791">
        <f>'SOUTH-1'!M655</f>
        <v>0</v>
      </c>
      <c r="N723" s="2019" t="str">
        <f>'SOUTH-1'!N655</f>
        <v>Fatullah</v>
      </c>
      <c r="O723" s="2019" t="str">
        <f>Sheet2!$C$60</f>
        <v>Fatullah 33/11KV S/S</v>
      </c>
    </row>
    <row r="724" spans="1:15" x14ac:dyDescent="0.35">
      <c r="A724" s="2019">
        <f>'SOUTH-1'!A656</f>
        <v>34</v>
      </c>
      <c r="B724" s="2019" t="str">
        <f>'SOUTH-1'!B656</f>
        <v>11 kV Gabtoli Feeder</v>
      </c>
      <c r="C724" s="2019">
        <f>'SOUTH-1'!C656</f>
        <v>11</v>
      </c>
      <c r="D724" s="2019" t="str">
        <f>'SOUTH-1'!D656</f>
        <v>New</v>
      </c>
      <c r="E724" s="2019" t="str">
        <f>'SOUTH-1'!E656</f>
        <v>HA021101005-02</v>
      </c>
      <c r="F724" s="791">
        <f>'SOUTH-1'!F656</f>
        <v>1</v>
      </c>
      <c r="G724" s="791">
        <f>'SOUTH-1'!G656</f>
        <v>97157689</v>
      </c>
      <c r="H724" s="791">
        <f>'SOUTH-1'!H656</f>
        <v>98999649</v>
      </c>
      <c r="I724" s="791">
        <f>'SOUTH-1'!I656</f>
        <v>1841960</v>
      </c>
      <c r="J724" s="791">
        <f>'SOUTH-1'!J656</f>
        <v>1</v>
      </c>
      <c r="K724" s="791">
        <f>'SOUTH-1'!K656</f>
        <v>0</v>
      </c>
      <c r="L724" s="791">
        <f>'SOUTH-1'!L656</f>
        <v>1841960</v>
      </c>
      <c r="M724" s="791">
        <f>'SOUTH-1'!M656</f>
        <v>0</v>
      </c>
      <c r="N724" s="2019" t="str">
        <f>'SOUTH-1'!N656</f>
        <v>Fatullah</v>
      </c>
      <c r="O724" s="2019" t="str">
        <f>Sheet2!$C$60</f>
        <v>Fatullah 33/11KV S/S</v>
      </c>
    </row>
    <row r="725" spans="1:15" x14ac:dyDescent="0.35">
      <c r="A725" s="2019">
        <f>'SOUTH-1'!A657</f>
        <v>35</v>
      </c>
      <c r="B725" s="2019" t="str">
        <f>'SOUTH-1'!B657</f>
        <v>11 kV Jamuna Steel Feeder.</v>
      </c>
      <c r="C725" s="2019">
        <f>'SOUTH-1'!C657</f>
        <v>11</v>
      </c>
      <c r="D725" s="2019" t="str">
        <f>'SOUTH-1'!D657</f>
        <v>New</v>
      </c>
      <c r="E725" s="2019" t="str">
        <f>'SOUTH-1'!E657</f>
        <v>HA021101045-02</v>
      </c>
      <c r="F725" s="791">
        <f>'SOUTH-1'!F657</f>
        <v>1</v>
      </c>
      <c r="G725" s="791">
        <f>'SOUTH-1'!G657</f>
        <v>0</v>
      </c>
      <c r="H725" s="791">
        <f>'SOUTH-1'!H657</f>
        <v>0</v>
      </c>
      <c r="I725" s="791">
        <f>'SOUTH-1'!I657</f>
        <v>0</v>
      </c>
      <c r="J725" s="791">
        <f>'SOUTH-1'!J657</f>
        <v>1</v>
      </c>
      <c r="K725" s="791">
        <f>'SOUTH-1'!K657</f>
        <v>0</v>
      </c>
      <c r="L725" s="791">
        <f>'SOUTH-1'!L657</f>
        <v>0</v>
      </c>
      <c r="M725" s="791">
        <f>'SOUTH-1'!M657</f>
        <v>0</v>
      </c>
      <c r="N725" s="2019" t="str">
        <f>'SOUTH-1'!N657</f>
        <v>Fatullah</v>
      </c>
      <c r="O725" s="2019" t="str">
        <f>Sheet2!$C$60</f>
        <v>Fatullah 33/11KV S/S</v>
      </c>
    </row>
    <row r="726" spans="1:15" x14ac:dyDescent="0.35">
      <c r="A726" s="2019">
        <f>'SOUTH-1'!A658</f>
        <v>0</v>
      </c>
      <c r="B726" s="2019">
        <f>'SOUTH-1'!B658</f>
        <v>0</v>
      </c>
      <c r="C726" s="2019">
        <f>'SOUTH-1'!C658</f>
        <v>11</v>
      </c>
      <c r="D726" s="2019" t="str">
        <f>'SOUTH-1'!D658</f>
        <v>Old</v>
      </c>
      <c r="E726" s="2019" t="str">
        <f>'SOUTH-1'!E658</f>
        <v>DHK00113</v>
      </c>
      <c r="F726" s="791">
        <f>'SOUTH-1'!F658</f>
        <v>1</v>
      </c>
      <c r="G726" s="791">
        <f>'SOUTH-1'!G658</f>
        <v>0</v>
      </c>
      <c r="H726" s="791">
        <f>'SOUTH-1'!H658</f>
        <v>0</v>
      </c>
      <c r="I726" s="791">
        <f>'SOUTH-1'!I658</f>
        <v>0</v>
      </c>
      <c r="J726" s="791">
        <f>'SOUTH-1'!J658</f>
        <v>1</v>
      </c>
      <c r="K726" s="791">
        <f>'SOUTH-1'!K658</f>
        <v>0</v>
      </c>
      <c r="L726" s="791">
        <f>'SOUTH-1'!L658</f>
        <v>0</v>
      </c>
      <c r="M726" s="791">
        <f>'SOUTH-1'!M658</f>
        <v>0</v>
      </c>
      <c r="N726" s="2019" t="str">
        <f>'SOUTH-1'!N658</f>
        <v>Fatullah</v>
      </c>
      <c r="O726" s="2019" t="str">
        <f>Sheet2!$C$60</f>
        <v>Fatullah 33/11KV S/S</v>
      </c>
    </row>
    <row r="727" spans="1:15" x14ac:dyDescent="0.35">
      <c r="A727" s="2019">
        <f>'SOUTH-1'!A659</f>
        <v>36</v>
      </c>
      <c r="B727" s="2019" t="str">
        <f>'SOUTH-1'!B659</f>
        <v>11 kV Bishwa Road Feeder</v>
      </c>
      <c r="C727" s="2019">
        <f>'SOUTH-1'!C659</f>
        <v>11</v>
      </c>
      <c r="D727" s="2019" t="str">
        <f>'SOUTH-1'!D659</f>
        <v>New</v>
      </c>
      <c r="E727" s="2019" t="str">
        <f>'SOUTH-1'!E659</f>
        <v>HA021100705-02</v>
      </c>
      <c r="F727" s="791">
        <f>'SOUTH-1'!F659</f>
        <v>1</v>
      </c>
      <c r="G727" s="791">
        <f>'SOUTH-1'!G659</f>
        <v>92711699</v>
      </c>
      <c r="H727" s="791">
        <f>'SOUTH-1'!H659</f>
        <v>93739023</v>
      </c>
      <c r="I727" s="791">
        <f>'SOUTH-1'!I659</f>
        <v>1027324</v>
      </c>
      <c r="J727" s="791">
        <f>'SOUTH-1'!J659</f>
        <v>1</v>
      </c>
      <c r="K727" s="791">
        <f>'SOUTH-1'!K659</f>
        <v>0</v>
      </c>
      <c r="L727" s="791">
        <f>'SOUTH-1'!L659</f>
        <v>1027324</v>
      </c>
      <c r="M727" s="791">
        <f>'SOUTH-1'!M659</f>
        <v>0</v>
      </c>
      <c r="N727" s="2019" t="str">
        <f>'SOUTH-1'!N659</f>
        <v>Fatullah</v>
      </c>
      <c r="O727" s="2019" t="str">
        <f>Sheet2!$C$60</f>
        <v>Fatullah 33/11KV S/S</v>
      </c>
    </row>
    <row r="728" spans="1:15" x14ac:dyDescent="0.35">
      <c r="A728" s="2019">
        <f>'SOUTH-1'!A660</f>
        <v>37</v>
      </c>
      <c r="B728" s="2019" t="str">
        <f>'SOUTH-1'!B660</f>
        <v>11 kV Spare Feeder</v>
      </c>
      <c r="C728" s="2019">
        <f>'SOUTH-1'!C660</f>
        <v>11</v>
      </c>
      <c r="D728" s="2019" t="str">
        <f>'SOUTH-1'!D660</f>
        <v>New</v>
      </c>
      <c r="E728" s="2019" t="str">
        <f>'SOUTH-1'!E660</f>
        <v>HA021100877-02</v>
      </c>
      <c r="F728" s="791">
        <f>'SOUTH-1'!F660</f>
        <v>1</v>
      </c>
      <c r="G728" s="791">
        <f>'SOUTH-1'!G660</f>
        <v>0</v>
      </c>
      <c r="H728" s="791">
        <f>'SOUTH-1'!H660</f>
        <v>0</v>
      </c>
      <c r="I728" s="791">
        <f>'SOUTH-1'!I660</f>
        <v>0</v>
      </c>
      <c r="J728" s="791">
        <f>'SOUTH-1'!J660</f>
        <v>1</v>
      </c>
      <c r="K728" s="791">
        <f>'SOUTH-1'!K660</f>
        <v>0</v>
      </c>
      <c r="L728" s="791">
        <f>'SOUTH-1'!L660</f>
        <v>0</v>
      </c>
      <c r="M728" s="791">
        <f>'SOUTH-1'!M660</f>
        <v>0</v>
      </c>
      <c r="N728" s="2019" t="str">
        <f>'SOUTH-1'!N660</f>
        <v>Fatullah</v>
      </c>
      <c r="O728" s="2019" t="str">
        <f>Sheet2!$C$60</f>
        <v>Fatullah 33/11KV S/S</v>
      </c>
    </row>
    <row r="729" spans="1:15" x14ac:dyDescent="0.35">
      <c r="A729" s="2019">
        <f>'SOUTH-1'!A661</f>
        <v>38</v>
      </c>
      <c r="B729" s="2019" t="str">
        <f>'SOUTH-1'!B661</f>
        <v>33/0.415  kV, 200 kVA, AT-1+2</v>
      </c>
      <c r="C729" s="2019">
        <f>'SOUTH-1'!C661</f>
        <v>11</v>
      </c>
      <c r="D729" s="2019">
        <f>'SOUTH-1'!D661</f>
        <v>0</v>
      </c>
      <c r="E729" s="2019" t="str">
        <f>'SOUTH-1'!E661</f>
        <v>ELIB7380</v>
      </c>
      <c r="F729" s="791">
        <f>'SOUTH-1'!F661</f>
        <v>1</v>
      </c>
      <c r="G729" s="791">
        <f>'SOUTH-1'!G661</f>
        <v>223454</v>
      </c>
      <c r="H729" s="791">
        <f>'SOUTH-1'!H661</f>
        <v>223454</v>
      </c>
      <c r="I729" s="791">
        <f>'SOUTH-1'!I661</f>
        <v>0</v>
      </c>
      <c r="J729" s="791">
        <f>'SOUTH-1'!J661</f>
        <v>1</v>
      </c>
      <c r="K729" s="791">
        <f>'SOUTH-1'!K661</f>
        <v>0</v>
      </c>
      <c r="L729" s="791">
        <f>'SOUTH-1'!L661</f>
        <v>0</v>
      </c>
      <c r="M729" s="791">
        <f>'SOUTH-1'!M661</f>
        <v>0</v>
      </c>
      <c r="N729" s="2019" t="str">
        <f>'SOUTH-1'!N661</f>
        <v>Fatullah</v>
      </c>
      <c r="O729" s="2019" t="str">
        <f>Sheet2!$C$60</f>
        <v>Fatullah 33/11KV S/S</v>
      </c>
    </row>
    <row r="730" spans="1:15" x14ac:dyDescent="0.35">
      <c r="A730" s="2019">
        <f>'SOUTH-1'!A796</f>
        <v>4</v>
      </c>
      <c r="B730" s="2019" t="str">
        <f>'SOUTH-1'!B796</f>
        <v>11 kV Outgoing Feeder-1 (=F1)</v>
      </c>
      <c r="C730" s="2019">
        <f>'SOUTH-1'!C796</f>
        <v>11</v>
      </c>
      <c r="D730" s="2019">
        <f>'SOUTH-1'!D796</f>
        <v>0</v>
      </c>
      <c r="E730" s="2019" t="str">
        <f>'SOUTH-1'!E796</f>
        <v>041808902834</v>
      </c>
      <c r="F730" s="791">
        <f>'SOUTH-1'!F796</f>
        <v>1</v>
      </c>
      <c r="G730" s="791">
        <f>'SOUTH-1'!G796</f>
        <v>0</v>
      </c>
      <c r="H730" s="791">
        <f>'SOUTH-1'!H796</f>
        <v>0</v>
      </c>
      <c r="I730" s="791">
        <f>'SOUTH-1'!I796</f>
        <v>0</v>
      </c>
      <c r="J730" s="791">
        <f>'SOUTH-1'!J796</f>
        <v>60000</v>
      </c>
      <c r="K730" s="791">
        <f>'SOUTH-1'!K796</f>
        <v>0</v>
      </c>
      <c r="L730" s="791">
        <f>'SOUTH-1'!L796</f>
        <v>0</v>
      </c>
      <c r="M730" s="791">
        <f>'SOUTH-1'!M796</f>
        <v>0</v>
      </c>
      <c r="N730" s="2019">
        <f>'SOUTH-1'!N796</f>
        <v>0</v>
      </c>
      <c r="O730" s="2019" t="str">
        <f>Sheet2!$C$83</f>
        <v>New Fatullah 33/11 KV SS</v>
      </c>
    </row>
    <row r="731" spans="1:15" x14ac:dyDescent="0.35">
      <c r="A731" s="2019">
        <f>'SOUTH-1'!A797</f>
        <v>5</v>
      </c>
      <c r="B731" s="2019" t="str">
        <f>'SOUTH-1'!B797</f>
        <v>11 kV Outgoing Feeder-2 (=F2)</v>
      </c>
      <c r="C731" s="2019">
        <f>'SOUTH-1'!C797</f>
        <v>11</v>
      </c>
      <c r="D731" s="2019">
        <f>'SOUTH-1'!D797</f>
        <v>0</v>
      </c>
      <c r="E731" s="2019" t="str">
        <f>'SOUTH-1'!E797</f>
        <v>041808902801</v>
      </c>
      <c r="F731" s="791">
        <f>'SOUTH-1'!F797</f>
        <v>1</v>
      </c>
      <c r="G731" s="791">
        <f>'SOUTH-1'!G797</f>
        <v>0</v>
      </c>
      <c r="H731" s="791">
        <f>'SOUTH-1'!H797</f>
        <v>0</v>
      </c>
      <c r="I731" s="791">
        <f>'SOUTH-1'!I797</f>
        <v>0</v>
      </c>
      <c r="J731" s="791">
        <f>'SOUTH-1'!J797</f>
        <v>60000</v>
      </c>
      <c r="K731" s="791">
        <f>'SOUTH-1'!K797</f>
        <v>0</v>
      </c>
      <c r="L731" s="791">
        <f>'SOUTH-1'!L797</f>
        <v>0</v>
      </c>
      <c r="M731" s="791">
        <f>'SOUTH-1'!M797</f>
        <v>0</v>
      </c>
      <c r="N731" s="2019">
        <f>'SOUTH-1'!N797</f>
        <v>0</v>
      </c>
      <c r="O731" s="2019" t="str">
        <f>Sheet2!$C$83</f>
        <v>New Fatullah 33/11 KV SS</v>
      </c>
    </row>
    <row r="732" spans="1:15" x14ac:dyDescent="0.35">
      <c r="A732" s="2019">
        <f>'SOUTH-1'!A798</f>
        <v>6</v>
      </c>
      <c r="B732" s="2019" t="str">
        <f>'SOUTH-1'!B798</f>
        <v>11 kV Morakhalpar (=F3)</v>
      </c>
      <c r="C732" s="2019">
        <f>'SOUTH-1'!C798</f>
        <v>11</v>
      </c>
      <c r="D732" s="2019" t="str">
        <f>'SOUTH-1'!D798</f>
        <v>Shitalakhya</v>
      </c>
      <c r="E732" s="2019" t="str">
        <f>'SOUTH-1'!E798</f>
        <v>041808902797</v>
      </c>
      <c r="F732" s="791">
        <f>'SOUTH-1'!F798</f>
        <v>1</v>
      </c>
      <c r="G732" s="791">
        <f>'SOUTH-1'!G798</f>
        <v>665.86</v>
      </c>
      <c r="H732" s="791">
        <f>'SOUTH-1'!H798</f>
        <v>688.21</v>
      </c>
      <c r="I732" s="791">
        <f>'SOUTH-1'!I798</f>
        <v>22.350000000000023</v>
      </c>
      <c r="J732" s="791">
        <f>'SOUTH-1'!J798</f>
        <v>60000</v>
      </c>
      <c r="K732" s="791">
        <f>'SOUTH-1'!K798</f>
        <v>0</v>
      </c>
      <c r="L732" s="791">
        <f>'SOUTH-1'!L798</f>
        <v>1341000.0000000014</v>
      </c>
      <c r="M732" s="791">
        <f>'SOUTH-1'!M798</f>
        <v>0</v>
      </c>
      <c r="N732" s="2019" t="str">
        <f>'SOUTH-1'!N798</f>
        <v>Sytalakhya</v>
      </c>
      <c r="O732" s="2019" t="str">
        <f>Sheet2!$C$83</f>
        <v>New Fatullah 33/11 KV SS</v>
      </c>
    </row>
    <row r="733" spans="1:15" x14ac:dyDescent="0.35">
      <c r="A733" s="2019">
        <f>'SOUTH-1'!A799</f>
        <v>7</v>
      </c>
      <c r="B733" s="2019" t="str">
        <f>'SOUTH-1'!B799</f>
        <v>11 kV Achimtola (=F4)</v>
      </c>
      <c r="C733" s="2019">
        <f>'SOUTH-1'!C799</f>
        <v>11</v>
      </c>
      <c r="D733" s="2019" t="str">
        <f>'SOUTH-1'!D799</f>
        <v>Shitalakhya</v>
      </c>
      <c r="E733" s="2019" t="str">
        <f>'SOUTH-1'!E799</f>
        <v>041808902780</v>
      </c>
      <c r="F733" s="791">
        <f>'SOUTH-1'!F799</f>
        <v>1</v>
      </c>
      <c r="G733" s="791">
        <f>'SOUTH-1'!G799</f>
        <v>248.46</v>
      </c>
      <c r="H733" s="791">
        <f>'SOUTH-1'!H799</f>
        <v>264.55</v>
      </c>
      <c r="I733" s="791">
        <f>'SOUTH-1'!I799</f>
        <v>16.090000000000003</v>
      </c>
      <c r="J733" s="791">
        <f>'SOUTH-1'!J799</f>
        <v>60000</v>
      </c>
      <c r="K733" s="791">
        <f>'SOUTH-1'!K799</f>
        <v>0</v>
      </c>
      <c r="L733" s="791">
        <f>'SOUTH-1'!L799</f>
        <v>965400.00000000023</v>
      </c>
      <c r="M733" s="791">
        <f>'SOUTH-1'!M799</f>
        <v>0</v>
      </c>
      <c r="N733" s="2019" t="str">
        <f>'SOUTH-1'!N799</f>
        <v>Sytalakhya</v>
      </c>
      <c r="O733" s="2019" t="str">
        <f>Sheet2!$C$83</f>
        <v>New Fatullah 33/11 KV SS</v>
      </c>
    </row>
    <row r="734" spans="1:15" x14ac:dyDescent="0.35">
      <c r="A734" s="2019">
        <f>'SOUTH-1'!A800</f>
        <v>8</v>
      </c>
      <c r="B734" s="2019" t="str">
        <f>'SOUTH-1'!B800</f>
        <v>11 kV Horihorpara (=F5)</v>
      </c>
      <c r="C734" s="2019">
        <f>'SOUTH-1'!C800</f>
        <v>11</v>
      </c>
      <c r="D734" s="2019" t="str">
        <f>'SOUTH-1'!D800</f>
        <v>Shitalakhya</v>
      </c>
      <c r="E734" s="2019" t="str">
        <f>'SOUTH-1'!E800</f>
        <v>041808902782</v>
      </c>
      <c r="F734" s="791">
        <f>'SOUTH-1'!F800</f>
        <v>1</v>
      </c>
      <c r="G734" s="791">
        <f>'SOUTH-1'!G800</f>
        <v>453.28</v>
      </c>
      <c r="H734" s="791">
        <f>'SOUTH-1'!H800</f>
        <v>460.44</v>
      </c>
      <c r="I734" s="791">
        <f>'SOUTH-1'!I800</f>
        <v>7.160000000000025</v>
      </c>
      <c r="J734" s="791">
        <f>'SOUTH-1'!J800</f>
        <v>60000</v>
      </c>
      <c r="K734" s="791">
        <f>'SOUTH-1'!K800</f>
        <v>0</v>
      </c>
      <c r="L734" s="791">
        <f>'SOUTH-1'!L800</f>
        <v>429600.00000000151</v>
      </c>
      <c r="M734" s="791">
        <f>'SOUTH-1'!M800</f>
        <v>0</v>
      </c>
      <c r="N734" s="2019" t="str">
        <f>'SOUTH-1'!N800</f>
        <v>Sytalakhya</v>
      </c>
      <c r="O734" s="2019" t="str">
        <f>Sheet2!$C$83</f>
        <v>New Fatullah 33/11 KV SS</v>
      </c>
    </row>
    <row r="735" spans="1:15" x14ac:dyDescent="0.35">
      <c r="A735" s="2019">
        <f>'SOUTH-1'!A801</f>
        <v>9</v>
      </c>
      <c r="B735" s="2019" t="str">
        <f>'SOUTH-1'!B801</f>
        <v>11 kV Amtola Feeder (=F6)</v>
      </c>
      <c r="C735" s="2019">
        <f>'SOUTH-1'!C801</f>
        <v>11</v>
      </c>
      <c r="D735" s="2019" t="str">
        <f>'SOUTH-1'!D801</f>
        <v>Shitalakhya</v>
      </c>
      <c r="E735" s="2019" t="str">
        <f>'SOUTH-1'!E801</f>
        <v>041808902773</v>
      </c>
      <c r="F735" s="791">
        <f>'SOUTH-1'!F801</f>
        <v>1</v>
      </c>
      <c r="G735" s="791">
        <f>'SOUTH-1'!G801</f>
        <v>967.66</v>
      </c>
      <c r="H735" s="791">
        <f>'SOUTH-1'!H801</f>
        <v>988.58</v>
      </c>
      <c r="I735" s="791">
        <f>'SOUTH-1'!I801</f>
        <v>20.920000000000073</v>
      </c>
      <c r="J735" s="791">
        <f>'SOUTH-1'!J801</f>
        <v>60000</v>
      </c>
      <c r="K735" s="791">
        <f>'SOUTH-1'!K801</f>
        <v>0</v>
      </c>
      <c r="L735" s="791">
        <f>'SOUTH-1'!L801</f>
        <v>1255200.0000000044</v>
      </c>
      <c r="M735" s="791">
        <f>'SOUTH-1'!M801</f>
        <v>0</v>
      </c>
      <c r="N735" s="2019" t="str">
        <f>'SOUTH-1'!N801</f>
        <v>Sytalakhya</v>
      </c>
      <c r="O735" s="2019" t="str">
        <f>Sheet2!$C$83</f>
        <v>New Fatullah 33/11 KV SS</v>
      </c>
    </row>
    <row r="736" spans="1:15" x14ac:dyDescent="0.35">
      <c r="A736" s="2019">
        <f>'SOUTH-1'!A802</f>
        <v>10</v>
      </c>
      <c r="B736" s="2019" t="str">
        <f>'SOUTH-1'!B802</f>
        <v>11 kV Outgoing Feeder-7 (=F7)</v>
      </c>
      <c r="C736" s="2019">
        <f>'SOUTH-1'!C802</f>
        <v>11</v>
      </c>
      <c r="D736" s="2019">
        <f>'SOUTH-1'!D802</f>
        <v>0</v>
      </c>
      <c r="E736" s="2019" t="str">
        <f>'SOUTH-1'!E802</f>
        <v>041808902774</v>
      </c>
      <c r="F736" s="791">
        <f>'SOUTH-1'!F802</f>
        <v>1</v>
      </c>
      <c r="G736" s="791">
        <f>'SOUTH-1'!G802</f>
        <v>0</v>
      </c>
      <c r="H736" s="791">
        <f>'SOUTH-1'!H802</f>
        <v>0</v>
      </c>
      <c r="I736" s="791">
        <f>'SOUTH-1'!I802</f>
        <v>0</v>
      </c>
      <c r="J736" s="791">
        <f>'SOUTH-1'!J802</f>
        <v>60000</v>
      </c>
      <c r="K736" s="791">
        <f>'SOUTH-1'!K802</f>
        <v>0</v>
      </c>
      <c r="L736" s="791">
        <f>'SOUTH-1'!L802</f>
        <v>0</v>
      </c>
      <c r="M736" s="791">
        <f>'SOUTH-1'!M802</f>
        <v>0</v>
      </c>
      <c r="N736" s="2019">
        <f>'SOUTH-1'!N802</f>
        <v>0</v>
      </c>
      <c r="O736" s="2019" t="str">
        <f>Sheet2!$C$83</f>
        <v>New Fatullah 33/11 KV SS</v>
      </c>
    </row>
    <row r="737" spans="1:15" x14ac:dyDescent="0.35">
      <c r="A737" s="2019">
        <f>'SOUTH-1'!A803</f>
        <v>11</v>
      </c>
      <c r="B737" s="2019" t="str">
        <f>'SOUTH-1'!B803</f>
        <v>11 kV Outgoing Feeder-8 with BPT-1</v>
      </c>
      <c r="C737" s="2019">
        <f>'SOUTH-1'!C803</f>
        <v>11</v>
      </c>
      <c r="D737" s="2019">
        <f>'SOUTH-1'!D803</f>
        <v>0</v>
      </c>
      <c r="E737" s="2019" t="str">
        <f>'SOUTH-1'!E803</f>
        <v>041808902760</v>
      </c>
      <c r="F737" s="791">
        <f>'SOUTH-1'!F803</f>
        <v>1</v>
      </c>
      <c r="G737" s="791">
        <f>'SOUTH-1'!G803</f>
        <v>0</v>
      </c>
      <c r="H737" s="791">
        <f>'SOUTH-1'!H803</f>
        <v>0</v>
      </c>
      <c r="I737" s="791">
        <f>'SOUTH-1'!I803</f>
        <v>0</v>
      </c>
      <c r="J737" s="791">
        <f>'SOUTH-1'!J803</f>
        <v>60000</v>
      </c>
      <c r="K737" s="791">
        <f>'SOUTH-1'!K803</f>
        <v>0</v>
      </c>
      <c r="L737" s="791">
        <f>'SOUTH-1'!L803</f>
        <v>0</v>
      </c>
      <c r="M737" s="791">
        <f>'SOUTH-1'!M803</f>
        <v>0</v>
      </c>
      <c r="N737" s="2019">
        <f>'SOUTH-1'!N803</f>
        <v>0</v>
      </c>
      <c r="O737" s="2019" t="str">
        <f>Sheet2!$C$83</f>
        <v>New Fatullah 33/11 KV SS</v>
      </c>
    </row>
    <row r="738" spans="1:15" x14ac:dyDescent="0.35">
      <c r="A738" s="2019">
        <f>'SOUTH-1'!A804</f>
        <v>12</v>
      </c>
      <c r="B738" s="2019" t="str">
        <f>'SOUTH-1'!B804</f>
        <v>11 kV Outgoing Feeder-9 with BPT-2</v>
      </c>
      <c r="C738" s="2019">
        <f>'SOUTH-1'!C804</f>
        <v>11</v>
      </c>
      <c r="D738" s="2019">
        <f>'SOUTH-1'!D804</f>
        <v>0</v>
      </c>
      <c r="E738" s="2019" t="str">
        <f>'SOUTH-1'!E804</f>
        <v>041808902755</v>
      </c>
      <c r="F738" s="791">
        <f>'SOUTH-1'!F804</f>
        <v>1</v>
      </c>
      <c r="G738" s="791">
        <f>'SOUTH-1'!G804</f>
        <v>0</v>
      </c>
      <c r="H738" s="791">
        <f>'SOUTH-1'!H804</f>
        <v>0</v>
      </c>
      <c r="I738" s="791">
        <f>'SOUTH-1'!I804</f>
        <v>0</v>
      </c>
      <c r="J738" s="791">
        <f>'SOUTH-1'!J804</f>
        <v>60000</v>
      </c>
      <c r="K738" s="791">
        <f>'SOUTH-1'!K804</f>
        <v>0</v>
      </c>
      <c r="L738" s="791">
        <f>'SOUTH-1'!L804</f>
        <v>0</v>
      </c>
      <c r="M738" s="791">
        <f>'SOUTH-1'!M804</f>
        <v>0</v>
      </c>
      <c r="N738" s="2019">
        <f>'SOUTH-1'!N804</f>
        <v>0</v>
      </c>
      <c r="O738" s="2019" t="str">
        <f>Sheet2!$C$83</f>
        <v>New Fatullah 33/11 KV SS</v>
      </c>
    </row>
    <row r="739" spans="1:15" x14ac:dyDescent="0.35">
      <c r="A739" s="2019">
        <f>'SOUTH-1'!A805</f>
        <v>13</v>
      </c>
      <c r="B739" s="2019" t="str">
        <f>'SOUTH-1'!B805</f>
        <v>11 kV Outgoing Feeder-10 (=F8)</v>
      </c>
      <c r="C739" s="2019">
        <f>'SOUTH-1'!C805</f>
        <v>11</v>
      </c>
      <c r="D739" s="2019">
        <f>'SOUTH-1'!D805</f>
        <v>0</v>
      </c>
      <c r="E739" s="2019" t="str">
        <f>'SOUTH-1'!E805</f>
        <v>041808902788</v>
      </c>
      <c r="F739" s="791">
        <f>'SOUTH-1'!F805</f>
        <v>1</v>
      </c>
      <c r="G739" s="791">
        <f>'SOUTH-1'!G805</f>
        <v>0</v>
      </c>
      <c r="H739" s="791">
        <f>'SOUTH-1'!H805</f>
        <v>0</v>
      </c>
      <c r="I739" s="791">
        <f>'SOUTH-1'!I805</f>
        <v>0</v>
      </c>
      <c r="J739" s="791">
        <f>'SOUTH-1'!J805</f>
        <v>60000</v>
      </c>
      <c r="K739" s="791">
        <f>'SOUTH-1'!K805</f>
        <v>0</v>
      </c>
      <c r="L739" s="791">
        <f>'SOUTH-1'!L805</f>
        <v>0</v>
      </c>
      <c r="M739" s="791">
        <f>'SOUTH-1'!M805</f>
        <v>0</v>
      </c>
      <c r="N739" s="2019">
        <f>'SOUTH-1'!N805</f>
        <v>0</v>
      </c>
      <c r="O739" s="2019" t="str">
        <f>Sheet2!$C$83</f>
        <v>New Fatullah 33/11 KV SS</v>
      </c>
    </row>
    <row r="740" spans="1:15" x14ac:dyDescent="0.35">
      <c r="A740" s="2019">
        <f>'SOUTH-1'!A806</f>
        <v>14</v>
      </c>
      <c r="B740" s="2019" t="str">
        <f>'SOUTH-1'!B806</f>
        <v>11 kV Outgoing Feeder-11 (=F9)</v>
      </c>
      <c r="C740" s="2019">
        <f>'SOUTH-1'!C806</f>
        <v>11</v>
      </c>
      <c r="D740" s="2019">
        <f>'SOUTH-1'!D806</f>
        <v>0</v>
      </c>
      <c r="E740" s="2019" t="str">
        <f>'SOUTH-1'!E806</f>
        <v>041808902785</v>
      </c>
      <c r="F740" s="791">
        <f>'SOUTH-1'!F806</f>
        <v>1</v>
      </c>
      <c r="G740" s="791">
        <f>'SOUTH-1'!G806</f>
        <v>0</v>
      </c>
      <c r="H740" s="791">
        <f>'SOUTH-1'!H806</f>
        <v>0</v>
      </c>
      <c r="I740" s="791">
        <f>'SOUTH-1'!I806</f>
        <v>0</v>
      </c>
      <c r="J740" s="791">
        <f>'SOUTH-1'!J806</f>
        <v>60000</v>
      </c>
      <c r="K740" s="791">
        <f>'SOUTH-1'!K806</f>
        <v>0</v>
      </c>
      <c r="L740" s="791">
        <f>'SOUTH-1'!L806</f>
        <v>0</v>
      </c>
      <c r="M740" s="791">
        <f>'SOUTH-1'!M806</f>
        <v>0</v>
      </c>
      <c r="N740" s="2019">
        <f>'SOUTH-1'!N806</f>
        <v>0</v>
      </c>
      <c r="O740" s="2019" t="str">
        <f>Sheet2!$C$83</f>
        <v>New Fatullah 33/11 KV SS</v>
      </c>
    </row>
    <row r="741" spans="1:15" x14ac:dyDescent="0.35">
      <c r="A741" s="2019">
        <f>'SOUTH-1'!A807</f>
        <v>15</v>
      </c>
      <c r="B741" s="2019" t="str">
        <f>'SOUTH-1'!B807</f>
        <v>11 kV Nabinagar (=F10)</v>
      </c>
      <c r="C741" s="2019">
        <f>'SOUTH-1'!C807</f>
        <v>11</v>
      </c>
      <c r="D741" s="2019" t="str">
        <f>'SOUTH-1'!D807</f>
        <v>Shitalakhya</v>
      </c>
      <c r="E741" s="2019" t="str">
        <f>'SOUTH-1'!E807</f>
        <v>041808902841</v>
      </c>
      <c r="F741" s="791">
        <f>'SOUTH-1'!F807</f>
        <v>1</v>
      </c>
      <c r="G741" s="791">
        <f>'SOUTH-1'!G807</f>
        <v>16.27</v>
      </c>
      <c r="H741" s="791">
        <f>'SOUTH-1'!H807</f>
        <v>30.14</v>
      </c>
      <c r="I741" s="791">
        <f>'SOUTH-1'!I807</f>
        <v>13.870000000000001</v>
      </c>
      <c r="J741" s="791">
        <f>'SOUTH-1'!J807</f>
        <v>60000</v>
      </c>
      <c r="K741" s="791">
        <f>'SOUTH-1'!K807</f>
        <v>0</v>
      </c>
      <c r="L741" s="791">
        <f>'SOUTH-1'!L807</f>
        <v>832200.00000000012</v>
      </c>
      <c r="M741" s="791">
        <f>'SOUTH-1'!M807</f>
        <v>0</v>
      </c>
      <c r="N741" s="2019" t="str">
        <f>'SOUTH-1'!N807</f>
        <v>Sytalakhya</v>
      </c>
      <c r="O741" s="2019" t="str">
        <f>Sheet2!$C$83</f>
        <v>New Fatullah 33/11 KV SS</v>
      </c>
    </row>
    <row r="742" spans="1:15" x14ac:dyDescent="0.35">
      <c r="A742" s="2019">
        <f>'SOUTH-1'!A808</f>
        <v>16</v>
      </c>
      <c r="B742" s="2019" t="str">
        <f>'SOUTH-1'!B808</f>
        <v>11 kV Dhalipara (=F11)</v>
      </c>
      <c r="C742" s="2019">
        <f>'SOUTH-1'!C808</f>
        <v>11</v>
      </c>
      <c r="D742" s="2019" t="str">
        <f>'SOUTH-1'!D808</f>
        <v>Shitalakhya</v>
      </c>
      <c r="E742" s="2019" t="str">
        <f>'SOUTH-1'!E808</f>
        <v>041808902842</v>
      </c>
      <c r="F742" s="791">
        <f>'SOUTH-1'!F808</f>
        <v>1</v>
      </c>
      <c r="G742" s="791">
        <f>'SOUTH-1'!G808</f>
        <v>6.57</v>
      </c>
      <c r="H742" s="791">
        <f>'SOUTH-1'!H808</f>
        <v>11.77</v>
      </c>
      <c r="I742" s="791">
        <f>'SOUTH-1'!I808</f>
        <v>5.1999999999999993</v>
      </c>
      <c r="J742" s="791">
        <f>'SOUTH-1'!J808</f>
        <v>60000</v>
      </c>
      <c r="K742" s="791">
        <f>'SOUTH-1'!K808</f>
        <v>0</v>
      </c>
      <c r="L742" s="791">
        <f>'SOUTH-1'!L808</f>
        <v>311999.99999999994</v>
      </c>
      <c r="M742" s="791">
        <f>'SOUTH-1'!M808</f>
        <v>0</v>
      </c>
      <c r="N742" s="2019" t="str">
        <f>'SOUTH-1'!N808</f>
        <v>Sytalakhya</v>
      </c>
      <c r="O742" s="2019" t="str">
        <f>Sheet2!$C$83</f>
        <v>New Fatullah 33/11 KV SS</v>
      </c>
    </row>
    <row r="743" spans="1:15" x14ac:dyDescent="0.35">
      <c r="A743" s="2019">
        <f>'SOUTH-1'!A809</f>
        <v>17</v>
      </c>
      <c r="B743" s="2019" t="str">
        <f>'SOUTH-1'!B809</f>
        <v>11 kV Etimkhana (=F12)</v>
      </c>
      <c r="C743" s="2019">
        <f>'SOUTH-1'!C809</f>
        <v>11</v>
      </c>
      <c r="D743" s="2019" t="str">
        <f>'SOUTH-1'!D809</f>
        <v>Shitalakhya</v>
      </c>
      <c r="E743" s="2019" t="str">
        <f>'SOUTH-1'!E809</f>
        <v>041808902840</v>
      </c>
      <c r="F743" s="791">
        <f>'SOUTH-1'!F809</f>
        <v>1</v>
      </c>
      <c r="G743" s="791">
        <f>'SOUTH-1'!G809</f>
        <v>885.56</v>
      </c>
      <c r="H743" s="791">
        <f>'SOUTH-1'!H809</f>
        <v>908.51</v>
      </c>
      <c r="I743" s="791">
        <f>'SOUTH-1'!I809</f>
        <v>22.950000000000045</v>
      </c>
      <c r="J743" s="791">
        <f>'SOUTH-1'!J809</f>
        <v>60000</v>
      </c>
      <c r="K743" s="791">
        <f>'SOUTH-1'!K809</f>
        <v>0</v>
      </c>
      <c r="L743" s="791">
        <f>'SOUTH-1'!L809</f>
        <v>1377000.0000000028</v>
      </c>
      <c r="M743" s="791">
        <f>'SOUTH-1'!M809</f>
        <v>0</v>
      </c>
      <c r="N743" s="2019" t="str">
        <f>'SOUTH-1'!N809</f>
        <v>Sytalakhya</v>
      </c>
      <c r="O743" s="2019" t="str">
        <f>Sheet2!$C$83</f>
        <v>New Fatullah 33/11 KV SS</v>
      </c>
    </row>
    <row r="744" spans="1:15" x14ac:dyDescent="0.35">
      <c r="A744" s="2019">
        <f>'SOUTH-1'!A810</f>
        <v>18</v>
      </c>
      <c r="B744" s="2019" t="str">
        <f>'SOUTH-1'!B810</f>
        <v>11 kV Premroad (=F13)</v>
      </c>
      <c r="C744" s="2019">
        <f>'SOUTH-1'!C810</f>
        <v>11</v>
      </c>
      <c r="D744" s="2019" t="str">
        <f>'SOUTH-1'!D810</f>
        <v>Shitalakhya</v>
      </c>
      <c r="E744" s="2019" t="str">
        <f>'SOUTH-1'!E810</f>
        <v>041808902798</v>
      </c>
      <c r="F744" s="791">
        <f>'SOUTH-1'!F810</f>
        <v>1</v>
      </c>
      <c r="G744" s="791">
        <f>'SOUTH-1'!G810</f>
        <v>1070.1600000000001</v>
      </c>
      <c r="H744" s="791">
        <f>'SOUTH-1'!H810</f>
        <v>1084.04</v>
      </c>
      <c r="I744" s="791">
        <f>'SOUTH-1'!I810</f>
        <v>13.879999999999882</v>
      </c>
      <c r="J744" s="791">
        <f>'SOUTH-1'!J810</f>
        <v>60000</v>
      </c>
      <c r="K744" s="791">
        <f>'SOUTH-1'!K810</f>
        <v>0</v>
      </c>
      <c r="L744" s="791">
        <f>'SOUTH-1'!L810</f>
        <v>832799.9999999929</v>
      </c>
      <c r="M744" s="791">
        <f>'SOUTH-1'!M810</f>
        <v>0</v>
      </c>
      <c r="N744" s="2019" t="str">
        <f>'SOUTH-1'!N810</f>
        <v>Sytalakhya</v>
      </c>
      <c r="O744" s="2019" t="str">
        <f>Sheet2!$C$83</f>
        <v>New Fatullah 33/11 KV SS</v>
      </c>
    </row>
    <row r="745" spans="1:15" x14ac:dyDescent="0.35">
      <c r="A745" s="2019">
        <f>'SOUTH-1'!A811</f>
        <v>19</v>
      </c>
      <c r="B745" s="2019" t="str">
        <f>'SOUTH-1'!B811</f>
        <v>11 kV Outgoing Feeder-16 (=F14)</v>
      </c>
      <c r="C745" s="2019">
        <f>'SOUTH-1'!C811</f>
        <v>11</v>
      </c>
      <c r="D745" s="2019">
        <f>'SOUTH-1'!D811</f>
        <v>0</v>
      </c>
      <c r="E745" s="2019" t="str">
        <f>'SOUTH-1'!E811</f>
        <v>041808902781</v>
      </c>
      <c r="F745" s="791">
        <f>'SOUTH-1'!F811</f>
        <v>1</v>
      </c>
      <c r="G745" s="791">
        <f>'SOUTH-1'!G811</f>
        <v>0</v>
      </c>
      <c r="H745" s="791">
        <f>'SOUTH-1'!H811</f>
        <v>0</v>
      </c>
      <c r="I745" s="791">
        <f>'SOUTH-1'!I811</f>
        <v>0</v>
      </c>
      <c r="J745" s="791">
        <f>'SOUTH-1'!J811</f>
        <v>60000</v>
      </c>
      <c r="K745" s="791">
        <f>'SOUTH-1'!K811</f>
        <v>0</v>
      </c>
      <c r="L745" s="791">
        <f>'SOUTH-1'!L811</f>
        <v>0</v>
      </c>
      <c r="M745" s="791">
        <f>'SOUTH-1'!M811</f>
        <v>0</v>
      </c>
      <c r="N745" s="2019">
        <f>'SOUTH-1'!N811</f>
        <v>0</v>
      </c>
      <c r="O745" s="2019" t="str">
        <f>Sheet2!$C$83</f>
        <v>New Fatullah 33/11 KV SS</v>
      </c>
    </row>
    <row r="746" spans="1:15" x14ac:dyDescent="0.35">
      <c r="A746" s="2019">
        <f>'SOUTH-1'!A882</f>
        <v>11</v>
      </c>
      <c r="B746" s="2019" t="str">
        <f>'SOUTH-1'!B882</f>
        <v>11 kV Katherpol Feeder</v>
      </c>
      <c r="C746" s="2019">
        <f>'SOUTH-1'!C882</f>
        <v>11</v>
      </c>
      <c r="D746" s="2019">
        <f>'SOUTH-1'!D882</f>
        <v>0</v>
      </c>
      <c r="E746" s="2019" t="str">
        <f>'SOUTH-1'!E882</f>
        <v>00000031</v>
      </c>
      <c r="F746" s="791">
        <f>'SOUTH-1'!F882</f>
        <v>1</v>
      </c>
      <c r="G746" s="791">
        <f>'SOUTH-1'!G882</f>
        <v>48983600</v>
      </c>
      <c r="H746" s="791">
        <f>'SOUTH-1'!H882</f>
        <v>50641463</v>
      </c>
      <c r="I746" s="791">
        <f>'SOUTH-1'!I882</f>
        <v>1657863</v>
      </c>
      <c r="J746" s="791">
        <f>'SOUTH-1'!J882</f>
        <v>1</v>
      </c>
      <c r="K746" s="791">
        <f>'SOUTH-1'!K882</f>
        <v>0</v>
      </c>
      <c r="L746" s="791">
        <f>'SOUTH-1'!L882</f>
        <v>1657863</v>
      </c>
      <c r="M746" s="791">
        <f>'SOUTH-1'!M882</f>
        <v>0</v>
      </c>
      <c r="N746" s="2019" t="str">
        <f>'SOUTH-1'!N882</f>
        <v>Fatullah</v>
      </c>
      <c r="O746" s="2019" t="str">
        <f>Sheet2!$C$79</f>
        <v>Dapa 33/11 kV</v>
      </c>
    </row>
    <row r="747" spans="1:15" x14ac:dyDescent="0.35">
      <c r="A747" s="2019">
        <f>'SOUTH-1'!A883</f>
        <v>12</v>
      </c>
      <c r="B747" s="2019" t="str">
        <f>'SOUTH-1'!B883</f>
        <v>11 kV Spare Feeder</v>
      </c>
      <c r="C747" s="2019">
        <f>'SOUTH-1'!C883</f>
        <v>11</v>
      </c>
      <c r="D747" s="2019">
        <f>'SOUTH-1'!D883</f>
        <v>0</v>
      </c>
      <c r="E747" s="2019">
        <f>'SOUTH-1'!E883</f>
        <v>0</v>
      </c>
      <c r="F747" s="791">
        <f>'SOUTH-1'!F883</f>
        <v>1</v>
      </c>
      <c r="G747" s="791">
        <f>'SOUTH-1'!G883</f>
        <v>0</v>
      </c>
      <c r="H747" s="791">
        <f>'SOUTH-1'!H883</f>
        <v>0</v>
      </c>
      <c r="I747" s="791">
        <f>'SOUTH-1'!I883</f>
        <v>0</v>
      </c>
      <c r="J747" s="791">
        <f>'SOUTH-1'!J883</f>
        <v>1</v>
      </c>
      <c r="K747" s="791">
        <f>'SOUTH-1'!K883</f>
        <v>0</v>
      </c>
      <c r="L747" s="791">
        <f>'SOUTH-1'!L883</f>
        <v>0</v>
      </c>
      <c r="M747" s="791">
        <f>'SOUTH-1'!M883</f>
        <v>0</v>
      </c>
      <c r="N747" s="2019">
        <f>'SOUTH-1'!N883</f>
        <v>0</v>
      </c>
      <c r="O747" s="2019" t="str">
        <f>Sheet2!$C$79</f>
        <v>Dapa 33/11 kV</v>
      </c>
    </row>
    <row r="748" spans="1:15" x14ac:dyDescent="0.35">
      <c r="A748" s="2019">
        <f>'SOUTH-1'!A884</f>
        <v>13</v>
      </c>
      <c r="B748" s="2019" t="str">
        <f>'SOUTH-1'!B884</f>
        <v>11 kV Union Parishad Feeder</v>
      </c>
      <c r="C748" s="2019">
        <f>'SOUTH-1'!C884</f>
        <v>11</v>
      </c>
      <c r="D748" s="2019">
        <f>'SOUTH-1'!D884</f>
        <v>0</v>
      </c>
      <c r="E748" s="2019" t="str">
        <f>'SOUTH-1'!E884</f>
        <v>00000032</v>
      </c>
      <c r="F748" s="791">
        <f>'SOUTH-1'!F884</f>
        <v>1</v>
      </c>
      <c r="G748" s="791">
        <f>'SOUTH-1'!G884</f>
        <v>53323908</v>
      </c>
      <c r="H748" s="791">
        <f>'SOUTH-1'!H884</f>
        <v>55171144</v>
      </c>
      <c r="I748" s="791">
        <f>'SOUTH-1'!I884</f>
        <v>1847236</v>
      </c>
      <c r="J748" s="791">
        <f>'SOUTH-1'!J884</f>
        <v>1</v>
      </c>
      <c r="K748" s="791">
        <f>'SOUTH-1'!K884</f>
        <v>0</v>
      </c>
      <c r="L748" s="791">
        <f>'SOUTH-1'!L884</f>
        <v>1847236</v>
      </c>
      <c r="M748" s="791">
        <f>'SOUTH-1'!M884</f>
        <v>0</v>
      </c>
      <c r="N748" s="2019" t="str">
        <f>'SOUTH-1'!N884</f>
        <v>Fatullah</v>
      </c>
      <c r="O748" s="2019" t="str">
        <f>Sheet2!$C$79</f>
        <v>Dapa 33/11 kV</v>
      </c>
    </row>
    <row r="749" spans="1:15" x14ac:dyDescent="0.35">
      <c r="A749" s="2019">
        <f>'SOUTH-1'!A885</f>
        <v>14</v>
      </c>
      <c r="B749" s="2019" t="str">
        <f>'SOUTH-1'!B885</f>
        <v>11 kV Shiachar Feeder</v>
      </c>
      <c r="C749" s="2019">
        <f>'SOUTH-1'!C885</f>
        <v>11</v>
      </c>
      <c r="D749" s="2019">
        <f>'SOUTH-1'!D885</f>
        <v>0</v>
      </c>
      <c r="E749" s="2019" t="str">
        <f>'SOUTH-1'!E885</f>
        <v>00000030</v>
      </c>
      <c r="F749" s="791">
        <f>'SOUTH-1'!F885</f>
        <v>1</v>
      </c>
      <c r="G749" s="791">
        <f>'SOUTH-1'!G885</f>
        <v>52262112</v>
      </c>
      <c r="H749" s="791">
        <f>'SOUTH-1'!H885</f>
        <v>53707308</v>
      </c>
      <c r="I749" s="791">
        <f>'SOUTH-1'!I885</f>
        <v>1445196</v>
      </c>
      <c r="J749" s="791">
        <f>'SOUTH-1'!J885</f>
        <v>1</v>
      </c>
      <c r="K749" s="791">
        <f>'SOUTH-1'!K885</f>
        <v>0</v>
      </c>
      <c r="L749" s="791">
        <f>'SOUTH-1'!L885</f>
        <v>1445196</v>
      </c>
      <c r="M749" s="791">
        <f>'SOUTH-1'!M885</f>
        <v>0</v>
      </c>
      <c r="N749" s="2019" t="str">
        <f>'SOUTH-1'!N885</f>
        <v>Fatullah</v>
      </c>
      <c r="O749" s="2019" t="str">
        <f>Sheet2!$C$79</f>
        <v>Dapa 33/11 kV</v>
      </c>
    </row>
    <row r="750" spans="1:15" x14ac:dyDescent="0.35">
      <c r="A750" s="2019">
        <f>'SOUTH-1'!A886</f>
        <v>15</v>
      </c>
      <c r="B750" s="2019" t="str">
        <f>'SOUTH-1'!B886</f>
        <v>11 kV Sastapur Feeder</v>
      </c>
      <c r="C750" s="2019">
        <f>'SOUTH-1'!C886</f>
        <v>11</v>
      </c>
      <c r="D750" s="2019">
        <f>'SOUTH-1'!D886</f>
        <v>0</v>
      </c>
      <c r="E750" s="2019" t="str">
        <f>'SOUTH-1'!E886</f>
        <v>00000106</v>
      </c>
      <c r="F750" s="791">
        <f>'SOUTH-1'!F886</f>
        <v>1</v>
      </c>
      <c r="G750" s="791">
        <f>'SOUTH-1'!G886</f>
        <v>60403452</v>
      </c>
      <c r="H750" s="791">
        <f>'SOUTH-1'!H886</f>
        <v>61584848</v>
      </c>
      <c r="I750" s="791">
        <f>'SOUTH-1'!I886</f>
        <v>1181396</v>
      </c>
      <c r="J750" s="791">
        <f>'SOUTH-1'!J886</f>
        <v>1</v>
      </c>
      <c r="K750" s="791">
        <f>'SOUTH-1'!K886</f>
        <v>0</v>
      </c>
      <c r="L750" s="791">
        <f>'SOUTH-1'!L886</f>
        <v>1181396</v>
      </c>
      <c r="M750" s="791">
        <f>'SOUTH-1'!M886</f>
        <v>0</v>
      </c>
      <c r="N750" s="2019" t="str">
        <f>'SOUTH-1'!N886</f>
        <v>Fatullah</v>
      </c>
      <c r="O750" s="2019" t="str">
        <f>Sheet2!$C$79</f>
        <v>Dapa 33/11 kV</v>
      </c>
    </row>
    <row r="751" spans="1:15" x14ac:dyDescent="0.35">
      <c r="A751" s="2019">
        <f>'SOUTH-1'!A887</f>
        <v>17</v>
      </c>
      <c r="B751" s="2019" t="str">
        <f>'SOUTH-1'!B887</f>
        <v>11 kV Spare Feeder</v>
      </c>
      <c r="C751" s="2019">
        <f>'SOUTH-1'!C887</f>
        <v>11</v>
      </c>
      <c r="D751" s="2019">
        <f>'SOUTH-1'!D887</f>
        <v>0</v>
      </c>
      <c r="E751" s="2019">
        <f>'SOUTH-1'!E887</f>
        <v>0</v>
      </c>
      <c r="F751" s="791">
        <f>'SOUTH-1'!F887</f>
        <v>1</v>
      </c>
      <c r="G751" s="791">
        <f>'SOUTH-1'!G887</f>
        <v>0</v>
      </c>
      <c r="H751" s="791">
        <f>'SOUTH-1'!H887</f>
        <v>0</v>
      </c>
      <c r="I751" s="791">
        <f>'SOUTH-1'!I887</f>
        <v>0</v>
      </c>
      <c r="J751" s="791">
        <f>'SOUTH-1'!J887</f>
        <v>1</v>
      </c>
      <c r="K751" s="791">
        <f>'SOUTH-1'!K887</f>
        <v>0</v>
      </c>
      <c r="L751" s="791">
        <f>'SOUTH-1'!L887</f>
        <v>0</v>
      </c>
      <c r="M751" s="791">
        <f>'SOUTH-1'!M887</f>
        <v>0</v>
      </c>
      <c r="N751" s="2019">
        <f>'SOUTH-1'!N887</f>
        <v>0</v>
      </c>
      <c r="O751" s="2019" t="str">
        <f>Sheet2!$C$79</f>
        <v>Dapa 33/11 kV</v>
      </c>
    </row>
    <row r="752" spans="1:15" x14ac:dyDescent="0.35">
      <c r="A752" s="2019">
        <f>'SOUTH-1'!A888</f>
        <v>18</v>
      </c>
      <c r="B752" s="2019" t="str">
        <f>'SOUTH-1'!B888</f>
        <v>11 kV Jalal Ahmed Express</v>
      </c>
      <c r="C752" s="2019">
        <f>'SOUTH-1'!C888</f>
        <v>11</v>
      </c>
      <c r="D752" s="2019">
        <f>'SOUTH-1'!D888</f>
        <v>0</v>
      </c>
      <c r="E752" s="2019" t="str">
        <f>'SOUTH-1'!E888</f>
        <v>00000172</v>
      </c>
      <c r="F752" s="791">
        <f>'SOUTH-1'!F888</f>
        <v>1</v>
      </c>
      <c r="G752" s="791">
        <f>'SOUTH-1'!G888</f>
        <v>0</v>
      </c>
      <c r="H752" s="791">
        <f>'SOUTH-1'!H888</f>
        <v>182679</v>
      </c>
      <c r="I752" s="791">
        <f>'SOUTH-1'!I888</f>
        <v>182679</v>
      </c>
      <c r="J752" s="791">
        <f>'SOUTH-1'!J888</f>
        <v>1</v>
      </c>
      <c r="K752" s="791">
        <f>'SOUTH-1'!K888</f>
        <v>0</v>
      </c>
      <c r="L752" s="791">
        <f>'SOUTH-1'!L888</f>
        <v>182679</v>
      </c>
      <c r="M752" s="791">
        <f>'SOUTH-1'!M888</f>
        <v>0</v>
      </c>
      <c r="N752" s="2019" t="str">
        <f>'SOUTH-1'!N888</f>
        <v>Fatullah</v>
      </c>
      <c r="O752" s="2019" t="str">
        <f>Sheet2!$C$79</f>
        <v>Dapa 33/11 kV</v>
      </c>
    </row>
    <row r="753" spans="1:15" x14ac:dyDescent="0.35">
      <c r="A753" s="2019">
        <f>'SOUTH-1'!A889</f>
        <v>19</v>
      </c>
      <c r="B753" s="2019" t="str">
        <f>'SOUTH-1'!B889</f>
        <v>11 kV Spare Feeder</v>
      </c>
      <c r="C753" s="2019">
        <f>'SOUTH-1'!C889</f>
        <v>11</v>
      </c>
      <c r="D753" s="2019">
        <f>'SOUTH-1'!D889</f>
        <v>0</v>
      </c>
      <c r="E753" s="2019">
        <f>'SOUTH-1'!E889</f>
        <v>0</v>
      </c>
      <c r="F753" s="791">
        <f>'SOUTH-1'!F889</f>
        <v>1</v>
      </c>
      <c r="G753" s="791">
        <f>'SOUTH-1'!G889</f>
        <v>0</v>
      </c>
      <c r="H753" s="791">
        <f>'SOUTH-1'!H889</f>
        <v>0</v>
      </c>
      <c r="I753" s="791">
        <f>'SOUTH-1'!I889</f>
        <v>0</v>
      </c>
      <c r="J753" s="791">
        <f>'SOUTH-1'!J889</f>
        <v>1</v>
      </c>
      <c r="K753" s="791">
        <f>'SOUTH-1'!K889</f>
        <v>0</v>
      </c>
      <c r="L753" s="791">
        <f>'SOUTH-1'!L889</f>
        <v>0</v>
      </c>
      <c r="M753" s="791">
        <f>'SOUTH-1'!M889</f>
        <v>0</v>
      </c>
      <c r="N753" s="2019">
        <f>'SOUTH-1'!N889</f>
        <v>0</v>
      </c>
      <c r="O753" s="2019" t="str">
        <f>Sheet2!$C$79</f>
        <v>Dapa 33/11 kV</v>
      </c>
    </row>
    <row r="754" spans="1:15" x14ac:dyDescent="0.35">
      <c r="A754" s="2019">
        <f>'SOUTH-1'!A890</f>
        <v>21</v>
      </c>
      <c r="B754" s="2019" t="str">
        <f>'SOUTH-1'!B890</f>
        <v>11 kV Spare Feeder</v>
      </c>
      <c r="C754" s="2019">
        <f>'SOUTH-1'!C890</f>
        <v>11</v>
      </c>
      <c r="D754" s="2019">
        <f>'SOUTH-1'!D890</f>
        <v>0</v>
      </c>
      <c r="E754" s="2019">
        <f>'SOUTH-1'!E890</f>
        <v>0</v>
      </c>
      <c r="F754" s="791">
        <f>'SOUTH-1'!F890</f>
        <v>1</v>
      </c>
      <c r="G754" s="791">
        <f>'SOUTH-1'!G890</f>
        <v>0</v>
      </c>
      <c r="H754" s="791">
        <f>'SOUTH-1'!H890</f>
        <v>0</v>
      </c>
      <c r="I754" s="791">
        <f>'SOUTH-1'!I890</f>
        <v>0</v>
      </c>
      <c r="J754" s="791">
        <f>'SOUTH-1'!J890</f>
        <v>1</v>
      </c>
      <c r="K754" s="791">
        <f>'SOUTH-1'!K890</f>
        <v>0</v>
      </c>
      <c r="L754" s="791">
        <f>'SOUTH-1'!L890</f>
        <v>0</v>
      </c>
      <c r="M754" s="791">
        <f>'SOUTH-1'!M890</f>
        <v>0</v>
      </c>
      <c r="N754" s="2019">
        <f>'SOUTH-1'!N890</f>
        <v>0</v>
      </c>
      <c r="O754" s="2019" t="str">
        <f>Sheet2!$C$79</f>
        <v>Dapa 33/11 kV</v>
      </c>
    </row>
    <row r="755" spans="1:15" x14ac:dyDescent="0.35">
      <c r="A755" s="2019">
        <f>'SOUTH-1'!A891</f>
        <v>22</v>
      </c>
      <c r="B755" s="2019" t="str">
        <f>'SOUTH-1'!B891</f>
        <v>11 kV Lalpur Feeder</v>
      </c>
      <c r="C755" s="2019">
        <f>'SOUTH-1'!C891</f>
        <v>11</v>
      </c>
      <c r="D755" s="2019">
        <f>'SOUTH-1'!D891</f>
        <v>0</v>
      </c>
      <c r="E755" s="2019" t="str">
        <f>'SOUTH-1'!E891</f>
        <v>00000044</v>
      </c>
      <c r="F755" s="791">
        <f>'SOUTH-1'!F891</f>
        <v>1</v>
      </c>
      <c r="G755" s="791">
        <f>'SOUTH-1'!G891</f>
        <v>72529344</v>
      </c>
      <c r="H755" s="791">
        <f>'SOUTH-1'!H891</f>
        <v>73374504</v>
      </c>
      <c r="I755" s="791">
        <f>'SOUTH-1'!I891</f>
        <v>845160</v>
      </c>
      <c r="J755" s="791">
        <f>'SOUTH-1'!J891</f>
        <v>1</v>
      </c>
      <c r="K755" s="791">
        <f>'SOUTH-1'!K891</f>
        <v>0</v>
      </c>
      <c r="L755" s="791">
        <f>'SOUTH-1'!L891</f>
        <v>845160</v>
      </c>
      <c r="M755" s="791">
        <f>'SOUTH-1'!M891</f>
        <v>0</v>
      </c>
      <c r="N755" s="2019" t="str">
        <f>'SOUTH-1'!N891</f>
        <v>Fatullah</v>
      </c>
      <c r="O755" s="2019" t="str">
        <f>Sheet2!$C$79</f>
        <v>Dapa 33/11 kV</v>
      </c>
    </row>
    <row r="756" spans="1:15" x14ac:dyDescent="0.35">
      <c r="A756" s="2019">
        <f>'SOUTH-1'!A892</f>
        <v>23</v>
      </c>
      <c r="B756" s="2019" t="str">
        <f>'SOUTH-1'!B892</f>
        <v>11 kV Kotaler Bag Feeder</v>
      </c>
      <c r="C756" s="2019">
        <f>'SOUTH-1'!C892</f>
        <v>11</v>
      </c>
      <c r="D756" s="2019">
        <f>'SOUTH-1'!D892</f>
        <v>0</v>
      </c>
      <c r="E756" s="2019" t="str">
        <f>'SOUTH-1'!E892</f>
        <v>00000050</v>
      </c>
      <c r="F756" s="791">
        <f>'SOUTH-1'!F892</f>
        <v>1</v>
      </c>
      <c r="G756" s="791">
        <f>'SOUTH-1'!G892</f>
        <v>71248704</v>
      </c>
      <c r="H756" s="791">
        <f>'SOUTH-1'!H892</f>
        <v>72495624</v>
      </c>
      <c r="I756" s="791">
        <f>'SOUTH-1'!I892</f>
        <v>1246920</v>
      </c>
      <c r="J756" s="791">
        <f>'SOUTH-1'!J892</f>
        <v>1</v>
      </c>
      <c r="K756" s="791">
        <f>'SOUTH-1'!K892</f>
        <v>0</v>
      </c>
      <c r="L756" s="791">
        <f>'SOUTH-1'!L892</f>
        <v>1246920</v>
      </c>
      <c r="M756" s="791">
        <f>'SOUTH-1'!M892</f>
        <v>0</v>
      </c>
      <c r="N756" s="2019" t="str">
        <f>'SOUTH-1'!N892</f>
        <v>Fatullah</v>
      </c>
      <c r="O756" s="2019" t="str">
        <f>Sheet2!$C$79</f>
        <v>Dapa 33/11 kV</v>
      </c>
    </row>
    <row r="757" spans="1:15" x14ac:dyDescent="0.35">
      <c r="A757" s="2019">
        <f>'SOUTH-1'!A893</f>
        <v>24</v>
      </c>
      <c r="B757" s="2019" t="str">
        <f>'SOUTH-1'!B893</f>
        <v>11 kV Idrakpur Feeder</v>
      </c>
      <c r="C757" s="2019">
        <f>'SOUTH-1'!C893</f>
        <v>11</v>
      </c>
      <c r="D757" s="2019">
        <f>'SOUTH-1'!D893</f>
        <v>0</v>
      </c>
      <c r="E757" s="2019" t="str">
        <f>'SOUTH-1'!E893</f>
        <v>00000021</v>
      </c>
      <c r="F757" s="791">
        <f>'SOUTH-1'!F893</f>
        <v>1</v>
      </c>
      <c r="G757" s="791">
        <f>'SOUTH-1'!G893</f>
        <v>67125560</v>
      </c>
      <c r="H757" s="791">
        <f>'SOUTH-1'!H893</f>
        <v>68265712</v>
      </c>
      <c r="I757" s="791">
        <f>'SOUTH-1'!I893</f>
        <v>1140152</v>
      </c>
      <c r="J757" s="791">
        <f>'SOUTH-1'!J893</f>
        <v>1</v>
      </c>
      <c r="K757" s="791">
        <f>'SOUTH-1'!K893</f>
        <v>0</v>
      </c>
      <c r="L757" s="791">
        <f>'SOUTH-1'!L893</f>
        <v>1140152</v>
      </c>
      <c r="M757" s="791">
        <f>'SOUTH-1'!M893</f>
        <v>0</v>
      </c>
      <c r="N757" s="2019" t="str">
        <f>'SOUTH-1'!N893</f>
        <v>Fatullah</v>
      </c>
      <c r="O757" s="2019" t="str">
        <f>Sheet2!$C$79</f>
        <v>Dapa 33/11 kV</v>
      </c>
    </row>
    <row r="758" spans="1:15" x14ac:dyDescent="0.35">
      <c r="A758" s="2019">
        <f>'SOUTH-1'!A894</f>
        <v>25</v>
      </c>
      <c r="B758" s="2019" t="str">
        <f>'SOUTH-1'!B894</f>
        <v>11 kV Isdair Feeder</v>
      </c>
      <c r="C758" s="2019">
        <f>'SOUTH-1'!C894</f>
        <v>11</v>
      </c>
      <c r="D758" s="2019">
        <f>'SOUTH-1'!D894</f>
        <v>0</v>
      </c>
      <c r="E758" s="2019" t="str">
        <f>'SOUTH-1'!E894</f>
        <v>00000029</v>
      </c>
      <c r="F758" s="791">
        <f>'SOUTH-1'!F894</f>
        <v>1</v>
      </c>
      <c r="G758" s="791">
        <f>'SOUTH-1'!G894</f>
        <v>34835756</v>
      </c>
      <c r="H758" s="791">
        <f>'SOUTH-1'!H894</f>
        <v>35418312</v>
      </c>
      <c r="I758" s="791">
        <f>'SOUTH-1'!I894</f>
        <v>582556</v>
      </c>
      <c r="J758" s="791">
        <f>'SOUTH-1'!J894</f>
        <v>1</v>
      </c>
      <c r="K758" s="791">
        <f>'SOUTH-1'!K894</f>
        <v>0</v>
      </c>
      <c r="L758" s="791">
        <f>'SOUTH-1'!L894</f>
        <v>582556</v>
      </c>
      <c r="M758" s="791">
        <f>'SOUTH-1'!M894</f>
        <v>0</v>
      </c>
      <c r="N758" s="2019" t="str">
        <f>'SOUTH-1'!N894</f>
        <v>Fatullah</v>
      </c>
      <c r="O758" s="2019" t="str">
        <f>Sheet2!$C$79</f>
        <v>Dapa 33/11 kV</v>
      </c>
    </row>
    <row r="759" spans="1:15" x14ac:dyDescent="0.35">
      <c r="A759" s="2019">
        <f>'SOUTH-1'!A895</f>
        <v>26</v>
      </c>
      <c r="B759" s="2019" t="str">
        <f>'SOUTH-1'!B895</f>
        <v>11 kV Shah Fateullah Express</v>
      </c>
      <c r="C759" s="2019">
        <f>'SOUTH-1'!C895</f>
        <v>11</v>
      </c>
      <c r="D759" s="2019">
        <f>'SOUTH-1'!D895</f>
        <v>0</v>
      </c>
      <c r="E759" s="2019" t="str">
        <f>'SOUTH-1'!E895</f>
        <v>0000051</v>
      </c>
      <c r="F759" s="791">
        <f>'SOUTH-1'!F895</f>
        <v>1</v>
      </c>
      <c r="G759" s="791">
        <f>'SOUTH-1'!G895</f>
        <v>0</v>
      </c>
      <c r="H759" s="791">
        <f>'SOUTH-1'!H895</f>
        <v>0</v>
      </c>
      <c r="I759" s="791">
        <f>'SOUTH-1'!I895</f>
        <v>0</v>
      </c>
      <c r="J759" s="791">
        <f>'SOUTH-1'!J895</f>
        <v>1</v>
      </c>
      <c r="K759" s="791">
        <f>'SOUTH-1'!K895</f>
        <v>0</v>
      </c>
      <c r="L759" s="791">
        <f>'SOUTH-1'!L895</f>
        <v>0</v>
      </c>
      <c r="M759" s="791">
        <f>'SOUTH-1'!M895</f>
        <v>0</v>
      </c>
      <c r="N759" s="2019" t="str">
        <f>'SOUTH-1'!N895</f>
        <v>Fatullah</v>
      </c>
      <c r="O759" s="2019" t="str">
        <f>Sheet2!$C$79</f>
        <v>Dapa 33/11 kV</v>
      </c>
    </row>
    <row r="760" spans="1:15" x14ac:dyDescent="0.35">
      <c r="A760" s="2019">
        <f>'SOUTH-1'!A896</f>
        <v>27</v>
      </c>
      <c r="B760" s="2019" t="str">
        <f>'SOUTH-1'!B896</f>
        <v>11 kV Spare Feeder</v>
      </c>
      <c r="C760" s="2019">
        <f>'SOUTH-1'!C896</f>
        <v>11</v>
      </c>
      <c r="D760" s="2019">
        <f>'SOUTH-1'!D896</f>
        <v>0</v>
      </c>
      <c r="E760" s="2019">
        <f>'SOUTH-1'!E896</f>
        <v>0</v>
      </c>
      <c r="F760" s="791">
        <f>'SOUTH-1'!F896</f>
        <v>1</v>
      </c>
      <c r="G760" s="791">
        <f>'SOUTH-1'!G896</f>
        <v>0</v>
      </c>
      <c r="H760" s="791">
        <f>'SOUTH-1'!H896</f>
        <v>0</v>
      </c>
      <c r="I760" s="791">
        <f>'SOUTH-1'!I896</f>
        <v>0</v>
      </c>
      <c r="J760" s="791">
        <f>'SOUTH-1'!J896</f>
        <v>1</v>
      </c>
      <c r="K760" s="791">
        <f>'SOUTH-1'!K896</f>
        <v>0</v>
      </c>
      <c r="L760" s="791">
        <f>'SOUTH-1'!L896</f>
        <v>0</v>
      </c>
      <c r="M760" s="791">
        <f>'SOUTH-1'!M896</f>
        <v>0</v>
      </c>
      <c r="N760" s="2019">
        <f>'SOUTH-1'!N896</f>
        <v>0</v>
      </c>
      <c r="O760" s="2019" t="str">
        <f>Sheet2!$C$79</f>
        <v>Dapa 33/11 kV</v>
      </c>
    </row>
    <row r="761" spans="1:15" x14ac:dyDescent="0.35">
      <c r="A761" s="2019">
        <f>'SOUTH-1'!A897</f>
        <v>28</v>
      </c>
      <c r="B761" s="2019" t="str">
        <f>'SOUTH-1'!B897</f>
        <v>11 kV Spare Feeder</v>
      </c>
      <c r="C761" s="2019">
        <f>'SOUTH-1'!C897</f>
        <v>11</v>
      </c>
      <c r="D761" s="2019">
        <f>'SOUTH-1'!D897</f>
        <v>0</v>
      </c>
      <c r="E761" s="2019">
        <f>'SOUTH-1'!E897</f>
        <v>0</v>
      </c>
      <c r="F761" s="791">
        <f>'SOUTH-1'!F897</f>
        <v>1</v>
      </c>
      <c r="G761" s="791">
        <f>'SOUTH-1'!G897</f>
        <v>0</v>
      </c>
      <c r="H761" s="791">
        <f>'SOUTH-1'!H897</f>
        <v>0</v>
      </c>
      <c r="I761" s="791">
        <f>'SOUTH-1'!I897</f>
        <v>0</v>
      </c>
      <c r="J761" s="791">
        <f>'SOUTH-1'!J897</f>
        <v>1</v>
      </c>
      <c r="K761" s="791">
        <f>'SOUTH-1'!K897</f>
        <v>0</v>
      </c>
      <c r="L761" s="791">
        <f>'SOUTH-1'!L897</f>
        <v>0</v>
      </c>
      <c r="M761" s="791">
        <f>'SOUTH-1'!M897</f>
        <v>0</v>
      </c>
      <c r="N761" s="2019">
        <f>'SOUTH-1'!N897</f>
        <v>0</v>
      </c>
      <c r="O761" s="2019" t="str">
        <f>Sheet2!$C$79</f>
        <v>Dapa 33/11 kV</v>
      </c>
    </row>
    <row r="762" spans="1:15" x14ac:dyDescent="0.35">
      <c r="A762" s="2019">
        <f>'SOUTH-1'!A898</f>
        <v>29</v>
      </c>
      <c r="B762" s="2019" t="str">
        <f>'SOUTH-1'!B898</f>
        <v>11/0.415 kV Auxiliary Transformer, AT-1</v>
      </c>
      <c r="C762" s="2019">
        <f>'SOUTH-1'!C898</f>
        <v>0.4</v>
      </c>
      <c r="D762" s="2019">
        <f>'SOUTH-1'!D898</f>
        <v>0</v>
      </c>
      <c r="E762" s="2019" t="str">
        <f>'SOUTH-1'!E898</f>
        <v>DHKF 7522</v>
      </c>
      <c r="F762" s="791">
        <f>'SOUTH-1'!F898</f>
        <v>1</v>
      </c>
      <c r="G762" s="791">
        <f>'SOUTH-1'!G898</f>
        <v>2664</v>
      </c>
      <c r="H762" s="791">
        <f>'SOUTH-1'!H898</f>
        <v>2693</v>
      </c>
      <c r="I762" s="791">
        <f>'SOUTH-1'!I898</f>
        <v>29</v>
      </c>
      <c r="J762" s="791">
        <f>'SOUTH-1'!J898</f>
        <v>100</v>
      </c>
      <c r="K762" s="791">
        <f>'SOUTH-1'!K898</f>
        <v>0</v>
      </c>
      <c r="L762" s="791">
        <f>'SOUTH-1'!L898</f>
        <v>2900</v>
      </c>
      <c r="M762" s="791">
        <f>'SOUTH-1'!M898</f>
        <v>0</v>
      </c>
      <c r="N762" s="2019" t="str">
        <f>'SOUTH-1'!N898</f>
        <v>Fatullah</v>
      </c>
      <c r="O762" s="2019" t="str">
        <f>Sheet2!$C$79</f>
        <v>Dapa 33/11 kV</v>
      </c>
    </row>
    <row r="763" spans="1:15" x14ac:dyDescent="0.35">
      <c r="A763" s="2019">
        <f>'SOUTH-1'!A899</f>
        <v>30</v>
      </c>
      <c r="B763" s="2019" t="str">
        <f>'SOUTH-1'!B899</f>
        <v>11/0.415 kV Auxiliary Transformer, AT-2</v>
      </c>
      <c r="C763" s="2019">
        <f>'SOUTH-1'!C899</f>
        <v>0.41499999999999998</v>
      </c>
      <c r="D763" s="2019">
        <f>'SOUTH-1'!D899</f>
        <v>0</v>
      </c>
      <c r="E763" s="2019" t="str">
        <f>'SOUTH-1'!E899</f>
        <v>DHKF 7523</v>
      </c>
      <c r="F763" s="791">
        <f>'SOUTH-1'!F899</f>
        <v>1</v>
      </c>
      <c r="G763" s="791">
        <f>'SOUTH-1'!G899</f>
        <v>136</v>
      </c>
      <c r="H763" s="791">
        <f>'SOUTH-1'!H899</f>
        <v>136</v>
      </c>
      <c r="I763" s="791">
        <f>'SOUTH-1'!I899</f>
        <v>0</v>
      </c>
      <c r="J763" s="791">
        <f>'SOUTH-1'!J899</f>
        <v>100</v>
      </c>
      <c r="K763" s="791">
        <f>'SOUTH-1'!K899</f>
        <v>0</v>
      </c>
      <c r="L763" s="791">
        <f>'SOUTH-1'!L899</f>
        <v>0</v>
      </c>
      <c r="M763" s="791">
        <f>'SOUTH-1'!M899</f>
        <v>0</v>
      </c>
      <c r="N763" s="2019" t="str">
        <f>'SOUTH-1'!N899</f>
        <v>Fatullah</v>
      </c>
      <c r="O763" s="2019" t="str">
        <f>Sheet2!$C$79</f>
        <v>Dapa 33/11 kV</v>
      </c>
    </row>
    <row r="764" spans="1:15" x14ac:dyDescent="0.35">
      <c r="A764" s="2019">
        <f>'SOUTH-1'!A1021</f>
        <v>3</v>
      </c>
      <c r="B764" s="2019" t="str">
        <f>'SOUTH-1'!B1021</f>
        <v>11 kV Bholail Feeder (F-3)</v>
      </c>
      <c r="C764" s="2019">
        <f>'SOUTH-1'!C1021</f>
        <v>11</v>
      </c>
      <c r="D764" s="2019">
        <f>'SOUTH-1'!D1021</f>
        <v>0</v>
      </c>
      <c r="E764" s="2019" t="str">
        <f>'SOUTH-1'!E1021</f>
        <v>DHK 9335</v>
      </c>
      <c r="F764" s="791">
        <f>'SOUTH-1'!F1021</f>
        <v>1</v>
      </c>
      <c r="G764" s="791">
        <f>'SOUTH-1'!G1021</f>
        <v>3258.1502999999998</v>
      </c>
      <c r="H764" s="791">
        <f>'SOUTH-1'!H1021</f>
        <v>39770.640800000001</v>
      </c>
      <c r="I764" s="791">
        <f>'SOUTH-1'!I1021</f>
        <v>36512.4905</v>
      </c>
      <c r="J764" s="791">
        <f>'SOUTH-1'!J1021</f>
        <v>60</v>
      </c>
      <c r="K764" s="791">
        <f>'SOUTH-1'!K1021</f>
        <v>0</v>
      </c>
      <c r="L764" s="791">
        <f>'SOUTH-1'!L1021</f>
        <v>2190749.4300000002</v>
      </c>
      <c r="M764" s="791">
        <f>'SOUTH-1'!M1021</f>
        <v>0</v>
      </c>
      <c r="N764" s="2019" t="str">
        <f>'SOUTH-1'!N1021</f>
        <v>Sytalakhya</v>
      </c>
      <c r="O764" s="2019" t="str">
        <f>Sheet2!$C$62</f>
        <v>Sitalakhya  33/11KV S/S</v>
      </c>
    </row>
    <row r="765" spans="1:15" x14ac:dyDescent="0.35">
      <c r="A765" s="2019">
        <f>'SOUTH-1'!A1022</f>
        <v>4</v>
      </c>
      <c r="B765" s="2019" t="str">
        <f>'SOUTH-1'!B1022</f>
        <v>11 kV Crony Apparels (F-2)</v>
      </c>
      <c r="C765" s="2019">
        <f>'SOUTH-1'!C1022</f>
        <v>11</v>
      </c>
      <c r="D765" s="2019">
        <f>'SOUTH-1'!D1022</f>
        <v>0</v>
      </c>
      <c r="E765" s="2019" t="str">
        <f>'SOUTH-1'!E1022</f>
        <v>DHK 9336</v>
      </c>
      <c r="F765" s="791">
        <f>'SOUTH-1'!F1022</f>
        <v>1</v>
      </c>
      <c r="G765" s="791">
        <f>'SOUTH-1'!G1022</f>
        <v>97119.275699999998</v>
      </c>
      <c r="H765" s="791">
        <f>'SOUTH-1'!H1022</f>
        <v>115401.2613</v>
      </c>
      <c r="I765" s="791">
        <f>'SOUTH-1'!I1022</f>
        <v>18281.9856</v>
      </c>
      <c r="J765" s="791">
        <f>'SOUTH-1'!J1022</f>
        <v>60</v>
      </c>
      <c r="K765" s="791">
        <f>'SOUTH-1'!K1022</f>
        <v>0</v>
      </c>
      <c r="L765" s="791">
        <f>'SOUTH-1'!L1022</f>
        <v>1096919.1359999999</v>
      </c>
      <c r="M765" s="791">
        <f>'SOUTH-1'!M1022</f>
        <v>0</v>
      </c>
      <c r="N765" s="2019" t="str">
        <f>'SOUTH-1'!N1022</f>
        <v>Sytalakhya</v>
      </c>
      <c r="O765" s="2019" t="str">
        <f>Sheet2!$C$62</f>
        <v>Sitalakhya  33/11KV S/S</v>
      </c>
    </row>
    <row r="766" spans="1:15" x14ac:dyDescent="0.35">
      <c r="A766" s="2019">
        <f>'SOUTH-1'!A1023</f>
        <v>5</v>
      </c>
      <c r="B766" s="2019" t="str">
        <f>'SOUTH-1'!B1023</f>
        <v>11 kV Baburail Feeder (F-5)</v>
      </c>
      <c r="C766" s="2019">
        <f>'SOUTH-1'!C1023</f>
        <v>11</v>
      </c>
      <c r="D766" s="2019">
        <f>'SOUTH-1'!D1023</f>
        <v>0</v>
      </c>
      <c r="E766" s="2019" t="str">
        <f>'SOUTH-1'!E1023</f>
        <v>DHK 9322</v>
      </c>
      <c r="F766" s="791">
        <f>'SOUTH-1'!F1023</f>
        <v>1</v>
      </c>
      <c r="G766" s="791">
        <f>'SOUTH-1'!G1023</f>
        <v>61963.138700000003</v>
      </c>
      <c r="H766" s="791">
        <f>'SOUTH-1'!H1023</f>
        <v>81361.567999999999</v>
      </c>
      <c r="I766" s="791">
        <f>'SOUTH-1'!I1023</f>
        <v>19398.429299999996</v>
      </c>
      <c r="J766" s="791">
        <f>'SOUTH-1'!J1023</f>
        <v>60</v>
      </c>
      <c r="K766" s="791">
        <f>'SOUTH-1'!K1023</f>
        <v>0</v>
      </c>
      <c r="L766" s="791">
        <f>'SOUTH-1'!L1023</f>
        <v>1163905.7579999997</v>
      </c>
      <c r="M766" s="791">
        <f>'SOUTH-1'!M1023</f>
        <v>0</v>
      </c>
      <c r="N766" s="2019" t="str">
        <f>'SOUTH-1'!N1023</f>
        <v>N.Gonj (West)</v>
      </c>
      <c r="O766" s="2019" t="str">
        <f>Sheet2!$C$62</f>
        <v>Sitalakhya  33/11KV S/S</v>
      </c>
    </row>
    <row r="767" spans="1:15" x14ac:dyDescent="0.35">
      <c r="A767" s="2019">
        <f>'SOUTH-1'!A1024</f>
        <v>6</v>
      </c>
      <c r="B767" s="2019" t="str">
        <f>'SOUTH-1'!B1024</f>
        <v>11 kV Goghchar Feeder (F-1)</v>
      </c>
      <c r="C767" s="2019">
        <f>'SOUTH-1'!C1024</f>
        <v>11</v>
      </c>
      <c r="D767" s="2019">
        <f>'SOUTH-1'!D1024</f>
        <v>0</v>
      </c>
      <c r="E767" s="2019" t="str">
        <f>'SOUTH-1'!E1024</f>
        <v>DHK 9323</v>
      </c>
      <c r="F767" s="791">
        <f>'SOUTH-1'!F1024</f>
        <v>1</v>
      </c>
      <c r="G767" s="791">
        <f>'SOUTH-1'!G1024</f>
        <v>67283.998699999996</v>
      </c>
      <c r="H767" s="791">
        <f>'SOUTH-1'!H1024</f>
        <v>81163.167400000006</v>
      </c>
      <c r="I767" s="791">
        <f>'SOUTH-1'!I1024</f>
        <v>13879.168700000009</v>
      </c>
      <c r="J767" s="791">
        <f>'SOUTH-1'!J1024</f>
        <v>60</v>
      </c>
      <c r="K767" s="791">
        <f>'SOUTH-1'!K1024</f>
        <v>0</v>
      </c>
      <c r="L767" s="791">
        <f>'SOUTH-1'!L1024</f>
        <v>832750.12200000056</v>
      </c>
      <c r="M767" s="791">
        <f>'SOUTH-1'!M1024</f>
        <v>0</v>
      </c>
      <c r="N767" s="2019" t="str">
        <f>'SOUTH-1'!N1024</f>
        <v>Sytalakhya</v>
      </c>
      <c r="O767" s="2019" t="str">
        <f>Sheet2!$C$62</f>
        <v>Sitalakhya  33/11KV S/S</v>
      </c>
    </row>
    <row r="768" spans="1:15" x14ac:dyDescent="0.35">
      <c r="A768" s="2019">
        <f>'SOUTH-1'!A1025</f>
        <v>7</v>
      </c>
      <c r="B768" s="2019" t="str">
        <f>'SOUTH-1'!B1025</f>
        <v>11 kV Norshinghopur (F-2)</v>
      </c>
      <c r="C768" s="2019">
        <f>'SOUTH-1'!C1025</f>
        <v>11</v>
      </c>
      <c r="D768" s="2019">
        <f>'SOUTH-1'!D1025</f>
        <v>0</v>
      </c>
      <c r="E768" s="2019" t="str">
        <f>'SOUTH-1'!E1025</f>
        <v>DHK 9365</v>
      </c>
      <c r="F768" s="791">
        <f>'SOUTH-1'!F1025</f>
        <v>1</v>
      </c>
      <c r="G768" s="791">
        <f>'SOUTH-1'!G1025</f>
        <v>15573.881100000001</v>
      </c>
      <c r="H768" s="791">
        <f>'SOUTH-1'!H1025</f>
        <v>34999.56</v>
      </c>
      <c r="I768" s="791">
        <f>'SOUTH-1'!I1025</f>
        <v>19425.678899999999</v>
      </c>
      <c r="J768" s="791">
        <f>'SOUTH-1'!J1025</f>
        <v>60</v>
      </c>
      <c r="K768" s="791">
        <f>'SOUTH-1'!K1025</f>
        <v>0</v>
      </c>
      <c r="L768" s="791">
        <f>'SOUTH-1'!L1025</f>
        <v>1165540.7339999999</v>
      </c>
      <c r="M768" s="791">
        <f>'SOUTH-1'!M1025</f>
        <v>0</v>
      </c>
      <c r="N768" s="2019" t="str">
        <f>'SOUTH-1'!N1025</f>
        <v>Sytalakhya</v>
      </c>
      <c r="O768" s="2019" t="str">
        <f>Sheet2!$C$62</f>
        <v>Sitalakhya  33/11KV S/S</v>
      </c>
    </row>
    <row r="769" spans="1:15" x14ac:dyDescent="0.35">
      <c r="A769" s="2019">
        <f>'SOUTH-1'!A1026</f>
        <v>8</v>
      </c>
      <c r="B769" s="2019" t="str">
        <f>'SOUTH-1'!B1026</f>
        <v>11 kV Geddar Bazar Feeder (F-4)</v>
      </c>
      <c r="C769" s="2019">
        <f>'SOUTH-1'!C1026</f>
        <v>11</v>
      </c>
      <c r="D769" s="2019">
        <f>'SOUTH-1'!D1026</f>
        <v>0</v>
      </c>
      <c r="E769" s="2019" t="str">
        <f>'SOUTH-1'!E1026</f>
        <v>DHK 9367</v>
      </c>
      <c r="F769" s="791">
        <f>'SOUTH-1'!F1026</f>
        <v>1</v>
      </c>
      <c r="G769" s="791">
        <f>'SOUTH-1'!G1026</f>
        <v>19269.5651</v>
      </c>
      <c r="H769" s="791">
        <f>'SOUTH-1'!H1026</f>
        <v>31522.394799999998</v>
      </c>
      <c r="I769" s="791">
        <f>'SOUTH-1'!I1026</f>
        <v>12252.829699999998</v>
      </c>
      <c r="J769" s="791">
        <f>'SOUTH-1'!J1026</f>
        <v>60</v>
      </c>
      <c r="K769" s="791">
        <f>'SOUTH-1'!K1026</f>
        <v>0</v>
      </c>
      <c r="L769" s="791">
        <f>'SOUTH-1'!L1026</f>
        <v>735169.78199999989</v>
      </c>
      <c r="M769" s="791">
        <f>'SOUTH-1'!M1026</f>
        <v>0</v>
      </c>
      <c r="N769" s="2019" t="str">
        <f>'SOUTH-1'!N1026</f>
        <v>Sytalakhya</v>
      </c>
      <c r="O769" s="2019" t="str">
        <f>Sheet2!$C$62</f>
        <v>Sitalakhya  33/11KV S/S</v>
      </c>
    </row>
    <row r="770" spans="1:15" x14ac:dyDescent="0.35">
      <c r="A770" s="2019">
        <f>'SOUTH-1'!A1027</f>
        <v>11</v>
      </c>
      <c r="B770" s="2019" t="str">
        <f>'SOUTH-1'!B1027</f>
        <v>11 kV Noluyapara Feeder (F-6)***</v>
      </c>
      <c r="C770" s="2019">
        <f>'SOUTH-1'!C1027</f>
        <v>11</v>
      </c>
      <c r="D770" s="2019">
        <f>'SOUTH-1'!D1027</f>
        <v>0</v>
      </c>
      <c r="E770" s="2019" t="str">
        <f>'SOUTH-1'!E1027</f>
        <v>H/A030701125-03</v>
      </c>
      <c r="F770" s="791">
        <f>'SOUTH-1'!F1027</f>
        <v>1</v>
      </c>
      <c r="G770" s="791">
        <f>'SOUTH-1'!G1027</f>
        <v>69939.634000000005</v>
      </c>
      <c r="H770" s="791">
        <f>'SOUTH-1'!H1027</f>
        <v>70720.618000000002</v>
      </c>
      <c r="I770" s="791">
        <f>'SOUTH-1'!I1027</f>
        <v>780.98399999999674</v>
      </c>
      <c r="J770" s="791">
        <f>'SOUTH-1'!J1027</f>
        <v>1000</v>
      </c>
      <c r="K770" s="791">
        <f>'SOUTH-1'!K1027</f>
        <v>0</v>
      </c>
      <c r="L770" s="791">
        <f>'SOUTH-1'!L1027</f>
        <v>780983.99999999674</v>
      </c>
      <c r="M770" s="791">
        <f>'SOUTH-1'!M1027</f>
        <v>0</v>
      </c>
      <c r="N770" s="2019" t="str">
        <f>'SOUTH-1'!N1027</f>
        <v>N.Gonj (East)</v>
      </c>
      <c r="O770" s="2019" t="str">
        <f>Sheet2!$C$62</f>
        <v>Sitalakhya  33/11KV S/S</v>
      </c>
    </row>
    <row r="771" spans="1:15" x14ac:dyDescent="0.35">
      <c r="A771" s="2019">
        <f>'SOUTH-1'!A1028</f>
        <v>12</v>
      </c>
      <c r="B771" s="2019" t="str">
        <f>'SOUTH-1'!B1028</f>
        <v>11 kV Kashipur Feeder (F-7)</v>
      </c>
      <c r="C771" s="2019">
        <f>'SOUTH-1'!C1028</f>
        <v>11</v>
      </c>
      <c r="D771" s="2019">
        <f>'SOUTH-1'!D1028</f>
        <v>0</v>
      </c>
      <c r="E771" s="2019" t="str">
        <f>'SOUTH-1'!E1028</f>
        <v>H/A030800169-03</v>
      </c>
      <c r="F771" s="791">
        <f>'SOUTH-1'!F1028</f>
        <v>1</v>
      </c>
      <c r="G771" s="791">
        <f>'SOUTH-1'!G1028</f>
        <v>23410.699000000001</v>
      </c>
      <c r="H771" s="791">
        <f>'SOUTH-1'!H1028</f>
        <v>24514.578000000001</v>
      </c>
      <c r="I771" s="791">
        <f>'SOUTH-1'!I1028</f>
        <v>1103.8790000000008</v>
      </c>
      <c r="J771" s="791">
        <f>'SOUTH-1'!J1028</f>
        <v>1000</v>
      </c>
      <c r="K771" s="791">
        <f>'SOUTH-1'!K1028</f>
        <v>0</v>
      </c>
      <c r="L771" s="791">
        <f>'SOUTH-1'!L1028</f>
        <v>1103879.0000000009</v>
      </c>
      <c r="M771" s="791">
        <f>'SOUTH-1'!M1028</f>
        <v>0</v>
      </c>
      <c r="N771" s="2019" t="str">
        <f>'SOUTH-1'!N1028</f>
        <v>Sytalakhya</v>
      </c>
      <c r="O771" s="2019" t="str">
        <f>Sheet2!$C$62</f>
        <v>Sitalakhya  33/11KV S/S</v>
      </c>
    </row>
    <row r="772" spans="1:15" x14ac:dyDescent="0.35">
      <c r="A772" s="2019">
        <f>'SOUTH-1'!A1029</f>
        <v>13</v>
      </c>
      <c r="B772" s="2019" t="str">
        <f>'SOUTH-1'!B1029</f>
        <v>11 kV Spare Feeder (F-6)</v>
      </c>
      <c r="C772" s="2019">
        <f>'SOUTH-1'!C1029</f>
        <v>11</v>
      </c>
      <c r="D772" s="2019">
        <f>'SOUTH-1'!D1029</f>
        <v>0</v>
      </c>
      <c r="E772" s="2019">
        <f>'SOUTH-1'!E1029</f>
        <v>0</v>
      </c>
      <c r="F772" s="791">
        <f>'SOUTH-1'!F1029</f>
        <v>1</v>
      </c>
      <c r="G772" s="791">
        <f>'SOUTH-1'!G1029</f>
        <v>0</v>
      </c>
      <c r="H772" s="791">
        <f>'SOUTH-1'!H1029</f>
        <v>0</v>
      </c>
      <c r="I772" s="791">
        <f>'SOUTH-1'!I1029</f>
        <v>0</v>
      </c>
      <c r="J772" s="791">
        <f>'SOUTH-1'!J1029</f>
        <v>1000</v>
      </c>
      <c r="K772" s="791">
        <f>'SOUTH-1'!K1029</f>
        <v>0</v>
      </c>
      <c r="L772" s="791">
        <f>'SOUTH-1'!L1029</f>
        <v>0</v>
      </c>
      <c r="M772" s="791">
        <f>'SOUTH-1'!M1029</f>
        <v>0</v>
      </c>
      <c r="N772" s="2019" t="str">
        <f>'SOUTH-1'!N1029</f>
        <v>N.Gonj (West)</v>
      </c>
      <c r="O772" s="2019" t="str">
        <f>Sheet2!$C$62</f>
        <v>Sitalakhya  33/11KV S/S</v>
      </c>
    </row>
    <row r="773" spans="1:15" x14ac:dyDescent="0.35">
      <c r="A773" s="2019">
        <f>'SOUTH-1'!A1030</f>
        <v>14</v>
      </c>
      <c r="B773" s="2019" t="str">
        <f>'SOUTH-1'!B1030</f>
        <v>11 kV Paikpara Feeder (F-8)</v>
      </c>
      <c r="C773" s="2019">
        <f>'SOUTH-1'!C1030</f>
        <v>11</v>
      </c>
      <c r="D773" s="2019">
        <f>'SOUTH-1'!D1030</f>
        <v>0</v>
      </c>
      <c r="E773" s="2019" t="str">
        <f>'SOUTH-1'!E1030</f>
        <v>H/A030701098-03</v>
      </c>
      <c r="F773" s="791">
        <f>'SOUTH-1'!F1030</f>
        <v>1</v>
      </c>
      <c r="G773" s="791">
        <f>'SOUTH-1'!G1030</f>
        <v>70895.194000000003</v>
      </c>
      <c r="H773" s="791">
        <f>'SOUTH-1'!H1030</f>
        <v>71580.244999999995</v>
      </c>
      <c r="I773" s="791">
        <f>'SOUTH-1'!I1030</f>
        <v>685.0509999999922</v>
      </c>
      <c r="J773" s="791">
        <f>'SOUTH-1'!J1030</f>
        <v>1000</v>
      </c>
      <c r="K773" s="791">
        <f>'SOUTH-1'!K1030</f>
        <v>0</v>
      </c>
      <c r="L773" s="791">
        <f>'SOUTH-1'!L1030</f>
        <v>685050.9999999922</v>
      </c>
      <c r="M773" s="791">
        <f>'SOUTH-1'!M1030</f>
        <v>0</v>
      </c>
      <c r="N773" s="2019" t="str">
        <f>'SOUTH-1'!N1030</f>
        <v>N.Gonj (West)</v>
      </c>
      <c r="O773" s="2019" t="str">
        <f>Sheet2!$C$62</f>
        <v>Sitalakhya  33/11KV S/S</v>
      </c>
    </row>
    <row r="774" spans="1:15" x14ac:dyDescent="0.35">
      <c r="A774" s="2019">
        <f>'SOUTH-1'!A1031</f>
        <v>15</v>
      </c>
      <c r="B774" s="2019" t="str">
        <f>'SOUTH-1'!B1031</f>
        <v>11 kV B. K. Road Feeder (F-9)</v>
      </c>
      <c r="C774" s="2019">
        <f>'SOUTH-1'!C1031</f>
        <v>11</v>
      </c>
      <c r="D774" s="2019">
        <f>'SOUTH-1'!D1031</f>
        <v>0</v>
      </c>
      <c r="E774" s="2019" t="str">
        <f>'SOUTH-1'!E1031</f>
        <v>H/A030800205-03</v>
      </c>
      <c r="F774" s="791">
        <f>'SOUTH-1'!F1031</f>
        <v>1</v>
      </c>
      <c r="G774" s="791">
        <f>'SOUTH-1'!G1031</f>
        <v>87152.851999999999</v>
      </c>
      <c r="H774" s="791">
        <f>'SOUTH-1'!H1031</f>
        <v>88497.274000000005</v>
      </c>
      <c r="I774" s="791">
        <f>'SOUTH-1'!I1031</f>
        <v>1344.4220000000059</v>
      </c>
      <c r="J774" s="791">
        <f>'SOUTH-1'!J1031</f>
        <v>1000</v>
      </c>
      <c r="K774" s="791">
        <f>'SOUTH-1'!K1031</f>
        <v>0</v>
      </c>
      <c r="L774" s="791">
        <f>'SOUTH-1'!L1031</f>
        <v>1344422.0000000061</v>
      </c>
      <c r="M774" s="791">
        <f>'SOUTH-1'!M1031</f>
        <v>0</v>
      </c>
      <c r="N774" s="2019" t="str">
        <f>'SOUTH-1'!N1031</f>
        <v>N.Gonj (East)</v>
      </c>
      <c r="O774" s="2019" t="str">
        <f>Sheet2!$C$62</f>
        <v>Sitalakhya  33/11KV S/S</v>
      </c>
    </row>
    <row r="775" spans="1:15" x14ac:dyDescent="0.35">
      <c r="A775" s="2019">
        <f>'SOUTH-1'!A1032</f>
        <v>16</v>
      </c>
      <c r="B775" s="2019" t="str">
        <f>'SOUTH-1'!B1032</f>
        <v>11 kV Tamak Potti (Old Shahidnagar) Feeder (F-10)</v>
      </c>
      <c r="C775" s="2019">
        <f>'SOUTH-1'!C1032</f>
        <v>11</v>
      </c>
      <c r="D775" s="2019">
        <f>'SOUTH-1'!D1032</f>
        <v>0</v>
      </c>
      <c r="E775" s="2019" t="str">
        <f>'SOUTH-1'!E1032</f>
        <v>H/A030701091-03</v>
      </c>
      <c r="F775" s="791">
        <f>'SOUTH-1'!F1032</f>
        <v>1</v>
      </c>
      <c r="G775" s="791">
        <f>'SOUTH-1'!G1032</f>
        <v>46536.430999999997</v>
      </c>
      <c r="H775" s="791">
        <f>'SOUTH-1'!H1032</f>
        <v>47095.307999999997</v>
      </c>
      <c r="I775" s="791">
        <f>'SOUTH-1'!I1032</f>
        <v>558.87700000000041</v>
      </c>
      <c r="J775" s="791">
        <f>'SOUTH-1'!J1032</f>
        <v>1000</v>
      </c>
      <c r="K775" s="791">
        <f>'SOUTH-1'!K1032</f>
        <v>0</v>
      </c>
      <c r="L775" s="791">
        <f>'SOUTH-1'!L1032</f>
        <v>558877.00000000047</v>
      </c>
      <c r="M775" s="791">
        <f>'SOUTH-1'!M1032</f>
        <v>0</v>
      </c>
      <c r="N775" s="2019" t="str">
        <f>'SOUTH-1'!N1032</f>
        <v>Sytalakhya</v>
      </c>
      <c r="O775" s="2019" t="str">
        <f>Sheet2!$C$62</f>
        <v>Sitalakhya  33/11KV S/S</v>
      </c>
    </row>
    <row r="776" spans="1:15" x14ac:dyDescent="0.35">
      <c r="A776" s="2019">
        <f>'SOUTH-1'!A1145</f>
        <v>9</v>
      </c>
      <c r="B776" s="2019" t="str">
        <f>'SOUTH-1'!B1145</f>
        <v>11 kV River View</v>
      </c>
      <c r="C776" s="2019">
        <f>'SOUTH-1'!C1145</f>
        <v>11</v>
      </c>
      <c r="D776" s="2019">
        <f>'SOUTH-1'!D1145</f>
        <v>0</v>
      </c>
      <c r="E776" s="2019" t="str">
        <f>'SOUTH-1'!E1145</f>
        <v>00000061</v>
      </c>
      <c r="F776" s="791">
        <f>'SOUTH-1'!F1145</f>
        <v>1</v>
      </c>
      <c r="G776" s="791">
        <f>'SOUTH-1'!G1145</f>
        <v>1319640</v>
      </c>
      <c r="H776" s="791">
        <f>'SOUTH-1'!H1145</f>
        <v>2419496</v>
      </c>
      <c r="I776" s="791">
        <f>'SOUTH-1'!I1145</f>
        <v>1099856</v>
      </c>
      <c r="J776" s="791">
        <f>'SOUTH-1'!J1145</f>
        <v>1</v>
      </c>
      <c r="K776" s="791">
        <f>'SOUTH-1'!K1145</f>
        <v>0</v>
      </c>
      <c r="L776" s="791">
        <f>'SOUTH-1'!L1145</f>
        <v>1099856</v>
      </c>
      <c r="M776" s="791">
        <f>'SOUTH-1'!M1145</f>
        <v>0</v>
      </c>
      <c r="N776" s="2019" t="str">
        <f>'SOUTH-1'!N1145</f>
        <v>N. Gonj (East)</v>
      </c>
      <c r="O776" s="2019" t="str">
        <f>Sheet2!$C$68</f>
        <v>Mondalpara 33/11KV S/S</v>
      </c>
    </row>
    <row r="777" spans="1:15" x14ac:dyDescent="0.35">
      <c r="A777" s="2019">
        <f>'SOUTH-1'!A1146</f>
        <v>10</v>
      </c>
      <c r="B777" s="2019" t="str">
        <f>'SOUTH-1'!B1146</f>
        <v>11 kV Railgate B.B. Road</v>
      </c>
      <c r="C777" s="2019">
        <f>'SOUTH-1'!C1146</f>
        <v>11</v>
      </c>
      <c r="D777" s="2019">
        <f>'SOUTH-1'!D1146</f>
        <v>0</v>
      </c>
      <c r="E777" s="2019" t="str">
        <f>'SOUTH-1'!E1146</f>
        <v>00000191</v>
      </c>
      <c r="F777" s="791">
        <f>'SOUTH-1'!F1146</f>
        <v>1</v>
      </c>
      <c r="G777" s="791">
        <f>'SOUTH-1'!G1146</f>
        <v>18853394</v>
      </c>
      <c r="H777" s="791">
        <f>'SOUTH-1'!H1146</f>
        <v>19617152</v>
      </c>
      <c r="I777" s="791">
        <f>'SOUTH-1'!I1146</f>
        <v>763758</v>
      </c>
      <c r="J777" s="791">
        <f>'SOUTH-1'!J1146</f>
        <v>1</v>
      </c>
      <c r="K777" s="791">
        <f>'SOUTH-1'!K1146</f>
        <v>0</v>
      </c>
      <c r="L777" s="791">
        <f>'SOUTH-1'!L1146</f>
        <v>763758</v>
      </c>
      <c r="M777" s="791">
        <f>'SOUTH-1'!M1146</f>
        <v>0</v>
      </c>
      <c r="N777" s="2019" t="str">
        <f>'SOUTH-1'!N1146</f>
        <v>N. Gonj (East)</v>
      </c>
      <c r="O777" s="2019" t="str">
        <f>Sheet2!$C$68</f>
        <v>Mondalpara 33/11KV S/S</v>
      </c>
    </row>
    <row r="778" spans="1:15" x14ac:dyDescent="0.35">
      <c r="A778" s="2019">
        <f>'SOUTH-1'!A1147</f>
        <v>11</v>
      </c>
      <c r="B778" s="2019" t="str">
        <f>'SOUTH-1'!B1147</f>
        <v>11 kV DIT</v>
      </c>
      <c r="C778" s="2019">
        <f>'SOUTH-1'!C1147</f>
        <v>11</v>
      </c>
      <c r="D778" s="2019">
        <f>'SOUTH-1'!D1147</f>
        <v>0</v>
      </c>
      <c r="E778" s="2019" t="str">
        <f>'SOUTH-1'!E1147</f>
        <v>00000174</v>
      </c>
      <c r="F778" s="791">
        <f>'SOUTH-1'!F1147</f>
        <v>1</v>
      </c>
      <c r="G778" s="791">
        <f>'SOUTH-1'!G1147</f>
        <v>119947584</v>
      </c>
      <c r="H778" s="791">
        <f>'SOUTH-1'!H1147</f>
        <v>121821384</v>
      </c>
      <c r="I778" s="791">
        <f>'SOUTH-1'!I1147</f>
        <v>1873800</v>
      </c>
      <c r="J778" s="791">
        <f>'SOUTH-1'!J1147</f>
        <v>1</v>
      </c>
      <c r="K778" s="791">
        <f>'SOUTH-1'!K1147</f>
        <v>0</v>
      </c>
      <c r="L778" s="791">
        <f>'SOUTH-1'!L1147</f>
        <v>1873800</v>
      </c>
      <c r="M778" s="791">
        <f>'SOUTH-1'!M1147</f>
        <v>0</v>
      </c>
      <c r="N778" s="2019" t="str">
        <f>'SOUTH-1'!N1147</f>
        <v>N. Gonj (west)</v>
      </c>
      <c r="O778" s="2019" t="str">
        <f>Sheet2!$C$68</f>
        <v>Mondalpara 33/11KV S/S</v>
      </c>
    </row>
    <row r="779" spans="1:15" x14ac:dyDescent="0.35">
      <c r="A779" s="2019">
        <f>'SOUTH-1'!A1148</f>
        <v>12</v>
      </c>
      <c r="B779" s="2019" t="str">
        <f>'SOUTH-1'!B1148</f>
        <v>11 kV Dalpatti</v>
      </c>
      <c r="C779" s="2019">
        <f>'SOUTH-1'!C1148</f>
        <v>11</v>
      </c>
      <c r="D779" s="2019">
        <f>'SOUTH-1'!D1148</f>
        <v>0</v>
      </c>
      <c r="E779" s="2019" t="str">
        <f>'SOUTH-1'!E1148</f>
        <v>00000182</v>
      </c>
      <c r="F779" s="791">
        <f>'SOUTH-1'!F1148</f>
        <v>1</v>
      </c>
      <c r="G779" s="791">
        <f>'SOUTH-1'!G1148</f>
        <v>0</v>
      </c>
      <c r="H779" s="791">
        <f>'SOUTH-1'!H1148</f>
        <v>370719</v>
      </c>
      <c r="I779" s="791">
        <f>'SOUTH-1'!I1148</f>
        <v>370719</v>
      </c>
      <c r="J779" s="791">
        <f>'SOUTH-1'!J1148</f>
        <v>1</v>
      </c>
      <c r="K779" s="791">
        <f>'SOUTH-1'!K1148</f>
        <v>0</v>
      </c>
      <c r="L779" s="791">
        <f>'SOUTH-1'!L1148</f>
        <v>370719</v>
      </c>
      <c r="M779" s="791">
        <f>'SOUTH-1'!M1148</f>
        <v>0</v>
      </c>
      <c r="N779" s="2019" t="str">
        <f>'SOUTH-1'!N1148</f>
        <v>N. Gonj (East)</v>
      </c>
      <c r="O779" s="2019" t="str">
        <f>Sheet2!$C$68</f>
        <v>Mondalpara 33/11KV S/S</v>
      </c>
    </row>
    <row r="780" spans="1:15" x14ac:dyDescent="0.35">
      <c r="A780" s="2019">
        <f>'SOUTH-1'!A1149</f>
        <v>13</v>
      </c>
      <c r="B780" s="2019" t="str">
        <f>'SOUTH-1'!B1149</f>
        <v>11 kV South Chasara</v>
      </c>
      <c r="C780" s="2019">
        <f>'SOUTH-1'!C1149</f>
        <v>11</v>
      </c>
      <c r="D780" s="2019">
        <f>'SOUTH-1'!D1149</f>
        <v>0</v>
      </c>
      <c r="E780" s="2019" t="str">
        <f>'SOUTH-1'!E1149</f>
        <v>00000043</v>
      </c>
      <c r="F780" s="791">
        <f>'SOUTH-1'!F1149</f>
        <v>1</v>
      </c>
      <c r="G780" s="791">
        <f>'SOUTH-1'!G1149</f>
        <v>79598768</v>
      </c>
      <c r="H780" s="791">
        <f>'SOUTH-1'!H1149</f>
        <v>81757040</v>
      </c>
      <c r="I780" s="791">
        <f>'SOUTH-1'!I1149</f>
        <v>2158272</v>
      </c>
      <c r="J780" s="791">
        <f>'SOUTH-1'!J1149</f>
        <v>1</v>
      </c>
      <c r="K780" s="791">
        <f>'SOUTH-1'!K1149</f>
        <v>0</v>
      </c>
      <c r="L780" s="791">
        <f>'SOUTH-1'!L1149</f>
        <v>2158272</v>
      </c>
      <c r="M780" s="791">
        <f>'SOUTH-1'!M1149</f>
        <v>0</v>
      </c>
      <c r="N780" s="2019" t="str">
        <f>'SOUTH-1'!N1149</f>
        <v>N. Gonj (west)</v>
      </c>
      <c r="O780" s="2019" t="str">
        <f>Sheet2!$C$68</f>
        <v>Mondalpara 33/11KV S/S</v>
      </c>
    </row>
    <row r="781" spans="1:15" x14ac:dyDescent="0.35">
      <c r="A781" s="2019">
        <f>'SOUTH-1'!A1150</f>
        <v>14</v>
      </c>
      <c r="B781" s="2019" t="str">
        <f>'SOUTH-1'!B1150</f>
        <v>11 kV Spare</v>
      </c>
      <c r="C781" s="2019">
        <f>'SOUTH-1'!C1150</f>
        <v>11</v>
      </c>
      <c r="D781" s="2019">
        <f>'SOUTH-1'!D1150</f>
        <v>0</v>
      </c>
      <c r="E781" s="2019" t="str">
        <f>'SOUTH-1'!E1150</f>
        <v>00000137</v>
      </c>
      <c r="F781" s="791">
        <f>'SOUTH-1'!F1150</f>
        <v>1</v>
      </c>
      <c r="G781" s="791">
        <f>'SOUTH-1'!G1150</f>
        <v>0</v>
      </c>
      <c r="H781" s="791">
        <f>'SOUTH-1'!H1150</f>
        <v>0</v>
      </c>
      <c r="I781" s="791">
        <f>'SOUTH-1'!I1150</f>
        <v>0</v>
      </c>
      <c r="J781" s="791">
        <f>'SOUTH-1'!J1150</f>
        <v>1</v>
      </c>
      <c r="K781" s="791">
        <f>'SOUTH-1'!K1150</f>
        <v>0</v>
      </c>
      <c r="L781" s="791">
        <f>'SOUTH-1'!L1150</f>
        <v>0</v>
      </c>
      <c r="M781" s="791">
        <f>'SOUTH-1'!M1150</f>
        <v>0</v>
      </c>
      <c r="N781" s="2019">
        <f>'SOUTH-1'!N1150</f>
        <v>0</v>
      </c>
      <c r="O781" s="2019" t="str">
        <f>Sheet2!$C$68</f>
        <v>Mondalpara 33/11KV S/S</v>
      </c>
    </row>
    <row r="782" spans="1:15" x14ac:dyDescent="0.35">
      <c r="A782" s="2019">
        <f>'SOUTH-1'!A1151</f>
        <v>16</v>
      </c>
      <c r="B782" s="2019" t="str">
        <f>'SOUTH-1'!B1151</f>
        <v>11 kV Spare</v>
      </c>
      <c r="C782" s="2019">
        <f>'SOUTH-1'!C1151</f>
        <v>11</v>
      </c>
      <c r="D782" s="2019">
        <f>'SOUTH-1'!D1151</f>
        <v>0</v>
      </c>
      <c r="E782" s="2019" t="str">
        <f>'SOUTH-1'!E1151</f>
        <v>00000019</v>
      </c>
      <c r="F782" s="791">
        <f>'SOUTH-1'!F1151</f>
        <v>1</v>
      </c>
      <c r="G782" s="791">
        <f>'SOUTH-1'!G1151</f>
        <v>0</v>
      </c>
      <c r="H782" s="791">
        <f>'SOUTH-1'!H1151</f>
        <v>0</v>
      </c>
      <c r="I782" s="791">
        <f>'SOUTH-1'!I1151</f>
        <v>0</v>
      </c>
      <c r="J782" s="791">
        <f>'SOUTH-1'!J1151</f>
        <v>1</v>
      </c>
      <c r="K782" s="791">
        <f>'SOUTH-1'!K1151</f>
        <v>0</v>
      </c>
      <c r="L782" s="791">
        <f>'SOUTH-1'!L1151</f>
        <v>0</v>
      </c>
      <c r="M782" s="791">
        <f>'SOUTH-1'!M1151</f>
        <v>0</v>
      </c>
      <c r="N782" s="2019">
        <f>'SOUTH-1'!N1151</f>
        <v>0</v>
      </c>
      <c r="O782" s="2019" t="str">
        <f>Sheet2!$C$68</f>
        <v>Mondalpara 33/11KV S/S</v>
      </c>
    </row>
    <row r="783" spans="1:15" x14ac:dyDescent="0.35">
      <c r="A783" s="2019">
        <f>'SOUTH-1'!A1152</f>
        <v>17</v>
      </c>
      <c r="B783" s="2019" t="str">
        <f>'SOUTH-1'!B1152</f>
        <v>11 kV Spare</v>
      </c>
      <c r="C783" s="2019">
        <f>'SOUTH-1'!C1152</f>
        <v>11</v>
      </c>
      <c r="D783" s="2019">
        <f>'SOUTH-1'!D1152</f>
        <v>0</v>
      </c>
      <c r="E783" s="2019" t="str">
        <f>'SOUTH-1'!E1152</f>
        <v>00000041</v>
      </c>
      <c r="F783" s="791">
        <f>'SOUTH-1'!F1152</f>
        <v>1</v>
      </c>
      <c r="G783" s="791">
        <f>'SOUTH-1'!G1152</f>
        <v>0</v>
      </c>
      <c r="H783" s="791">
        <f>'SOUTH-1'!H1152</f>
        <v>0</v>
      </c>
      <c r="I783" s="791">
        <f>'SOUTH-1'!I1152</f>
        <v>0</v>
      </c>
      <c r="J783" s="791">
        <f>'SOUTH-1'!J1152</f>
        <v>1</v>
      </c>
      <c r="K783" s="791">
        <f>'SOUTH-1'!K1152</f>
        <v>0</v>
      </c>
      <c r="L783" s="791">
        <f>'SOUTH-1'!L1152</f>
        <v>0</v>
      </c>
      <c r="M783" s="791">
        <f>'SOUTH-1'!M1152</f>
        <v>0</v>
      </c>
      <c r="N783" s="2019">
        <f>'SOUTH-1'!N1152</f>
        <v>0</v>
      </c>
      <c r="O783" s="2019" t="str">
        <f>Sheet2!$C$68</f>
        <v>Mondalpara 33/11KV S/S</v>
      </c>
    </row>
    <row r="784" spans="1:15" x14ac:dyDescent="0.35">
      <c r="A784" s="2019">
        <f>'SOUTH-1'!A1153</f>
        <v>18</v>
      </c>
      <c r="B784" s="2019" t="str">
        <f>'SOUTH-1'!B1153</f>
        <v xml:space="preserve">11 kV Masuya Bazar </v>
      </c>
      <c r="C784" s="2019">
        <f>'SOUTH-1'!C1153</f>
        <v>11</v>
      </c>
      <c r="D784" s="2019">
        <f>'SOUTH-1'!D1153</f>
        <v>0</v>
      </c>
      <c r="E784" s="2019" t="str">
        <f>'SOUTH-1'!E1153</f>
        <v>00000173</v>
      </c>
      <c r="F784" s="791">
        <f>'SOUTH-1'!F1153</f>
        <v>1</v>
      </c>
      <c r="G784" s="791">
        <f>'SOUTH-1'!G1153</f>
        <v>0</v>
      </c>
      <c r="H784" s="791">
        <f>'SOUTH-1'!H1153</f>
        <v>500558</v>
      </c>
      <c r="I784" s="791">
        <f>'SOUTH-1'!I1153</f>
        <v>500558</v>
      </c>
      <c r="J784" s="791">
        <f>'SOUTH-1'!J1153</f>
        <v>1</v>
      </c>
      <c r="K784" s="791">
        <f>'SOUTH-1'!K1153</f>
        <v>0</v>
      </c>
      <c r="L784" s="791">
        <f>'SOUTH-1'!L1153</f>
        <v>500558</v>
      </c>
      <c r="M784" s="791">
        <f>'SOUTH-1'!M1153</f>
        <v>0</v>
      </c>
      <c r="N784" s="2019" t="str">
        <f>'SOUTH-1'!N1153</f>
        <v>N. Gonj (East)</v>
      </c>
      <c r="O784" s="2019" t="str">
        <f>Sheet2!$C$68</f>
        <v>Mondalpara 33/11KV S/S</v>
      </c>
    </row>
    <row r="785" spans="1:15" x14ac:dyDescent="0.35">
      <c r="A785" s="2019">
        <f>'SOUTH-1'!A1154</f>
        <v>20</v>
      </c>
      <c r="B785" s="2019" t="str">
        <f>'SOUTH-1'!B1154</f>
        <v>11 kV Nitaigonj</v>
      </c>
      <c r="C785" s="2019">
        <f>'SOUTH-1'!C1154</f>
        <v>11</v>
      </c>
      <c r="D785" s="2019">
        <f>'SOUTH-1'!D1154</f>
        <v>0</v>
      </c>
      <c r="E785" s="2019" t="str">
        <f>'SOUTH-1'!E1154</f>
        <v>00000189</v>
      </c>
      <c r="F785" s="791">
        <f>'SOUTH-1'!F1154</f>
        <v>1</v>
      </c>
      <c r="G785" s="791">
        <f>'SOUTH-1'!G1154</f>
        <v>53613148</v>
      </c>
      <c r="H785" s="791">
        <f>'SOUTH-1'!H1154</f>
        <v>54837108</v>
      </c>
      <c r="I785" s="791">
        <f>'SOUTH-1'!I1154</f>
        <v>1223960</v>
      </c>
      <c r="J785" s="791">
        <f>'SOUTH-1'!J1154</f>
        <v>1</v>
      </c>
      <c r="K785" s="791">
        <f>'SOUTH-1'!K1154</f>
        <v>0</v>
      </c>
      <c r="L785" s="791">
        <f>'SOUTH-1'!L1154</f>
        <v>1223960</v>
      </c>
      <c r="M785" s="791">
        <f>'SOUTH-1'!M1154</f>
        <v>0</v>
      </c>
      <c r="N785" s="2019" t="str">
        <f>'SOUTH-1'!N1154</f>
        <v>N. Gonj (East)</v>
      </c>
      <c r="O785" s="2019" t="str">
        <f>Sheet2!$C$68</f>
        <v>Mondalpara 33/11KV S/S</v>
      </c>
    </row>
    <row r="786" spans="1:15" x14ac:dyDescent="0.35">
      <c r="A786" s="2019">
        <f>'SOUTH-1'!A1155</f>
        <v>21</v>
      </c>
      <c r="B786" s="2019" t="str">
        <f>'SOUTH-1'!B1155</f>
        <v>11 kV Shahid Nagar</v>
      </c>
      <c r="C786" s="2019">
        <f>'SOUTH-1'!C1155</f>
        <v>11</v>
      </c>
      <c r="D786" s="2019">
        <f>'SOUTH-1'!D1155</f>
        <v>0</v>
      </c>
      <c r="E786" s="2019" t="str">
        <f>'SOUTH-1'!E1155</f>
        <v>00000020</v>
      </c>
      <c r="F786" s="791">
        <f>'SOUTH-1'!F1155</f>
        <v>1</v>
      </c>
      <c r="G786" s="791">
        <f>'SOUTH-1'!G1155</f>
        <v>50010436</v>
      </c>
      <c r="H786" s="791">
        <f>'SOUTH-1'!H1155</f>
        <v>50846356</v>
      </c>
      <c r="I786" s="791">
        <f>'SOUTH-1'!I1155</f>
        <v>835920</v>
      </c>
      <c r="J786" s="791">
        <f>'SOUTH-1'!J1155</f>
        <v>1</v>
      </c>
      <c r="K786" s="791">
        <f>'SOUTH-1'!K1155</f>
        <v>0</v>
      </c>
      <c r="L786" s="791">
        <f>'SOUTH-1'!L1155</f>
        <v>835920</v>
      </c>
      <c r="M786" s="791">
        <f>'SOUTH-1'!M1155</f>
        <v>0</v>
      </c>
      <c r="N786" s="2019" t="str">
        <f>'SOUTH-1'!N1155</f>
        <v xml:space="preserve">Shitolokka </v>
      </c>
      <c r="O786" s="2019" t="str">
        <f>Sheet2!$C$68</f>
        <v>Mondalpara 33/11KV S/S</v>
      </c>
    </row>
    <row r="787" spans="1:15" x14ac:dyDescent="0.35">
      <c r="A787" s="2019">
        <f>'SOUTH-1'!A1156</f>
        <v>22</v>
      </c>
      <c r="B787" s="2019" t="str">
        <f>'SOUTH-1'!B1156</f>
        <v>11 kV Bangla Bazar</v>
      </c>
      <c r="C787" s="2019">
        <f>'SOUTH-1'!C1156</f>
        <v>11</v>
      </c>
      <c r="D787" s="2019">
        <f>'SOUTH-1'!D1156</f>
        <v>0</v>
      </c>
      <c r="E787" s="2019" t="str">
        <f>'SOUTH-1'!E1156</f>
        <v>00000139</v>
      </c>
      <c r="F787" s="791">
        <f>'SOUTH-1'!F1156</f>
        <v>1</v>
      </c>
      <c r="G787" s="791">
        <f>'SOUTH-1'!G1156</f>
        <v>60430252</v>
      </c>
      <c r="H787" s="791">
        <f>'SOUTH-1'!H1156</f>
        <v>61453408</v>
      </c>
      <c r="I787" s="791">
        <f>'SOUTH-1'!I1156</f>
        <v>1023156</v>
      </c>
      <c r="J787" s="791">
        <f>'SOUTH-1'!J1156</f>
        <v>1</v>
      </c>
      <c r="K787" s="791">
        <f>'SOUTH-1'!K1156</f>
        <v>0</v>
      </c>
      <c r="L787" s="791">
        <f>'SOUTH-1'!L1156</f>
        <v>1023156</v>
      </c>
      <c r="M787" s="791">
        <f>'SOUTH-1'!M1156</f>
        <v>0</v>
      </c>
      <c r="N787" s="2019" t="str">
        <f>'SOUTH-1'!N1156</f>
        <v>N. Gonj (west)</v>
      </c>
      <c r="O787" s="2019" t="str">
        <f>Sheet2!$C$68</f>
        <v>Mondalpara 33/11KV S/S</v>
      </c>
    </row>
    <row r="788" spans="1:15" x14ac:dyDescent="0.35">
      <c r="A788" s="2019">
        <f>'SOUTH-1'!A1157</f>
        <v>23</v>
      </c>
      <c r="B788" s="2019" t="str">
        <f>'SOUTH-1'!B1157</f>
        <v>11 kV Vogoban Gonj</v>
      </c>
      <c r="C788" s="2019">
        <f>'SOUTH-1'!C1157</f>
        <v>11</v>
      </c>
      <c r="D788" s="2019">
        <f>'SOUTH-1'!D1157</f>
        <v>0</v>
      </c>
      <c r="E788" s="2019" t="str">
        <f>'SOUTH-1'!E1157</f>
        <v>00000181</v>
      </c>
      <c r="F788" s="791">
        <f>'SOUTH-1'!F1157</f>
        <v>1</v>
      </c>
      <c r="G788" s="791">
        <f>'SOUTH-1'!G1157</f>
        <v>0</v>
      </c>
      <c r="H788" s="791">
        <f>'SOUTH-1'!H1157</f>
        <v>220959</v>
      </c>
      <c r="I788" s="791">
        <f>'SOUTH-1'!I1157</f>
        <v>220959</v>
      </c>
      <c r="J788" s="791">
        <f>'SOUTH-1'!J1157</f>
        <v>1</v>
      </c>
      <c r="K788" s="791">
        <f>'SOUTH-1'!K1157</f>
        <v>0</v>
      </c>
      <c r="L788" s="791">
        <f>'SOUTH-1'!L1157</f>
        <v>220959</v>
      </c>
      <c r="M788" s="791">
        <f>'SOUTH-1'!M1157</f>
        <v>0</v>
      </c>
      <c r="N788" s="2019" t="str">
        <f>'SOUTH-1'!N1157</f>
        <v>N. Gonj (East)</v>
      </c>
      <c r="O788" s="2019" t="str">
        <f>Sheet2!$C$68</f>
        <v>Mondalpara 33/11KV S/S</v>
      </c>
    </row>
    <row r="789" spans="1:15" x14ac:dyDescent="0.35">
      <c r="A789" s="2019">
        <f>'SOUTH-1'!A1158</f>
        <v>24</v>
      </c>
      <c r="B789" s="2019" t="str">
        <f>'SOUTH-1'!B1158</f>
        <v>11 kV Tanbazar</v>
      </c>
      <c r="C789" s="2019">
        <f>'SOUTH-1'!C1158</f>
        <v>11</v>
      </c>
      <c r="D789" s="2019">
        <f>'SOUTH-1'!D1158</f>
        <v>0</v>
      </c>
      <c r="E789" s="2019" t="str">
        <f>'SOUTH-1'!E1158</f>
        <v>00000138</v>
      </c>
      <c r="F789" s="791">
        <f>'SOUTH-1'!F1158</f>
        <v>1</v>
      </c>
      <c r="G789" s="791">
        <f>'SOUTH-1'!G1158</f>
        <v>43175496</v>
      </c>
      <c r="H789" s="791">
        <f>'SOUTH-1'!H1158</f>
        <v>44019652</v>
      </c>
      <c r="I789" s="791">
        <f>'SOUTH-1'!I1158</f>
        <v>844156</v>
      </c>
      <c r="J789" s="791">
        <f>'SOUTH-1'!J1158</f>
        <v>1</v>
      </c>
      <c r="K789" s="791">
        <f>'SOUTH-1'!K1158</f>
        <v>0</v>
      </c>
      <c r="L789" s="791">
        <f>'SOUTH-1'!L1158</f>
        <v>844156</v>
      </c>
      <c r="M789" s="791">
        <f>'SOUTH-1'!M1158</f>
        <v>0</v>
      </c>
      <c r="N789" s="2019" t="str">
        <f>'SOUTH-1'!N1158</f>
        <v>N. Gonj (East)</v>
      </c>
      <c r="O789" s="2019" t="str">
        <f>Sheet2!$C$68</f>
        <v>Mondalpara 33/11KV S/S</v>
      </c>
    </row>
    <row r="790" spans="1:15" x14ac:dyDescent="0.35">
      <c r="A790" s="2019">
        <f>'SOUTH-1'!A1159</f>
        <v>25</v>
      </c>
      <c r="B790" s="2019" t="str">
        <f>'SOUTH-1'!B1159</f>
        <v>11 kV SS Road</v>
      </c>
      <c r="C790" s="2019">
        <f>'SOUTH-1'!C1159</f>
        <v>11</v>
      </c>
      <c r="D790" s="2019">
        <f>'SOUTH-1'!D1159</f>
        <v>0</v>
      </c>
      <c r="E790" s="2019" t="str">
        <f>'SOUTH-1'!E1159</f>
        <v>00000175</v>
      </c>
      <c r="F790" s="791">
        <f>'SOUTH-1'!F1159</f>
        <v>1</v>
      </c>
      <c r="G790" s="791">
        <f>'SOUTH-1'!G1159</f>
        <v>57979700</v>
      </c>
      <c r="H790" s="791">
        <f>'SOUTH-1'!H1159</f>
        <v>58870056</v>
      </c>
      <c r="I790" s="791">
        <f>'SOUTH-1'!I1159</f>
        <v>890356</v>
      </c>
      <c r="J790" s="791">
        <f>'SOUTH-1'!J1159</f>
        <v>1</v>
      </c>
      <c r="K790" s="791">
        <f>'SOUTH-1'!K1159</f>
        <v>0</v>
      </c>
      <c r="L790" s="791">
        <f>'SOUTH-1'!L1159</f>
        <v>890356</v>
      </c>
      <c r="M790" s="791">
        <f>'SOUTH-1'!M1159</f>
        <v>0</v>
      </c>
      <c r="N790" s="2019" t="str">
        <f>'SOUTH-1'!N1159</f>
        <v>N. Gonj (west)</v>
      </c>
      <c r="O790" s="2019" t="str">
        <f>Sheet2!$C$68</f>
        <v>Mondalpara 33/11KV S/S</v>
      </c>
    </row>
    <row r="791" spans="1:15" x14ac:dyDescent="0.35">
      <c r="A791" s="2019">
        <f>'SOUTH-1'!A1160</f>
        <v>26</v>
      </c>
      <c r="B791" s="2019" t="str">
        <f>'SOUTH-1'!B1160</f>
        <v>11 kV Spare</v>
      </c>
      <c r="C791" s="2019">
        <f>'SOUTH-1'!C1160</f>
        <v>11</v>
      </c>
      <c r="D791" s="2019">
        <f>'SOUTH-1'!D1160</f>
        <v>0</v>
      </c>
      <c r="E791" s="2019" t="str">
        <f>'SOUTH-1'!E1160</f>
        <v>00000094</v>
      </c>
      <c r="F791" s="791">
        <f>'SOUTH-1'!F1160</f>
        <v>1</v>
      </c>
      <c r="G791" s="791">
        <f>'SOUTH-1'!G1160</f>
        <v>0</v>
      </c>
      <c r="H791" s="791">
        <f>'SOUTH-1'!H1160</f>
        <v>0</v>
      </c>
      <c r="I791" s="791">
        <f>'SOUTH-1'!I1160</f>
        <v>0</v>
      </c>
      <c r="J791" s="791">
        <f>'SOUTH-1'!J1160</f>
        <v>1</v>
      </c>
      <c r="K791" s="791">
        <f>'SOUTH-1'!K1160</f>
        <v>0</v>
      </c>
      <c r="L791" s="791">
        <f>'SOUTH-1'!L1160</f>
        <v>0</v>
      </c>
      <c r="M791" s="791">
        <f>'SOUTH-1'!M1160</f>
        <v>0</v>
      </c>
      <c r="N791" s="2019">
        <f>'SOUTH-1'!N1160</f>
        <v>0</v>
      </c>
      <c r="O791" s="2019" t="str">
        <f>Sheet2!$C$68</f>
        <v>Mondalpara 33/11KV S/S</v>
      </c>
    </row>
    <row r="792" spans="1:15" x14ac:dyDescent="0.35">
      <c r="A792" s="2019">
        <f>'SOUTH-1'!A1161</f>
        <v>27</v>
      </c>
      <c r="B792" s="2019" t="str">
        <f>'SOUTH-1'!B1161</f>
        <v>33/0.415 kV Auxiliary-1</v>
      </c>
      <c r="C792" s="2019">
        <f>'SOUTH-1'!C1161</f>
        <v>0.4</v>
      </c>
      <c r="D792" s="2019">
        <f>'SOUTH-1'!D1161</f>
        <v>0</v>
      </c>
      <c r="E792" s="2019">
        <f>'SOUTH-1'!E1161</f>
        <v>0</v>
      </c>
      <c r="F792" s="791">
        <f>'SOUTH-1'!F1161</f>
        <v>1</v>
      </c>
      <c r="G792" s="791">
        <f>'SOUTH-1'!G1161</f>
        <v>2075.67</v>
      </c>
      <c r="H792" s="791">
        <f>'SOUTH-1'!H1161</f>
        <v>2110.84</v>
      </c>
      <c r="I792" s="791">
        <f>'SOUTH-1'!I1161</f>
        <v>35.170000000000073</v>
      </c>
      <c r="J792" s="791">
        <f>'SOUTH-1'!J1161</f>
        <v>100</v>
      </c>
      <c r="K792" s="791">
        <f>'SOUTH-1'!K1161</f>
        <v>0</v>
      </c>
      <c r="L792" s="791">
        <f>'SOUTH-1'!L1161</f>
        <v>3517.0000000000073</v>
      </c>
      <c r="M792" s="791">
        <f>'SOUTH-1'!M1161</f>
        <v>0</v>
      </c>
      <c r="N792" s="2019" t="str">
        <f>'SOUTH-1'!N1161</f>
        <v>N. Gonj (west)</v>
      </c>
      <c r="O792" s="2019" t="str">
        <f>Sheet2!$C$68</f>
        <v>Mondalpara 33/11KV S/S</v>
      </c>
    </row>
    <row r="793" spans="1:15" x14ac:dyDescent="0.35">
      <c r="A793" s="2019">
        <f>'SOUTH-1'!A1162</f>
        <v>28</v>
      </c>
      <c r="B793" s="2019" t="str">
        <f>'SOUTH-1'!B1162</f>
        <v>33/0.415 kV Auxiliary-2</v>
      </c>
      <c r="C793" s="2019">
        <f>'SOUTH-1'!C1162</f>
        <v>0.41499999999999998</v>
      </c>
      <c r="D793" s="2019">
        <f>'SOUTH-1'!D1162</f>
        <v>0</v>
      </c>
      <c r="E793" s="2019">
        <f>'SOUTH-1'!E1162</f>
        <v>0</v>
      </c>
      <c r="F793" s="791">
        <f>'SOUTH-1'!F1162</f>
        <v>1</v>
      </c>
      <c r="G793" s="791">
        <f>'SOUTH-1'!G1162</f>
        <v>3.43</v>
      </c>
      <c r="H793" s="791">
        <f>'SOUTH-1'!H1162</f>
        <v>3.98</v>
      </c>
      <c r="I793" s="791">
        <f>'SOUTH-1'!I1162</f>
        <v>0.54999999999999982</v>
      </c>
      <c r="J793" s="791">
        <f>'SOUTH-1'!J1162</f>
        <v>100</v>
      </c>
      <c r="K793" s="791">
        <f>'SOUTH-1'!K1162</f>
        <v>0</v>
      </c>
      <c r="L793" s="791">
        <f>'SOUTH-1'!L1162</f>
        <v>54.999999999999986</v>
      </c>
      <c r="M793" s="791">
        <f>'SOUTH-1'!M1162</f>
        <v>0</v>
      </c>
      <c r="N793" s="2019" t="str">
        <f>'SOUTH-1'!N1162</f>
        <v>N. Gonj (west)</v>
      </c>
      <c r="O793" s="2019" t="str">
        <f>Sheet2!$C$68</f>
        <v>Mondalpara 33/11KV S/S</v>
      </c>
    </row>
    <row r="794" spans="1:15" x14ac:dyDescent="0.35">
      <c r="A794" s="2019">
        <f>'SOUTH-1'!A1232</f>
        <v>10</v>
      </c>
      <c r="B794" s="2019" t="str">
        <f>'SOUTH-1'!B1232</f>
        <v>11 kV Masdair  Feeder (F-8)</v>
      </c>
      <c r="C794" s="2019">
        <f>'SOUTH-1'!C1232</f>
        <v>11</v>
      </c>
      <c r="D794" s="2019">
        <f>'SOUTH-1'!D1232</f>
        <v>0</v>
      </c>
      <c r="E794" s="2019" t="str">
        <f>'SOUTH-1'!E1232</f>
        <v>XA575914</v>
      </c>
      <c r="F794" s="791">
        <f>'SOUTH-1'!F1232</f>
        <v>1</v>
      </c>
      <c r="G794" s="791">
        <f>'SOUTH-1'!G1232</f>
        <v>191956.6</v>
      </c>
      <c r="H794" s="791">
        <f>'SOUTH-1'!H1232</f>
        <v>193975.7</v>
      </c>
      <c r="I794" s="791">
        <f>'SOUTH-1'!I1232</f>
        <v>2019.1000000000058</v>
      </c>
      <c r="J794" s="791">
        <f>'SOUTH-1'!J1232</f>
        <v>1000</v>
      </c>
      <c r="K794" s="791">
        <f>'SOUTH-1'!K1232</f>
        <v>0</v>
      </c>
      <c r="L794" s="791">
        <f>'SOUTH-1'!L1232</f>
        <v>2019100.0000000058</v>
      </c>
      <c r="M794" s="791">
        <f>'SOUTH-1'!M1232</f>
        <v>0</v>
      </c>
      <c r="N794" s="2019" t="str">
        <f>'SOUTH-1'!N1232</f>
        <v>N.Gonj (West)</v>
      </c>
      <c r="O794" s="2019" t="str">
        <f>Sheet2!$C$63</f>
        <v>Narayangonj (west) BSCIC33/11KV S/S</v>
      </c>
    </row>
    <row r="795" spans="1:15" x14ac:dyDescent="0.35">
      <c r="A795" s="2019">
        <f>'SOUTH-1'!A1233</f>
        <v>11</v>
      </c>
      <c r="B795" s="2019" t="str">
        <f>'SOUTH-1'!B1233</f>
        <v xml:space="preserve">11 kV Narayangonj  (F-7) </v>
      </c>
      <c r="C795" s="2019">
        <f>'SOUTH-1'!C1233</f>
        <v>11</v>
      </c>
      <c r="D795" s="2019">
        <f>'SOUTH-1'!D1233</f>
        <v>0</v>
      </c>
      <c r="E795" s="2019" t="str">
        <f>'SOUTH-1'!E1233</f>
        <v>XA575915</v>
      </c>
      <c r="F795" s="791">
        <f>'SOUTH-1'!F1233</f>
        <v>1</v>
      </c>
      <c r="G795" s="791">
        <f>'SOUTH-1'!G1233</f>
        <v>155070.5</v>
      </c>
      <c r="H795" s="791">
        <f>'SOUTH-1'!H1233</f>
        <v>156308.4</v>
      </c>
      <c r="I795" s="791">
        <f>'SOUTH-1'!I1233</f>
        <v>1237.8999999999942</v>
      </c>
      <c r="J795" s="791">
        <f>'SOUTH-1'!J1233</f>
        <v>1000</v>
      </c>
      <c r="K795" s="791">
        <f>'SOUTH-1'!K1233</f>
        <v>0</v>
      </c>
      <c r="L795" s="791">
        <f>'SOUTH-1'!L1233</f>
        <v>1237899.9999999942</v>
      </c>
      <c r="M795" s="791">
        <f>'SOUTH-1'!M1233</f>
        <v>0</v>
      </c>
      <c r="N795" s="2019" t="str">
        <f>'SOUTH-1'!N1233</f>
        <v>N.Gonj (West)</v>
      </c>
      <c r="O795" s="2019" t="str">
        <f>Sheet2!$C$63</f>
        <v>Narayangonj (west) BSCIC33/11KV S/S</v>
      </c>
    </row>
    <row r="796" spans="1:15" x14ac:dyDescent="0.35">
      <c r="A796" s="2019">
        <f>'SOUTH-1'!A1234</f>
        <v>12</v>
      </c>
      <c r="B796" s="2019" t="str">
        <f>'SOUTH-1'!B1234</f>
        <v>11 kV Nearest Feeder (F-6)</v>
      </c>
      <c r="C796" s="2019">
        <f>'SOUTH-1'!C1234</f>
        <v>11</v>
      </c>
      <c r="D796" s="2019">
        <f>'SOUTH-1'!D1234</f>
        <v>0</v>
      </c>
      <c r="E796" s="2019" t="str">
        <f>'SOUTH-1'!E1234</f>
        <v>XA575927</v>
      </c>
      <c r="F796" s="791">
        <f>'SOUTH-1'!F1234</f>
        <v>1</v>
      </c>
      <c r="G796" s="791">
        <f>'SOUTH-1'!G1234</f>
        <v>98263.7</v>
      </c>
      <c r="H796" s="791">
        <f>'SOUTH-1'!H1234</f>
        <v>99204.2</v>
      </c>
      <c r="I796" s="791">
        <f>'SOUTH-1'!I1234</f>
        <v>940.5</v>
      </c>
      <c r="J796" s="791">
        <f>'SOUTH-1'!J1234</f>
        <v>1000</v>
      </c>
      <c r="K796" s="791">
        <f>'SOUTH-1'!K1234</f>
        <v>0</v>
      </c>
      <c r="L796" s="791">
        <f>'SOUTH-1'!L1234</f>
        <v>940500</v>
      </c>
      <c r="M796" s="791">
        <f>'SOUTH-1'!M1234</f>
        <v>0</v>
      </c>
      <c r="N796" s="2019" t="str">
        <f>'SOUTH-1'!N1234</f>
        <v>N.Gonj (West)</v>
      </c>
      <c r="O796" s="2019" t="str">
        <f>Sheet2!$C$63</f>
        <v>Narayangonj (west) BSCIC33/11KV S/S</v>
      </c>
    </row>
    <row r="797" spans="1:15" x14ac:dyDescent="0.35">
      <c r="A797" s="2019">
        <f>'SOUTH-1'!A1235</f>
        <v>13</v>
      </c>
      <c r="B797" s="2019" t="str">
        <f>'SOUTH-1'!B1235</f>
        <v>11 kV BSCIC-2 Feeder (F-5)</v>
      </c>
      <c r="C797" s="2019">
        <f>'SOUTH-1'!C1235</f>
        <v>11</v>
      </c>
      <c r="D797" s="2019">
        <f>'SOUTH-1'!D1235</f>
        <v>0</v>
      </c>
      <c r="E797" s="2019" t="str">
        <f>'SOUTH-1'!E1235</f>
        <v>XA575916</v>
      </c>
      <c r="F797" s="791">
        <f>'SOUTH-1'!F1235</f>
        <v>1</v>
      </c>
      <c r="G797" s="791">
        <f>'SOUTH-1'!G1235</f>
        <v>106838.5</v>
      </c>
      <c r="H797" s="791">
        <f>'SOUTH-1'!H1235</f>
        <v>108040.5</v>
      </c>
      <c r="I797" s="791">
        <f>'SOUTH-1'!I1235</f>
        <v>1202</v>
      </c>
      <c r="J797" s="791">
        <f>'SOUTH-1'!J1235</f>
        <v>1000</v>
      </c>
      <c r="K797" s="791">
        <f>'SOUTH-1'!K1235</f>
        <v>0</v>
      </c>
      <c r="L797" s="791">
        <f>'SOUTH-1'!L1235</f>
        <v>1202000</v>
      </c>
      <c r="M797" s="791">
        <f>'SOUTH-1'!M1235</f>
        <v>0</v>
      </c>
      <c r="N797" s="2019" t="str">
        <f>'SOUTH-1'!N1235</f>
        <v>N.Gonj (West)</v>
      </c>
      <c r="O797" s="2019" t="str">
        <f>Sheet2!$C$63</f>
        <v>Narayangonj (west) BSCIC33/11KV S/S</v>
      </c>
    </row>
    <row r="798" spans="1:15" x14ac:dyDescent="0.35">
      <c r="A798" s="2019">
        <f>'SOUTH-1'!A1236</f>
        <v>14</v>
      </c>
      <c r="B798" s="2019" t="str">
        <f>'SOUTH-1'!B1236</f>
        <v>11 kV Abonti Color Tex. (F-4)</v>
      </c>
      <c r="C798" s="2019">
        <f>'SOUTH-1'!C1236</f>
        <v>11</v>
      </c>
      <c r="D798" s="2019">
        <f>'SOUTH-1'!D1236</f>
        <v>0</v>
      </c>
      <c r="E798" s="2019" t="str">
        <f>'SOUTH-1'!E1236</f>
        <v>XA575912</v>
      </c>
      <c r="F798" s="791">
        <f>'SOUTH-1'!F1236</f>
        <v>1</v>
      </c>
      <c r="G798" s="791">
        <f>'SOUTH-1'!G1236</f>
        <v>49387</v>
      </c>
      <c r="H798" s="791">
        <f>'SOUTH-1'!H1236</f>
        <v>49953.9</v>
      </c>
      <c r="I798" s="791">
        <f>'SOUTH-1'!I1236</f>
        <v>566.90000000000146</v>
      </c>
      <c r="J798" s="791">
        <f>'SOUTH-1'!J1236</f>
        <v>1000</v>
      </c>
      <c r="K798" s="791">
        <f>'SOUTH-1'!K1236</f>
        <v>0</v>
      </c>
      <c r="L798" s="791">
        <f>'SOUTH-1'!L1236</f>
        <v>566900.0000000014</v>
      </c>
      <c r="M798" s="791">
        <f>'SOUTH-1'!M1236</f>
        <v>0</v>
      </c>
      <c r="N798" s="2019" t="str">
        <f>'SOUTH-1'!N1236</f>
        <v>N.Gonj (West)</v>
      </c>
      <c r="O798" s="2019" t="str">
        <f>Sheet2!$C$63</f>
        <v>Narayangonj (west) BSCIC33/11KV S/S</v>
      </c>
    </row>
    <row r="799" spans="1:15" x14ac:dyDescent="0.35">
      <c r="A799" s="2019">
        <f>'SOUTH-1'!A1237</f>
        <v>15</v>
      </c>
      <c r="B799" s="2019" t="str">
        <f>'SOUTH-1'!B1237</f>
        <v>11 kV BSCIC-1 Feeder (F-3)</v>
      </c>
      <c r="C799" s="2019">
        <f>'SOUTH-1'!C1237</f>
        <v>11</v>
      </c>
      <c r="D799" s="2019">
        <f>'SOUTH-1'!D1237</f>
        <v>0</v>
      </c>
      <c r="E799" s="2019" t="str">
        <f>'SOUTH-1'!E1237</f>
        <v>DHK66615</v>
      </c>
      <c r="F799" s="791">
        <f>'SOUTH-1'!F1237</f>
        <v>1</v>
      </c>
      <c r="G799" s="791">
        <f>'SOUTH-1'!G1237</f>
        <v>70.668000000000006</v>
      </c>
      <c r="H799" s="791">
        <f>'SOUTH-1'!H1237</f>
        <v>86.641900000000007</v>
      </c>
      <c r="I799" s="791">
        <f>'SOUTH-1'!I1237</f>
        <v>15.9739</v>
      </c>
      <c r="J799" s="791">
        <f>'SOUTH-1'!J1237</f>
        <v>60000</v>
      </c>
      <c r="K799" s="791">
        <f>'SOUTH-1'!K1237</f>
        <v>0</v>
      </c>
      <c r="L799" s="791">
        <f>'SOUTH-1'!L1237</f>
        <v>958434</v>
      </c>
      <c r="M799" s="791">
        <f>'SOUTH-1'!M1237</f>
        <v>0</v>
      </c>
      <c r="N799" s="2019" t="str">
        <f>'SOUTH-1'!N1237</f>
        <v>N.Gonj (West)</v>
      </c>
      <c r="O799" s="2019" t="str">
        <f>Sheet2!$C$63</f>
        <v>Narayangonj (west) BSCIC33/11KV S/S</v>
      </c>
    </row>
    <row r="800" spans="1:15" x14ac:dyDescent="0.35">
      <c r="A800" s="2019">
        <f>'SOUTH-1'!A1238</f>
        <v>17</v>
      </c>
      <c r="B800" s="2019" t="str">
        <f>'SOUTH-1'!B1238</f>
        <v xml:space="preserve">11 kV Shasongaon Feeder (F-2) </v>
      </c>
      <c r="C800" s="2019">
        <f>'SOUTH-1'!C1238</f>
        <v>11</v>
      </c>
      <c r="D800" s="2019">
        <f>'SOUTH-1'!D1238</f>
        <v>0</v>
      </c>
      <c r="E800" s="2019" t="str">
        <f>'SOUTH-1'!E1238</f>
        <v>XA575920</v>
      </c>
      <c r="F800" s="791">
        <f>'SOUTH-1'!F1238</f>
        <v>1</v>
      </c>
      <c r="G800" s="791">
        <f>'SOUTH-1'!G1238</f>
        <v>224092.3</v>
      </c>
      <c r="H800" s="791">
        <f>'SOUTH-1'!H1238</f>
        <v>225027.9</v>
      </c>
      <c r="I800" s="791">
        <f>'SOUTH-1'!I1238</f>
        <v>935.60000000000582</v>
      </c>
      <c r="J800" s="791">
        <f>'SOUTH-1'!J1238</f>
        <v>1000</v>
      </c>
      <c r="K800" s="791">
        <f>'SOUTH-1'!K1238</f>
        <v>0</v>
      </c>
      <c r="L800" s="791">
        <f>'SOUTH-1'!L1238</f>
        <v>935600.00000000582</v>
      </c>
      <c r="M800" s="791">
        <f>'SOUTH-1'!M1238</f>
        <v>0</v>
      </c>
      <c r="N800" s="2019" t="str">
        <f>'SOUTH-1'!N1238</f>
        <v>Sytalakhya</v>
      </c>
      <c r="O800" s="2019" t="str">
        <f>Sheet2!$C$63</f>
        <v>Narayangonj (west) BSCIC33/11KV S/S</v>
      </c>
    </row>
    <row r="801" spans="1:15" x14ac:dyDescent="0.35">
      <c r="A801" s="2019">
        <f>'SOUTH-1'!A1239</f>
        <v>18</v>
      </c>
      <c r="B801" s="2019" t="str">
        <f>'SOUTH-1'!B1239</f>
        <v>11 kV Fakir Apparels Feeder (F-1)</v>
      </c>
      <c r="C801" s="2019">
        <f>'SOUTH-1'!C1239</f>
        <v>11</v>
      </c>
      <c r="D801" s="2019">
        <f>'SOUTH-1'!D1239</f>
        <v>0</v>
      </c>
      <c r="E801" s="2019" t="str">
        <f>'SOUTH-1'!E1239</f>
        <v>XA575929</v>
      </c>
      <c r="F801" s="791">
        <f>'SOUTH-1'!F1239</f>
        <v>1</v>
      </c>
      <c r="G801" s="791">
        <f>'SOUTH-1'!G1239</f>
        <v>12867.5</v>
      </c>
      <c r="H801" s="791">
        <f>'SOUTH-1'!H1239</f>
        <v>13541.2</v>
      </c>
      <c r="I801" s="791">
        <f>'SOUTH-1'!I1239</f>
        <v>673.70000000000073</v>
      </c>
      <c r="J801" s="791">
        <f>'SOUTH-1'!J1239</f>
        <v>1000</v>
      </c>
      <c r="K801" s="791">
        <f>'SOUTH-1'!K1239</f>
        <v>0</v>
      </c>
      <c r="L801" s="791">
        <f>'SOUTH-1'!L1239</f>
        <v>673700.0000000007</v>
      </c>
      <c r="M801" s="791">
        <f>'SOUTH-1'!M1239</f>
        <v>0</v>
      </c>
      <c r="N801" s="2019" t="str">
        <f>'SOUTH-1'!N1239</f>
        <v>N.Gonj (West)</v>
      </c>
      <c r="O801" s="2019" t="str">
        <f>Sheet2!$C$63</f>
        <v>Narayangonj (west) BSCIC33/11KV S/S</v>
      </c>
    </row>
    <row r="802" spans="1:15" x14ac:dyDescent="0.35">
      <c r="A802" s="2019">
        <f>'SOUTH-1'!A1240</f>
        <v>19</v>
      </c>
      <c r="B802" s="2019" t="str">
        <f>'SOUTH-1'!B1240</f>
        <v>11 kV MS Dyeing (Old Enayetnagar) Feeder (F-9)</v>
      </c>
      <c r="C802" s="2019">
        <f>'SOUTH-1'!C1240</f>
        <v>11</v>
      </c>
      <c r="D802" s="2019">
        <f>'SOUTH-1'!D1240</f>
        <v>0</v>
      </c>
      <c r="E802" s="2019" t="str">
        <f>'SOUTH-1'!E1240</f>
        <v>HA021100913-02</v>
      </c>
      <c r="F802" s="791">
        <f>'SOUTH-1'!F1240</f>
        <v>1</v>
      </c>
      <c r="G802" s="791">
        <f>'SOUTH-1'!G1240</f>
        <v>33388.785000000003</v>
      </c>
      <c r="H802" s="791">
        <f>'SOUTH-1'!H1240</f>
        <v>33829.565999999999</v>
      </c>
      <c r="I802" s="791">
        <f>'SOUTH-1'!I1240</f>
        <v>440.7809999999954</v>
      </c>
      <c r="J802" s="791">
        <f>'SOUTH-1'!J1240</f>
        <v>1000</v>
      </c>
      <c r="K802" s="791">
        <f>'SOUTH-1'!K1240</f>
        <v>0</v>
      </c>
      <c r="L802" s="791">
        <f>'SOUTH-1'!L1240</f>
        <v>440780.9999999954</v>
      </c>
      <c r="M802" s="791">
        <f>'SOUTH-1'!M1240</f>
        <v>0</v>
      </c>
      <c r="N802" s="2019" t="str">
        <f>'SOUTH-1'!N1240</f>
        <v>N.Gonj (West)</v>
      </c>
      <c r="O802" s="2019" t="str">
        <f>Sheet2!$C$63</f>
        <v>Narayangonj (west) BSCIC33/11KV S/S</v>
      </c>
    </row>
    <row r="803" spans="1:15" x14ac:dyDescent="0.35">
      <c r="A803" s="2019">
        <f>'SOUTH-1'!A1241</f>
        <v>20</v>
      </c>
      <c r="B803" s="2019" t="str">
        <f>'SOUTH-1'!B1241</f>
        <v>11 kV BSCIC-4  Feeder (F-11)</v>
      </c>
      <c r="C803" s="2019">
        <f>'SOUTH-1'!C1241</f>
        <v>11</v>
      </c>
      <c r="D803" s="2019">
        <f>'SOUTH-1'!D1241</f>
        <v>0</v>
      </c>
      <c r="E803" s="2019" t="str">
        <f>'SOUTH-1'!E1241</f>
        <v>HA021100682-02</v>
      </c>
      <c r="F803" s="791">
        <f>'SOUTH-1'!F1241</f>
        <v>1</v>
      </c>
      <c r="G803" s="791">
        <f>'SOUTH-1'!G1241</f>
        <v>43300.817999999999</v>
      </c>
      <c r="H803" s="791">
        <f>'SOUTH-1'!H1241</f>
        <v>45240.771999999997</v>
      </c>
      <c r="I803" s="791">
        <f>'SOUTH-1'!I1241</f>
        <v>1939.9539999999979</v>
      </c>
      <c r="J803" s="791">
        <f>'SOUTH-1'!J1241</f>
        <v>1000</v>
      </c>
      <c r="K803" s="791">
        <f>'SOUTH-1'!K1241</f>
        <v>0</v>
      </c>
      <c r="L803" s="791">
        <f>'SOUTH-1'!L1241</f>
        <v>1939953.9999999979</v>
      </c>
      <c r="M803" s="791">
        <f>'SOUTH-1'!M1241</f>
        <v>0</v>
      </c>
      <c r="N803" s="2019" t="str">
        <f>'SOUTH-1'!N1241</f>
        <v>N.Gonj (West)</v>
      </c>
      <c r="O803" s="2019" t="str">
        <f>Sheet2!$C$63</f>
        <v>Narayangonj (west) BSCIC33/11KV S/S</v>
      </c>
    </row>
    <row r="804" spans="1:15" x14ac:dyDescent="0.35">
      <c r="A804" s="2019">
        <f>'SOUTH-1'!A1242</f>
        <v>21</v>
      </c>
      <c r="B804" s="2019" t="str">
        <f>'SOUTH-1'!B1242</f>
        <v xml:space="preserve">11 kV BSCIC-3  Feeder  (F-10) </v>
      </c>
      <c r="C804" s="2019">
        <f>'SOUTH-1'!C1242</f>
        <v>11</v>
      </c>
      <c r="D804" s="2019">
        <f>'SOUTH-1'!D1242</f>
        <v>0</v>
      </c>
      <c r="E804" s="2019" t="str">
        <f>'SOUTH-1'!E1242</f>
        <v>HA021100455-02</v>
      </c>
      <c r="F804" s="791">
        <f>'SOUTH-1'!F1242</f>
        <v>1</v>
      </c>
      <c r="G804" s="791">
        <f>'SOUTH-1'!G1242</f>
        <v>41148.714</v>
      </c>
      <c r="H804" s="791">
        <f>'SOUTH-1'!H1242</f>
        <v>42881.83</v>
      </c>
      <c r="I804" s="791">
        <f>'SOUTH-1'!I1242</f>
        <v>1733.1160000000018</v>
      </c>
      <c r="J804" s="791">
        <f>'SOUTH-1'!J1242</f>
        <v>1000</v>
      </c>
      <c r="K804" s="791">
        <f>'SOUTH-1'!K1242</f>
        <v>0</v>
      </c>
      <c r="L804" s="791">
        <f>'SOUTH-1'!L1242</f>
        <v>1733116.0000000019</v>
      </c>
      <c r="M804" s="791">
        <f>'SOUTH-1'!M1242</f>
        <v>0</v>
      </c>
      <c r="N804" s="2019" t="str">
        <f>'SOUTH-1'!N1242</f>
        <v>N.Gonj (West)</v>
      </c>
      <c r="O804" s="2019" t="str">
        <f>Sheet2!$C$63</f>
        <v>Narayangonj (west) BSCIC33/11KV S/S</v>
      </c>
    </row>
    <row r="805" spans="1:15" x14ac:dyDescent="0.35">
      <c r="A805" s="2019">
        <f>'SOUTH-1'!A1243</f>
        <v>23</v>
      </c>
      <c r="B805" s="2019" t="str">
        <f>'SOUTH-1'!B1243</f>
        <v>11/0.415 KV Transformer,AT-1</v>
      </c>
      <c r="C805" s="2019">
        <f>'SOUTH-1'!C1243</f>
        <v>0.41499999999999998</v>
      </c>
      <c r="D805" s="2019" t="str">
        <f>'SOUTH-1'!D1243</f>
        <v>Analog</v>
      </c>
      <c r="E805" s="2019">
        <f>'SOUTH-1'!E1243</f>
        <v>2001123043161</v>
      </c>
      <c r="F805" s="791">
        <f>'SOUTH-1'!F1243</f>
        <v>1</v>
      </c>
      <c r="G805" s="791">
        <f>'SOUTH-1'!G1243</f>
        <v>3463.9</v>
      </c>
      <c r="H805" s="791">
        <f>'SOUTH-1'!H1243</f>
        <v>3501.4</v>
      </c>
      <c r="I805" s="791">
        <f>'SOUTH-1'!I1243</f>
        <v>37.5</v>
      </c>
      <c r="J805" s="791">
        <f>'SOUTH-1'!J1243</f>
        <v>160</v>
      </c>
      <c r="K805" s="791">
        <f>'SOUTH-1'!K1243</f>
        <v>0</v>
      </c>
      <c r="L805" s="791">
        <f>'SOUTH-1'!L1243</f>
        <v>6000</v>
      </c>
      <c r="M805" s="791">
        <f>'SOUTH-1'!M1243</f>
        <v>0</v>
      </c>
      <c r="N805" s="2019" t="str">
        <f>'SOUTH-1'!N1243</f>
        <v>N.Gonj (West)</v>
      </c>
      <c r="O805" s="2019" t="str">
        <f>Sheet2!$C$63</f>
        <v>Narayangonj (west) BSCIC33/11KV S/S</v>
      </c>
    </row>
    <row r="806" spans="1:15" x14ac:dyDescent="0.35">
      <c r="A806" s="2019">
        <f>'SOUTH-1'!A1244</f>
        <v>24</v>
      </c>
      <c r="B806" s="2019" t="str">
        <f>'SOUTH-1'!B1244</f>
        <v>11/0.415 KV Transformer,AT-2</v>
      </c>
      <c r="C806" s="2019">
        <f>'SOUTH-1'!C1244</f>
        <v>0.41499999999999998</v>
      </c>
      <c r="D806" s="2019" t="str">
        <f>'SOUTH-1'!D1244</f>
        <v>Analog</v>
      </c>
      <c r="E806" s="2019">
        <f>'SOUTH-1'!E1244</f>
        <v>2001123043118</v>
      </c>
      <c r="F806" s="791">
        <f>'SOUTH-1'!F1244</f>
        <v>1</v>
      </c>
      <c r="G806" s="791">
        <f>'SOUTH-1'!G1244</f>
        <v>4086.7</v>
      </c>
      <c r="H806" s="791">
        <f>'SOUTH-1'!H1244</f>
        <v>4089.5</v>
      </c>
      <c r="I806" s="791">
        <f>'SOUTH-1'!I1244</f>
        <v>2.8000000000001819</v>
      </c>
      <c r="J806" s="791">
        <f>'SOUTH-1'!J1244</f>
        <v>160</v>
      </c>
      <c r="K806" s="791">
        <f>'SOUTH-1'!K1244</f>
        <v>0</v>
      </c>
      <c r="L806" s="791">
        <f>'SOUTH-1'!L1244</f>
        <v>448.0000000000291</v>
      </c>
      <c r="M806" s="791">
        <f>'SOUTH-1'!M1244</f>
        <v>0</v>
      </c>
      <c r="N806" s="2019" t="str">
        <f>'SOUTH-1'!N1244</f>
        <v>N.Gonj (West)</v>
      </c>
      <c r="O806" s="2019" t="str">
        <f>Sheet2!$C$63</f>
        <v>Narayangonj (west) BSCIC33/11KV S/S</v>
      </c>
    </row>
    <row r="807" spans="1:15" x14ac:dyDescent="0.35">
      <c r="A807" s="2019">
        <f>'SOUTH-1'!A1377</f>
        <v>4</v>
      </c>
      <c r="B807" s="2019" t="str">
        <f>'SOUTH-1'!B1377</f>
        <v>11 kV Outgoing Feeder-1 (=F1)</v>
      </c>
      <c r="C807" s="2019">
        <f>'SOUTH-1'!C1377</f>
        <v>11</v>
      </c>
      <c r="D807" s="2019">
        <f>'SOUTH-1'!D1377</f>
        <v>0</v>
      </c>
      <c r="E807" s="2019" t="str">
        <f>'SOUTH-1'!E1377</f>
        <v>041808902757</v>
      </c>
      <c r="F807" s="791">
        <f>'SOUTH-1'!F1377</f>
        <v>1</v>
      </c>
      <c r="G807" s="791">
        <f>'SOUTH-1'!G1377</f>
        <v>0.03</v>
      </c>
      <c r="H807" s="791">
        <f>'SOUTH-1'!H1377</f>
        <v>0.03</v>
      </c>
      <c r="I807" s="791">
        <f>'SOUTH-1'!I1377</f>
        <v>0</v>
      </c>
      <c r="J807" s="791">
        <f>'SOUTH-1'!J1377</f>
        <v>60000</v>
      </c>
      <c r="K807" s="791">
        <f>'SOUTH-1'!K1377</f>
        <v>0</v>
      </c>
      <c r="L807" s="791">
        <f>'SOUTH-1'!L1377</f>
        <v>0</v>
      </c>
      <c r="M807" s="791">
        <f>'SOUTH-1'!M1377</f>
        <v>0</v>
      </c>
      <c r="N807" s="2019">
        <f>'SOUTH-1'!N1377</f>
        <v>0</v>
      </c>
      <c r="O807" s="2019" t="str">
        <f>Sheet2!$C$64</f>
        <v>Char Syedpur 33/11KV S/S</v>
      </c>
    </row>
    <row r="808" spans="1:15" x14ac:dyDescent="0.35">
      <c r="A808" s="2019">
        <f>'SOUTH-1'!A1378</f>
        <v>5</v>
      </c>
      <c r="B808" s="2019" t="str">
        <f>'SOUTH-1'!B1378</f>
        <v>11 kV Char-Syedpur Feeder(=F2)</v>
      </c>
      <c r="C808" s="2019">
        <f>'SOUTH-1'!C1378</f>
        <v>11</v>
      </c>
      <c r="D808" s="2019">
        <f>'SOUTH-1'!D1378</f>
        <v>0</v>
      </c>
      <c r="E808" s="2019" t="str">
        <f>'SOUTH-1'!E1378</f>
        <v>041808902749</v>
      </c>
      <c r="F808" s="791">
        <f>'SOUTH-1'!F1378</f>
        <v>1</v>
      </c>
      <c r="G808" s="791">
        <f>'SOUTH-1'!G1378</f>
        <v>241.2</v>
      </c>
      <c r="H808" s="791">
        <f>'SOUTH-1'!H1378</f>
        <v>260.56</v>
      </c>
      <c r="I808" s="791">
        <f>'SOUTH-1'!I1378</f>
        <v>19.360000000000014</v>
      </c>
      <c r="J808" s="791">
        <f>'SOUTH-1'!J1378</f>
        <v>60000</v>
      </c>
      <c r="K808" s="791">
        <f>'SOUTH-1'!K1378</f>
        <v>0</v>
      </c>
      <c r="L808" s="791">
        <f>'SOUTH-1'!L1378</f>
        <v>1161600.0000000009</v>
      </c>
      <c r="M808" s="791">
        <f>'SOUTH-1'!M1378</f>
        <v>0</v>
      </c>
      <c r="N808" s="2019" t="str">
        <f>'SOUTH-1'!N1378</f>
        <v>Sytalakhya</v>
      </c>
      <c r="O808" s="2019" t="str">
        <f>Sheet2!$C$64</f>
        <v>Char Syedpur 33/11KV S/S</v>
      </c>
    </row>
    <row r="809" spans="1:15" x14ac:dyDescent="0.35">
      <c r="A809" s="2019">
        <f>'SOUTH-1'!A1379</f>
        <v>6</v>
      </c>
      <c r="B809" s="2019" t="str">
        <f>'SOUTH-1'!B1379</f>
        <v>11 kV UltraTech Cement  Feeder (=F3)</v>
      </c>
      <c r="C809" s="2019">
        <f>'SOUTH-1'!C1379</f>
        <v>11</v>
      </c>
      <c r="D809" s="2019">
        <f>'SOUTH-1'!D1379</f>
        <v>0</v>
      </c>
      <c r="E809" s="2019" t="str">
        <f>'SOUTH-1'!E1379</f>
        <v>041808902759</v>
      </c>
      <c r="F809" s="791">
        <f>'SOUTH-1'!F1379</f>
        <v>1</v>
      </c>
      <c r="G809" s="791">
        <f>'SOUTH-1'!G1379</f>
        <v>252.04</v>
      </c>
      <c r="H809" s="791">
        <f>'SOUTH-1'!H1379</f>
        <v>273.52999999999997</v>
      </c>
      <c r="I809" s="791">
        <f>'SOUTH-1'!I1379</f>
        <v>21.489999999999981</v>
      </c>
      <c r="J809" s="791">
        <f>'SOUTH-1'!J1379</f>
        <v>60000</v>
      </c>
      <c r="K809" s="791">
        <f>'SOUTH-1'!K1379</f>
        <v>0</v>
      </c>
      <c r="L809" s="791">
        <f>'SOUTH-1'!L1379</f>
        <v>1289399.9999999988</v>
      </c>
      <c r="M809" s="791">
        <f>'SOUTH-1'!M1379</f>
        <v>0</v>
      </c>
      <c r="N809" s="2019" t="str">
        <f>'SOUTH-1'!N1379</f>
        <v>Sytalakhya</v>
      </c>
      <c r="O809" s="2019" t="str">
        <f>Sheet2!$C$64</f>
        <v>Char Syedpur 33/11KV S/S</v>
      </c>
    </row>
    <row r="810" spans="1:15" x14ac:dyDescent="0.35">
      <c r="A810" s="2019">
        <f>'SOUTH-1'!A1380</f>
        <v>7</v>
      </c>
      <c r="B810" s="2019" t="str">
        <f>'SOUTH-1'!B1380</f>
        <v>11 kV Outgoing Feeder-4 (=F4)</v>
      </c>
      <c r="C810" s="2019">
        <f>'SOUTH-1'!C1380</f>
        <v>11</v>
      </c>
      <c r="D810" s="2019">
        <f>'SOUTH-1'!D1380</f>
        <v>0</v>
      </c>
      <c r="E810" s="2019" t="str">
        <f>'SOUTH-1'!E1380</f>
        <v>041808902748</v>
      </c>
      <c r="F810" s="791">
        <f>'SOUTH-1'!F1380</f>
        <v>1</v>
      </c>
      <c r="G810" s="791">
        <f>'SOUTH-1'!G1380</f>
        <v>0.02</v>
      </c>
      <c r="H810" s="791">
        <f>'SOUTH-1'!H1380</f>
        <v>0.02</v>
      </c>
      <c r="I810" s="791">
        <f>'SOUTH-1'!I1380</f>
        <v>0</v>
      </c>
      <c r="J810" s="791">
        <f>'SOUTH-1'!J1380</f>
        <v>60000</v>
      </c>
      <c r="K810" s="791">
        <f>'SOUTH-1'!K1380</f>
        <v>0</v>
      </c>
      <c r="L810" s="791">
        <f>'SOUTH-1'!L1380</f>
        <v>0</v>
      </c>
      <c r="M810" s="791">
        <f>'SOUTH-1'!M1380</f>
        <v>0</v>
      </c>
      <c r="N810" s="2019">
        <f>'SOUTH-1'!N1380</f>
        <v>0</v>
      </c>
      <c r="O810" s="2019" t="str">
        <f>Sheet2!$C$64</f>
        <v>Char Syedpur 33/11KV S/S</v>
      </c>
    </row>
    <row r="811" spans="1:15" x14ac:dyDescent="0.35">
      <c r="A811" s="2019">
        <f>'SOUTH-1'!A1381</f>
        <v>8</v>
      </c>
      <c r="B811" s="2019" t="str">
        <f>'SOUTH-1'!B1381</f>
        <v>11 kV Outgoing Feeder-5 (=F5)</v>
      </c>
      <c r="C811" s="2019">
        <f>'SOUTH-1'!C1381</f>
        <v>11</v>
      </c>
      <c r="D811" s="2019">
        <f>'SOUTH-1'!D1381</f>
        <v>0</v>
      </c>
      <c r="E811" s="2019" t="str">
        <f>'SOUTH-1'!E1381</f>
        <v>041808902754</v>
      </c>
      <c r="F811" s="791">
        <f>'SOUTH-1'!F1381</f>
        <v>1</v>
      </c>
      <c r="G811" s="791">
        <f>'SOUTH-1'!G1381</f>
        <v>0.02</v>
      </c>
      <c r="H811" s="791">
        <f>'SOUTH-1'!H1381</f>
        <v>0.02</v>
      </c>
      <c r="I811" s="791">
        <f>'SOUTH-1'!I1381</f>
        <v>0</v>
      </c>
      <c r="J811" s="791">
        <f>'SOUTH-1'!J1381</f>
        <v>60000</v>
      </c>
      <c r="K811" s="791">
        <f>'SOUTH-1'!K1381</f>
        <v>0</v>
      </c>
      <c r="L811" s="791">
        <f>'SOUTH-1'!L1381</f>
        <v>0</v>
      </c>
      <c r="M811" s="791">
        <f>'SOUTH-1'!M1381</f>
        <v>0</v>
      </c>
      <c r="N811" s="2019">
        <f>'SOUTH-1'!N1381</f>
        <v>0</v>
      </c>
      <c r="O811" s="2019" t="str">
        <f>Sheet2!$C$64</f>
        <v>Char Syedpur 33/11KV S/S</v>
      </c>
    </row>
    <row r="812" spans="1:15" x14ac:dyDescent="0.35">
      <c r="A812" s="2019">
        <f>'SOUTH-1'!A1382</f>
        <v>9</v>
      </c>
      <c r="B812" s="2019" t="str">
        <f>'SOUTH-1'!B1382</f>
        <v>11 kV Outgoing Feeder-6 (=F6)</v>
      </c>
      <c r="C812" s="2019">
        <f>'SOUTH-1'!C1382</f>
        <v>11</v>
      </c>
      <c r="D812" s="2019">
        <f>'SOUTH-1'!D1382</f>
        <v>0</v>
      </c>
      <c r="E812" s="2019" t="str">
        <f>'SOUTH-1'!E1382</f>
        <v>041808902758</v>
      </c>
      <c r="F812" s="791">
        <f>'SOUTH-1'!F1382</f>
        <v>1</v>
      </c>
      <c r="G812" s="791">
        <f>'SOUTH-1'!G1382</f>
        <v>0.02</v>
      </c>
      <c r="H812" s="791">
        <f>'SOUTH-1'!H1382</f>
        <v>0.02</v>
      </c>
      <c r="I812" s="791">
        <f>'SOUTH-1'!I1382</f>
        <v>0</v>
      </c>
      <c r="J812" s="791">
        <f>'SOUTH-1'!J1382</f>
        <v>60000</v>
      </c>
      <c r="K812" s="791">
        <f>'SOUTH-1'!K1382</f>
        <v>0</v>
      </c>
      <c r="L812" s="791">
        <f>'SOUTH-1'!L1382</f>
        <v>0</v>
      </c>
      <c r="M812" s="791">
        <f>'SOUTH-1'!M1382</f>
        <v>0</v>
      </c>
      <c r="N812" s="2019">
        <f>'SOUTH-1'!N1382</f>
        <v>0</v>
      </c>
      <c r="O812" s="2019" t="str">
        <f>Sheet2!$C$64</f>
        <v>Char Syedpur 33/11KV S/S</v>
      </c>
    </row>
    <row r="813" spans="1:15" x14ac:dyDescent="0.35">
      <c r="A813" s="2019">
        <f>'SOUTH-1'!A1383</f>
        <v>10</v>
      </c>
      <c r="B813" s="2019" t="str">
        <f>'SOUTH-1'!B1383</f>
        <v>11 kV Outgoing Feeder-7 (=F7)</v>
      </c>
      <c r="C813" s="2019">
        <f>'SOUTH-1'!C1383</f>
        <v>11</v>
      </c>
      <c r="D813" s="2019">
        <f>'SOUTH-1'!D1383</f>
        <v>0</v>
      </c>
      <c r="E813" s="2019" t="str">
        <f>'SOUTH-1'!E1383</f>
        <v>041808902776</v>
      </c>
      <c r="F813" s="791">
        <f>'SOUTH-1'!F1383</f>
        <v>1</v>
      </c>
      <c r="G813" s="791">
        <f>'SOUTH-1'!G1383</f>
        <v>0.02</v>
      </c>
      <c r="H813" s="791">
        <f>'SOUTH-1'!H1383</f>
        <v>0.02</v>
      </c>
      <c r="I813" s="791">
        <f>'SOUTH-1'!I1383</f>
        <v>0</v>
      </c>
      <c r="J813" s="791">
        <f>'SOUTH-1'!J1383</f>
        <v>60000</v>
      </c>
      <c r="K813" s="791">
        <f>'SOUTH-1'!K1383</f>
        <v>0</v>
      </c>
      <c r="L813" s="791">
        <f>'SOUTH-1'!L1383</f>
        <v>0</v>
      </c>
      <c r="M813" s="791">
        <f>'SOUTH-1'!M1383</f>
        <v>0</v>
      </c>
      <c r="N813" s="2019">
        <f>'SOUTH-1'!N1383</f>
        <v>0</v>
      </c>
      <c r="O813" s="2019" t="str">
        <f>Sheet2!$C$64</f>
        <v>Char Syedpur 33/11KV S/S</v>
      </c>
    </row>
    <row r="814" spans="1:15" x14ac:dyDescent="0.35">
      <c r="A814" s="2019">
        <f>'SOUTH-1'!A1384</f>
        <v>11</v>
      </c>
      <c r="B814" s="2019" t="str">
        <f>'SOUTH-1'!B1384</f>
        <v>11 kV Outgoing Feeder-8 with BPT-1</v>
      </c>
      <c r="C814" s="2019">
        <f>'SOUTH-1'!C1384</f>
        <v>11</v>
      </c>
      <c r="D814" s="2019">
        <f>'SOUTH-1'!D1384</f>
        <v>0</v>
      </c>
      <c r="E814" s="2019" t="str">
        <f>'SOUTH-1'!E1384</f>
        <v>041808902855</v>
      </c>
      <c r="F814" s="791">
        <f>'SOUTH-1'!F1384</f>
        <v>1</v>
      </c>
      <c r="G814" s="791">
        <f>'SOUTH-1'!G1384</f>
        <v>0.03</v>
      </c>
      <c r="H814" s="791">
        <f>'SOUTH-1'!H1384</f>
        <v>0.03</v>
      </c>
      <c r="I814" s="791">
        <f>'SOUTH-1'!I1384</f>
        <v>0</v>
      </c>
      <c r="J814" s="791">
        <f>'SOUTH-1'!J1384</f>
        <v>60000</v>
      </c>
      <c r="K814" s="791">
        <f>'SOUTH-1'!K1384</f>
        <v>0</v>
      </c>
      <c r="L814" s="791">
        <f>'SOUTH-1'!L1384</f>
        <v>0</v>
      </c>
      <c r="M814" s="791">
        <f>'SOUTH-1'!M1384</f>
        <v>0</v>
      </c>
      <c r="N814" s="2019">
        <f>'SOUTH-1'!N1384</f>
        <v>0</v>
      </c>
      <c r="O814" s="2019" t="str">
        <f>Sheet2!$C$64</f>
        <v>Char Syedpur 33/11KV S/S</v>
      </c>
    </row>
    <row r="815" spans="1:15" x14ac:dyDescent="0.35">
      <c r="A815" s="2019">
        <f>'SOUTH-1'!A1385</f>
        <v>12</v>
      </c>
      <c r="B815" s="2019" t="str">
        <f>'SOUTH-1'!B1385</f>
        <v>11 kV Outgoing Feeder-9 with BPT-2</v>
      </c>
      <c r="C815" s="2019">
        <f>'SOUTH-1'!C1385</f>
        <v>11</v>
      </c>
      <c r="D815" s="2019">
        <f>'SOUTH-1'!D1385</f>
        <v>0</v>
      </c>
      <c r="E815" s="2019" t="str">
        <f>'SOUTH-1'!E1385</f>
        <v>041808902854</v>
      </c>
      <c r="F815" s="791">
        <f>'SOUTH-1'!F1385</f>
        <v>1</v>
      </c>
      <c r="G815" s="791">
        <f>'SOUTH-1'!G1385</f>
        <v>0.03</v>
      </c>
      <c r="H815" s="791">
        <f>'SOUTH-1'!H1385</f>
        <v>0.03</v>
      </c>
      <c r="I815" s="791">
        <f>'SOUTH-1'!I1385</f>
        <v>0</v>
      </c>
      <c r="J815" s="791">
        <f>'SOUTH-1'!J1385</f>
        <v>60000</v>
      </c>
      <c r="K815" s="791">
        <f>'SOUTH-1'!K1385</f>
        <v>0</v>
      </c>
      <c r="L815" s="791">
        <f>'SOUTH-1'!L1385</f>
        <v>0</v>
      </c>
      <c r="M815" s="791">
        <f>'SOUTH-1'!M1385</f>
        <v>0</v>
      </c>
      <c r="N815" s="2019">
        <f>'SOUTH-1'!N1385</f>
        <v>0</v>
      </c>
      <c r="O815" s="2019" t="str">
        <f>Sheet2!$C$64</f>
        <v>Char Syedpur 33/11KV S/S</v>
      </c>
    </row>
    <row r="816" spans="1:15" x14ac:dyDescent="0.35">
      <c r="A816" s="2019">
        <f>'SOUTH-1'!A1386</f>
        <v>13</v>
      </c>
      <c r="B816" s="2019" t="str">
        <f>'SOUTH-1'!B1386</f>
        <v>11 kV Mokterpur Feeder (=F8)</v>
      </c>
      <c r="C816" s="2019">
        <f>'SOUTH-1'!C1386</f>
        <v>11</v>
      </c>
      <c r="D816" s="2019">
        <f>'SOUTH-1'!D1386</f>
        <v>0</v>
      </c>
      <c r="E816" s="2019" t="str">
        <f>'SOUTH-1'!E1386</f>
        <v>041808902786</v>
      </c>
      <c r="F816" s="791">
        <f>'SOUTH-1'!F1386</f>
        <v>1.82</v>
      </c>
      <c r="G816" s="791">
        <f>'SOUTH-1'!G1386</f>
        <v>135.26</v>
      </c>
      <c r="H816" s="791">
        <f>'SOUTH-1'!H1386</f>
        <v>148.84</v>
      </c>
      <c r="I816" s="791">
        <f>'SOUTH-1'!I1386</f>
        <v>13.580000000000013</v>
      </c>
      <c r="J816" s="791">
        <f>'SOUTH-1'!J1386</f>
        <v>60000</v>
      </c>
      <c r="K816" s="791">
        <f>'SOUTH-1'!K1386</f>
        <v>0</v>
      </c>
      <c r="L816" s="791">
        <f>'SOUTH-1'!L1386</f>
        <v>1482936.0000000014</v>
      </c>
      <c r="M816" s="791">
        <f>'SOUTH-1'!M1386</f>
        <v>0</v>
      </c>
      <c r="N816" s="2019" t="str">
        <f>'SOUTH-1'!N1386</f>
        <v>Sytalakhya</v>
      </c>
      <c r="O816" s="2019" t="str">
        <f>Sheet2!$C$64</f>
        <v>Char Syedpur 33/11KV S/S</v>
      </c>
    </row>
    <row r="817" spans="1:15" x14ac:dyDescent="0.35">
      <c r="A817" s="2019">
        <f>'SOUTH-1'!A1387</f>
        <v>14</v>
      </c>
      <c r="B817" s="2019" t="str">
        <f>'SOUTH-1'!B1387</f>
        <v>11 kV Dhaleshwary  Feeder (=F9)</v>
      </c>
      <c r="C817" s="2019">
        <f>'SOUTH-1'!C1387</f>
        <v>11</v>
      </c>
      <c r="D817" s="2019">
        <f>'SOUTH-1'!D1387</f>
        <v>0</v>
      </c>
      <c r="E817" s="2019" t="str">
        <f>'SOUTH-1'!E1387</f>
        <v>041808902789</v>
      </c>
      <c r="F817" s="791">
        <f>'SOUTH-1'!F1387</f>
        <v>1.82</v>
      </c>
      <c r="G817" s="791">
        <f>'SOUTH-1'!G1387</f>
        <v>98.84</v>
      </c>
      <c r="H817" s="791">
        <f>'SOUTH-1'!H1387</f>
        <v>102.85</v>
      </c>
      <c r="I817" s="791">
        <f>'SOUTH-1'!I1387</f>
        <v>4.0099999999999909</v>
      </c>
      <c r="J817" s="791">
        <f>'SOUTH-1'!J1387</f>
        <v>60000</v>
      </c>
      <c r="K817" s="791">
        <f>'SOUTH-1'!K1387</f>
        <v>0</v>
      </c>
      <c r="L817" s="791">
        <f>'SOUTH-1'!L1387</f>
        <v>437891.99999999901</v>
      </c>
      <c r="M817" s="791">
        <f>'SOUTH-1'!M1387</f>
        <v>0</v>
      </c>
      <c r="N817" s="2019" t="str">
        <f>'SOUTH-1'!N1387</f>
        <v>Sytalakhya</v>
      </c>
      <c r="O817" s="2019" t="str">
        <f>Sheet2!$C$64</f>
        <v>Char Syedpur 33/11KV S/S</v>
      </c>
    </row>
    <row r="818" spans="1:15" x14ac:dyDescent="0.35">
      <c r="A818" s="2019">
        <f>'SOUTH-1'!A1388</f>
        <v>15</v>
      </c>
      <c r="B818" s="2019" t="str">
        <f>'SOUTH-1'!B1388</f>
        <v>11 kV Outgoing Feeder-12 (=F10)</v>
      </c>
      <c r="C818" s="2019">
        <f>'SOUTH-1'!C1388</f>
        <v>11</v>
      </c>
      <c r="D818" s="2019">
        <f>'SOUTH-1'!D1388</f>
        <v>0</v>
      </c>
      <c r="E818" s="2019" t="str">
        <f>'SOUTH-1'!E1388</f>
        <v>041808902800</v>
      </c>
      <c r="F818" s="791">
        <f>'SOUTH-1'!F1388</f>
        <v>1</v>
      </c>
      <c r="G818" s="791">
        <f>'SOUTH-1'!G1388</f>
        <v>0.03</v>
      </c>
      <c r="H818" s="791">
        <f>'SOUTH-1'!H1388</f>
        <v>0.03</v>
      </c>
      <c r="I818" s="791">
        <f>'SOUTH-1'!I1388</f>
        <v>0</v>
      </c>
      <c r="J818" s="791">
        <f>'SOUTH-1'!J1388</f>
        <v>60000</v>
      </c>
      <c r="K818" s="791">
        <f>'SOUTH-1'!K1388</f>
        <v>0</v>
      </c>
      <c r="L818" s="791">
        <f>'SOUTH-1'!L1388</f>
        <v>0</v>
      </c>
      <c r="M818" s="791">
        <f>'SOUTH-1'!M1388</f>
        <v>0</v>
      </c>
      <c r="N818" s="2019">
        <f>'SOUTH-1'!N1388</f>
        <v>0</v>
      </c>
      <c r="O818" s="2019" t="str">
        <f>Sheet2!$C$64</f>
        <v>Char Syedpur 33/11KV S/S</v>
      </c>
    </row>
    <row r="819" spans="1:15" x14ac:dyDescent="0.35">
      <c r="A819" s="2019">
        <f>'SOUTH-1'!A1389</f>
        <v>16</v>
      </c>
      <c r="B819" s="2019" t="str">
        <f>'SOUTH-1'!B1389</f>
        <v>11 kV Outgoing Feeder-13 (=F11)</v>
      </c>
      <c r="C819" s="2019">
        <f>'SOUTH-1'!C1389</f>
        <v>11</v>
      </c>
      <c r="D819" s="2019">
        <f>'SOUTH-1'!D1389</f>
        <v>0</v>
      </c>
      <c r="E819" s="2019" t="str">
        <f>'SOUTH-1'!E1389</f>
        <v>041808902787</v>
      </c>
      <c r="F819" s="791">
        <f>'SOUTH-1'!F1389</f>
        <v>1</v>
      </c>
      <c r="G819" s="791">
        <f>'SOUTH-1'!G1389</f>
        <v>0.03</v>
      </c>
      <c r="H819" s="791">
        <f>'SOUTH-1'!H1389</f>
        <v>0.03</v>
      </c>
      <c r="I819" s="791">
        <f>'SOUTH-1'!I1389</f>
        <v>0</v>
      </c>
      <c r="J819" s="791">
        <f>'SOUTH-1'!J1389</f>
        <v>60000</v>
      </c>
      <c r="K819" s="791">
        <f>'SOUTH-1'!K1389</f>
        <v>0</v>
      </c>
      <c r="L819" s="791">
        <f>'SOUTH-1'!L1389</f>
        <v>0</v>
      </c>
      <c r="M819" s="791">
        <f>'SOUTH-1'!M1389</f>
        <v>0</v>
      </c>
      <c r="N819" s="2019">
        <f>'SOUTH-1'!N1389</f>
        <v>0</v>
      </c>
      <c r="O819" s="2019" t="str">
        <f>Sheet2!$C$64</f>
        <v>Char Syedpur 33/11KV S/S</v>
      </c>
    </row>
    <row r="820" spans="1:15" x14ac:dyDescent="0.35">
      <c r="A820" s="2019">
        <f>'SOUTH-1'!A1390</f>
        <v>17</v>
      </c>
      <c r="B820" s="2019" t="str">
        <f>'SOUTH-1'!B1390</f>
        <v>11 kV Outgoing Feeder-14 (=F12)</v>
      </c>
      <c r="C820" s="2019">
        <f>'SOUTH-1'!C1390</f>
        <v>11</v>
      </c>
      <c r="D820" s="2019">
        <f>'SOUTH-1'!D1390</f>
        <v>0</v>
      </c>
      <c r="E820" s="2019" t="str">
        <f>'SOUTH-1'!E1390</f>
        <v>041808902777</v>
      </c>
      <c r="F820" s="791">
        <f>'SOUTH-1'!F1390</f>
        <v>1</v>
      </c>
      <c r="G820" s="791">
        <f>'SOUTH-1'!G1390</f>
        <v>0.03</v>
      </c>
      <c r="H820" s="791">
        <f>'SOUTH-1'!H1390</f>
        <v>0.03</v>
      </c>
      <c r="I820" s="791">
        <f>'SOUTH-1'!I1390</f>
        <v>0</v>
      </c>
      <c r="J820" s="791">
        <f>'SOUTH-1'!J1390</f>
        <v>60000</v>
      </c>
      <c r="K820" s="791">
        <f>'SOUTH-1'!K1390</f>
        <v>0</v>
      </c>
      <c r="L820" s="791">
        <f>'SOUTH-1'!L1390</f>
        <v>0</v>
      </c>
      <c r="M820" s="791">
        <f>'SOUTH-1'!M1390</f>
        <v>0</v>
      </c>
      <c r="N820" s="2019">
        <f>'SOUTH-1'!N1390</f>
        <v>0</v>
      </c>
      <c r="O820" s="2019" t="str">
        <f>Sheet2!$C$64</f>
        <v>Char Syedpur 33/11KV S/S</v>
      </c>
    </row>
    <row r="821" spans="1:15" x14ac:dyDescent="0.35">
      <c r="A821" s="2019">
        <f>'SOUTH-1'!A1391</f>
        <v>18</v>
      </c>
      <c r="B821" s="2019" t="str">
        <f>'SOUTH-1'!B1391</f>
        <v>11 kV Outgoing Feeder-15 (=F13)</v>
      </c>
      <c r="C821" s="2019">
        <f>'SOUTH-1'!C1391</f>
        <v>11</v>
      </c>
      <c r="D821" s="2019">
        <f>'SOUTH-1'!D1391</f>
        <v>0</v>
      </c>
      <c r="E821" s="2019" t="str">
        <f>'SOUTH-1'!E1391</f>
        <v>041808902779</v>
      </c>
      <c r="F821" s="791">
        <f>'SOUTH-1'!F1391</f>
        <v>1</v>
      </c>
      <c r="G821" s="791">
        <f>'SOUTH-1'!G1391</f>
        <v>0.03</v>
      </c>
      <c r="H821" s="791">
        <f>'SOUTH-1'!H1391</f>
        <v>0.03</v>
      </c>
      <c r="I821" s="791">
        <f>'SOUTH-1'!I1391</f>
        <v>0</v>
      </c>
      <c r="J821" s="791">
        <f>'SOUTH-1'!J1391</f>
        <v>60000</v>
      </c>
      <c r="K821" s="791">
        <f>'SOUTH-1'!K1391</f>
        <v>0</v>
      </c>
      <c r="L821" s="791">
        <f>'SOUTH-1'!L1391</f>
        <v>0</v>
      </c>
      <c r="M821" s="791">
        <f>'SOUTH-1'!M1391</f>
        <v>0</v>
      </c>
      <c r="N821" s="2019">
        <f>'SOUTH-1'!N1391</f>
        <v>0</v>
      </c>
      <c r="O821" s="2019" t="str">
        <f>Sheet2!$C$64</f>
        <v>Char Syedpur 33/11KV S/S</v>
      </c>
    </row>
    <row r="822" spans="1:15" x14ac:dyDescent="0.35">
      <c r="A822" s="2019">
        <f>'SOUTH-1'!A1392</f>
        <v>19</v>
      </c>
      <c r="B822" s="2019" t="str">
        <f>'SOUTH-1'!B1392</f>
        <v>11 kV Outgoing Feeder-16 (=F14)</v>
      </c>
      <c r="C822" s="2019">
        <f>'SOUTH-1'!C1392</f>
        <v>11</v>
      </c>
      <c r="D822" s="2019">
        <f>'SOUTH-1'!D1392</f>
        <v>0</v>
      </c>
      <c r="E822" s="2019" t="str">
        <f>'SOUTH-1'!E1392</f>
        <v>041808902783</v>
      </c>
      <c r="F822" s="791">
        <f>'SOUTH-1'!F1392</f>
        <v>1</v>
      </c>
      <c r="G822" s="791">
        <f>'SOUTH-1'!G1392</f>
        <v>0.03</v>
      </c>
      <c r="H822" s="791">
        <f>'SOUTH-1'!H1392</f>
        <v>0.03</v>
      </c>
      <c r="I822" s="791">
        <f>'SOUTH-1'!I1392</f>
        <v>0</v>
      </c>
      <c r="J822" s="791">
        <f>'SOUTH-1'!J1392</f>
        <v>60000</v>
      </c>
      <c r="K822" s="791">
        <f>'SOUTH-1'!K1392</f>
        <v>0</v>
      </c>
      <c r="L822" s="791">
        <f>'SOUTH-1'!L1392</f>
        <v>0</v>
      </c>
      <c r="M822" s="791">
        <f>'SOUTH-1'!M1392</f>
        <v>0</v>
      </c>
      <c r="N822" s="2019">
        <f>'SOUTH-1'!N1392</f>
        <v>0</v>
      </c>
      <c r="O822" s="2019" t="str">
        <f>Sheet2!$C$64</f>
        <v>Char Syedpur 33/11KV S/S</v>
      </c>
    </row>
    <row r="823" spans="1:15" x14ac:dyDescent="0.35">
      <c r="A823" s="2019">
        <f>'SOUTH-1'!A1393</f>
        <v>21</v>
      </c>
      <c r="B823" s="2019" t="str">
        <f>'SOUTH-1'!B1393</f>
        <v>33/0.415 kV Transformer AT-1</v>
      </c>
      <c r="C823" s="2019">
        <f>'SOUTH-1'!C1393</f>
        <v>0.41499999999999998</v>
      </c>
      <c r="D823" s="2019">
        <f>'SOUTH-1'!D1393</f>
        <v>0</v>
      </c>
      <c r="E823" s="2019" t="str">
        <f>'SOUTH-1'!E1393</f>
        <v>041811907976</v>
      </c>
      <c r="F823" s="791">
        <f>'SOUTH-1'!F1393</f>
        <v>1</v>
      </c>
      <c r="G823" s="791">
        <f>'SOUTH-1'!G1393</f>
        <v>926.37</v>
      </c>
      <c r="H823" s="791">
        <f>'SOUTH-1'!H1393</f>
        <v>988.12</v>
      </c>
      <c r="I823" s="791">
        <f>'SOUTH-1'!I1393</f>
        <v>61.75</v>
      </c>
      <c r="J823" s="791">
        <f>'SOUTH-1'!J1393</f>
        <v>1</v>
      </c>
      <c r="K823" s="791">
        <f>'SOUTH-1'!K1393</f>
        <v>0</v>
      </c>
      <c r="L823" s="791">
        <f>'SOUTH-1'!L1393</f>
        <v>61.75</v>
      </c>
      <c r="M823" s="791">
        <f>'SOUTH-1'!M1393</f>
        <v>0</v>
      </c>
      <c r="N823" s="2019">
        <f>'SOUTH-1'!N1393</f>
        <v>0</v>
      </c>
      <c r="O823" s="2019" t="str">
        <f>Sheet2!$C$64</f>
        <v>Char Syedpur 33/11KV S/S</v>
      </c>
    </row>
    <row r="824" spans="1:15" x14ac:dyDescent="0.35">
      <c r="A824" s="2019">
        <f>'SOUTH-1'!A1394</f>
        <v>22</v>
      </c>
      <c r="B824" s="2019" t="str">
        <f>'SOUTH-1'!B1394</f>
        <v>33/0.415 kV Transformer AT-2</v>
      </c>
      <c r="C824" s="2019">
        <f>'SOUTH-1'!C1394</f>
        <v>0.41499999999999998</v>
      </c>
      <c r="D824" s="2019">
        <f>'SOUTH-1'!D1394</f>
        <v>0</v>
      </c>
      <c r="E824" s="2019">
        <f>'SOUTH-1'!E1394</f>
        <v>0</v>
      </c>
      <c r="F824" s="791">
        <f>'SOUTH-1'!F1394</f>
        <v>1</v>
      </c>
      <c r="G824" s="791">
        <f>'SOUTH-1'!G1394</f>
        <v>0</v>
      </c>
      <c r="H824" s="791">
        <f>'SOUTH-1'!H1394</f>
        <v>0</v>
      </c>
      <c r="I824" s="791">
        <f>'SOUTH-1'!I1394</f>
        <v>0</v>
      </c>
      <c r="J824" s="791">
        <f>'SOUTH-1'!J1394</f>
        <v>1</v>
      </c>
      <c r="K824" s="791">
        <f>'SOUTH-1'!K1394</f>
        <v>0</v>
      </c>
      <c r="L824" s="791">
        <f>'SOUTH-1'!L1394</f>
        <v>0</v>
      </c>
      <c r="M824" s="791">
        <f>'SOUTH-1'!M1394</f>
        <v>0</v>
      </c>
      <c r="N824" s="2019">
        <f>'SOUTH-1'!N1394</f>
        <v>0</v>
      </c>
      <c r="O824" s="2019" t="str">
        <f>Sheet2!$C$64</f>
        <v>Char Syedpur 33/11KV S/S</v>
      </c>
    </row>
    <row r="825" spans="1:15" x14ac:dyDescent="0.35">
      <c r="A825" s="2019">
        <f>'SOUTH-1'!A1460</f>
        <v>5</v>
      </c>
      <c r="B825" s="2019" t="str">
        <f>'SOUTH-1'!B1460</f>
        <v>11 kV Manikdia Feeder</v>
      </c>
      <c r="C825" s="2019">
        <f>'SOUTH-1'!C1460</f>
        <v>11</v>
      </c>
      <c r="D825" s="2019" t="str">
        <f>'SOUTH-1'!D1460</f>
        <v>Mugdapara</v>
      </c>
      <c r="E825" s="2019" t="str">
        <f>'SOUTH-1'!E1460</f>
        <v>HA021100482-02</v>
      </c>
      <c r="F825" s="791">
        <f>'SOUTH-1'!F1460</f>
        <v>1</v>
      </c>
      <c r="G825" s="791">
        <f>'SOUTH-1'!G1460</f>
        <v>65643846</v>
      </c>
      <c r="H825" s="791">
        <f>'SOUTH-1'!H1460</f>
        <v>66053239</v>
      </c>
      <c r="I825" s="791">
        <f>'SOUTH-1'!I1460</f>
        <v>409393</v>
      </c>
      <c r="J825" s="791">
        <f>'SOUTH-1'!J1460</f>
        <v>1</v>
      </c>
      <c r="K825" s="791">
        <f>'SOUTH-1'!K1460</f>
        <v>0</v>
      </c>
      <c r="L825" s="791">
        <f>'SOUTH-1'!L1460</f>
        <v>409393</v>
      </c>
      <c r="M825" s="791">
        <f>'SOUTH-1'!M1460</f>
        <v>0</v>
      </c>
      <c r="N825" s="2019" t="str">
        <f>'SOUTH-1'!N1460</f>
        <v>Mugdapara</v>
      </c>
      <c r="O825" s="2019" t="str">
        <f>Sheet2!$C$81</f>
        <v>Amulia 33/11 kv</v>
      </c>
    </row>
    <row r="826" spans="1:15" x14ac:dyDescent="0.35">
      <c r="A826" s="2019">
        <f>'SOUTH-1'!A1461</f>
        <v>6</v>
      </c>
      <c r="B826" s="2019" t="str">
        <f>'SOUTH-1'!B1461</f>
        <v>11 kV Spare Feeder</v>
      </c>
      <c r="C826" s="2019">
        <f>'SOUTH-1'!C1461</f>
        <v>11</v>
      </c>
      <c r="D826" s="2019">
        <f>'SOUTH-1'!D1461</f>
        <v>0</v>
      </c>
      <c r="E826" s="2019">
        <f>'SOUTH-1'!E1461</f>
        <v>0</v>
      </c>
      <c r="F826" s="791">
        <f>'SOUTH-1'!F1461</f>
        <v>1</v>
      </c>
      <c r="G826" s="791">
        <f>'SOUTH-1'!G1461</f>
        <v>0</v>
      </c>
      <c r="H826" s="791">
        <f>'SOUTH-1'!H1461</f>
        <v>0</v>
      </c>
      <c r="I826" s="791">
        <f>'SOUTH-1'!I1461</f>
        <v>0</v>
      </c>
      <c r="J826" s="791">
        <f>'SOUTH-1'!J1461</f>
        <v>1</v>
      </c>
      <c r="K826" s="791">
        <f>'SOUTH-1'!K1461</f>
        <v>0</v>
      </c>
      <c r="L826" s="791">
        <f>'SOUTH-1'!L1461</f>
        <v>0</v>
      </c>
      <c r="M826" s="791">
        <f>'SOUTH-1'!M1461</f>
        <v>0</v>
      </c>
      <c r="N826" s="2019">
        <f>'SOUTH-1'!N1461</f>
        <v>0</v>
      </c>
      <c r="O826" s="2019" t="str">
        <f>Sheet2!$C$81</f>
        <v>Amulia 33/11 kv</v>
      </c>
    </row>
    <row r="827" spans="1:15" x14ac:dyDescent="0.35">
      <c r="A827" s="2019">
        <f>'SOUTH-1'!A1462</f>
        <v>7</v>
      </c>
      <c r="B827" s="2019" t="str">
        <f>'SOUTH-1'!B1462</f>
        <v>11 kV Kayetpara Feeder</v>
      </c>
      <c r="C827" s="2019">
        <f>'SOUTH-1'!C1462</f>
        <v>11</v>
      </c>
      <c r="D827" s="2019" t="str">
        <f>'SOUTH-1'!D1462</f>
        <v>Demra</v>
      </c>
      <c r="E827" s="2019" t="str">
        <f>'SOUTH-1'!E1462</f>
        <v>HA021100967-02</v>
      </c>
      <c r="F827" s="791">
        <f>'SOUTH-1'!F1462</f>
        <v>1</v>
      </c>
      <c r="G827" s="791">
        <f>'SOUTH-1'!G1462</f>
        <v>5418513</v>
      </c>
      <c r="H827" s="791">
        <f>'SOUTH-1'!H1462</f>
        <v>6253914</v>
      </c>
      <c r="I827" s="791">
        <f>'SOUTH-1'!I1462</f>
        <v>835401</v>
      </c>
      <c r="J827" s="791">
        <f>'SOUTH-1'!J1462</f>
        <v>1</v>
      </c>
      <c r="K827" s="791">
        <f>'SOUTH-1'!K1462</f>
        <v>0</v>
      </c>
      <c r="L827" s="791">
        <f>'SOUTH-1'!L1462</f>
        <v>835401</v>
      </c>
      <c r="M827" s="791">
        <f>'SOUTH-1'!M1462</f>
        <v>0</v>
      </c>
      <c r="N827" s="2019" t="str">
        <f>'SOUTH-1'!N1462</f>
        <v>Demra</v>
      </c>
      <c r="O827" s="2019" t="str">
        <f>Sheet2!$C$81</f>
        <v>Amulia 33/11 kv</v>
      </c>
    </row>
    <row r="828" spans="1:15" x14ac:dyDescent="0.35">
      <c r="A828" s="2019">
        <f>'SOUTH-1'!A1463</f>
        <v>8</v>
      </c>
      <c r="B828" s="2019" t="str">
        <f>'SOUTH-1'!B1463</f>
        <v>11 kV Paity Feeder</v>
      </c>
      <c r="C828" s="2019">
        <f>'SOUTH-1'!C1463</f>
        <v>11</v>
      </c>
      <c r="D828" s="2019" t="str">
        <f>'SOUTH-1'!D1463</f>
        <v>Demra</v>
      </c>
      <c r="E828" s="2019" t="str">
        <f>'SOUTH-1'!E1463</f>
        <v>HA021188676-02</v>
      </c>
      <c r="F828" s="791">
        <f>'SOUTH-1'!F1463</f>
        <v>1</v>
      </c>
      <c r="G828" s="791">
        <f>'SOUTH-1'!G1463</f>
        <v>65101012</v>
      </c>
      <c r="H828" s="791">
        <f>'SOUTH-1'!H1463</f>
        <v>65372339</v>
      </c>
      <c r="I828" s="791">
        <f>'SOUTH-1'!I1463</f>
        <v>271327</v>
      </c>
      <c r="J828" s="791">
        <f>'SOUTH-1'!J1463</f>
        <v>1</v>
      </c>
      <c r="K828" s="791">
        <f>'SOUTH-1'!K1463</f>
        <v>0</v>
      </c>
      <c r="L828" s="791">
        <f>'SOUTH-1'!L1463</f>
        <v>271327</v>
      </c>
      <c r="M828" s="791">
        <f>'SOUTH-1'!M1463</f>
        <v>0</v>
      </c>
      <c r="N828" s="2019" t="str">
        <f>'SOUTH-1'!N1463</f>
        <v>Demra</v>
      </c>
      <c r="O828" s="2019" t="str">
        <f>Sheet2!$C$81</f>
        <v>Amulia 33/11 kv</v>
      </c>
    </row>
    <row r="829" spans="1:15" x14ac:dyDescent="0.35">
      <c r="A829" s="2019">
        <f>'SOUTH-1'!A1464</f>
        <v>9</v>
      </c>
      <c r="B829" s="2019" t="str">
        <f>'SOUTH-1'!B1464</f>
        <v>11 kV Bamuil Feeder</v>
      </c>
      <c r="C829" s="2019">
        <f>'SOUTH-1'!C1464</f>
        <v>11</v>
      </c>
      <c r="D829" s="2019" t="str">
        <f>'SOUTH-1'!D1464</f>
        <v>Demra</v>
      </c>
      <c r="E829" s="2019" t="str">
        <f>'SOUTH-1'!E1464</f>
        <v>HA021100981-02</v>
      </c>
      <c r="F829" s="791">
        <f>'SOUTH-1'!F1464</f>
        <v>1</v>
      </c>
      <c r="G829" s="791">
        <f>'SOUTH-1'!G1464</f>
        <v>49278111</v>
      </c>
      <c r="H829" s="791">
        <f>'SOUTH-1'!H1464</f>
        <v>49931352</v>
      </c>
      <c r="I829" s="791">
        <f>'SOUTH-1'!I1464</f>
        <v>653241</v>
      </c>
      <c r="J829" s="791">
        <f>'SOUTH-1'!J1464</f>
        <v>1</v>
      </c>
      <c r="K829" s="791">
        <f>'SOUTH-1'!K1464</f>
        <v>0</v>
      </c>
      <c r="L829" s="791">
        <f>'SOUTH-1'!L1464</f>
        <v>653241</v>
      </c>
      <c r="M829" s="791">
        <f>'SOUTH-1'!M1464</f>
        <v>0</v>
      </c>
      <c r="N829" s="2019" t="str">
        <f>'SOUTH-1'!N1464</f>
        <v>Demra</v>
      </c>
      <c r="O829" s="2019" t="str">
        <f>Sheet2!$C$81</f>
        <v>Amulia 33/11 kv</v>
      </c>
    </row>
    <row r="830" spans="1:15" x14ac:dyDescent="0.35">
      <c r="A830" s="2019">
        <f>'SOUTH-1'!A1465</f>
        <v>12</v>
      </c>
      <c r="B830" s="2019" t="str">
        <f>'SOUTH-1'!B1465</f>
        <v>11 kV Ali Ahmed School Feeder</v>
      </c>
      <c r="C830" s="2019">
        <f>'SOUTH-1'!C1465</f>
        <v>11</v>
      </c>
      <c r="D830" s="2019" t="str">
        <f>'SOUTH-1'!D1465</f>
        <v>Mugdapara</v>
      </c>
      <c r="E830" s="2019" t="str">
        <f>'SOUTH-1'!E1465</f>
        <v>HA021101235-02</v>
      </c>
      <c r="F830" s="791">
        <f>'SOUTH-1'!F1465</f>
        <v>1</v>
      </c>
      <c r="G830" s="791">
        <f>'SOUTH-1'!G1465</f>
        <v>8792501</v>
      </c>
      <c r="H830" s="791">
        <f>'SOUTH-1'!H1465</f>
        <v>9276570</v>
      </c>
      <c r="I830" s="791">
        <f>'SOUTH-1'!I1465</f>
        <v>484069</v>
      </c>
      <c r="J830" s="791">
        <f>'SOUTH-1'!J1465</f>
        <v>1</v>
      </c>
      <c r="K830" s="791">
        <f>'SOUTH-1'!K1465</f>
        <v>0</v>
      </c>
      <c r="L830" s="791">
        <f>'SOUTH-1'!L1465</f>
        <v>484069</v>
      </c>
      <c r="M830" s="791">
        <f>'SOUTH-1'!M1465</f>
        <v>0</v>
      </c>
      <c r="N830" s="2019" t="str">
        <f>'SOUTH-1'!N1465</f>
        <v>Mugdapara</v>
      </c>
      <c r="O830" s="2019" t="str">
        <f>Sheet2!$C$81</f>
        <v>Amulia 33/11 kv</v>
      </c>
    </row>
    <row r="831" spans="1:15" x14ac:dyDescent="0.35">
      <c r="A831" s="2019">
        <f>'SOUTH-1'!A1466</f>
        <v>13</v>
      </c>
      <c r="B831" s="2019" t="str">
        <f>'SOUTH-1'!B1466</f>
        <v>11 kV Amulia Model Town Feeder</v>
      </c>
      <c r="C831" s="2019">
        <f>'SOUTH-1'!C1466</f>
        <v>11</v>
      </c>
      <c r="D831" s="2019" t="str">
        <f>'SOUTH-1'!D1466</f>
        <v>Demra</v>
      </c>
      <c r="E831" s="2019">
        <f>'SOUTH-1'!E1466</f>
        <v>0</v>
      </c>
      <c r="F831" s="791">
        <f>'SOUTH-1'!F1466</f>
        <v>1</v>
      </c>
      <c r="G831" s="791">
        <f>'SOUTH-1'!G1466</f>
        <v>50742415</v>
      </c>
      <c r="H831" s="791">
        <f>'SOUTH-1'!H1466</f>
        <v>50790845</v>
      </c>
      <c r="I831" s="791">
        <f>'SOUTH-1'!I1466</f>
        <v>48430</v>
      </c>
      <c r="J831" s="791">
        <f>'SOUTH-1'!J1466</f>
        <v>1</v>
      </c>
      <c r="K831" s="791">
        <f>'SOUTH-1'!K1466</f>
        <v>0</v>
      </c>
      <c r="L831" s="791">
        <f>'SOUTH-1'!L1466</f>
        <v>48430</v>
      </c>
      <c r="M831" s="791">
        <f>'SOUTH-1'!M1466</f>
        <v>0</v>
      </c>
      <c r="N831" s="2019" t="str">
        <f>'SOUTH-1'!N1466</f>
        <v>Demra</v>
      </c>
      <c r="O831" s="2019" t="str">
        <f>Sheet2!$C$81</f>
        <v>Amulia 33/11 kv</v>
      </c>
    </row>
    <row r="832" spans="1:15" x14ac:dyDescent="0.35">
      <c r="A832" s="2019">
        <f>'SOUTH-1'!A1467</f>
        <v>14</v>
      </c>
      <c r="B832" s="2019" t="str">
        <f>'SOUTH-1'!B1467</f>
        <v>11 kV Rajakhali Feeder</v>
      </c>
      <c r="C832" s="2019">
        <f>'SOUTH-1'!C1467</f>
        <v>11</v>
      </c>
      <c r="D832" s="2019" t="str">
        <f>'SOUTH-1'!D1467</f>
        <v>Demra</v>
      </c>
      <c r="E832" s="2019" t="str">
        <f>'SOUTH-1'!E1467</f>
        <v>HA021100483-02</v>
      </c>
      <c r="F832" s="791">
        <f>'SOUTH-1'!F1467</f>
        <v>1</v>
      </c>
      <c r="G832" s="791">
        <f>'SOUTH-1'!G1467</f>
        <v>2066955</v>
      </c>
      <c r="H832" s="791">
        <f>'SOUTH-1'!H1467</f>
        <v>3045378</v>
      </c>
      <c r="I832" s="791">
        <f>'SOUTH-1'!I1467</f>
        <v>978423</v>
      </c>
      <c r="J832" s="791">
        <f>'SOUTH-1'!J1467</f>
        <v>1</v>
      </c>
      <c r="K832" s="791">
        <f>'SOUTH-1'!K1467</f>
        <v>0</v>
      </c>
      <c r="L832" s="791">
        <f>'SOUTH-1'!L1467</f>
        <v>978423</v>
      </c>
      <c r="M832" s="791">
        <f>'SOUTH-1'!M1467</f>
        <v>0</v>
      </c>
      <c r="N832" s="2019" t="str">
        <f>'SOUTH-1'!N1467</f>
        <v>Demra</v>
      </c>
      <c r="O832" s="2019" t="str">
        <f>Sheet2!$C$81</f>
        <v>Amulia 33/11 kv</v>
      </c>
    </row>
    <row r="833" spans="1:15" x14ac:dyDescent="0.35">
      <c r="A833" s="2019">
        <f>'SOUTH-1'!A1468</f>
        <v>15</v>
      </c>
      <c r="B833" s="2019" t="str">
        <f>'SOUTH-1'!B1468</f>
        <v>11 kV Spare Feeder</v>
      </c>
      <c r="C833" s="2019">
        <f>'SOUTH-1'!C1468</f>
        <v>11</v>
      </c>
      <c r="D833" s="2019">
        <f>'SOUTH-1'!D1468</f>
        <v>0</v>
      </c>
      <c r="E833" s="2019">
        <f>'SOUTH-1'!E1468</f>
        <v>0</v>
      </c>
      <c r="F833" s="791">
        <f>'SOUTH-1'!F1468</f>
        <v>1</v>
      </c>
      <c r="G833" s="791">
        <f>'SOUTH-1'!G1468</f>
        <v>0</v>
      </c>
      <c r="H833" s="791">
        <f>'SOUTH-1'!H1468</f>
        <v>0</v>
      </c>
      <c r="I833" s="791">
        <f>'SOUTH-1'!I1468</f>
        <v>0</v>
      </c>
      <c r="J833" s="791">
        <f>'SOUTH-1'!J1468</f>
        <v>1</v>
      </c>
      <c r="K833" s="791">
        <f>'SOUTH-1'!K1468</f>
        <v>0</v>
      </c>
      <c r="L833" s="791">
        <f>'SOUTH-1'!L1468</f>
        <v>0</v>
      </c>
      <c r="M833" s="791">
        <f>'SOUTH-1'!M1468</f>
        <v>0</v>
      </c>
      <c r="N833" s="2019">
        <f>'SOUTH-1'!N1468</f>
        <v>0</v>
      </c>
      <c r="O833" s="2019" t="str">
        <f>Sheet2!$C$81</f>
        <v>Amulia 33/11 kv</v>
      </c>
    </row>
    <row r="834" spans="1:15" x14ac:dyDescent="0.35">
      <c r="A834" s="2019">
        <f>'SOUTH-1'!A1469</f>
        <v>16</v>
      </c>
      <c r="B834" s="2019" t="str">
        <f>'SOUTH-1'!B1469</f>
        <v>11 kV Spare Feeder</v>
      </c>
      <c r="C834" s="2019">
        <f>'SOUTH-1'!C1469</f>
        <v>11</v>
      </c>
      <c r="D834" s="2019">
        <f>'SOUTH-1'!D1469</f>
        <v>0</v>
      </c>
      <c r="E834" s="2019">
        <f>'SOUTH-1'!E1469</f>
        <v>0</v>
      </c>
      <c r="F834" s="791">
        <f>'SOUTH-1'!F1469</f>
        <v>1</v>
      </c>
      <c r="G834" s="791">
        <f>'SOUTH-1'!G1469</f>
        <v>0</v>
      </c>
      <c r="H834" s="791">
        <f>'SOUTH-1'!H1469</f>
        <v>0</v>
      </c>
      <c r="I834" s="791">
        <f>'SOUTH-1'!I1469</f>
        <v>0</v>
      </c>
      <c r="J834" s="791">
        <f>'SOUTH-1'!J1469</f>
        <v>1</v>
      </c>
      <c r="K834" s="791">
        <f>'SOUTH-1'!K1469</f>
        <v>0</v>
      </c>
      <c r="L834" s="791">
        <f>'SOUTH-1'!L1469</f>
        <v>0</v>
      </c>
      <c r="M834" s="791">
        <f>'SOUTH-1'!M1469</f>
        <v>0</v>
      </c>
      <c r="N834" s="2019">
        <f>'SOUTH-1'!N1469</f>
        <v>0</v>
      </c>
      <c r="O834" s="2019" t="str">
        <f>Sheet2!$C$81</f>
        <v>Amulia 33/11 kv</v>
      </c>
    </row>
    <row r="835" spans="1:15" x14ac:dyDescent="0.35">
      <c r="A835" s="2019">
        <f>'SOUTH-1'!A1470</f>
        <v>17</v>
      </c>
      <c r="B835" s="2019" t="str">
        <f>'SOUTH-1'!B1470</f>
        <v>33/0.415 kV Transformer, AT-2</v>
      </c>
      <c r="C835" s="2019">
        <f>'SOUTH-1'!C1470</f>
        <v>0.41499999999999998</v>
      </c>
      <c r="D835" s="2019">
        <f>'SOUTH-1'!D1470</f>
        <v>0</v>
      </c>
      <c r="E835" s="2019">
        <f>'SOUTH-1'!E1470</f>
        <v>0</v>
      </c>
      <c r="F835" s="791">
        <f>'SOUTH-1'!F1470</f>
        <v>1</v>
      </c>
      <c r="G835" s="791">
        <f>'SOUTH-1'!G1470</f>
        <v>0</v>
      </c>
      <c r="H835" s="791">
        <f>'SOUTH-1'!H1470</f>
        <v>0</v>
      </c>
      <c r="I835" s="791">
        <f>'SOUTH-1'!I1470</f>
        <v>0</v>
      </c>
      <c r="J835" s="791">
        <f>'SOUTH-1'!J1470</f>
        <v>160</v>
      </c>
      <c r="K835" s="791">
        <f>'SOUTH-1'!K1470</f>
        <v>0</v>
      </c>
      <c r="L835" s="791">
        <f>'SOUTH-1'!L1470</f>
        <v>0</v>
      </c>
      <c r="M835" s="791">
        <f>'SOUTH-1'!M1470</f>
        <v>0</v>
      </c>
      <c r="N835" s="2019">
        <f>'SOUTH-1'!N1470</f>
        <v>0</v>
      </c>
      <c r="O835" s="2019" t="str">
        <f>Sheet2!$C$81</f>
        <v>Amulia 33/11 kv</v>
      </c>
    </row>
    <row r="836" spans="1:15" x14ac:dyDescent="0.35">
      <c r="A836" s="2019">
        <f>'SOUTH-2'!A94</f>
        <v>1</v>
      </c>
      <c r="B836" s="2019" t="str">
        <f>'SOUTH-2'!B94</f>
        <v>11 kV Nearest Feeder</v>
      </c>
      <c r="C836" s="2019">
        <f>'SOUTH-2'!C94</f>
        <v>11</v>
      </c>
      <c r="D836" s="2019">
        <f>'SOUTH-2'!D94</f>
        <v>0</v>
      </c>
      <c r="E836" s="2019" t="str">
        <f>'SOUTH-2'!E94</f>
        <v>HA021101060-02</v>
      </c>
      <c r="F836" s="791">
        <f>'SOUTH-2'!F94</f>
        <v>1</v>
      </c>
      <c r="G836" s="791">
        <f>'SOUTH-2'!G94</f>
        <v>64881885</v>
      </c>
      <c r="H836" s="791">
        <f>'SOUTH-2'!H94</f>
        <v>65836895</v>
      </c>
      <c r="I836" s="791">
        <f>'SOUTH-2'!I94</f>
        <v>955010</v>
      </c>
      <c r="J836" s="791">
        <f>'SOUTH-2'!J94</f>
        <v>1</v>
      </c>
      <c r="K836" s="791">
        <f>'SOUTH-2'!K94</f>
        <v>0</v>
      </c>
      <c r="L836" s="791">
        <f>'SOUTH-2'!L94</f>
        <v>955010</v>
      </c>
      <c r="M836" s="791">
        <f>'SOUTH-2'!M94</f>
        <v>0</v>
      </c>
      <c r="N836" s="2019" t="str">
        <f>'SOUTH-2'!N94</f>
        <v>Maniknagar</v>
      </c>
      <c r="O836" s="2019" t="str">
        <f>Sheet2!$C$52</f>
        <v>Maniknagar 33/11 KV SS</v>
      </c>
    </row>
    <row r="837" spans="1:15" x14ac:dyDescent="0.35">
      <c r="A837" s="2019">
        <f>'SOUTH-2'!A95</f>
        <v>2</v>
      </c>
      <c r="B837" s="2019" t="str">
        <f>'SOUTH-2'!B95</f>
        <v>11kV Spare</v>
      </c>
      <c r="C837" s="2019">
        <f>'SOUTH-2'!C95</f>
        <v>11</v>
      </c>
      <c r="D837" s="2019">
        <f>'SOUTH-2'!D95</f>
        <v>0</v>
      </c>
      <c r="E837" s="2019" t="str">
        <f>'SOUTH-2'!E95</f>
        <v>HA021100679-02</v>
      </c>
      <c r="F837" s="791">
        <f>'SOUTH-2'!F95</f>
        <v>1</v>
      </c>
      <c r="G837" s="791">
        <f>'SOUTH-2'!G95</f>
        <v>0</v>
      </c>
      <c r="H837" s="791">
        <f>'SOUTH-2'!H95</f>
        <v>0</v>
      </c>
      <c r="I837" s="791">
        <f>'SOUTH-2'!I95</f>
        <v>0</v>
      </c>
      <c r="J837" s="791">
        <f>'SOUTH-2'!J95</f>
        <v>1</v>
      </c>
      <c r="K837" s="791">
        <f>'SOUTH-2'!K95</f>
        <v>0</v>
      </c>
      <c r="L837" s="791">
        <f>'SOUTH-2'!L95</f>
        <v>0</v>
      </c>
      <c r="M837" s="791">
        <f>'SOUTH-2'!M95</f>
        <v>0</v>
      </c>
      <c r="N837" s="2019" t="str">
        <f>'SOUTH-2'!N95</f>
        <v>Maniknagar</v>
      </c>
      <c r="O837" s="2019" t="str">
        <f>Sheet2!$C$52</f>
        <v>Maniknagar 33/11 KV SS</v>
      </c>
    </row>
    <row r="838" spans="1:15" x14ac:dyDescent="0.35">
      <c r="A838" s="2019">
        <f>'SOUTH-2'!A96</f>
        <v>3</v>
      </c>
      <c r="B838" s="2019" t="str">
        <f>'SOUTH-2'!B96</f>
        <v>11 kV City Palli Feeder</v>
      </c>
      <c r="C838" s="2019">
        <f>'SOUTH-2'!C96</f>
        <v>11</v>
      </c>
      <c r="D838" s="2019">
        <f>'SOUTH-2'!D96</f>
        <v>0</v>
      </c>
      <c r="E838" s="2019" t="str">
        <f>'SOUTH-2'!E96</f>
        <v>HA021100937-02</v>
      </c>
      <c r="F838" s="791">
        <f>'SOUTH-2'!F96</f>
        <v>1</v>
      </c>
      <c r="G838" s="791">
        <f>'SOUTH-2'!G96</f>
        <v>71093467</v>
      </c>
      <c r="H838" s="791">
        <f>'SOUTH-2'!H96</f>
        <v>71801567</v>
      </c>
      <c r="I838" s="791">
        <f>'SOUTH-2'!I96</f>
        <v>708100</v>
      </c>
      <c r="J838" s="791">
        <f>'SOUTH-2'!J96</f>
        <v>1</v>
      </c>
      <c r="K838" s="791">
        <f>'SOUTH-2'!K96</f>
        <v>0</v>
      </c>
      <c r="L838" s="791">
        <f>'SOUTH-2'!L96</f>
        <v>708100</v>
      </c>
      <c r="M838" s="791">
        <f>'SOUTH-2'!M96</f>
        <v>0</v>
      </c>
      <c r="N838" s="2019" t="str">
        <f>'SOUTH-2'!N96</f>
        <v>Maniknagar</v>
      </c>
      <c r="O838" s="2019" t="str">
        <f>Sheet2!$C$52</f>
        <v>Maniknagar 33/11 KV SS</v>
      </c>
    </row>
    <row r="839" spans="1:15" x14ac:dyDescent="0.35">
      <c r="A839" s="2019">
        <f>'SOUTH-2'!A97</f>
        <v>4</v>
      </c>
      <c r="B839" s="2019" t="str">
        <f>'SOUTH-2'!B97</f>
        <v>11 kV R K Mission Road Feeder</v>
      </c>
      <c r="C839" s="2019">
        <f>'SOUTH-2'!C97</f>
        <v>11</v>
      </c>
      <c r="D839" s="2019">
        <f>'SOUTH-2'!D97</f>
        <v>0</v>
      </c>
      <c r="E839" s="2019" t="str">
        <f>'SOUTH-2'!E97</f>
        <v>HA021101035-02</v>
      </c>
      <c r="F839" s="791">
        <f>'SOUTH-2'!F97</f>
        <v>1</v>
      </c>
      <c r="G839" s="791">
        <f>'SOUTH-2'!G97</f>
        <v>3901575</v>
      </c>
      <c r="H839" s="791">
        <f>'SOUTH-2'!H97</f>
        <v>4885786</v>
      </c>
      <c r="I839" s="791">
        <f>'SOUTH-2'!I97</f>
        <v>984211</v>
      </c>
      <c r="J839" s="791">
        <f>'SOUTH-2'!J97</f>
        <v>1</v>
      </c>
      <c r="K839" s="791">
        <f>'SOUTH-2'!K97</f>
        <v>0</v>
      </c>
      <c r="L839" s="791">
        <f>'SOUTH-2'!L97</f>
        <v>984211</v>
      </c>
      <c r="M839" s="791">
        <f>'SOUTH-2'!M97</f>
        <v>0</v>
      </c>
      <c r="N839" s="2019" t="str">
        <f>'SOUTH-2'!N97</f>
        <v>Maniknagar</v>
      </c>
      <c r="O839" s="2019" t="str">
        <f>Sheet2!$C$52</f>
        <v>Maniknagar 33/11 KV SS</v>
      </c>
    </row>
    <row r="840" spans="1:15" x14ac:dyDescent="0.35">
      <c r="A840" s="2019">
        <f>'SOUTH-2'!A98</f>
        <v>5</v>
      </c>
      <c r="B840" s="2019" t="str">
        <f>'SOUTH-2'!B98</f>
        <v>11 kV Janapath Feeder</v>
      </c>
      <c r="C840" s="2019">
        <f>'SOUTH-2'!C98</f>
        <v>11</v>
      </c>
      <c r="D840" s="2019">
        <f>'SOUTH-2'!D98</f>
        <v>0</v>
      </c>
      <c r="E840" s="2019" t="str">
        <f>'SOUTH-2'!E98</f>
        <v>HA021100864-02</v>
      </c>
      <c r="F840" s="791">
        <f>'SOUTH-2'!F98</f>
        <v>1</v>
      </c>
      <c r="G840" s="791">
        <f>'SOUTH-2'!G98</f>
        <v>13777280</v>
      </c>
      <c r="H840" s="791">
        <f>'SOUTH-2'!H98</f>
        <v>15078883</v>
      </c>
      <c r="I840" s="791">
        <f>'SOUTH-2'!I98</f>
        <v>1301603</v>
      </c>
      <c r="J840" s="791">
        <f>'SOUTH-2'!J98</f>
        <v>1</v>
      </c>
      <c r="K840" s="791">
        <f>'SOUTH-2'!K98</f>
        <v>0</v>
      </c>
      <c r="L840" s="791">
        <f>'SOUTH-2'!L98</f>
        <v>1301603</v>
      </c>
      <c r="M840" s="791">
        <f>'SOUTH-2'!M98</f>
        <v>0</v>
      </c>
      <c r="N840" s="2019" t="str">
        <f>'SOUTH-2'!N98</f>
        <v>Maniknagar</v>
      </c>
      <c r="O840" s="2019" t="str">
        <f>Sheet2!$C$52</f>
        <v>Maniknagar 33/11 KV SS</v>
      </c>
    </row>
    <row r="841" spans="1:15" x14ac:dyDescent="0.35">
      <c r="A841" s="2019">
        <f>'SOUTH-2'!A99</f>
        <v>6</v>
      </c>
      <c r="B841" s="2019" t="str">
        <f>'SOUTH-2'!B99</f>
        <v>11 kV Dhalpur Feeder</v>
      </c>
      <c r="C841" s="2019">
        <f>'SOUTH-2'!C99</f>
        <v>11</v>
      </c>
      <c r="D841" s="2019">
        <f>'SOUTH-2'!D99</f>
        <v>0</v>
      </c>
      <c r="E841" s="2019" t="str">
        <f>'SOUTH-2'!E99</f>
        <v>HA021100851-02</v>
      </c>
      <c r="F841" s="791">
        <f>'SOUTH-2'!F99</f>
        <v>1</v>
      </c>
      <c r="G841" s="791">
        <f>'SOUTH-2'!G99</f>
        <v>80547349</v>
      </c>
      <c r="H841" s="791">
        <f>'SOUTH-2'!H99</f>
        <v>81066568</v>
      </c>
      <c r="I841" s="791">
        <f>'SOUTH-2'!I99</f>
        <v>519219</v>
      </c>
      <c r="J841" s="791">
        <f>'SOUTH-2'!J99</f>
        <v>1</v>
      </c>
      <c r="K841" s="791">
        <f>'SOUTH-2'!K99</f>
        <v>0</v>
      </c>
      <c r="L841" s="791">
        <f>'SOUTH-2'!L99</f>
        <v>519219</v>
      </c>
      <c r="M841" s="791">
        <f>'SOUTH-2'!M99</f>
        <v>0</v>
      </c>
      <c r="N841" s="2019" t="str">
        <f>'SOUTH-2'!N99</f>
        <v>Maniknagar</v>
      </c>
      <c r="O841" s="2019" t="str">
        <f>Sheet2!$C$52</f>
        <v>Maniknagar 33/11 KV SS</v>
      </c>
    </row>
    <row r="842" spans="1:15" x14ac:dyDescent="0.35">
      <c r="A842" s="2019">
        <f>'SOUTH-2'!A100</f>
        <v>7</v>
      </c>
      <c r="B842" s="2019" t="str">
        <f>'SOUTH-2'!B100</f>
        <v>11kV WTP</v>
      </c>
      <c r="C842" s="2019">
        <f>'SOUTH-2'!C100</f>
        <v>11</v>
      </c>
      <c r="D842" s="2019">
        <f>'SOUTH-2'!D100</f>
        <v>0</v>
      </c>
      <c r="E842" s="2019" t="str">
        <f>'SOUTH-2'!E100</f>
        <v>X0599387</v>
      </c>
      <c r="F842" s="791">
        <f>'SOUTH-2'!F100</f>
        <v>1</v>
      </c>
      <c r="G842" s="791">
        <f>'SOUTH-2'!G100</f>
        <v>368.6</v>
      </c>
      <c r="H842" s="791">
        <f>'SOUTH-2'!H100</f>
        <v>415.5</v>
      </c>
      <c r="I842" s="791">
        <f>'SOUTH-2'!I100</f>
        <v>46.899999999999977</v>
      </c>
      <c r="J842" s="791">
        <f>'SOUTH-2'!J100</f>
        <v>1000</v>
      </c>
      <c r="K842" s="791">
        <f>'SOUTH-2'!K100</f>
        <v>0</v>
      </c>
      <c r="L842" s="791">
        <f>'SOUTH-2'!L100</f>
        <v>46899.999999999978</v>
      </c>
      <c r="M842" s="791">
        <f>'SOUTH-2'!M100</f>
        <v>0</v>
      </c>
      <c r="N842" s="2019" t="str">
        <f>'SOUTH-2'!N100</f>
        <v>Maniknagar</v>
      </c>
      <c r="O842" s="2019" t="str">
        <f>Sheet2!$C$52</f>
        <v>Maniknagar 33/11 KV SS</v>
      </c>
    </row>
    <row r="843" spans="1:15" x14ac:dyDescent="0.35">
      <c r="A843" s="2019">
        <f>'SOUTH-2'!A101</f>
        <v>10</v>
      </c>
      <c r="B843" s="2019" t="str">
        <f>'SOUTH-2'!B101</f>
        <v xml:space="preserve">11kV Kamalapur Water pumping </v>
      </c>
      <c r="C843" s="2019">
        <f>'SOUTH-2'!C101</f>
        <v>11</v>
      </c>
      <c r="D843" s="2019">
        <f>'SOUTH-2'!D101</f>
        <v>0</v>
      </c>
      <c r="E843" s="2019" t="str">
        <f>'SOUTH-2'!E101</f>
        <v>HA021100474-02</v>
      </c>
      <c r="F843" s="791">
        <f>'SOUTH-2'!F101</f>
        <v>1</v>
      </c>
      <c r="G843" s="791">
        <f>'SOUTH-2'!G101</f>
        <v>7502559</v>
      </c>
      <c r="H843" s="791">
        <f>'SOUTH-2'!H101</f>
        <v>7521984</v>
      </c>
      <c r="I843" s="791">
        <f>'SOUTH-2'!I101</f>
        <v>19425</v>
      </c>
      <c r="J843" s="791">
        <f>'SOUTH-2'!J101</f>
        <v>1</v>
      </c>
      <c r="K843" s="791">
        <f>'SOUTH-2'!K101</f>
        <v>0</v>
      </c>
      <c r="L843" s="791">
        <f>'SOUTH-2'!L101</f>
        <v>19425</v>
      </c>
      <c r="M843" s="791">
        <f>'SOUTH-2'!M101</f>
        <v>0</v>
      </c>
      <c r="N843" s="2019" t="str">
        <f>'SOUTH-2'!N101</f>
        <v>Maniknagar</v>
      </c>
      <c r="O843" s="2019" t="str">
        <f>Sheet2!$C$52</f>
        <v>Maniknagar 33/11 KV SS</v>
      </c>
    </row>
    <row r="844" spans="1:15" x14ac:dyDescent="0.35">
      <c r="A844" s="2019">
        <f>'SOUTH-2'!A102</f>
        <v>11</v>
      </c>
      <c r="B844" s="2019" t="str">
        <f>'SOUTH-2'!B102</f>
        <v>11 kV Wasa Road Feeder</v>
      </c>
      <c r="C844" s="2019">
        <f>'SOUTH-2'!C102</f>
        <v>11</v>
      </c>
      <c r="D844" s="2019">
        <f>'SOUTH-2'!D102</f>
        <v>0</v>
      </c>
      <c r="E844" s="2019" t="str">
        <f>'SOUTH-2'!E102</f>
        <v>HA021001011-02</v>
      </c>
      <c r="F844" s="791">
        <f>'SOUTH-2'!F102</f>
        <v>1</v>
      </c>
      <c r="G844" s="791">
        <f>'SOUTH-2'!G102</f>
        <v>15171631</v>
      </c>
      <c r="H844" s="791">
        <f>'SOUTH-2'!H102</f>
        <v>16393104</v>
      </c>
      <c r="I844" s="791">
        <f>'SOUTH-2'!I102</f>
        <v>1221473</v>
      </c>
      <c r="J844" s="791">
        <f>'SOUTH-2'!J102</f>
        <v>1</v>
      </c>
      <c r="K844" s="791">
        <f>'SOUTH-2'!K102</f>
        <v>0</v>
      </c>
      <c r="L844" s="791">
        <f>'SOUTH-2'!L102</f>
        <v>1221473</v>
      </c>
      <c r="M844" s="791">
        <f>'SOUTH-2'!M102</f>
        <v>0</v>
      </c>
      <c r="N844" s="2019" t="str">
        <f>'SOUTH-2'!N102</f>
        <v>Maniknagar</v>
      </c>
      <c r="O844" s="2019" t="str">
        <f>Sheet2!$C$52</f>
        <v>Maniknagar 33/11 KV SS</v>
      </c>
    </row>
    <row r="845" spans="1:15" x14ac:dyDescent="0.35">
      <c r="A845" s="2019">
        <f>'SOUTH-2'!A103</f>
        <v>12</v>
      </c>
      <c r="B845" s="2019" t="str">
        <f>'SOUTH-2'!B103</f>
        <v>11kV Sutikhalpar Feeder</v>
      </c>
      <c r="C845" s="2019">
        <f>'SOUTH-2'!C103</f>
        <v>11</v>
      </c>
      <c r="D845" s="2019">
        <f>'SOUTH-2'!D103</f>
        <v>0</v>
      </c>
      <c r="E845" s="2019" t="str">
        <f>'SOUTH-2'!E103</f>
        <v>HA021101047-02</v>
      </c>
      <c r="F845" s="791">
        <f>'SOUTH-2'!F103</f>
        <v>1</v>
      </c>
      <c r="G845" s="791">
        <f>'SOUTH-2'!G103</f>
        <v>68478771</v>
      </c>
      <c r="H845" s="791">
        <f>'SOUTH-2'!H103</f>
        <v>69948871</v>
      </c>
      <c r="I845" s="791">
        <f>'SOUTH-2'!I103</f>
        <v>1470100</v>
      </c>
      <c r="J845" s="791">
        <f>'SOUTH-2'!J103</f>
        <v>1</v>
      </c>
      <c r="K845" s="791">
        <f>'SOUTH-2'!K103</f>
        <v>0</v>
      </c>
      <c r="L845" s="791">
        <f>'SOUTH-2'!L103</f>
        <v>1470100</v>
      </c>
      <c r="M845" s="791">
        <f>'SOUTH-2'!M103</f>
        <v>0</v>
      </c>
      <c r="N845" s="2019" t="str">
        <f>'SOUTH-2'!N103</f>
        <v>Maniknagar</v>
      </c>
      <c r="O845" s="2019" t="str">
        <f>Sheet2!$C$52</f>
        <v>Maniknagar 33/11 KV SS</v>
      </c>
    </row>
    <row r="846" spans="1:15" x14ac:dyDescent="0.35">
      <c r="A846" s="2019">
        <f>'SOUTH-2'!A104</f>
        <v>13</v>
      </c>
      <c r="B846" s="2019" t="str">
        <f>'SOUTH-2'!B104</f>
        <v>11kV Spare</v>
      </c>
      <c r="C846" s="2019">
        <f>'SOUTH-2'!C104</f>
        <v>11</v>
      </c>
      <c r="D846" s="2019">
        <f>'SOUTH-2'!D104</f>
        <v>0</v>
      </c>
      <c r="E846" s="2019" t="str">
        <f>'SOUTH-2'!E104</f>
        <v>HA021101029-02</v>
      </c>
      <c r="F846" s="791">
        <f>'SOUTH-2'!F104</f>
        <v>1</v>
      </c>
      <c r="G846" s="791">
        <f>'SOUTH-2'!G104</f>
        <v>0</v>
      </c>
      <c r="H846" s="791">
        <f>'SOUTH-2'!H104</f>
        <v>0</v>
      </c>
      <c r="I846" s="791">
        <f>'SOUTH-2'!I104</f>
        <v>0</v>
      </c>
      <c r="J846" s="791">
        <f>'SOUTH-2'!J104</f>
        <v>1</v>
      </c>
      <c r="K846" s="791">
        <f>'SOUTH-2'!K104</f>
        <v>0</v>
      </c>
      <c r="L846" s="791">
        <f>'SOUTH-2'!L104</f>
        <v>0</v>
      </c>
      <c r="M846" s="791">
        <f>'SOUTH-2'!M104</f>
        <v>0</v>
      </c>
      <c r="N846" s="2019">
        <f>'SOUTH-2'!N104</f>
        <v>0</v>
      </c>
      <c r="O846" s="2019" t="str">
        <f>Sheet2!$C$52</f>
        <v>Maniknagar 33/11 KV SS</v>
      </c>
    </row>
    <row r="847" spans="1:15" x14ac:dyDescent="0.35">
      <c r="A847" s="2019">
        <f>'SOUTH-2'!A105</f>
        <v>14</v>
      </c>
      <c r="B847" s="2019" t="str">
        <f>'SOUTH-2'!B105</f>
        <v>11kV Spare</v>
      </c>
      <c r="C847" s="2019">
        <f>'SOUTH-2'!C105</f>
        <v>11</v>
      </c>
      <c r="D847" s="2019">
        <f>'SOUTH-2'!D105</f>
        <v>0</v>
      </c>
      <c r="E847" s="2019" t="str">
        <f>'SOUTH-2'!E105</f>
        <v>Nill</v>
      </c>
      <c r="F847" s="791">
        <f>'SOUTH-2'!F105</f>
        <v>0</v>
      </c>
      <c r="G847" s="791">
        <f>'SOUTH-2'!G105</f>
        <v>0</v>
      </c>
      <c r="H847" s="791">
        <f>'SOUTH-2'!H105</f>
        <v>0</v>
      </c>
      <c r="I847" s="791">
        <f>'SOUTH-2'!I105</f>
        <v>0</v>
      </c>
      <c r="J847" s="791">
        <f>'SOUTH-2'!J105</f>
        <v>1</v>
      </c>
      <c r="K847" s="791">
        <f>'SOUTH-2'!K105</f>
        <v>0</v>
      </c>
      <c r="L847" s="791">
        <f>'SOUTH-2'!L105</f>
        <v>0</v>
      </c>
      <c r="M847" s="791">
        <f>'SOUTH-2'!M105</f>
        <v>0</v>
      </c>
      <c r="N847" s="2019">
        <f>'SOUTH-2'!N105</f>
        <v>0</v>
      </c>
      <c r="O847" s="2019" t="str">
        <f>Sheet2!$C$52</f>
        <v>Maniknagar 33/11 KV SS</v>
      </c>
    </row>
    <row r="848" spans="1:15" x14ac:dyDescent="0.35">
      <c r="A848" s="2019">
        <f>'SOUTH-2'!A106</f>
        <v>15</v>
      </c>
      <c r="B848" s="2019" t="str">
        <f>'SOUTH-2'!B106</f>
        <v>11kV Spare</v>
      </c>
      <c r="C848" s="2019">
        <f>'SOUTH-2'!C106</f>
        <v>11</v>
      </c>
      <c r="D848" s="2019">
        <f>'SOUTH-2'!D106</f>
        <v>0</v>
      </c>
      <c r="E848" s="2019" t="str">
        <f>'SOUTH-2'!E106</f>
        <v>HA021101068-02</v>
      </c>
      <c r="F848" s="791">
        <f>'SOUTH-2'!F106</f>
        <v>1</v>
      </c>
      <c r="G848" s="791">
        <f>'SOUTH-2'!G106</f>
        <v>0</v>
      </c>
      <c r="H848" s="791">
        <f>'SOUTH-2'!H106</f>
        <v>0</v>
      </c>
      <c r="I848" s="791">
        <f>'SOUTH-2'!I106</f>
        <v>0</v>
      </c>
      <c r="J848" s="791">
        <f>'SOUTH-2'!J106</f>
        <v>1</v>
      </c>
      <c r="K848" s="791">
        <f>'SOUTH-2'!K106</f>
        <v>0</v>
      </c>
      <c r="L848" s="791">
        <f>'SOUTH-2'!L106</f>
        <v>0</v>
      </c>
      <c r="M848" s="791">
        <f>'SOUTH-2'!M106</f>
        <v>0</v>
      </c>
      <c r="N848" s="2019">
        <f>'SOUTH-2'!N106</f>
        <v>0</v>
      </c>
      <c r="O848" s="2019" t="str">
        <f>Sheet2!$C$52</f>
        <v>Maniknagar 33/11 KV SS</v>
      </c>
    </row>
    <row r="849" spans="1:15" x14ac:dyDescent="0.35">
      <c r="A849" s="2019">
        <f>'SOUTH-2'!A107</f>
        <v>16</v>
      </c>
      <c r="B849" s="2019" t="str">
        <f>'SOUTH-2'!B107</f>
        <v>11kV Spare</v>
      </c>
      <c r="C849" s="2019">
        <f>'SOUTH-2'!C107</f>
        <v>11</v>
      </c>
      <c r="D849" s="2019">
        <f>'SOUTH-2'!D107</f>
        <v>0</v>
      </c>
      <c r="E849" s="2019" t="str">
        <f>'SOUTH-2'!E107</f>
        <v>HA021101243-02</v>
      </c>
      <c r="F849" s="791">
        <f>'SOUTH-2'!F107</f>
        <v>1</v>
      </c>
      <c r="G849" s="791">
        <f>'SOUTH-2'!G107</f>
        <v>0</v>
      </c>
      <c r="H849" s="791">
        <f>'SOUTH-2'!H107</f>
        <v>0</v>
      </c>
      <c r="I849" s="791">
        <f>'SOUTH-2'!I107</f>
        <v>0</v>
      </c>
      <c r="J849" s="791">
        <f>'SOUTH-2'!J107</f>
        <v>1</v>
      </c>
      <c r="K849" s="791">
        <f>'SOUTH-2'!K107</f>
        <v>0</v>
      </c>
      <c r="L849" s="791">
        <f>'SOUTH-2'!L107</f>
        <v>0</v>
      </c>
      <c r="M849" s="791">
        <f>'SOUTH-2'!M107</f>
        <v>0</v>
      </c>
      <c r="N849" s="2019">
        <f>'SOUTH-2'!N107</f>
        <v>0</v>
      </c>
      <c r="O849" s="2019" t="str">
        <f>Sheet2!$C$52</f>
        <v>Maniknagar 33/11 KV SS</v>
      </c>
    </row>
    <row r="850" spans="1:15" x14ac:dyDescent="0.35">
      <c r="A850" s="2019">
        <f>'SOUTH-2'!A108</f>
        <v>17</v>
      </c>
      <c r="B850" s="2019" t="str">
        <f>'SOUTH-2'!B108</f>
        <v>11kV Spare</v>
      </c>
      <c r="C850" s="2019">
        <f>'SOUTH-2'!C108</f>
        <v>11</v>
      </c>
      <c r="D850" s="2019">
        <f>'SOUTH-2'!D108</f>
        <v>0</v>
      </c>
      <c r="E850" s="2019" t="str">
        <f>'SOUTH-2'!E108</f>
        <v>Nill</v>
      </c>
      <c r="F850" s="791">
        <f>'SOUTH-2'!F108</f>
        <v>0</v>
      </c>
      <c r="G850" s="791">
        <f>'SOUTH-2'!G108</f>
        <v>0</v>
      </c>
      <c r="H850" s="791">
        <f>'SOUTH-2'!H108</f>
        <v>0</v>
      </c>
      <c r="I850" s="791">
        <f>'SOUTH-2'!I108</f>
        <v>0</v>
      </c>
      <c r="J850" s="791">
        <f>'SOUTH-2'!J108</f>
        <v>1</v>
      </c>
      <c r="K850" s="791">
        <f>'SOUTH-2'!K108</f>
        <v>0</v>
      </c>
      <c r="L850" s="791">
        <f>'SOUTH-2'!L108</f>
        <v>0</v>
      </c>
      <c r="M850" s="791">
        <f>'SOUTH-2'!M108</f>
        <v>0</v>
      </c>
      <c r="N850" s="2019">
        <f>'SOUTH-2'!N108</f>
        <v>0</v>
      </c>
      <c r="O850" s="2019" t="str">
        <f>Sheet2!$C$52</f>
        <v>Maniknagar 33/11 KV SS</v>
      </c>
    </row>
    <row r="851" spans="1:15" x14ac:dyDescent="0.35">
      <c r="A851" s="2019">
        <f>'SOUTH-2'!A109</f>
        <v>13</v>
      </c>
      <c r="B851" s="2019" t="str">
        <f>'SOUTH-2'!B109</f>
        <v>AT-1</v>
      </c>
      <c r="C851" s="2019">
        <f>'SOUTH-2'!C109</f>
        <v>0.4</v>
      </c>
      <c r="D851" s="2019">
        <f>'SOUTH-2'!D109</f>
        <v>0</v>
      </c>
      <c r="E851" s="2019">
        <f>'SOUTH-2'!E109</f>
        <v>6603506</v>
      </c>
      <c r="F851" s="791">
        <f>'SOUTH-2'!F109</f>
        <v>1</v>
      </c>
      <c r="G851" s="791">
        <f>'SOUTH-2'!G109</f>
        <v>0</v>
      </c>
      <c r="H851" s="791">
        <f>'SOUTH-2'!H109</f>
        <v>0</v>
      </c>
      <c r="I851" s="791">
        <f>'SOUTH-2'!I109</f>
        <v>0</v>
      </c>
      <c r="J851" s="791">
        <f>'SOUTH-2'!J109</f>
        <v>1</v>
      </c>
      <c r="K851" s="791">
        <f>'SOUTH-2'!K109</f>
        <v>0</v>
      </c>
      <c r="L851" s="791">
        <f>'SOUTH-2'!L109</f>
        <v>0</v>
      </c>
      <c r="M851" s="791">
        <f>'SOUTH-2'!M109</f>
        <v>0</v>
      </c>
      <c r="N851" s="2019" t="str">
        <f>'SOUTH-2'!N109</f>
        <v>Maniknagar</v>
      </c>
      <c r="O851" s="2019" t="str">
        <f>Sheet2!$C$52</f>
        <v>Maniknagar 33/11 KV SS</v>
      </c>
    </row>
    <row r="852" spans="1:15" x14ac:dyDescent="0.35">
      <c r="A852" s="2019">
        <f>'SOUTH-2'!A171</f>
        <v>6</v>
      </c>
      <c r="B852" s="2019" t="str">
        <f>'SOUTH-2'!B171</f>
        <v>11kV Fakirapul Panir Tank Feeder</v>
      </c>
      <c r="C852" s="2019">
        <f>'SOUTH-2'!C171</f>
        <v>11</v>
      </c>
      <c r="D852" s="2019">
        <f>'SOUTH-2'!D171</f>
        <v>0</v>
      </c>
      <c r="E852" s="2019" t="str">
        <f>'SOUTH-2'!E171</f>
        <v>DHK86058</v>
      </c>
      <c r="F852" s="791">
        <f>'SOUTH-2'!F171</f>
        <v>1</v>
      </c>
      <c r="G852" s="791">
        <f>'SOUTH-2'!G171</f>
        <v>1587.67</v>
      </c>
      <c r="H852" s="791">
        <f>'SOUTH-2'!H171</f>
        <v>1597.99</v>
      </c>
      <c r="I852" s="791">
        <f>'SOUTH-2'!I171</f>
        <v>10.319999999999936</v>
      </c>
      <c r="J852" s="791">
        <f>'SOUTH-2'!J171</f>
        <v>60000</v>
      </c>
      <c r="K852" s="791">
        <f>'SOUTH-2'!K171</f>
        <v>0</v>
      </c>
      <c r="L852" s="791">
        <f>'SOUTH-2'!L171</f>
        <v>619199.99999999616</v>
      </c>
      <c r="M852" s="791">
        <f>'SOUTH-2'!M171</f>
        <v>0</v>
      </c>
      <c r="N852" s="2019" t="str">
        <f>'SOUTH-2'!N171</f>
        <v>Motijheel</v>
      </c>
      <c r="O852" s="2019" t="str">
        <f>Sheet2!$C$75</f>
        <v>Motijheel old 33/11 kV</v>
      </c>
    </row>
    <row r="853" spans="1:15" x14ac:dyDescent="0.35">
      <c r="A853" s="2019">
        <f>'SOUTH-2'!A172</f>
        <v>7</v>
      </c>
      <c r="B853" s="2019" t="str">
        <f>'SOUTH-2'!B172</f>
        <v>11kV Station Road Feeder</v>
      </c>
      <c r="C853" s="2019">
        <f>'SOUTH-2'!C172</f>
        <v>11</v>
      </c>
      <c r="D853" s="2019">
        <f>'SOUTH-2'!D172</f>
        <v>0</v>
      </c>
      <c r="E853" s="2019" t="str">
        <f>'SOUTH-2'!E172</f>
        <v>DHK86075</v>
      </c>
      <c r="F853" s="791">
        <f>'SOUTH-2'!F172</f>
        <v>1</v>
      </c>
      <c r="G853" s="791">
        <f>'SOUTH-2'!G172</f>
        <v>2365.4899999999998</v>
      </c>
      <c r="H853" s="791">
        <f>'SOUTH-2'!H172</f>
        <v>2366.33</v>
      </c>
      <c r="I853" s="791">
        <f>'SOUTH-2'!I172</f>
        <v>0.84000000000014552</v>
      </c>
      <c r="J853" s="791">
        <f>'SOUTH-2'!J172</f>
        <v>60000</v>
      </c>
      <c r="K853" s="791">
        <f>'SOUTH-2'!K172</f>
        <v>0</v>
      </c>
      <c r="L853" s="791">
        <f>'SOUTH-2'!L172</f>
        <v>50400.000000008731</v>
      </c>
      <c r="M853" s="791">
        <f>'SOUTH-2'!M172</f>
        <v>0</v>
      </c>
      <c r="N853" s="2019" t="str">
        <f>'SOUTH-2'!N172</f>
        <v>Motijheel</v>
      </c>
      <c r="O853" s="2019" t="str">
        <f>Sheet2!$C$75</f>
        <v>Motijheel old 33/11 kV</v>
      </c>
    </row>
    <row r="854" spans="1:15" x14ac:dyDescent="0.35">
      <c r="A854" s="2019">
        <f>'SOUTH-2'!A173</f>
        <v>8</v>
      </c>
      <c r="B854" s="2019" t="str">
        <f>'SOUTH-2'!B173</f>
        <v>11kV Box Culvert Road Feeder</v>
      </c>
      <c r="C854" s="2019">
        <f>'SOUTH-2'!C173</f>
        <v>11</v>
      </c>
      <c r="D854" s="2019">
        <f>'SOUTH-2'!D173</f>
        <v>0</v>
      </c>
      <c r="E854" s="2019" t="str">
        <f>'SOUTH-2'!E173</f>
        <v>DHK86071</v>
      </c>
      <c r="F854" s="791">
        <f>'SOUTH-2'!F173</f>
        <v>1</v>
      </c>
      <c r="G854" s="791">
        <f>'SOUTH-2'!G173</f>
        <v>2947.68</v>
      </c>
      <c r="H854" s="791">
        <f>'SOUTH-2'!H173</f>
        <v>2969.56</v>
      </c>
      <c r="I854" s="791">
        <f>'SOUTH-2'!I173</f>
        <v>21.880000000000109</v>
      </c>
      <c r="J854" s="791">
        <f>'SOUTH-2'!J173</f>
        <v>60000</v>
      </c>
      <c r="K854" s="791">
        <f>'SOUTH-2'!K173</f>
        <v>0</v>
      </c>
      <c r="L854" s="791">
        <f>'SOUTH-2'!L173</f>
        <v>1312800.0000000065</v>
      </c>
      <c r="M854" s="791">
        <f>'SOUTH-2'!M173</f>
        <v>0</v>
      </c>
      <c r="N854" s="2019" t="str">
        <f>'SOUTH-2'!N173</f>
        <v>Motijheel</v>
      </c>
      <c r="O854" s="2019" t="str">
        <f>Sheet2!$C$75</f>
        <v>Motijheel old 33/11 kV</v>
      </c>
    </row>
    <row r="855" spans="1:15" x14ac:dyDescent="0.35">
      <c r="A855" s="2019">
        <f>'SOUTH-2'!A174</f>
        <v>9</v>
      </c>
      <c r="B855" s="2019" t="str">
        <f>'SOUTH-2'!B174</f>
        <v>11kV Mohamedan Club Feeder</v>
      </c>
      <c r="C855" s="2019">
        <f>'SOUTH-2'!C174</f>
        <v>11</v>
      </c>
      <c r="D855" s="2019">
        <f>'SOUTH-2'!D174</f>
        <v>0</v>
      </c>
      <c r="E855" s="2019" t="str">
        <f>'SOUTH-2'!E174</f>
        <v>DHK86062</v>
      </c>
      <c r="F855" s="791">
        <f>'SOUTH-2'!F174</f>
        <v>1</v>
      </c>
      <c r="G855" s="791">
        <f>'SOUTH-2'!G174</f>
        <v>1581.61</v>
      </c>
      <c r="H855" s="791">
        <f>'SOUTH-2'!H174</f>
        <v>1589.85</v>
      </c>
      <c r="I855" s="791">
        <f>'SOUTH-2'!I174</f>
        <v>8.2400000000000091</v>
      </c>
      <c r="J855" s="791">
        <f>'SOUTH-2'!J174</f>
        <v>60000</v>
      </c>
      <c r="K855" s="791">
        <f>'SOUTH-2'!K174</f>
        <v>0</v>
      </c>
      <c r="L855" s="791">
        <f>'SOUTH-2'!L174</f>
        <v>494400.00000000052</v>
      </c>
      <c r="M855" s="791">
        <f>'SOUTH-2'!M174</f>
        <v>0</v>
      </c>
      <c r="N855" s="2019" t="str">
        <f>'SOUTH-2'!N174</f>
        <v>Motijheel</v>
      </c>
      <c r="O855" s="2019" t="str">
        <f>Sheet2!$C$75</f>
        <v>Motijheel old 33/11 kV</v>
      </c>
    </row>
    <row r="856" spans="1:15" x14ac:dyDescent="0.35">
      <c r="A856" s="2019">
        <f>'SOUTH-2'!A175</f>
        <v>10</v>
      </c>
      <c r="B856" s="2019" t="str">
        <f>'SOUTH-2'!B175</f>
        <v>11kV Amina Ahmed Co.</v>
      </c>
      <c r="C856" s="2019">
        <f>'SOUTH-2'!C175</f>
        <v>11</v>
      </c>
      <c r="D856" s="2019">
        <f>'SOUTH-2'!D175</f>
        <v>0</v>
      </c>
      <c r="E856" s="2019" t="str">
        <f>'SOUTH-2'!E175</f>
        <v>DHK95754</v>
      </c>
      <c r="F856" s="791">
        <f>'SOUTH-2'!F175</f>
        <v>1</v>
      </c>
      <c r="G856" s="791">
        <f>'SOUTH-2'!G175</f>
        <v>83703</v>
      </c>
      <c r="H856" s="791">
        <f>'SOUTH-2'!H175</f>
        <v>85904</v>
      </c>
      <c r="I856" s="791">
        <f>'SOUTH-2'!I175</f>
        <v>2201</v>
      </c>
      <c r="J856" s="791">
        <f>'SOUTH-2'!J175</f>
        <v>60</v>
      </c>
      <c r="K856" s="791">
        <f>'SOUTH-2'!K175</f>
        <v>0</v>
      </c>
      <c r="L856" s="791">
        <f>'SOUTH-2'!L175</f>
        <v>132060</v>
      </c>
      <c r="M856" s="791">
        <f>'SOUTH-2'!M175</f>
        <v>0</v>
      </c>
      <c r="N856" s="2019" t="str">
        <f>'SOUTH-2'!N175</f>
        <v>Motijheel</v>
      </c>
      <c r="O856" s="2019" t="str">
        <f>Sheet2!$C$75</f>
        <v>Motijheel old 33/11 kV</v>
      </c>
    </row>
    <row r="857" spans="1:15" x14ac:dyDescent="0.35">
      <c r="A857" s="2019">
        <f>'SOUTH-2'!A176</f>
        <v>11</v>
      </c>
      <c r="B857" s="2019" t="str">
        <f>'SOUTH-2'!B176</f>
        <v>11kV Bangabhaban -1</v>
      </c>
      <c r="C857" s="2019">
        <f>'SOUTH-2'!C176</f>
        <v>11</v>
      </c>
      <c r="D857" s="2019">
        <f>'SOUTH-2'!D176</f>
        <v>0</v>
      </c>
      <c r="E857" s="2019" t="str">
        <f>'SOUTH-2'!E176</f>
        <v>DHK95752</v>
      </c>
      <c r="F857" s="791">
        <f>'SOUTH-2'!F176</f>
        <v>1</v>
      </c>
      <c r="G857" s="791">
        <f>'SOUTH-2'!G176</f>
        <v>4382</v>
      </c>
      <c r="H857" s="791">
        <f>'SOUTH-2'!H176</f>
        <v>4382</v>
      </c>
      <c r="I857" s="791">
        <f>'SOUTH-2'!I176</f>
        <v>0</v>
      </c>
      <c r="J857" s="791">
        <f>'SOUTH-2'!J176</f>
        <v>60</v>
      </c>
      <c r="K857" s="791">
        <f>'SOUTH-2'!K176</f>
        <v>0</v>
      </c>
      <c r="L857" s="791">
        <f>'SOUTH-2'!L176</f>
        <v>0</v>
      </c>
      <c r="M857" s="791">
        <f>'SOUTH-2'!M176</f>
        <v>0</v>
      </c>
      <c r="N857" s="2019" t="str">
        <f>'SOUTH-2'!N176</f>
        <v>Motijheel</v>
      </c>
      <c r="O857" s="2019" t="str">
        <f>Sheet2!$C$75</f>
        <v>Motijheel old 33/11 kV</v>
      </c>
    </row>
    <row r="858" spans="1:15" x14ac:dyDescent="0.35">
      <c r="A858" s="2019">
        <f>'SOUTH-2'!A177</f>
        <v>12</v>
      </c>
      <c r="B858" s="2019" t="str">
        <f>'SOUTH-2'!B177</f>
        <v>11kV Sonali Bank</v>
      </c>
      <c r="C858" s="2019">
        <f>'SOUTH-2'!C177</f>
        <v>11</v>
      </c>
      <c r="D858" s="2019">
        <f>'SOUTH-2'!D177</f>
        <v>0</v>
      </c>
      <c r="E858" s="2019" t="str">
        <f>'SOUTH-2'!E177</f>
        <v>DHK95753</v>
      </c>
      <c r="F858" s="791">
        <f>'SOUTH-2'!F177</f>
        <v>1</v>
      </c>
      <c r="G858" s="791">
        <f>'SOUTH-2'!G177</f>
        <v>30895</v>
      </c>
      <c r="H858" s="791">
        <f>'SOUTH-2'!H177</f>
        <v>31996</v>
      </c>
      <c r="I858" s="791">
        <f>'SOUTH-2'!I177</f>
        <v>1101</v>
      </c>
      <c r="J858" s="791">
        <f>'SOUTH-2'!J177</f>
        <v>60</v>
      </c>
      <c r="K858" s="791">
        <f>'SOUTH-2'!K177</f>
        <v>0</v>
      </c>
      <c r="L858" s="791">
        <f>'SOUTH-2'!L177</f>
        <v>66060</v>
      </c>
      <c r="M858" s="791">
        <f>'SOUTH-2'!M177</f>
        <v>0</v>
      </c>
      <c r="N858" s="2019" t="str">
        <f>'SOUTH-2'!N177</f>
        <v>Motijheel</v>
      </c>
      <c r="O858" s="2019" t="str">
        <f>Sheet2!$C$75</f>
        <v>Motijheel old 33/11 kV</v>
      </c>
    </row>
    <row r="859" spans="1:15" x14ac:dyDescent="0.35">
      <c r="A859" s="2019">
        <f>'SOUTH-2'!A178</f>
        <v>15</v>
      </c>
      <c r="B859" s="2019" t="str">
        <f>'SOUTH-2'!B178</f>
        <v>11kV NCC Bank Feeder</v>
      </c>
      <c r="C859" s="2019">
        <f>'SOUTH-2'!C178</f>
        <v>11</v>
      </c>
      <c r="D859" s="2019">
        <f>'SOUTH-2'!D178</f>
        <v>0</v>
      </c>
      <c r="E859" s="2019" t="str">
        <f>'SOUTH-2'!E178</f>
        <v>DHK68123</v>
      </c>
      <c r="F859" s="791">
        <f>'SOUTH-2'!F178</f>
        <v>1</v>
      </c>
      <c r="G859" s="791">
        <f>'SOUTH-2'!G178</f>
        <v>293.8</v>
      </c>
      <c r="H859" s="791">
        <f>'SOUTH-2'!H178</f>
        <v>296.3</v>
      </c>
      <c r="I859" s="791">
        <f>'SOUTH-2'!I178</f>
        <v>2.5</v>
      </c>
      <c r="J859" s="791">
        <f>'SOUTH-2'!J178</f>
        <v>60000</v>
      </c>
      <c r="K859" s="791">
        <f>'SOUTH-2'!K178</f>
        <v>0</v>
      </c>
      <c r="L859" s="791">
        <f>'SOUTH-2'!L178</f>
        <v>150000</v>
      </c>
      <c r="M859" s="791">
        <f>'SOUTH-2'!M178</f>
        <v>0</v>
      </c>
      <c r="N859" s="2019" t="str">
        <f>'SOUTH-2'!N178</f>
        <v>Motijheel</v>
      </c>
      <c r="O859" s="2019" t="str">
        <f>Sheet2!$C$75</f>
        <v>Motijheel old 33/11 kV</v>
      </c>
    </row>
    <row r="860" spans="1:15" x14ac:dyDescent="0.35">
      <c r="A860" s="2019">
        <f>'SOUTH-2'!A179</f>
        <v>16</v>
      </c>
      <c r="B860" s="2019" t="str">
        <f>'SOUTH-2'!B179</f>
        <v>11kV IFIC BANK Feeder</v>
      </c>
      <c r="C860" s="2019">
        <f>'SOUTH-2'!C179</f>
        <v>11</v>
      </c>
      <c r="D860" s="2019">
        <f>'SOUTH-2'!D179</f>
        <v>0</v>
      </c>
      <c r="E860" s="2019" t="str">
        <f>'SOUTH-2'!E179</f>
        <v>DHK68116</v>
      </c>
      <c r="F860" s="791">
        <f>'SOUTH-2'!F179</f>
        <v>1</v>
      </c>
      <c r="G860" s="791">
        <f>'SOUTH-2'!G179</f>
        <v>348.89</v>
      </c>
      <c r="H860" s="791">
        <f>'SOUTH-2'!H179</f>
        <v>350.51</v>
      </c>
      <c r="I860" s="791">
        <f>'SOUTH-2'!I179</f>
        <v>1.6200000000000045</v>
      </c>
      <c r="J860" s="791">
        <f>'SOUTH-2'!J179</f>
        <v>60000</v>
      </c>
      <c r="K860" s="791">
        <f>'SOUTH-2'!K179</f>
        <v>0</v>
      </c>
      <c r="L860" s="791">
        <f>'SOUTH-2'!L179</f>
        <v>97200.000000000276</v>
      </c>
      <c r="M860" s="791">
        <f>'SOUTH-2'!M179</f>
        <v>0</v>
      </c>
      <c r="N860" s="2019" t="str">
        <f>'SOUTH-2'!N179</f>
        <v>Ramna</v>
      </c>
      <c r="O860" s="2019" t="str">
        <f>Sheet2!$C$75</f>
        <v>Motijheel old 33/11 kV</v>
      </c>
    </row>
    <row r="861" spans="1:15" x14ac:dyDescent="0.35">
      <c r="A861" s="2019">
        <f>'SOUTH-2'!A180</f>
        <v>17</v>
      </c>
      <c r="B861" s="2019" t="str">
        <f>'SOUTH-2'!B180</f>
        <v>11kV Arambagh Feeder</v>
      </c>
      <c r="C861" s="2019">
        <f>'SOUTH-2'!C180</f>
        <v>11</v>
      </c>
      <c r="D861" s="2019">
        <f>'SOUTH-2'!D180</f>
        <v>0</v>
      </c>
      <c r="E861" s="2019" t="str">
        <f>'SOUTH-2'!E180</f>
        <v>DHK68117</v>
      </c>
      <c r="F861" s="791">
        <f>'SOUTH-2'!F180</f>
        <v>1</v>
      </c>
      <c r="G861" s="791">
        <f>'SOUTH-2'!G180</f>
        <v>3309.87</v>
      </c>
      <c r="H861" s="791">
        <f>'SOUTH-2'!H180</f>
        <v>3314</v>
      </c>
      <c r="I861" s="791">
        <f>'SOUTH-2'!I180</f>
        <v>4.1300000000001091</v>
      </c>
      <c r="J861" s="791">
        <f>'SOUTH-2'!J180</f>
        <v>60000</v>
      </c>
      <c r="K861" s="791">
        <f>'SOUTH-2'!K180</f>
        <v>0</v>
      </c>
      <c r="L861" s="791">
        <f>'SOUTH-2'!L180</f>
        <v>247800.00000000655</v>
      </c>
      <c r="M861" s="791">
        <f>'SOUTH-2'!M180</f>
        <v>0</v>
      </c>
      <c r="N861" s="2019" t="str">
        <f>'SOUTH-2'!N180</f>
        <v>Motijheel</v>
      </c>
      <c r="O861" s="2019" t="str">
        <f>Sheet2!$C$75</f>
        <v>Motijheel old 33/11 kV</v>
      </c>
    </row>
    <row r="862" spans="1:15" x14ac:dyDescent="0.35">
      <c r="A862" s="2019">
        <f>'SOUTH-2'!A181</f>
        <v>18</v>
      </c>
      <c r="B862" s="2019" t="str">
        <f>'SOUTH-2'!B181</f>
        <v>11kV Nikotborti Feeder</v>
      </c>
      <c r="C862" s="2019">
        <f>'SOUTH-2'!C181</f>
        <v>11</v>
      </c>
      <c r="D862" s="2019">
        <f>'SOUTH-2'!D181</f>
        <v>0</v>
      </c>
      <c r="E862" s="2019" t="str">
        <f>'SOUTH-2'!E181</f>
        <v>DHK68114</v>
      </c>
      <c r="F862" s="791">
        <f>'SOUTH-2'!F181</f>
        <v>1</v>
      </c>
      <c r="G862" s="791">
        <f>'SOUTH-2'!G181</f>
        <v>1356.58</v>
      </c>
      <c r="H862" s="791">
        <f>'SOUTH-2'!H181</f>
        <v>1359.21</v>
      </c>
      <c r="I862" s="791">
        <f>'SOUTH-2'!I181</f>
        <v>2.6300000000001091</v>
      </c>
      <c r="J862" s="791">
        <f>'SOUTH-2'!J181</f>
        <v>60000</v>
      </c>
      <c r="K862" s="791">
        <f>'SOUTH-2'!K181</f>
        <v>0</v>
      </c>
      <c r="L862" s="791">
        <f>'SOUTH-2'!L181</f>
        <v>157800.00000000655</v>
      </c>
      <c r="M862" s="791">
        <f>'SOUTH-2'!M181</f>
        <v>0</v>
      </c>
      <c r="N862" s="2019" t="str">
        <f>'SOUTH-2'!N181</f>
        <v>Motijheel</v>
      </c>
      <c r="O862" s="2019" t="str">
        <f>Sheet2!$C$75</f>
        <v>Motijheel old 33/11 kV</v>
      </c>
    </row>
    <row r="863" spans="1:15" x14ac:dyDescent="0.35">
      <c r="A863" s="2019">
        <f>'SOUTH-2'!A182</f>
        <v>19</v>
      </c>
      <c r="B863" s="2019" t="str">
        <f>'SOUTH-2'!B182</f>
        <v>11kV Agrani Bank Feeder</v>
      </c>
      <c r="C863" s="2019">
        <f>'SOUTH-2'!C182</f>
        <v>11</v>
      </c>
      <c r="D863" s="2019">
        <f>'SOUTH-2'!D182</f>
        <v>0</v>
      </c>
      <c r="E863" s="2019" t="str">
        <f>'SOUTH-2'!E182</f>
        <v>DHK95756</v>
      </c>
      <c r="F863" s="791">
        <f>'SOUTH-2'!F182</f>
        <v>1</v>
      </c>
      <c r="G863" s="791">
        <f>'SOUTH-2'!G182</f>
        <v>342865</v>
      </c>
      <c r="H863" s="791">
        <f>'SOUTH-2'!H182</f>
        <v>344722</v>
      </c>
      <c r="I863" s="791">
        <f>'SOUTH-2'!I182</f>
        <v>1857</v>
      </c>
      <c r="J863" s="791">
        <f>'SOUTH-2'!J182</f>
        <v>60</v>
      </c>
      <c r="K863" s="791">
        <f>'SOUTH-2'!K182</f>
        <v>0</v>
      </c>
      <c r="L863" s="791">
        <f>'SOUTH-2'!L182</f>
        <v>111420</v>
      </c>
      <c r="M863" s="791">
        <f>'SOUTH-2'!M182</f>
        <v>0</v>
      </c>
      <c r="N863" s="2019" t="str">
        <f>'SOUTH-2'!N182</f>
        <v>Motijheel</v>
      </c>
      <c r="O863" s="2019" t="str">
        <f>Sheet2!$C$75</f>
        <v>Motijheel old 33/11 kV</v>
      </c>
    </row>
    <row r="864" spans="1:15" x14ac:dyDescent="0.35">
      <c r="A864" s="2019">
        <f>'SOUTH-2'!A183</f>
        <v>20</v>
      </c>
      <c r="B864" s="2019" t="str">
        <f>'SOUTH-2'!B183</f>
        <v>11kV  Bangladesh Bank-2</v>
      </c>
      <c r="C864" s="2019">
        <f>'SOUTH-2'!C183</f>
        <v>11</v>
      </c>
      <c r="D864" s="2019">
        <f>'SOUTH-2'!D183</f>
        <v>0</v>
      </c>
      <c r="E864" s="2019" t="str">
        <f>'SOUTH-2'!E183</f>
        <v>DHK95755</v>
      </c>
      <c r="F864" s="791">
        <f>'SOUTH-2'!F183</f>
        <v>1</v>
      </c>
      <c r="G864" s="791">
        <f>'SOUTH-2'!G183</f>
        <v>511</v>
      </c>
      <c r="H864" s="791">
        <f>'SOUTH-2'!H183</f>
        <v>520</v>
      </c>
      <c r="I864" s="791">
        <f>'SOUTH-2'!I183</f>
        <v>9</v>
      </c>
      <c r="J864" s="791">
        <f>'SOUTH-2'!J183</f>
        <v>60000</v>
      </c>
      <c r="K864" s="791">
        <f>'SOUTH-2'!K183</f>
        <v>0</v>
      </c>
      <c r="L864" s="791">
        <f>'SOUTH-2'!L183</f>
        <v>540000</v>
      </c>
      <c r="M864" s="791">
        <f>'SOUTH-2'!M183</f>
        <v>0</v>
      </c>
      <c r="N864" s="2019" t="str">
        <f>'SOUTH-2'!N183</f>
        <v>Motijheel</v>
      </c>
      <c r="O864" s="2019" t="str">
        <f>Sheet2!$C$75</f>
        <v>Motijheel old 33/11 kV</v>
      </c>
    </row>
    <row r="865" spans="1:15" x14ac:dyDescent="0.35">
      <c r="A865" s="2019">
        <f>'SOUTH-2'!A184</f>
        <v>21</v>
      </c>
      <c r="B865" s="2019" t="str">
        <f>'SOUTH-2'!B184</f>
        <v>11kV PDB Design Feeder 14</v>
      </c>
      <c r="C865" s="2019">
        <f>'SOUTH-2'!C184</f>
        <v>11</v>
      </c>
      <c r="D865" s="2019">
        <f>'SOUTH-2'!D184</f>
        <v>0</v>
      </c>
      <c r="E865" s="2019" t="str">
        <f>'SOUTH-2'!E184</f>
        <v>DHK95747</v>
      </c>
      <c r="F865" s="791">
        <f>'SOUTH-2'!F184</f>
        <v>1</v>
      </c>
      <c r="G865" s="791">
        <f>'SOUTH-2'!G184</f>
        <v>44960</v>
      </c>
      <c r="H865" s="791">
        <f>'SOUTH-2'!H184</f>
        <v>44960</v>
      </c>
      <c r="I865" s="791">
        <f>'SOUTH-2'!I184</f>
        <v>0</v>
      </c>
      <c r="J865" s="791">
        <f>'SOUTH-2'!J184</f>
        <v>60</v>
      </c>
      <c r="K865" s="791">
        <f>'SOUTH-2'!K184</f>
        <v>0</v>
      </c>
      <c r="L865" s="791">
        <f>'SOUTH-2'!L184</f>
        <v>0</v>
      </c>
      <c r="M865" s="791">
        <f>'SOUTH-2'!M184</f>
        <v>0</v>
      </c>
      <c r="N865" s="2019" t="str">
        <f>'SOUTH-2'!N184</f>
        <v>Motijheel</v>
      </c>
      <c r="O865" s="2019" t="str">
        <f>Sheet2!$C$75</f>
        <v>Motijheel old 33/11 kV</v>
      </c>
    </row>
    <row r="866" spans="1:15" x14ac:dyDescent="0.35">
      <c r="A866" s="2019">
        <f>'SOUTH-2'!A185</f>
        <v>22</v>
      </c>
      <c r="B866" s="2019" t="str">
        <f>'SOUTH-2'!B185</f>
        <v>11kV Bangabhaban-2</v>
      </c>
      <c r="C866" s="2019">
        <f>'SOUTH-2'!C185</f>
        <v>11</v>
      </c>
      <c r="D866" s="2019">
        <f>'SOUTH-2'!D185</f>
        <v>0</v>
      </c>
      <c r="E866" s="2019" t="str">
        <f>'SOUTH-2'!E185</f>
        <v>DHK86056</v>
      </c>
      <c r="F866" s="791">
        <f>'SOUTH-2'!F185</f>
        <v>1</v>
      </c>
      <c r="G866" s="791">
        <f>'SOUTH-2'!G185</f>
        <v>4.09</v>
      </c>
      <c r="H866" s="791">
        <f>'SOUTH-2'!H185</f>
        <v>4.09</v>
      </c>
      <c r="I866" s="791">
        <f>'SOUTH-2'!I185</f>
        <v>0</v>
      </c>
      <c r="J866" s="791">
        <f>'SOUTH-2'!J185</f>
        <v>60000</v>
      </c>
      <c r="K866" s="791">
        <f>'SOUTH-2'!K185</f>
        <v>0</v>
      </c>
      <c r="L866" s="791">
        <f>'SOUTH-2'!L185</f>
        <v>0</v>
      </c>
      <c r="M866" s="791">
        <f>'SOUTH-2'!M185</f>
        <v>0</v>
      </c>
      <c r="N866" s="2019" t="str">
        <f>'SOUTH-2'!N185</f>
        <v>Motijheel</v>
      </c>
      <c r="O866" s="2019" t="str">
        <f>Sheet2!$C$75</f>
        <v>Motijheel old 33/11 kV</v>
      </c>
    </row>
    <row r="867" spans="1:15" x14ac:dyDescent="0.35">
      <c r="A867" s="2019">
        <f>'SOUTH-2'!A186</f>
        <v>23</v>
      </c>
      <c r="B867" s="2019" t="str">
        <f>'SOUTH-2'!B186</f>
        <v>11/0.4 kV AT</v>
      </c>
      <c r="C867" s="2019">
        <f>'SOUTH-2'!C186</f>
        <v>0.4</v>
      </c>
      <c r="D867" s="2019">
        <f>'SOUTH-2'!D186</f>
        <v>0</v>
      </c>
      <c r="E867" s="2019" t="str">
        <f>'SOUTH-2'!E186</f>
        <v>ELIC5429</v>
      </c>
      <c r="F867" s="791">
        <f>'SOUTH-2'!F186</f>
        <v>1</v>
      </c>
      <c r="G867" s="791">
        <f>'SOUTH-2'!G186</f>
        <v>380344</v>
      </c>
      <c r="H867" s="791">
        <f>'SOUTH-2'!H186</f>
        <v>383194</v>
      </c>
      <c r="I867" s="791">
        <f>'SOUTH-2'!I186</f>
        <v>2850</v>
      </c>
      <c r="J867" s="791">
        <f>'SOUTH-2'!J186</f>
        <v>1</v>
      </c>
      <c r="K867" s="791">
        <f>'SOUTH-2'!K186</f>
        <v>0</v>
      </c>
      <c r="L867" s="791">
        <f>'SOUTH-2'!L186</f>
        <v>2850</v>
      </c>
      <c r="M867" s="791">
        <f>'SOUTH-2'!M186</f>
        <v>0</v>
      </c>
      <c r="N867" s="2019" t="str">
        <f>'SOUTH-2'!N186</f>
        <v>Motijheel</v>
      </c>
      <c r="O867" s="2019" t="str">
        <f>Sheet2!$C$75</f>
        <v>Motijheel old 33/11 kV</v>
      </c>
    </row>
    <row r="868" spans="1:15" x14ac:dyDescent="0.35">
      <c r="A868" s="2019">
        <f>'SOUTH-2'!A301</f>
        <v>2</v>
      </c>
      <c r="B868" s="2019" t="str">
        <f>'SOUTH-2'!B301</f>
        <v>11 kV Central Weman</v>
      </c>
      <c r="C868" s="2019">
        <f>'SOUTH-2'!C301</f>
        <v>11</v>
      </c>
      <c r="D868" s="2019">
        <f>'SOUTH-2'!D301</f>
        <v>0</v>
      </c>
      <c r="E868" s="2019">
        <f>'SOUTH-2'!E301</f>
        <v>41812909492</v>
      </c>
      <c r="F868" s="791">
        <f>'SOUTH-2'!F301</f>
        <v>1</v>
      </c>
      <c r="G868" s="791">
        <f>'SOUTH-2'!G301</f>
        <v>83.99</v>
      </c>
      <c r="H868" s="791">
        <f>'SOUTH-2'!H301</f>
        <v>89.58</v>
      </c>
      <c r="I868" s="791">
        <f>'SOUTH-2'!I301</f>
        <v>5.5900000000000034</v>
      </c>
      <c r="J868" s="791">
        <f>'SOUTH-2'!J301</f>
        <v>60000</v>
      </c>
      <c r="K868" s="791">
        <f>'SOUTH-2'!K301</f>
        <v>0</v>
      </c>
      <c r="L868" s="791">
        <f>'SOUTH-2'!L301</f>
        <v>335400.00000000023</v>
      </c>
      <c r="M868" s="791">
        <f>'SOUTH-2'!M301</f>
        <v>0</v>
      </c>
      <c r="N868" s="2019" t="str">
        <f>'SOUTH-2'!N301</f>
        <v>Motijheel</v>
      </c>
      <c r="O868" s="2019" t="str">
        <f>Sheet2!$C$86</f>
        <v>Motijheel 33/11 KV SS (new)</v>
      </c>
    </row>
    <row r="869" spans="1:15" x14ac:dyDescent="0.35">
      <c r="A869" s="2019">
        <f>'SOUTH-2'!A302</f>
        <v>3</v>
      </c>
      <c r="B869" s="2019" t="str">
        <f>'SOUTH-2'!B302</f>
        <v>11 kV Spare Feeder 2</v>
      </c>
      <c r="C869" s="2019">
        <f>'SOUTH-2'!C302</f>
        <v>11</v>
      </c>
      <c r="D869" s="2019">
        <f>'SOUTH-2'!D302</f>
        <v>0</v>
      </c>
      <c r="E869" s="2019">
        <f>'SOUTH-2'!E302</f>
        <v>41812909500</v>
      </c>
      <c r="F869" s="791">
        <f>'SOUTH-2'!F302</f>
        <v>1</v>
      </c>
      <c r="G869" s="791">
        <f>'SOUTH-2'!G302</f>
        <v>0.01</v>
      </c>
      <c r="H869" s="791">
        <f>'SOUTH-2'!H302</f>
        <v>0.01</v>
      </c>
      <c r="I869" s="791">
        <f>'SOUTH-2'!I302</f>
        <v>0</v>
      </c>
      <c r="J869" s="791">
        <f>'SOUTH-2'!J302</f>
        <v>60000</v>
      </c>
      <c r="K869" s="791">
        <f>'SOUTH-2'!K302</f>
        <v>0</v>
      </c>
      <c r="L869" s="791">
        <f>'SOUTH-2'!L302</f>
        <v>0</v>
      </c>
      <c r="M869" s="791">
        <f>'SOUTH-2'!M302</f>
        <v>0</v>
      </c>
      <c r="N869" s="2019">
        <f>'SOUTH-2'!N302</f>
        <v>0</v>
      </c>
      <c r="O869" s="2019" t="str">
        <f>Sheet2!$C$86</f>
        <v>Motijheel 33/11 KV SS (new)</v>
      </c>
    </row>
    <row r="870" spans="1:15" x14ac:dyDescent="0.35">
      <c r="A870" s="2019">
        <f>'SOUTH-2'!A303</f>
        <v>4</v>
      </c>
      <c r="B870" s="2019" t="str">
        <f>'SOUTH-2'!B303</f>
        <v>11 kV K. M. Das Len</v>
      </c>
      <c r="C870" s="2019">
        <f>'SOUTH-2'!C303</f>
        <v>11</v>
      </c>
      <c r="D870" s="2019">
        <f>'SOUTH-2'!D303</f>
        <v>0</v>
      </c>
      <c r="E870" s="2019">
        <f>'SOUTH-2'!E303</f>
        <v>41812909499</v>
      </c>
      <c r="F870" s="791">
        <f>'SOUTH-2'!F303</f>
        <v>1</v>
      </c>
      <c r="G870" s="791">
        <f>'SOUTH-2'!G303</f>
        <v>145.78</v>
      </c>
      <c r="H870" s="791">
        <f>'SOUTH-2'!H303</f>
        <v>155.41</v>
      </c>
      <c r="I870" s="791">
        <f>'SOUTH-2'!I303</f>
        <v>9.6299999999999955</v>
      </c>
      <c r="J870" s="791">
        <f>'SOUTH-2'!J303</f>
        <v>60000</v>
      </c>
      <c r="K870" s="791">
        <f>'SOUTH-2'!K303</f>
        <v>0</v>
      </c>
      <c r="L870" s="791">
        <f>'SOUTH-2'!L303</f>
        <v>577799.99999999977</v>
      </c>
      <c r="M870" s="791">
        <f>'SOUTH-2'!M303</f>
        <v>0</v>
      </c>
      <c r="N870" s="2019" t="str">
        <f>'SOUTH-2'!N303</f>
        <v>Swamibag</v>
      </c>
      <c r="O870" s="2019" t="str">
        <f>Sheet2!$C$86</f>
        <v>Motijheel 33/11 KV SS (new)</v>
      </c>
    </row>
    <row r="871" spans="1:15" x14ac:dyDescent="0.35">
      <c r="A871" s="2019">
        <f>'SOUTH-2'!A304</f>
        <v>5</v>
      </c>
      <c r="B871" s="2019" t="str">
        <f>'SOUTH-2'!B304</f>
        <v>11 kV Gopibag</v>
      </c>
      <c r="C871" s="2019">
        <f>'SOUTH-2'!C304</f>
        <v>11</v>
      </c>
      <c r="D871" s="2019">
        <f>'SOUTH-2'!D304</f>
        <v>0</v>
      </c>
      <c r="E871" s="2019">
        <f>'SOUTH-2'!E304</f>
        <v>41812909517</v>
      </c>
      <c r="F871" s="791">
        <f>'SOUTH-2'!F304</f>
        <v>1</v>
      </c>
      <c r="G871" s="791">
        <f>'SOUTH-2'!G304</f>
        <v>20.45</v>
      </c>
      <c r="H871" s="791">
        <f>'SOUTH-2'!H304</f>
        <v>21.83</v>
      </c>
      <c r="I871" s="791">
        <f>'SOUTH-2'!I304</f>
        <v>1.379999999999999</v>
      </c>
      <c r="J871" s="791">
        <f>'SOUTH-2'!J304</f>
        <v>60000</v>
      </c>
      <c r="K871" s="791">
        <f>'SOUTH-2'!K304</f>
        <v>0</v>
      </c>
      <c r="L871" s="791">
        <f>'SOUTH-2'!L304</f>
        <v>82799.999999999942</v>
      </c>
      <c r="M871" s="791">
        <f>'SOUTH-2'!M304</f>
        <v>0</v>
      </c>
      <c r="N871" s="2019" t="str">
        <f>'SOUTH-2'!N304</f>
        <v>Motijheel</v>
      </c>
      <c r="O871" s="2019" t="str">
        <f>Sheet2!$C$86</f>
        <v>Motijheel 33/11 KV SS (new)</v>
      </c>
    </row>
    <row r="872" spans="1:15" x14ac:dyDescent="0.35">
      <c r="A872" s="2019">
        <f>'SOUTH-2'!A305</f>
        <v>6</v>
      </c>
      <c r="B872" s="2019" t="str">
        <f>'SOUTH-2'!B305</f>
        <v>11kV SPICE TV</v>
      </c>
      <c r="C872" s="2019">
        <f>'SOUTH-2'!C305</f>
        <v>11</v>
      </c>
      <c r="D872" s="2019">
        <f>'SOUTH-2'!D305</f>
        <v>0</v>
      </c>
      <c r="E872" s="2019">
        <f>'SOUTH-2'!E305</f>
        <v>41812909518</v>
      </c>
      <c r="F872" s="791">
        <f>'SOUTH-2'!F305</f>
        <v>1</v>
      </c>
      <c r="G872" s="791">
        <f>'SOUTH-2'!G305</f>
        <v>0.04</v>
      </c>
      <c r="H872" s="791">
        <f>'SOUTH-2'!H305</f>
        <v>0.04</v>
      </c>
      <c r="I872" s="791">
        <f>'SOUTH-2'!I305</f>
        <v>0.02</v>
      </c>
      <c r="J872" s="791">
        <f>'SOUTH-2'!J305</f>
        <v>60000</v>
      </c>
      <c r="K872" s="791">
        <f>'SOUTH-2'!K305</f>
        <v>0</v>
      </c>
      <c r="L872" s="791">
        <f>'SOUTH-2'!L305</f>
        <v>1200</v>
      </c>
      <c r="M872" s="791">
        <f>'SOUTH-2'!M305</f>
        <v>0</v>
      </c>
      <c r="N872" s="2019" t="str">
        <f>'SOUTH-2'!N305</f>
        <v>Narinda</v>
      </c>
      <c r="O872" s="2019" t="str">
        <f>Sheet2!$C$86</f>
        <v>Motijheel 33/11 KV SS (new)</v>
      </c>
    </row>
    <row r="873" spans="1:15" x14ac:dyDescent="0.35">
      <c r="A873" s="2019">
        <f>'SOUTH-2'!A306</f>
        <v>7</v>
      </c>
      <c r="B873" s="2019" t="str">
        <f>'SOUTH-2'!B306</f>
        <v>11 kV Spare Feeder 6</v>
      </c>
      <c r="C873" s="2019">
        <f>'SOUTH-2'!C306</f>
        <v>11</v>
      </c>
      <c r="D873" s="2019">
        <f>'SOUTH-2'!D306</f>
        <v>0</v>
      </c>
      <c r="E873" s="2019">
        <f>'SOUTH-2'!E306</f>
        <v>41812909485</v>
      </c>
      <c r="F873" s="791">
        <f>'SOUTH-2'!F306</f>
        <v>1</v>
      </c>
      <c r="G873" s="791">
        <f>'SOUTH-2'!G306</f>
        <v>0.02</v>
      </c>
      <c r="H873" s="791">
        <f>'SOUTH-2'!H306</f>
        <v>0.02</v>
      </c>
      <c r="I873" s="791">
        <f>'SOUTH-2'!I306</f>
        <v>0</v>
      </c>
      <c r="J873" s="791">
        <f>'SOUTH-2'!J306</f>
        <v>60000</v>
      </c>
      <c r="K873" s="791">
        <f>'SOUTH-2'!K306</f>
        <v>0</v>
      </c>
      <c r="L873" s="791">
        <f>'SOUTH-2'!L306</f>
        <v>0</v>
      </c>
      <c r="M873" s="791">
        <f>'SOUTH-2'!M306</f>
        <v>0</v>
      </c>
      <c r="N873" s="2019">
        <f>'SOUTH-2'!N306</f>
        <v>0</v>
      </c>
      <c r="O873" s="2019" t="str">
        <f>Sheet2!$C$86</f>
        <v>Motijheel 33/11 KV SS (new)</v>
      </c>
    </row>
    <row r="874" spans="1:15" x14ac:dyDescent="0.35">
      <c r="A874" s="2019">
        <f>'SOUTH-2'!A307</f>
        <v>8</v>
      </c>
      <c r="B874" s="2019" t="str">
        <f>'SOUTH-2'!B307</f>
        <v>11 kV Spare Feeder 7</v>
      </c>
      <c r="C874" s="2019">
        <f>'SOUTH-2'!C307</f>
        <v>11</v>
      </c>
      <c r="D874" s="2019">
        <f>'SOUTH-2'!D307</f>
        <v>0</v>
      </c>
      <c r="E874" s="2019">
        <f>'SOUTH-2'!E307</f>
        <v>41812909484</v>
      </c>
      <c r="F874" s="791">
        <f>'SOUTH-2'!F307</f>
        <v>1</v>
      </c>
      <c r="G874" s="791">
        <f>'SOUTH-2'!G307</f>
        <v>7.0000000000000007E-2</v>
      </c>
      <c r="H874" s="791">
        <f>'SOUTH-2'!H307</f>
        <v>7.0000000000000007E-2</v>
      </c>
      <c r="I874" s="791">
        <f>'SOUTH-2'!I307</f>
        <v>0</v>
      </c>
      <c r="J874" s="791">
        <f>'SOUTH-2'!J307</f>
        <v>60000</v>
      </c>
      <c r="K874" s="791">
        <f>'SOUTH-2'!K307</f>
        <v>0</v>
      </c>
      <c r="L874" s="791">
        <f>'SOUTH-2'!L307</f>
        <v>0</v>
      </c>
      <c r="M874" s="791">
        <f>'SOUTH-2'!M307</f>
        <v>0</v>
      </c>
      <c r="N874" s="2019">
        <f>'SOUTH-2'!N307</f>
        <v>0</v>
      </c>
      <c r="O874" s="2019" t="str">
        <f>Sheet2!$C$86</f>
        <v>Motijheel 33/11 KV SS (new)</v>
      </c>
    </row>
    <row r="875" spans="1:15" x14ac:dyDescent="0.35">
      <c r="A875" s="2019">
        <f>'SOUTH-2'!A308</f>
        <v>9</v>
      </c>
      <c r="B875" s="2019" t="str">
        <f>'SOUTH-2'!B308</f>
        <v>11 kV BPT-1</v>
      </c>
      <c r="C875" s="2019">
        <f>'SOUTH-2'!C308</f>
        <v>11</v>
      </c>
      <c r="D875" s="2019">
        <f>'SOUTH-2'!D308</f>
        <v>0</v>
      </c>
      <c r="E875" s="2019">
        <f>'SOUTH-2'!E308</f>
        <v>41812909551</v>
      </c>
      <c r="F875" s="791">
        <f>'SOUTH-2'!F308</f>
        <v>1</v>
      </c>
      <c r="G875" s="791">
        <f>'SOUTH-2'!G308</f>
        <v>0.02</v>
      </c>
      <c r="H875" s="791">
        <f>'SOUTH-2'!H308</f>
        <v>0.02</v>
      </c>
      <c r="I875" s="791">
        <f>'SOUTH-2'!I308</f>
        <v>0</v>
      </c>
      <c r="J875" s="791">
        <f>'SOUTH-2'!J308</f>
        <v>60000</v>
      </c>
      <c r="K875" s="791">
        <f>'SOUTH-2'!K308</f>
        <v>0</v>
      </c>
      <c r="L875" s="791">
        <f>'SOUTH-2'!L308</f>
        <v>0</v>
      </c>
      <c r="M875" s="791">
        <f>'SOUTH-2'!M308</f>
        <v>0</v>
      </c>
      <c r="N875" s="2019">
        <f>'SOUTH-2'!N308</f>
        <v>0</v>
      </c>
      <c r="O875" s="2019" t="str">
        <f>Sheet2!$C$86</f>
        <v>Motijheel 33/11 KV SS (new)</v>
      </c>
    </row>
    <row r="876" spans="1:15" x14ac:dyDescent="0.35">
      <c r="A876" s="2019">
        <f>'SOUTH-2'!A309</f>
        <v>10</v>
      </c>
      <c r="B876" s="2019" t="str">
        <f>'SOUTH-2'!B309</f>
        <v>11 kV BPT-2</v>
      </c>
      <c r="C876" s="2019">
        <f>'SOUTH-2'!C309</f>
        <v>11</v>
      </c>
      <c r="D876" s="2019">
        <f>'SOUTH-2'!D309</f>
        <v>0</v>
      </c>
      <c r="E876" s="2019">
        <f>'SOUTH-2'!E309</f>
        <v>41812909475</v>
      </c>
      <c r="F876" s="791">
        <f>'SOUTH-2'!F309</f>
        <v>1</v>
      </c>
      <c r="G876" s="791">
        <f>'SOUTH-2'!G309</f>
        <v>0.01</v>
      </c>
      <c r="H876" s="791">
        <f>'SOUTH-2'!H309</f>
        <v>0.01</v>
      </c>
      <c r="I876" s="791">
        <f>'SOUTH-2'!I309</f>
        <v>0</v>
      </c>
      <c r="J876" s="791">
        <f>'SOUTH-2'!J309</f>
        <v>60000</v>
      </c>
      <c r="K876" s="791">
        <f>'SOUTH-2'!K309</f>
        <v>0</v>
      </c>
      <c r="L876" s="791">
        <f>'SOUTH-2'!L309</f>
        <v>0</v>
      </c>
      <c r="M876" s="791">
        <f>'SOUTH-2'!M309</f>
        <v>0</v>
      </c>
      <c r="N876" s="2019">
        <f>'SOUTH-2'!N309</f>
        <v>0</v>
      </c>
      <c r="O876" s="2019" t="str">
        <f>Sheet2!$C$86</f>
        <v>Motijheel 33/11 KV SS (new)</v>
      </c>
    </row>
    <row r="877" spans="1:15" x14ac:dyDescent="0.35">
      <c r="A877" s="2019">
        <f>'SOUTH-2'!A310</f>
        <v>11</v>
      </c>
      <c r="B877" s="2019" t="str">
        <f>'SOUTH-2'!B310</f>
        <v>10 kV Spare Feeder 8</v>
      </c>
      <c r="C877" s="2019">
        <f>'SOUTH-2'!C310</f>
        <v>11</v>
      </c>
      <c r="D877" s="2019">
        <f>'SOUTH-2'!D310</f>
        <v>0</v>
      </c>
      <c r="E877" s="2019">
        <f>'SOUTH-2'!E310</f>
        <v>41812909549</v>
      </c>
      <c r="F877" s="791">
        <f>'SOUTH-2'!F310</f>
        <v>1</v>
      </c>
      <c r="G877" s="791">
        <f>'SOUTH-2'!G310</f>
        <v>0.02</v>
      </c>
      <c r="H877" s="791">
        <f>'SOUTH-2'!H310</f>
        <v>0.02</v>
      </c>
      <c r="I877" s="791">
        <f>'SOUTH-2'!I310</f>
        <v>0</v>
      </c>
      <c r="J877" s="791">
        <f>'SOUTH-2'!J310</f>
        <v>60000</v>
      </c>
      <c r="K877" s="791">
        <f>'SOUTH-2'!K310</f>
        <v>0</v>
      </c>
      <c r="L877" s="791">
        <f>'SOUTH-2'!L310</f>
        <v>0</v>
      </c>
      <c r="M877" s="791">
        <f>'SOUTH-2'!M310</f>
        <v>0</v>
      </c>
      <c r="N877" s="2019">
        <f>'SOUTH-2'!N310</f>
        <v>0</v>
      </c>
      <c r="O877" s="2019" t="str">
        <f>Sheet2!$C$86</f>
        <v>Motijheel 33/11 KV SS (new)</v>
      </c>
    </row>
    <row r="878" spans="1:15" x14ac:dyDescent="0.35">
      <c r="A878" s="2019">
        <f>'SOUTH-2'!A311</f>
        <v>12</v>
      </c>
      <c r="B878" s="2019" t="str">
        <f>'SOUTH-2'!B311</f>
        <v>11 kV Spare Feeder 9</v>
      </c>
      <c r="C878" s="2019">
        <f>'SOUTH-2'!C311</f>
        <v>11</v>
      </c>
      <c r="D878" s="2019">
        <f>'SOUTH-2'!D311</f>
        <v>0</v>
      </c>
      <c r="E878" s="2019">
        <f>'SOUTH-2'!E311</f>
        <v>41812909550</v>
      </c>
      <c r="F878" s="791">
        <f>'SOUTH-2'!F311</f>
        <v>1</v>
      </c>
      <c r="G878" s="791">
        <f>'SOUTH-2'!G311</f>
        <v>0.01</v>
      </c>
      <c r="H878" s="791">
        <f>'SOUTH-2'!H311</f>
        <v>0.01</v>
      </c>
      <c r="I878" s="791">
        <f>'SOUTH-2'!I311</f>
        <v>0</v>
      </c>
      <c r="J878" s="791">
        <f>'SOUTH-2'!J311</f>
        <v>60000</v>
      </c>
      <c r="K878" s="791">
        <f>'SOUTH-2'!K311</f>
        <v>0</v>
      </c>
      <c r="L878" s="791">
        <f>'SOUTH-2'!L311</f>
        <v>0</v>
      </c>
      <c r="M878" s="791">
        <f>'SOUTH-2'!M311</f>
        <v>0</v>
      </c>
      <c r="N878" s="2019">
        <f>'SOUTH-2'!N311</f>
        <v>0</v>
      </c>
      <c r="O878" s="2019" t="str">
        <f>Sheet2!$C$86</f>
        <v>Motijheel 33/11 KV SS (new)</v>
      </c>
    </row>
    <row r="879" spans="1:15" x14ac:dyDescent="0.35">
      <c r="A879" s="2019">
        <f>'SOUTH-2'!A312</f>
        <v>13</v>
      </c>
      <c r="B879" s="2019" t="str">
        <f>'SOUTH-2'!B312</f>
        <v>11 kV South Kamlapur</v>
      </c>
      <c r="C879" s="2019">
        <f>'SOUTH-2'!C312</f>
        <v>11</v>
      </c>
      <c r="D879" s="2019">
        <f>'SOUTH-2'!D312</f>
        <v>0</v>
      </c>
      <c r="E879" s="2019">
        <f>'SOUTH-2'!E312</f>
        <v>41812909473</v>
      </c>
      <c r="F879" s="791">
        <f>'SOUTH-2'!F312</f>
        <v>1</v>
      </c>
      <c r="G879" s="791">
        <f>'SOUTH-2'!G312</f>
        <v>249.75</v>
      </c>
      <c r="H879" s="791">
        <f>'SOUTH-2'!H312</f>
        <v>270.45</v>
      </c>
      <c r="I879" s="791">
        <f>'SOUTH-2'!I312</f>
        <v>20.699999999999989</v>
      </c>
      <c r="J879" s="791">
        <f>'SOUTH-2'!J312</f>
        <v>60000</v>
      </c>
      <c r="K879" s="791">
        <f>'SOUTH-2'!K312</f>
        <v>0</v>
      </c>
      <c r="L879" s="791">
        <f>'SOUTH-2'!L312</f>
        <v>1241999.9999999993</v>
      </c>
      <c r="M879" s="791">
        <f>'SOUTH-2'!M312</f>
        <v>0</v>
      </c>
      <c r="N879" s="2019" t="str">
        <f>'SOUTH-2'!N312</f>
        <v>Motijheel</v>
      </c>
      <c r="O879" s="2019" t="str">
        <f>Sheet2!$C$86</f>
        <v>Motijheel 33/11 KV SS (new)</v>
      </c>
    </row>
    <row r="880" spans="1:15" x14ac:dyDescent="0.35">
      <c r="A880" s="2019">
        <f>'SOUTH-2'!A313</f>
        <v>14</v>
      </c>
      <c r="B880" s="2019" t="str">
        <f>'SOUTH-2'!B313</f>
        <v>11 kV Spare Feeder 11</v>
      </c>
      <c r="C880" s="2019">
        <f>'SOUTH-2'!C313</f>
        <v>11</v>
      </c>
      <c r="D880" s="2019">
        <f>'SOUTH-2'!D313</f>
        <v>0</v>
      </c>
      <c r="E880" s="2019">
        <f>'SOUTH-2'!E313</f>
        <v>41812909588</v>
      </c>
      <c r="F880" s="791">
        <f>'SOUTH-2'!F313</f>
        <v>1</v>
      </c>
      <c r="G880" s="791">
        <f>'SOUTH-2'!G313</f>
        <v>0.01</v>
      </c>
      <c r="H880" s="791">
        <f>'SOUTH-2'!H313</f>
        <v>0.01</v>
      </c>
      <c r="I880" s="791">
        <f>'SOUTH-2'!I313</f>
        <v>0</v>
      </c>
      <c r="J880" s="791">
        <f>'SOUTH-2'!J313</f>
        <v>60000</v>
      </c>
      <c r="K880" s="791">
        <f>'SOUTH-2'!K313</f>
        <v>0</v>
      </c>
      <c r="L880" s="791">
        <f>'SOUTH-2'!L313</f>
        <v>0</v>
      </c>
      <c r="M880" s="791">
        <f>'SOUTH-2'!M313</f>
        <v>0</v>
      </c>
      <c r="N880" s="2019">
        <f>'SOUTH-2'!N313</f>
        <v>0</v>
      </c>
      <c r="O880" s="2019" t="str">
        <f>Sheet2!$C$86</f>
        <v>Motijheel 33/11 KV SS (new)</v>
      </c>
    </row>
    <row r="881" spans="1:15" x14ac:dyDescent="0.35">
      <c r="A881" s="2019">
        <f>'SOUTH-2'!A314</f>
        <v>15</v>
      </c>
      <c r="B881" s="2019" t="str">
        <f>'SOUTH-2'!B314</f>
        <v>11 kV Answer Camp</v>
      </c>
      <c r="C881" s="2019">
        <f>'SOUTH-2'!C314</f>
        <v>11</v>
      </c>
      <c r="D881" s="2019">
        <f>'SOUTH-2'!D314</f>
        <v>0</v>
      </c>
      <c r="E881" s="2019">
        <f>'SOUTH-2'!E314</f>
        <v>41812909514</v>
      </c>
      <c r="F881" s="791">
        <f>'SOUTH-2'!F314</f>
        <v>1</v>
      </c>
      <c r="G881" s="791">
        <f>'SOUTH-2'!G314</f>
        <v>99.71</v>
      </c>
      <c r="H881" s="791">
        <f>'SOUTH-2'!H314</f>
        <v>106.64</v>
      </c>
      <c r="I881" s="791">
        <f>'SOUTH-2'!I314</f>
        <v>6.9300000000000068</v>
      </c>
      <c r="J881" s="791">
        <f>'SOUTH-2'!J314</f>
        <v>60000</v>
      </c>
      <c r="K881" s="791">
        <f>'SOUTH-2'!K314</f>
        <v>0</v>
      </c>
      <c r="L881" s="791">
        <f>'SOUTH-2'!L314</f>
        <v>415800.00000000041</v>
      </c>
      <c r="M881" s="791">
        <f>'SOUTH-2'!M314</f>
        <v>0</v>
      </c>
      <c r="N881" s="2019" t="str">
        <f>'SOUTH-2'!N314</f>
        <v>Motijheel</v>
      </c>
      <c r="O881" s="2019" t="str">
        <f>Sheet2!$C$86</f>
        <v>Motijheel 33/11 KV SS (new)</v>
      </c>
    </row>
    <row r="882" spans="1:15" x14ac:dyDescent="0.35">
      <c r="A882" s="2019">
        <f>'SOUTH-2'!A315</f>
        <v>16</v>
      </c>
      <c r="B882" s="2019" t="str">
        <f>'SOUTH-2'!B315</f>
        <v>11 kV Shapla Chattar</v>
      </c>
      <c r="C882" s="2019">
        <f>'SOUTH-2'!C315</f>
        <v>11</v>
      </c>
      <c r="D882" s="2019">
        <f>'SOUTH-2'!D315</f>
        <v>0</v>
      </c>
      <c r="E882" s="2019">
        <f>'SOUTH-2'!E315</f>
        <v>41812909516</v>
      </c>
      <c r="F882" s="791">
        <f>'SOUTH-2'!F315</f>
        <v>1</v>
      </c>
      <c r="G882" s="791">
        <f>'SOUTH-2'!G315</f>
        <v>73.55</v>
      </c>
      <c r="H882" s="791">
        <f>'SOUTH-2'!H315</f>
        <v>79.599999999999994</v>
      </c>
      <c r="I882" s="791">
        <f>'SOUTH-2'!I315</f>
        <v>6.0499999999999972</v>
      </c>
      <c r="J882" s="791">
        <f>'SOUTH-2'!J315</f>
        <v>60000</v>
      </c>
      <c r="K882" s="791">
        <f>'SOUTH-2'!K315</f>
        <v>0</v>
      </c>
      <c r="L882" s="791">
        <f>'SOUTH-2'!L315</f>
        <v>362999.99999999983</v>
      </c>
      <c r="M882" s="791">
        <f>'SOUTH-2'!M315</f>
        <v>0</v>
      </c>
      <c r="N882" s="2019" t="str">
        <f>'SOUTH-2'!N315</f>
        <v>Motijheel</v>
      </c>
      <c r="O882" s="2019" t="str">
        <f>Sheet2!$C$86</f>
        <v>Motijheel 33/11 KV SS (new)</v>
      </c>
    </row>
    <row r="883" spans="1:15" x14ac:dyDescent="0.35">
      <c r="A883" s="2019">
        <f>'SOUTH-2'!A316</f>
        <v>17</v>
      </c>
      <c r="B883" s="2019" t="str">
        <f>'SOUTH-2'!B316</f>
        <v>11 kV Sayedabad</v>
      </c>
      <c r="C883" s="2019">
        <f>'SOUTH-2'!C316</f>
        <v>11</v>
      </c>
      <c r="D883" s="2019">
        <f>'SOUTH-2'!D316</f>
        <v>0</v>
      </c>
      <c r="E883" s="2019">
        <f>'SOUTH-2'!E316</f>
        <v>41812909497</v>
      </c>
      <c r="F883" s="791">
        <f>'SOUTH-2'!F316</f>
        <v>1</v>
      </c>
      <c r="G883" s="791">
        <f>'SOUTH-2'!G316</f>
        <v>50.01</v>
      </c>
      <c r="H883" s="791">
        <f>'SOUTH-2'!H316</f>
        <v>61.94</v>
      </c>
      <c r="I883" s="791">
        <f>'SOUTH-2'!I316</f>
        <v>11.93</v>
      </c>
      <c r="J883" s="791">
        <f>'SOUTH-2'!J316</f>
        <v>60000</v>
      </c>
      <c r="K883" s="791">
        <f>'SOUTH-2'!K316</f>
        <v>0</v>
      </c>
      <c r="L883" s="791">
        <f>'SOUTH-2'!L316</f>
        <v>715800</v>
      </c>
      <c r="M883" s="791">
        <f>'SOUTH-2'!M316</f>
        <v>0</v>
      </c>
      <c r="N883" s="2019" t="str">
        <f>'SOUTH-2'!N316</f>
        <v>Swamibag</v>
      </c>
      <c r="O883" s="2019" t="str">
        <f>Sheet2!$C$86</f>
        <v>Motijheel 33/11 KV SS (new)</v>
      </c>
    </row>
    <row r="884" spans="1:15" x14ac:dyDescent="0.35">
      <c r="A884" s="2019">
        <f>'SOUTH-2'!A317</f>
        <v>22</v>
      </c>
      <c r="B884" s="2019" t="str">
        <f>'SOUTH-2'!B317</f>
        <v>33/0.4 kV Aux Transformer</v>
      </c>
      <c r="C884" s="2019">
        <f>'SOUTH-2'!C317</f>
        <v>0.4</v>
      </c>
      <c r="D884" s="2019">
        <f>'SOUTH-2'!D317</f>
        <v>0</v>
      </c>
      <c r="E884" s="2019">
        <f>'SOUTH-2'!E317</f>
        <v>41901920686</v>
      </c>
      <c r="F884" s="791">
        <f>'SOUTH-2'!F317</f>
        <v>1</v>
      </c>
      <c r="G884" s="791">
        <f>'SOUTH-2'!G317</f>
        <v>607.04</v>
      </c>
      <c r="H884" s="791">
        <f>'SOUTH-2'!H317</f>
        <v>653.52</v>
      </c>
      <c r="I884" s="791">
        <f>'SOUTH-2'!I317</f>
        <v>46.480000000000018</v>
      </c>
      <c r="J884" s="791">
        <f>'SOUTH-2'!J317</f>
        <v>1</v>
      </c>
      <c r="K884" s="791">
        <f>'SOUTH-2'!K317</f>
        <v>0</v>
      </c>
      <c r="L884" s="791">
        <f>'SOUTH-2'!L317</f>
        <v>46.480000000000018</v>
      </c>
      <c r="M884" s="791">
        <f>'SOUTH-2'!M317</f>
        <v>0</v>
      </c>
      <c r="N884" s="2019">
        <f>'SOUTH-2'!N317</f>
        <v>0</v>
      </c>
      <c r="O884" s="2019" t="str">
        <f>Sheet2!$C$86</f>
        <v>Motijheel 33/11 KV SS (new)</v>
      </c>
    </row>
    <row r="885" spans="1:15" x14ac:dyDescent="0.35">
      <c r="A885" s="2019">
        <f>'SOUTH-2'!A388</f>
        <v>12</v>
      </c>
      <c r="B885" s="2019" t="str">
        <f>'SOUTH-2'!B388</f>
        <v>Inner Circular Road  Feeder</v>
      </c>
      <c r="C885" s="2019">
        <f>'SOUTH-2'!C388</f>
        <v>11</v>
      </c>
      <c r="D885" s="2019">
        <f>'SOUTH-2'!D388</f>
        <v>0</v>
      </c>
      <c r="E885" s="2019" t="str">
        <f>'SOUTH-2'!E388</f>
        <v>BD014042</v>
      </c>
      <c r="F885" s="791">
        <f>'SOUTH-2'!F388</f>
        <v>1</v>
      </c>
      <c r="G885" s="791">
        <f>'SOUTH-2'!G388</f>
        <v>27984.1</v>
      </c>
      <c r="H885" s="791">
        <f>'SOUTH-2'!H388</f>
        <v>29281.65</v>
      </c>
      <c r="I885" s="791">
        <f>'SOUTH-2'!I388</f>
        <v>1297.5500000000029</v>
      </c>
      <c r="J885" s="791">
        <f>'SOUTH-2'!J388</f>
        <v>1000</v>
      </c>
      <c r="K885" s="791">
        <f>'SOUTH-2'!K388</f>
        <v>0</v>
      </c>
      <c r="L885" s="791">
        <f>'SOUTH-2'!L388</f>
        <v>1297550.0000000028</v>
      </c>
      <c r="M885" s="791">
        <f>'SOUTH-2'!M388</f>
        <v>0</v>
      </c>
      <c r="N885" s="2019" t="str">
        <f>'SOUTH-2'!N388</f>
        <v>Motijheel</v>
      </c>
      <c r="O885" s="2019" t="str">
        <f>Sheet2!$C$84</f>
        <v>P &amp; T 33/11 KV SS</v>
      </c>
    </row>
    <row r="886" spans="1:15" x14ac:dyDescent="0.35">
      <c r="A886" s="2019">
        <f>'SOUTH-2'!A389</f>
        <v>13</v>
      </c>
      <c r="B886" s="2019" t="str">
        <f>'SOUTH-2'!B389</f>
        <v>NSI New Building  Expres Feeder</v>
      </c>
      <c r="C886" s="2019">
        <f>'SOUTH-2'!C389</f>
        <v>11</v>
      </c>
      <c r="D886" s="2019">
        <f>'SOUTH-2'!D389</f>
        <v>0</v>
      </c>
      <c r="E886" s="2019" t="str">
        <f>'SOUTH-2'!E389</f>
        <v>BD013982</v>
      </c>
      <c r="F886" s="791">
        <f>'SOUTH-2'!F389</f>
        <v>1</v>
      </c>
      <c r="G886" s="791">
        <f>'SOUTH-2'!G389</f>
        <v>7153.33</v>
      </c>
      <c r="H886" s="791">
        <f>'SOUTH-2'!H389</f>
        <v>7358.28</v>
      </c>
      <c r="I886" s="791">
        <f>'SOUTH-2'!I389</f>
        <v>204.94999999999982</v>
      </c>
      <c r="J886" s="791">
        <f>'SOUTH-2'!J389</f>
        <v>1000</v>
      </c>
      <c r="K886" s="791">
        <f>'SOUTH-2'!K389</f>
        <v>0</v>
      </c>
      <c r="L886" s="791">
        <f>'SOUTH-2'!L389</f>
        <v>204949.99999999983</v>
      </c>
      <c r="M886" s="791">
        <f>'SOUTH-2'!M389</f>
        <v>0</v>
      </c>
      <c r="N886" s="2019" t="str">
        <f>'SOUTH-2'!N389</f>
        <v>Ramna</v>
      </c>
      <c r="O886" s="2019" t="str">
        <f>Sheet2!$C$84</f>
        <v>P &amp; T 33/11 KV SS</v>
      </c>
    </row>
    <row r="887" spans="1:15" x14ac:dyDescent="0.35">
      <c r="A887" s="2019">
        <f>'SOUTH-2'!A390</f>
        <v>14</v>
      </c>
      <c r="B887" s="2019" t="str">
        <f>'SOUTH-2'!B390</f>
        <v>Police Hospital RMU Feeder</v>
      </c>
      <c r="C887" s="2019">
        <f>'SOUTH-2'!C390</f>
        <v>11</v>
      </c>
      <c r="D887" s="2019">
        <f>'SOUTH-2'!D390</f>
        <v>0</v>
      </c>
      <c r="E887" s="2019" t="str">
        <f>'SOUTH-2'!E390</f>
        <v>BD014044</v>
      </c>
      <c r="F887" s="791">
        <f>'SOUTH-2'!F390</f>
        <v>1</v>
      </c>
      <c r="G887" s="791">
        <f>'SOUTH-2'!G390</f>
        <v>2431.1799999999998</v>
      </c>
      <c r="H887" s="791">
        <f>'SOUTH-2'!H390</f>
        <v>2489.29</v>
      </c>
      <c r="I887" s="791">
        <f>'SOUTH-2'!I390</f>
        <v>58.110000000000127</v>
      </c>
      <c r="J887" s="791">
        <f>'SOUTH-2'!J390</f>
        <v>1000</v>
      </c>
      <c r="K887" s="791">
        <f>'SOUTH-2'!K390</f>
        <v>0</v>
      </c>
      <c r="L887" s="791">
        <f>'SOUTH-2'!L390</f>
        <v>58110.000000000131</v>
      </c>
      <c r="M887" s="791">
        <f>'SOUTH-2'!M390</f>
        <v>0</v>
      </c>
      <c r="N887" s="2019" t="str">
        <f>'SOUTH-2'!N390</f>
        <v>Rajarbag</v>
      </c>
      <c r="O887" s="2019" t="str">
        <f>Sheet2!$C$84</f>
        <v>P &amp; T 33/11 KV SS</v>
      </c>
    </row>
    <row r="888" spans="1:15" x14ac:dyDescent="0.35">
      <c r="A888" s="2019">
        <f>'SOUTH-2'!A391</f>
        <v>15</v>
      </c>
      <c r="B888" s="2019" t="str">
        <f>'SOUTH-2'!B391</f>
        <v xml:space="preserve">Kakrail 33/11 kV Substation U/G Feeder </v>
      </c>
      <c r="C888" s="2019">
        <f>'SOUTH-2'!C391</f>
        <v>11</v>
      </c>
      <c r="D888" s="2019">
        <f>'SOUTH-2'!D391</f>
        <v>0</v>
      </c>
      <c r="E888" s="2019" t="str">
        <f>'SOUTH-2'!E391</f>
        <v>BD014046</v>
      </c>
      <c r="F888" s="791">
        <f>'SOUTH-2'!F391</f>
        <v>1</v>
      </c>
      <c r="G888" s="791">
        <f>'SOUTH-2'!G391</f>
        <v>58.73</v>
      </c>
      <c r="H888" s="791">
        <f>'SOUTH-2'!H391</f>
        <v>58.73</v>
      </c>
      <c r="I888" s="791">
        <f>'SOUTH-2'!I391</f>
        <v>0</v>
      </c>
      <c r="J888" s="791">
        <f>'SOUTH-2'!J391</f>
        <v>1000</v>
      </c>
      <c r="K888" s="791">
        <f>'SOUTH-2'!K391</f>
        <v>0</v>
      </c>
      <c r="L888" s="791">
        <f>'SOUTH-2'!L391</f>
        <v>0</v>
      </c>
      <c r="M888" s="791">
        <f>'SOUTH-2'!M391</f>
        <v>0</v>
      </c>
      <c r="N888" s="2019" t="str">
        <f>'SOUTH-2'!N391</f>
        <v>Import</v>
      </c>
      <c r="O888" s="2019" t="str">
        <f>Sheet2!$C$84</f>
        <v>P &amp; T 33/11 KV SS</v>
      </c>
    </row>
    <row r="889" spans="1:15" x14ac:dyDescent="0.35">
      <c r="A889" s="2019">
        <f>'SOUTH-2'!A392</f>
        <v>16</v>
      </c>
      <c r="B889" s="2019" t="str">
        <f>'SOUTH-2'!B392</f>
        <v xml:space="preserve">Jonaki O/H  Feeder </v>
      </c>
      <c r="C889" s="2019">
        <f>'SOUTH-2'!C392</f>
        <v>11</v>
      </c>
      <c r="D889" s="2019">
        <f>'SOUTH-2'!D392</f>
        <v>0</v>
      </c>
      <c r="E889" s="2019" t="str">
        <f>'SOUTH-2'!E392</f>
        <v>BD014013</v>
      </c>
      <c r="F889" s="791">
        <f>'SOUTH-2'!F392</f>
        <v>1</v>
      </c>
      <c r="G889" s="791">
        <f>'SOUTH-2'!G392</f>
        <v>22639.97</v>
      </c>
      <c r="H889" s="791">
        <f>'SOUTH-2'!H392</f>
        <v>23525.34</v>
      </c>
      <c r="I889" s="791">
        <f>'SOUTH-2'!I392</f>
        <v>885.36999999999898</v>
      </c>
      <c r="J889" s="791">
        <f>'SOUTH-2'!J392</f>
        <v>1000</v>
      </c>
      <c r="K889" s="791">
        <f>'SOUTH-2'!K392</f>
        <v>0</v>
      </c>
      <c r="L889" s="791">
        <f>'SOUTH-2'!L392</f>
        <v>885369.99999999895</v>
      </c>
      <c r="M889" s="791">
        <f>'SOUTH-2'!M392</f>
        <v>0</v>
      </c>
      <c r="N889" s="2019" t="str">
        <f>'SOUTH-2'!N392</f>
        <v>Rajarbag</v>
      </c>
      <c r="O889" s="2019" t="str">
        <f>Sheet2!$C$84</f>
        <v>P &amp; T 33/11 KV SS</v>
      </c>
    </row>
    <row r="890" spans="1:15" x14ac:dyDescent="0.35">
      <c r="A890" s="2019">
        <f>'SOUTH-2'!A393</f>
        <v>17</v>
      </c>
      <c r="B890" s="2019" t="str">
        <f>'SOUTH-2'!B393</f>
        <v>Nayapalton Overhead Feeder</v>
      </c>
      <c r="C890" s="2019">
        <f>'SOUTH-2'!C393</f>
        <v>11</v>
      </c>
      <c r="D890" s="2019">
        <f>'SOUTH-2'!D393</f>
        <v>0</v>
      </c>
      <c r="E890" s="2019" t="str">
        <f>'SOUTH-2'!E393</f>
        <v>BD014014</v>
      </c>
      <c r="F890" s="791">
        <f>'SOUTH-2'!F393</f>
        <v>1</v>
      </c>
      <c r="G890" s="791">
        <f>'SOUTH-2'!G393</f>
        <v>17469.7</v>
      </c>
      <c r="H890" s="791">
        <f>'SOUTH-2'!H393</f>
        <v>18003.28</v>
      </c>
      <c r="I890" s="791">
        <f>'SOUTH-2'!I393</f>
        <v>533.57999999999811</v>
      </c>
      <c r="J890" s="791">
        <f>'SOUTH-2'!J393</f>
        <v>1000</v>
      </c>
      <c r="K890" s="791">
        <f>'SOUTH-2'!K393</f>
        <v>0</v>
      </c>
      <c r="L890" s="791">
        <f>'SOUTH-2'!L393</f>
        <v>533579.99999999814</v>
      </c>
      <c r="M890" s="791">
        <f>'SOUTH-2'!M393</f>
        <v>0</v>
      </c>
      <c r="N890" s="2019" t="str">
        <f>'SOUTH-2'!N393</f>
        <v>Ramna</v>
      </c>
      <c r="O890" s="2019" t="str">
        <f>Sheet2!$C$84</f>
        <v>P &amp; T 33/11 KV SS</v>
      </c>
    </row>
    <row r="891" spans="1:15" x14ac:dyDescent="0.35">
      <c r="A891" s="2019">
        <f>'SOUTH-2'!A394</f>
        <v>18</v>
      </c>
      <c r="B891" s="2019" t="str">
        <f>'SOUTH-2'!B394</f>
        <v>Masjid Gali Over Head Feeder</v>
      </c>
      <c r="C891" s="2019">
        <f>'SOUTH-2'!C394</f>
        <v>11</v>
      </c>
      <c r="D891" s="2019">
        <f>'SOUTH-2'!D394</f>
        <v>0</v>
      </c>
      <c r="E891" s="2019" t="str">
        <f>'SOUTH-2'!E394</f>
        <v>BD014016</v>
      </c>
      <c r="F891" s="791">
        <f>'SOUTH-2'!F394</f>
        <v>1</v>
      </c>
      <c r="G891" s="791">
        <f>'SOUTH-2'!G394</f>
        <v>7866.49</v>
      </c>
      <c r="H891" s="791">
        <f>'SOUTH-2'!H394</f>
        <v>8439.6200000000008</v>
      </c>
      <c r="I891" s="791">
        <f>'SOUTH-2'!I394</f>
        <v>573.13000000000102</v>
      </c>
      <c r="J891" s="791">
        <f>'SOUTH-2'!J394</f>
        <v>1000</v>
      </c>
      <c r="K891" s="791">
        <f>'SOUTH-2'!K394</f>
        <v>0</v>
      </c>
      <c r="L891" s="791">
        <f>'SOUTH-2'!L394</f>
        <v>573130.00000000105</v>
      </c>
      <c r="M891" s="791">
        <f>'SOUTH-2'!M394</f>
        <v>0</v>
      </c>
      <c r="N891" s="2019" t="str">
        <f>'SOUTH-2'!N394</f>
        <v>Ramna</v>
      </c>
      <c r="O891" s="2019" t="str">
        <f>Sheet2!$C$84</f>
        <v>P &amp; T 33/11 KV SS</v>
      </c>
    </row>
    <row r="892" spans="1:15" x14ac:dyDescent="0.35">
      <c r="A892" s="2019">
        <f>'SOUTH-2'!A395</f>
        <v>19</v>
      </c>
      <c r="B892" s="2019" t="str">
        <f>'SOUTH-2'!B395</f>
        <v>Spare Feeder (Feeder-8)</v>
      </c>
      <c r="C892" s="2019">
        <f>'SOUTH-2'!C395</f>
        <v>11</v>
      </c>
      <c r="D892" s="2019">
        <f>'SOUTH-2'!D395</f>
        <v>0</v>
      </c>
      <c r="E892" s="2019" t="str">
        <f>'SOUTH-2'!E395</f>
        <v>BD014009</v>
      </c>
      <c r="F892" s="791">
        <f>'SOUTH-2'!F395</f>
        <v>1</v>
      </c>
      <c r="G892" s="791">
        <f>'SOUTH-2'!G395</f>
        <v>0</v>
      </c>
      <c r="H892" s="791">
        <f>'SOUTH-2'!H395</f>
        <v>0</v>
      </c>
      <c r="I892" s="791">
        <f>'SOUTH-2'!I395</f>
        <v>0</v>
      </c>
      <c r="J892" s="791">
        <f>'SOUTH-2'!J395</f>
        <v>1000</v>
      </c>
      <c r="K892" s="791">
        <f>'SOUTH-2'!K395</f>
        <v>0</v>
      </c>
      <c r="L892" s="791">
        <f>'SOUTH-2'!L395</f>
        <v>0</v>
      </c>
      <c r="M892" s="791">
        <f>'SOUTH-2'!M395</f>
        <v>0</v>
      </c>
      <c r="N892" s="2019">
        <f>'SOUTH-2'!N395</f>
        <v>0</v>
      </c>
      <c r="O892" s="2019" t="str">
        <f>Sheet2!$C$84</f>
        <v>P &amp; T 33/11 KV SS</v>
      </c>
    </row>
    <row r="893" spans="1:15" x14ac:dyDescent="0.35">
      <c r="A893" s="2019">
        <f>'SOUTH-2'!A396</f>
        <v>22</v>
      </c>
      <c r="B893" s="2019" t="str">
        <f>'SOUTH-2'!B396</f>
        <v>Bangabhaban 132/11 Substation (Feeder 9)</v>
      </c>
      <c r="C893" s="2019">
        <f>'SOUTH-2'!C396</f>
        <v>11</v>
      </c>
      <c r="D893" s="2019">
        <f>'SOUTH-2'!D396</f>
        <v>0</v>
      </c>
      <c r="E893" s="2019" t="str">
        <f>'SOUTH-2'!E396</f>
        <v>BD013988</v>
      </c>
      <c r="F893" s="791">
        <f>'SOUTH-2'!F396</f>
        <v>1</v>
      </c>
      <c r="G893" s="791">
        <f>'SOUTH-2'!G396</f>
        <v>12.18</v>
      </c>
      <c r="H893" s="791">
        <f>'SOUTH-2'!H396</f>
        <v>12.18</v>
      </c>
      <c r="I893" s="791">
        <f>'SOUTH-2'!I396</f>
        <v>0</v>
      </c>
      <c r="J893" s="791">
        <f>'SOUTH-2'!J396</f>
        <v>1000</v>
      </c>
      <c r="K893" s="791">
        <f>'SOUTH-2'!K396</f>
        <v>0</v>
      </c>
      <c r="L893" s="791">
        <f>'SOUTH-2'!L396</f>
        <v>0</v>
      </c>
      <c r="M893" s="791">
        <f>'SOUTH-2'!M396</f>
        <v>0</v>
      </c>
      <c r="N893" s="2019" t="str">
        <f>'SOUTH-2'!N396</f>
        <v>Import</v>
      </c>
      <c r="O893" s="2019" t="str">
        <f>Sheet2!$C$84</f>
        <v>P &amp; T 33/11 KV SS</v>
      </c>
    </row>
    <row r="894" spans="1:15" x14ac:dyDescent="0.35">
      <c r="A894" s="2019">
        <f>'SOUTH-2'!A397</f>
        <v>23</v>
      </c>
      <c r="B894" s="2019" t="str">
        <f>'SOUTH-2'!B397</f>
        <v>Mid Way Over Head Feeder</v>
      </c>
      <c r="C894" s="2019">
        <f>'SOUTH-2'!C397</f>
        <v>11</v>
      </c>
      <c r="D894" s="2019">
        <f>'SOUTH-2'!D397</f>
        <v>0</v>
      </c>
      <c r="E894" s="2019" t="str">
        <f>'SOUTH-2'!E397</f>
        <v>BD014015</v>
      </c>
      <c r="F894" s="791">
        <f>'SOUTH-2'!F397</f>
        <v>1</v>
      </c>
      <c r="G894" s="791">
        <f>'SOUTH-2'!G397</f>
        <v>15589.4</v>
      </c>
      <c r="H894" s="791">
        <f>'SOUTH-2'!H397</f>
        <v>16136.49</v>
      </c>
      <c r="I894" s="791">
        <f>'SOUTH-2'!I397</f>
        <v>547.09000000000015</v>
      </c>
      <c r="J894" s="791">
        <f>'SOUTH-2'!J397</f>
        <v>1000</v>
      </c>
      <c r="K894" s="791">
        <f>'SOUTH-2'!K397</f>
        <v>0</v>
      </c>
      <c r="L894" s="791">
        <f>'SOUTH-2'!L397</f>
        <v>547090.00000000012</v>
      </c>
      <c r="M894" s="791">
        <f>'SOUTH-2'!M397</f>
        <v>0</v>
      </c>
      <c r="N894" s="2019" t="str">
        <f>'SOUTH-2'!N397</f>
        <v>Ramna</v>
      </c>
      <c r="O894" s="2019" t="str">
        <f>Sheet2!$C$84</f>
        <v>P &amp; T 33/11 KV SS</v>
      </c>
    </row>
    <row r="895" spans="1:15" x14ac:dyDescent="0.35">
      <c r="A895" s="2019">
        <f>'SOUTH-2'!A398</f>
        <v>24</v>
      </c>
      <c r="B895" s="2019" t="str">
        <f>'SOUTH-2'!B398</f>
        <v>Palton Thana Over Head Feeder</v>
      </c>
      <c r="C895" s="2019">
        <f>'SOUTH-2'!C398</f>
        <v>11</v>
      </c>
      <c r="D895" s="2019">
        <f>'SOUTH-2'!D398</f>
        <v>0</v>
      </c>
      <c r="E895" s="2019" t="str">
        <f>'SOUTH-2'!E398</f>
        <v>BD014033</v>
      </c>
      <c r="F895" s="791">
        <f>'SOUTH-2'!F398</f>
        <v>1</v>
      </c>
      <c r="G895" s="791">
        <f>'SOUTH-2'!G398</f>
        <v>13698.82</v>
      </c>
      <c r="H895" s="791">
        <f>'SOUTH-2'!H398</f>
        <v>14484.98</v>
      </c>
      <c r="I895" s="791">
        <f>'SOUTH-2'!I398</f>
        <v>786.15999999999985</v>
      </c>
      <c r="J895" s="791">
        <f>'SOUTH-2'!J398</f>
        <v>1000</v>
      </c>
      <c r="K895" s="791">
        <f>'SOUTH-2'!K398</f>
        <v>0</v>
      </c>
      <c r="L895" s="791">
        <f>'SOUTH-2'!L398</f>
        <v>786159.99999999988</v>
      </c>
      <c r="M895" s="791">
        <f>'SOUTH-2'!M398</f>
        <v>0</v>
      </c>
      <c r="N895" s="2019" t="str">
        <f>'SOUTH-2'!N398</f>
        <v>Rajarbag</v>
      </c>
      <c r="O895" s="2019" t="str">
        <f>Sheet2!$C$84</f>
        <v>P &amp; T 33/11 KV SS</v>
      </c>
    </row>
    <row r="896" spans="1:15" x14ac:dyDescent="0.35">
      <c r="A896" s="2019">
        <f>'SOUTH-2'!A399</f>
        <v>25</v>
      </c>
      <c r="B896" s="2019" t="str">
        <f>'SOUTH-2'!B399</f>
        <v>Police Hospital (South) U/G Feeder 7</v>
      </c>
      <c r="C896" s="2019">
        <f>'SOUTH-2'!C399</f>
        <v>11</v>
      </c>
      <c r="D896" s="2019">
        <f>'SOUTH-2'!D399</f>
        <v>0</v>
      </c>
      <c r="E896" s="2019" t="str">
        <f>'SOUTH-2'!E399</f>
        <v>BD014034</v>
      </c>
      <c r="F896" s="791">
        <f>'SOUTH-2'!F399</f>
        <v>1</v>
      </c>
      <c r="G896" s="791">
        <f>'SOUTH-2'!G399</f>
        <v>11146.07</v>
      </c>
      <c r="H896" s="791">
        <f>'SOUTH-2'!H399</f>
        <v>11234.85</v>
      </c>
      <c r="I896" s="791">
        <f>'SOUTH-2'!I399</f>
        <v>88.780000000000655</v>
      </c>
      <c r="J896" s="791">
        <f>'SOUTH-2'!J399</f>
        <v>1000</v>
      </c>
      <c r="K896" s="791">
        <f>'SOUTH-2'!K399</f>
        <v>0</v>
      </c>
      <c r="L896" s="791">
        <f>'SOUTH-2'!L399</f>
        <v>88780.000000000655</v>
      </c>
      <c r="M896" s="791">
        <f>'SOUTH-2'!M399</f>
        <v>0</v>
      </c>
      <c r="N896" s="2019" t="str">
        <f>'SOUTH-2'!N399</f>
        <v>Rajarbag</v>
      </c>
      <c r="O896" s="2019" t="str">
        <f>Sheet2!$C$84</f>
        <v>P &amp; T 33/11 KV SS</v>
      </c>
    </row>
    <row r="897" spans="1:15" x14ac:dyDescent="0.35">
      <c r="A897" s="2019">
        <f>'SOUTH-2'!A400</f>
        <v>26</v>
      </c>
      <c r="B897" s="2019" t="str">
        <f>'SOUTH-2'!B400</f>
        <v>China Town Express Feeder</v>
      </c>
      <c r="C897" s="2019">
        <f>'SOUTH-2'!C400</f>
        <v>11</v>
      </c>
      <c r="D897" s="2019">
        <f>'SOUTH-2'!D400</f>
        <v>0</v>
      </c>
      <c r="E897" s="2019" t="str">
        <f>'SOUTH-2'!E400</f>
        <v>BD013943</v>
      </c>
      <c r="F897" s="791">
        <f>'SOUTH-2'!F400</f>
        <v>1</v>
      </c>
      <c r="G897" s="791">
        <f>'SOUTH-2'!G400</f>
        <v>4252.55</v>
      </c>
      <c r="H897" s="791">
        <f>'SOUTH-2'!H400</f>
        <v>4414.43</v>
      </c>
      <c r="I897" s="791">
        <f>'SOUTH-2'!I400</f>
        <v>161.88000000000011</v>
      </c>
      <c r="J897" s="791">
        <f>'SOUTH-2'!J400</f>
        <v>1000</v>
      </c>
      <c r="K897" s="791">
        <f>'SOUTH-2'!K400</f>
        <v>0</v>
      </c>
      <c r="L897" s="791">
        <f>'SOUTH-2'!L400</f>
        <v>161880.00000000012</v>
      </c>
      <c r="M897" s="791">
        <f>'SOUTH-2'!M400</f>
        <v>0</v>
      </c>
      <c r="N897" s="2019" t="str">
        <f>'SOUTH-2'!N400</f>
        <v>Ramna</v>
      </c>
      <c r="O897" s="2019" t="str">
        <f>Sheet2!$C$84</f>
        <v>P &amp; T 33/11 KV SS</v>
      </c>
    </row>
    <row r="898" spans="1:15" x14ac:dyDescent="0.35">
      <c r="A898" s="2019">
        <f>'SOUTH-2'!A401</f>
        <v>27</v>
      </c>
      <c r="B898" s="2019" t="str">
        <f>'SOUTH-2'!B401</f>
        <v>Fakirapul Bazar O/H Feeder</v>
      </c>
      <c r="C898" s="2019">
        <f>'SOUTH-2'!C401</f>
        <v>11</v>
      </c>
      <c r="D898" s="2019">
        <f>'SOUTH-2'!D401</f>
        <v>0</v>
      </c>
      <c r="E898" s="2019" t="str">
        <f>'SOUTH-2'!E401</f>
        <v>BD014032</v>
      </c>
      <c r="F898" s="791">
        <f>'SOUTH-2'!F401</f>
        <v>1</v>
      </c>
      <c r="G898" s="791">
        <f>'SOUTH-2'!G401</f>
        <v>18600.09</v>
      </c>
      <c r="H898" s="791">
        <f>'SOUTH-2'!H401</f>
        <v>19564.580000000002</v>
      </c>
      <c r="I898" s="791">
        <f>'SOUTH-2'!I401</f>
        <v>964.4900000000016</v>
      </c>
      <c r="J898" s="791">
        <f>'SOUTH-2'!J401</f>
        <v>1000</v>
      </c>
      <c r="K898" s="791">
        <f>'SOUTH-2'!K401</f>
        <v>0</v>
      </c>
      <c r="L898" s="791">
        <f>'SOUTH-2'!L401</f>
        <v>964490.00000000163</v>
      </c>
      <c r="M898" s="791">
        <f>'SOUTH-2'!M401</f>
        <v>0</v>
      </c>
      <c r="N898" s="2019" t="str">
        <f>'SOUTH-2'!N401</f>
        <v>Motijheel</v>
      </c>
      <c r="O898" s="2019" t="str">
        <f>Sheet2!$C$84</f>
        <v>P &amp; T 33/11 KV SS</v>
      </c>
    </row>
    <row r="899" spans="1:15" x14ac:dyDescent="0.35">
      <c r="A899" s="2019">
        <f>'SOUTH-2'!A402</f>
        <v>28</v>
      </c>
      <c r="B899" s="2019" t="str">
        <f>'SOUTH-2'!B402</f>
        <v>PWD Ouarter (RMU)</v>
      </c>
      <c r="C899" s="2019">
        <f>'SOUTH-2'!C402</f>
        <v>11</v>
      </c>
      <c r="D899" s="2019">
        <f>'SOUTH-2'!D402</f>
        <v>0</v>
      </c>
      <c r="E899" s="2019" t="str">
        <f>'SOUTH-2'!E402</f>
        <v>BD013937</v>
      </c>
      <c r="F899" s="791">
        <f>'SOUTH-2'!F402</f>
        <v>1</v>
      </c>
      <c r="G899" s="791">
        <f>'SOUTH-2'!G402</f>
        <v>1143.26</v>
      </c>
      <c r="H899" s="791">
        <f>'SOUTH-2'!H402</f>
        <v>1244.82</v>
      </c>
      <c r="I899" s="791">
        <f>'SOUTH-2'!I402</f>
        <v>101.55999999999995</v>
      </c>
      <c r="J899" s="791">
        <f>'SOUTH-2'!J402</f>
        <v>1000</v>
      </c>
      <c r="K899" s="791">
        <f>'SOUTH-2'!K402</f>
        <v>0</v>
      </c>
      <c r="L899" s="791">
        <f>'SOUTH-2'!L402</f>
        <v>101559.99999999994</v>
      </c>
      <c r="M899" s="791">
        <f>'SOUTH-2'!M402</f>
        <v>0</v>
      </c>
      <c r="N899" s="2019" t="str">
        <f>'SOUTH-2'!N402</f>
        <v>Motijheel</v>
      </c>
      <c r="O899" s="2019" t="str">
        <f>Sheet2!$C$84</f>
        <v>P &amp; T 33/11 KV SS</v>
      </c>
    </row>
    <row r="900" spans="1:15" x14ac:dyDescent="0.35">
      <c r="A900" s="2019">
        <f>'SOUTH-2'!A403</f>
        <v>29</v>
      </c>
      <c r="B900" s="2019" t="str">
        <f>'SOUTH-2'!B403</f>
        <v>Postal Quarter RMU</v>
      </c>
      <c r="C900" s="2019">
        <f>'SOUTH-2'!C403</f>
        <v>11</v>
      </c>
      <c r="D900" s="2019">
        <f>'SOUTH-2'!D403</f>
        <v>0</v>
      </c>
      <c r="E900" s="2019" t="str">
        <f>'SOUTH-2'!E403</f>
        <v>BD013945</v>
      </c>
      <c r="F900" s="791">
        <f>'SOUTH-2'!F403</f>
        <v>1</v>
      </c>
      <c r="G900" s="791">
        <f>'SOUTH-2'!G403</f>
        <v>1536.1</v>
      </c>
      <c r="H900" s="791">
        <f>'SOUTH-2'!H403</f>
        <v>1646.1</v>
      </c>
      <c r="I900" s="791">
        <f>'SOUTH-2'!I403</f>
        <v>110</v>
      </c>
      <c r="J900" s="791">
        <f>'SOUTH-2'!J403</f>
        <v>1000</v>
      </c>
      <c r="K900" s="791">
        <f>'SOUTH-2'!K403</f>
        <v>0</v>
      </c>
      <c r="L900" s="791">
        <f>'SOUTH-2'!L403</f>
        <v>110000</v>
      </c>
      <c r="M900" s="791">
        <f>'SOUTH-2'!M403</f>
        <v>0</v>
      </c>
      <c r="N900" s="2019" t="str">
        <f>'SOUTH-2'!N403</f>
        <v>Motijheel</v>
      </c>
      <c r="O900" s="2019" t="str">
        <f>Sheet2!$C$84</f>
        <v>P &amp; T 33/11 KV SS</v>
      </c>
    </row>
    <row r="901" spans="1:15" x14ac:dyDescent="0.35">
      <c r="A901" s="2019">
        <f>'SOUTH-2'!A404</f>
        <v>30</v>
      </c>
      <c r="B901" s="2019" t="str">
        <f>'SOUTH-2'!B404</f>
        <v>11/0.4 kV AT-1</v>
      </c>
      <c r="C901" s="2019">
        <f>'SOUTH-2'!C404</f>
        <v>0.4</v>
      </c>
      <c r="D901" s="2019">
        <f>'SOUTH-2'!D404</f>
        <v>0</v>
      </c>
      <c r="E901" s="2019" t="str">
        <f>'SOUTH-2'!E404</f>
        <v>DHKH4409</v>
      </c>
      <c r="F901" s="791">
        <f>'SOUTH-2'!F404</f>
        <v>1</v>
      </c>
      <c r="G901" s="791">
        <f>'SOUTH-2'!G404</f>
        <v>1145.1099999999999</v>
      </c>
      <c r="H901" s="791">
        <f>'SOUTH-2'!H404</f>
        <v>1154.72</v>
      </c>
      <c r="I901" s="791">
        <f>'SOUTH-2'!I404</f>
        <v>9.6100000000001273</v>
      </c>
      <c r="J901" s="791">
        <f>'SOUTH-2'!J404</f>
        <v>100</v>
      </c>
      <c r="K901" s="791">
        <f>'SOUTH-2'!K404</f>
        <v>0</v>
      </c>
      <c r="L901" s="791">
        <f>'SOUTH-2'!L404</f>
        <v>961.00000000001273</v>
      </c>
      <c r="M901" s="791">
        <f>'SOUTH-2'!M404</f>
        <v>0</v>
      </c>
      <c r="N901" s="2019" t="str">
        <f>'SOUTH-2'!N404</f>
        <v>Rajarbag</v>
      </c>
      <c r="O901" s="2019" t="str">
        <f>Sheet2!$C$84</f>
        <v>P &amp; T 33/11 KV SS</v>
      </c>
    </row>
    <row r="902" spans="1:15" x14ac:dyDescent="0.35">
      <c r="A902" s="2019">
        <f>'SOUTH-2'!A405</f>
        <v>31</v>
      </c>
      <c r="B902" s="2019" t="str">
        <f>'SOUTH-2'!B405</f>
        <v>11/0.4 kV AT-2</v>
      </c>
      <c r="C902" s="2019">
        <f>'SOUTH-2'!C405</f>
        <v>0.4</v>
      </c>
      <c r="D902" s="2019">
        <f>'SOUTH-2'!D405</f>
        <v>0</v>
      </c>
      <c r="E902" s="2019" t="str">
        <f>'SOUTH-2'!E405</f>
        <v>DHKH4411</v>
      </c>
      <c r="F902" s="791">
        <f>'SOUTH-2'!F405</f>
        <v>1</v>
      </c>
      <c r="G902" s="791">
        <f>'SOUTH-2'!G405</f>
        <v>353.92</v>
      </c>
      <c r="H902" s="791">
        <f>'SOUTH-2'!H405</f>
        <v>353.92</v>
      </c>
      <c r="I902" s="791">
        <f>'SOUTH-2'!I405</f>
        <v>0</v>
      </c>
      <c r="J902" s="791">
        <f>'SOUTH-2'!J405</f>
        <v>100</v>
      </c>
      <c r="K902" s="791">
        <f>'SOUTH-2'!K405</f>
        <v>0</v>
      </c>
      <c r="L902" s="791">
        <f>'SOUTH-2'!L405</f>
        <v>0</v>
      </c>
      <c r="M902" s="791">
        <f>'SOUTH-2'!M405</f>
        <v>0</v>
      </c>
      <c r="N902" s="2019" t="str">
        <f>'SOUTH-2'!N405</f>
        <v>Rajarbag</v>
      </c>
      <c r="O902" s="2019" t="str">
        <f>Sheet2!$C$84</f>
        <v>P &amp; T 33/11 KV SS</v>
      </c>
    </row>
    <row r="903" spans="1:15" x14ac:dyDescent="0.35">
      <c r="A903" s="2019">
        <f>'SOUTH-2'!A469</f>
        <v>1</v>
      </c>
      <c r="B903" s="2019" t="str">
        <f>'SOUTH-2'!B469</f>
        <v>Amtola O/H Feeder</v>
      </c>
      <c r="C903" s="2019">
        <f>'SOUTH-2'!C469</f>
        <v>11</v>
      </c>
      <c r="D903" s="2019" t="str">
        <f>'SOUTH-2'!D469</f>
        <v>Rajarbag</v>
      </c>
      <c r="E903" s="2019">
        <f>'SOUTH-2'!E469</f>
        <v>112</v>
      </c>
      <c r="F903" s="791">
        <f>'SOUTH-2'!F469</f>
        <v>1</v>
      </c>
      <c r="G903" s="791">
        <f>'SOUTH-2'!G469</f>
        <v>203.9</v>
      </c>
      <c r="H903" s="791">
        <f>'SOUTH-2'!H469</f>
        <v>215.8</v>
      </c>
      <c r="I903" s="791">
        <f>'SOUTH-2'!I469</f>
        <v>11.900000000000006</v>
      </c>
      <c r="J903" s="791">
        <f>'SOUTH-2'!J469</f>
        <v>40000</v>
      </c>
      <c r="K903" s="791">
        <f>'SOUTH-2'!K469</f>
        <v>0</v>
      </c>
      <c r="L903" s="791">
        <f>'SOUTH-2'!L469</f>
        <v>476000.00000000023</v>
      </c>
      <c r="M903" s="791">
        <f>'SOUTH-2'!M469</f>
        <v>0</v>
      </c>
      <c r="N903" s="2019" t="str">
        <f>'SOUTH-2'!N469</f>
        <v>Rajarbag</v>
      </c>
      <c r="O903" s="2019" t="str">
        <f>Sheet2!$C$88</f>
        <v>Kamalapur Railway 33/11 KV SS</v>
      </c>
    </row>
    <row r="904" spans="1:15" x14ac:dyDescent="0.35">
      <c r="A904" s="2019">
        <f>'SOUTH-2'!A470</f>
        <v>2</v>
      </c>
      <c r="B904" s="2019" t="str">
        <f>'SOUTH-2'!B470</f>
        <v>Police Telecom</v>
      </c>
      <c r="C904" s="2019">
        <f>'SOUTH-2'!C470</f>
        <v>11</v>
      </c>
      <c r="D904" s="2019" t="str">
        <f>'SOUTH-2'!D470</f>
        <v>Rajarbag</v>
      </c>
      <c r="E904" s="2019">
        <f>'SOUTH-2'!E470</f>
        <v>130</v>
      </c>
      <c r="F904" s="791">
        <f>'SOUTH-2'!F470</f>
        <v>1</v>
      </c>
      <c r="G904" s="791">
        <f>'SOUTH-2'!G470</f>
        <v>36.5</v>
      </c>
      <c r="H904" s="791">
        <f>'SOUTH-2'!H470</f>
        <v>38.5</v>
      </c>
      <c r="I904" s="791">
        <f>'SOUTH-2'!I470</f>
        <v>2</v>
      </c>
      <c r="J904" s="791">
        <f>'SOUTH-2'!J470</f>
        <v>40000</v>
      </c>
      <c r="K904" s="791">
        <f>'SOUTH-2'!K470</f>
        <v>0</v>
      </c>
      <c r="L904" s="791">
        <f>'SOUTH-2'!L470</f>
        <v>80000</v>
      </c>
      <c r="M904" s="791">
        <f>'SOUTH-2'!M470</f>
        <v>0</v>
      </c>
      <c r="N904" s="2019" t="str">
        <f>'SOUTH-2'!N470</f>
        <v>Rajarbag</v>
      </c>
      <c r="O904" s="2019" t="str">
        <f>Sheet2!$C$88</f>
        <v>Kamalapur Railway 33/11 KV SS</v>
      </c>
    </row>
    <row r="905" spans="1:15" x14ac:dyDescent="0.35">
      <c r="A905" s="2019">
        <f>'SOUTH-2'!A471</f>
        <v>3</v>
      </c>
      <c r="B905" s="2019" t="str">
        <f>'SOUTH-2'!B471</f>
        <v>Railway Colony O/H</v>
      </c>
      <c r="C905" s="2019">
        <f>'SOUTH-2'!C471</f>
        <v>11</v>
      </c>
      <c r="D905" s="2019" t="str">
        <f>'SOUTH-2'!D471</f>
        <v>Rajarbag</v>
      </c>
      <c r="E905" s="2019">
        <f>'SOUTH-2'!E471</f>
        <v>177</v>
      </c>
      <c r="F905" s="791">
        <f>'SOUTH-2'!F471</f>
        <v>1</v>
      </c>
      <c r="G905" s="791">
        <f>'SOUTH-2'!G471</f>
        <v>134</v>
      </c>
      <c r="H905" s="791">
        <f>'SOUTH-2'!H471</f>
        <v>145.69999999999999</v>
      </c>
      <c r="I905" s="791">
        <f>'SOUTH-2'!I471</f>
        <v>11.699999999999989</v>
      </c>
      <c r="J905" s="791">
        <f>'SOUTH-2'!J471</f>
        <v>40000</v>
      </c>
      <c r="K905" s="791">
        <f>'SOUTH-2'!K471</f>
        <v>0</v>
      </c>
      <c r="L905" s="791">
        <f>'SOUTH-2'!L471</f>
        <v>467999.99999999953</v>
      </c>
      <c r="M905" s="791">
        <f>'SOUTH-2'!M471</f>
        <v>0</v>
      </c>
      <c r="N905" s="2019" t="str">
        <f>'SOUTH-2'!N471</f>
        <v>Rajarbag</v>
      </c>
      <c r="O905" s="2019" t="str">
        <f>Sheet2!$C$88</f>
        <v>Kamalapur Railway 33/11 KV SS</v>
      </c>
    </row>
    <row r="906" spans="1:15" x14ac:dyDescent="0.35">
      <c r="A906" s="2019">
        <f>'SOUTH-2'!A472</f>
        <v>4</v>
      </c>
      <c r="B906" s="2019" t="str">
        <f>'SOUTH-2'!B472</f>
        <v>Shahjahanpur O/H Feeder</v>
      </c>
      <c r="C906" s="2019">
        <f>'SOUTH-2'!C472</f>
        <v>11</v>
      </c>
      <c r="D906" s="2019" t="str">
        <f>'SOUTH-2'!D472</f>
        <v>Rajarbag</v>
      </c>
      <c r="E906" s="2019">
        <f>'SOUTH-2'!E472</f>
        <v>12</v>
      </c>
      <c r="F906" s="791">
        <f>'SOUTH-2'!F472</f>
        <v>1</v>
      </c>
      <c r="G906" s="791">
        <f>'SOUTH-2'!G472</f>
        <v>405.8</v>
      </c>
      <c r="H906" s="791">
        <f>'SOUTH-2'!H472</f>
        <v>421.2</v>
      </c>
      <c r="I906" s="791">
        <f>'SOUTH-2'!I472</f>
        <v>15.399999999999977</v>
      </c>
      <c r="J906" s="791">
        <f>'SOUTH-2'!J472</f>
        <v>40000</v>
      </c>
      <c r="K906" s="791">
        <f>'SOUTH-2'!K472</f>
        <v>0</v>
      </c>
      <c r="L906" s="791">
        <f>'SOUTH-2'!L472</f>
        <v>615999.99999999907</v>
      </c>
      <c r="M906" s="791">
        <f>'SOUTH-2'!M472</f>
        <v>0</v>
      </c>
      <c r="N906" s="2019" t="str">
        <f>'SOUTH-2'!N472</f>
        <v>Rajarbag</v>
      </c>
      <c r="O906" s="2019" t="str">
        <f>Sheet2!$C$88</f>
        <v>Kamalapur Railway 33/11 KV SS</v>
      </c>
    </row>
    <row r="907" spans="1:15" x14ac:dyDescent="0.35">
      <c r="A907" s="2019">
        <f>'SOUTH-2'!A473</f>
        <v>5</v>
      </c>
      <c r="B907" s="2019" t="str">
        <f>'SOUTH-2'!B473</f>
        <v>11 kV Feeder-5</v>
      </c>
      <c r="C907" s="2019">
        <f>'SOUTH-2'!C473</f>
        <v>11</v>
      </c>
      <c r="D907" s="2019">
        <f>'SOUTH-2'!D473</f>
        <v>0</v>
      </c>
      <c r="E907" s="2019">
        <f>'SOUTH-2'!E473</f>
        <v>96</v>
      </c>
      <c r="F907" s="791">
        <f>'SOUTH-2'!F473</f>
        <v>1</v>
      </c>
      <c r="G907" s="791">
        <f>'SOUTH-2'!G473</f>
        <v>0</v>
      </c>
      <c r="H907" s="791">
        <f>'SOUTH-2'!H473</f>
        <v>0</v>
      </c>
      <c r="I907" s="791">
        <f>'SOUTH-2'!I473</f>
        <v>0</v>
      </c>
      <c r="J907" s="791">
        <f>'SOUTH-2'!J473</f>
        <v>40000</v>
      </c>
      <c r="K907" s="791">
        <f>'SOUTH-2'!K473</f>
        <v>0</v>
      </c>
      <c r="L907" s="791">
        <f>'SOUTH-2'!L473</f>
        <v>0</v>
      </c>
      <c r="M907" s="791">
        <f>'SOUTH-2'!M473</f>
        <v>0</v>
      </c>
      <c r="N907" s="2019">
        <f>'SOUTH-2'!N473</f>
        <v>0</v>
      </c>
      <c r="O907" s="2019" t="str">
        <f>Sheet2!$C$88</f>
        <v>Kamalapur Railway 33/11 KV SS</v>
      </c>
    </row>
    <row r="908" spans="1:15" x14ac:dyDescent="0.35">
      <c r="A908" s="2019">
        <f>'SOUTH-2'!A474</f>
        <v>7</v>
      </c>
      <c r="B908" s="2019" t="str">
        <f>'SOUTH-2'!B474</f>
        <v>11 kV Feeder-6</v>
      </c>
      <c r="C908" s="2019">
        <f>'SOUTH-2'!C474</f>
        <v>11</v>
      </c>
      <c r="D908" s="2019">
        <f>'SOUTH-2'!D474</f>
        <v>0</v>
      </c>
      <c r="E908" s="2019">
        <f>'SOUTH-2'!E474</f>
        <v>11</v>
      </c>
      <c r="F908" s="791">
        <f>'SOUTH-2'!F474</f>
        <v>1</v>
      </c>
      <c r="G908" s="791">
        <f>'SOUTH-2'!G474</f>
        <v>0</v>
      </c>
      <c r="H908" s="791">
        <f>'SOUTH-2'!H474</f>
        <v>0</v>
      </c>
      <c r="I908" s="791">
        <f>'SOUTH-2'!I474</f>
        <v>0</v>
      </c>
      <c r="J908" s="791">
        <f>'SOUTH-2'!J474</f>
        <v>40000</v>
      </c>
      <c r="K908" s="791">
        <f>'SOUTH-2'!K474</f>
        <v>0</v>
      </c>
      <c r="L908" s="791">
        <f>'SOUTH-2'!L474</f>
        <v>0</v>
      </c>
      <c r="M908" s="791">
        <f>'SOUTH-2'!M474</f>
        <v>0</v>
      </c>
      <c r="N908" s="2019">
        <f>'SOUTH-2'!N474</f>
        <v>0</v>
      </c>
      <c r="O908" s="2019" t="str">
        <f>Sheet2!$C$88</f>
        <v>Kamalapur Railway 33/11 KV SS</v>
      </c>
    </row>
    <row r="909" spans="1:15" x14ac:dyDescent="0.35">
      <c r="A909" s="2019">
        <f>'SOUTH-2'!A475</f>
        <v>8</v>
      </c>
      <c r="B909" s="2019" t="str">
        <f>'SOUTH-2'!B475</f>
        <v>Momenbagh O/H</v>
      </c>
      <c r="C909" s="2019">
        <f>'SOUTH-2'!C475</f>
        <v>11</v>
      </c>
      <c r="D909" s="2019" t="str">
        <f>'SOUTH-2'!D475</f>
        <v>Rajarbag</v>
      </c>
      <c r="E909" s="2019">
        <f>'SOUTH-2'!E475</f>
        <v>107</v>
      </c>
      <c r="F909" s="791">
        <f>'SOUTH-2'!F475</f>
        <v>1</v>
      </c>
      <c r="G909" s="791">
        <f>'SOUTH-2'!G475</f>
        <v>200.4</v>
      </c>
      <c r="H909" s="791">
        <f>'SOUTH-2'!H475</f>
        <v>210.6</v>
      </c>
      <c r="I909" s="791">
        <f>'SOUTH-2'!I475</f>
        <v>10.199999999999989</v>
      </c>
      <c r="J909" s="791">
        <f>'SOUTH-2'!J475</f>
        <v>40000</v>
      </c>
      <c r="K909" s="791">
        <f>'SOUTH-2'!K475</f>
        <v>0</v>
      </c>
      <c r="L909" s="791">
        <f>'SOUTH-2'!L475</f>
        <v>407999.99999999953</v>
      </c>
      <c r="M909" s="791">
        <f>'SOUTH-2'!M475</f>
        <v>0</v>
      </c>
      <c r="N909" s="2019" t="str">
        <f>'SOUTH-2'!N475</f>
        <v>Rajarbag</v>
      </c>
      <c r="O909" s="2019" t="str">
        <f>Sheet2!$C$88</f>
        <v>Kamalapur Railway 33/11 KV SS</v>
      </c>
    </row>
    <row r="910" spans="1:15" x14ac:dyDescent="0.35">
      <c r="A910" s="2019">
        <f>'SOUTH-2'!A476</f>
        <v>9</v>
      </c>
      <c r="B910" s="2019" t="str">
        <f>'SOUTH-2'!B476</f>
        <v>11 kV Feeder-8</v>
      </c>
      <c r="C910" s="2019">
        <f>'SOUTH-2'!C476</f>
        <v>11</v>
      </c>
      <c r="D910" s="2019">
        <f>'SOUTH-2'!D476</f>
        <v>0</v>
      </c>
      <c r="E910" s="2019">
        <f>'SOUTH-2'!E476</f>
        <v>179</v>
      </c>
      <c r="F910" s="791">
        <f>'SOUTH-2'!F476</f>
        <v>1</v>
      </c>
      <c r="G910" s="791">
        <f>'SOUTH-2'!G476</f>
        <v>0</v>
      </c>
      <c r="H910" s="791">
        <f>'SOUTH-2'!H476</f>
        <v>0</v>
      </c>
      <c r="I910" s="791">
        <f>'SOUTH-2'!I476</f>
        <v>0</v>
      </c>
      <c r="J910" s="791">
        <f>'SOUTH-2'!J476</f>
        <v>40000</v>
      </c>
      <c r="K910" s="791">
        <f>'SOUTH-2'!K476</f>
        <v>0</v>
      </c>
      <c r="L910" s="791">
        <f>'SOUTH-2'!L476</f>
        <v>0</v>
      </c>
      <c r="M910" s="791">
        <f>'SOUTH-2'!M476</f>
        <v>0</v>
      </c>
      <c r="N910" s="2019">
        <f>'SOUTH-2'!N476</f>
        <v>0</v>
      </c>
      <c r="O910" s="2019" t="str">
        <f>Sheet2!$C$88</f>
        <v>Kamalapur Railway 33/11 KV SS</v>
      </c>
    </row>
    <row r="911" spans="1:15" x14ac:dyDescent="0.35">
      <c r="A911" s="2019">
        <f>'SOUTH-2'!A477</f>
        <v>11</v>
      </c>
      <c r="B911" s="2019" t="str">
        <f>'SOUTH-2'!B477</f>
        <v>11 kV Uttara Bank Goli  Feeder-9</v>
      </c>
      <c r="C911" s="2019">
        <f>'SOUTH-2'!C477</f>
        <v>11</v>
      </c>
      <c r="D911" s="2019" t="str">
        <f>'SOUTH-2'!D477</f>
        <v>Rajarbag</v>
      </c>
      <c r="E911" s="2019">
        <f>'SOUTH-2'!E477</f>
        <v>169</v>
      </c>
      <c r="F911" s="791">
        <f>'SOUTH-2'!F477</f>
        <v>1</v>
      </c>
      <c r="G911" s="791">
        <f>'SOUTH-2'!G477</f>
        <v>153.69999999999999</v>
      </c>
      <c r="H911" s="791">
        <f>'SOUTH-2'!H477</f>
        <v>158.19999999999999</v>
      </c>
      <c r="I911" s="791">
        <f>'SOUTH-2'!I477</f>
        <v>4.5</v>
      </c>
      <c r="J911" s="791">
        <f>'SOUTH-2'!J477</f>
        <v>40000</v>
      </c>
      <c r="K911" s="791">
        <f>'SOUTH-2'!K477</f>
        <v>0</v>
      </c>
      <c r="L911" s="791">
        <f>'SOUTH-2'!L477</f>
        <v>180000</v>
      </c>
      <c r="M911" s="791">
        <f>'SOUTH-2'!M477</f>
        <v>0</v>
      </c>
      <c r="N911" s="2019" t="str">
        <f>'SOUTH-2'!N477</f>
        <v>Rajarbag</v>
      </c>
      <c r="O911" s="2019" t="str">
        <f>Sheet2!$C$88</f>
        <v>Kamalapur Railway 33/11 KV SS</v>
      </c>
    </row>
    <row r="912" spans="1:15" x14ac:dyDescent="0.35">
      <c r="A912" s="2019">
        <f>'SOUTH-2'!A478</f>
        <v>12</v>
      </c>
      <c r="B912" s="2019" t="str">
        <f>'SOUTH-2'!B478</f>
        <v>11 kV Baraka O/H Feeder-10</v>
      </c>
      <c r="C912" s="2019">
        <f>'SOUTH-2'!C478</f>
        <v>11</v>
      </c>
      <c r="D912" s="2019" t="str">
        <f>'SOUTH-2'!D478</f>
        <v>Rajarbag</v>
      </c>
      <c r="E912" s="2019">
        <f>'SOUTH-2'!E478</f>
        <v>49</v>
      </c>
      <c r="F912" s="791">
        <f>'SOUTH-2'!F478</f>
        <v>1</v>
      </c>
      <c r="G912" s="791">
        <f>'SOUTH-2'!G478</f>
        <v>153.30000000000001</v>
      </c>
      <c r="H912" s="791">
        <f>'SOUTH-2'!H478</f>
        <v>198.8</v>
      </c>
      <c r="I912" s="791">
        <f>'SOUTH-2'!I478</f>
        <v>45.5</v>
      </c>
      <c r="J912" s="791">
        <f>'SOUTH-2'!J478</f>
        <v>40000</v>
      </c>
      <c r="K912" s="791">
        <f>'SOUTH-2'!K478</f>
        <v>0</v>
      </c>
      <c r="L912" s="791">
        <f>'SOUTH-2'!L478</f>
        <v>1820000</v>
      </c>
      <c r="M912" s="791">
        <f>'SOUTH-2'!M478</f>
        <v>0</v>
      </c>
      <c r="N912" s="2019" t="str">
        <f>'SOUTH-2'!N478</f>
        <v>Rajarbag</v>
      </c>
      <c r="O912" s="2019" t="str">
        <f>Sheet2!$C$88</f>
        <v>Kamalapur Railway 33/11 KV SS</v>
      </c>
    </row>
    <row r="913" spans="1:15" x14ac:dyDescent="0.35">
      <c r="A913" s="2019">
        <f>'SOUTH-2'!A479</f>
        <v>13</v>
      </c>
      <c r="B913" s="2019" t="str">
        <f>'SOUTH-2'!B479</f>
        <v>11 kV Feeder-11</v>
      </c>
      <c r="C913" s="2019">
        <f>'SOUTH-2'!C479</f>
        <v>11</v>
      </c>
      <c r="D913" s="2019">
        <f>'SOUTH-2'!D479</f>
        <v>0</v>
      </c>
      <c r="E913" s="2019">
        <f>'SOUTH-2'!E479</f>
        <v>92</v>
      </c>
      <c r="F913" s="791">
        <f>'SOUTH-2'!F479</f>
        <v>1</v>
      </c>
      <c r="G913" s="791">
        <f>'SOUTH-2'!G479</f>
        <v>0</v>
      </c>
      <c r="H913" s="791">
        <f>'SOUTH-2'!H479</f>
        <v>0</v>
      </c>
      <c r="I913" s="791">
        <f>'SOUTH-2'!I479</f>
        <v>0</v>
      </c>
      <c r="J913" s="791">
        <f>'SOUTH-2'!J479</f>
        <v>40000</v>
      </c>
      <c r="K913" s="791">
        <f>'SOUTH-2'!K479</f>
        <v>0</v>
      </c>
      <c r="L913" s="791">
        <f>'SOUTH-2'!L479</f>
        <v>0</v>
      </c>
      <c r="M913" s="791">
        <f>'SOUTH-2'!M479</f>
        <v>0</v>
      </c>
      <c r="N913" s="2019">
        <f>'SOUTH-2'!N479</f>
        <v>0</v>
      </c>
      <c r="O913" s="2019" t="str">
        <f>Sheet2!$C$88</f>
        <v>Kamalapur Railway 33/11 KV SS</v>
      </c>
    </row>
    <row r="914" spans="1:15" x14ac:dyDescent="0.35">
      <c r="A914" s="2019">
        <f>'SOUTH-2'!A480</f>
        <v>14</v>
      </c>
      <c r="B914" s="2019" t="str">
        <f>'SOUTH-2'!B480</f>
        <v>Dhaka Railway</v>
      </c>
      <c r="C914" s="2019">
        <f>'SOUTH-2'!C480</f>
        <v>11</v>
      </c>
      <c r="D914" s="2019" t="str">
        <f>'SOUTH-2'!D480</f>
        <v>Motijheel</v>
      </c>
      <c r="E914" s="2019">
        <f>'SOUTH-2'!E480</f>
        <v>150</v>
      </c>
      <c r="F914" s="791">
        <f>'SOUTH-2'!F480</f>
        <v>1</v>
      </c>
      <c r="G914" s="791">
        <f>'SOUTH-2'!G480</f>
        <v>3.9</v>
      </c>
      <c r="H914" s="791">
        <f>'SOUTH-2'!H480</f>
        <v>11.7</v>
      </c>
      <c r="I914" s="791">
        <f>'SOUTH-2'!I480</f>
        <v>7.7999999999999989</v>
      </c>
      <c r="J914" s="791">
        <f>'SOUTH-2'!J480</f>
        <v>40000</v>
      </c>
      <c r="K914" s="791">
        <f>'SOUTH-2'!K480</f>
        <v>0</v>
      </c>
      <c r="L914" s="791">
        <f>'SOUTH-2'!L480</f>
        <v>311999.99999999994</v>
      </c>
      <c r="M914" s="791">
        <f>'SOUTH-2'!M480</f>
        <v>0</v>
      </c>
      <c r="N914" s="2019" t="str">
        <f>'SOUTH-2'!N480</f>
        <v>Motijheel</v>
      </c>
      <c r="O914" s="2019" t="str">
        <f>Sheet2!$C$88</f>
        <v>Kamalapur Railway 33/11 KV SS</v>
      </c>
    </row>
    <row r="915" spans="1:15" x14ac:dyDescent="0.35">
      <c r="A915" s="2019">
        <f>'SOUTH-2'!A481</f>
        <v>15</v>
      </c>
      <c r="B915" s="2019" t="str">
        <f>'SOUTH-2'!B481</f>
        <v>11 kV Feeder-13</v>
      </c>
      <c r="C915" s="2019">
        <f>'SOUTH-2'!C481</f>
        <v>11</v>
      </c>
      <c r="D915" s="2019">
        <f>'SOUTH-2'!D481</f>
        <v>0</v>
      </c>
      <c r="E915" s="2019">
        <f>'SOUTH-2'!E481</f>
        <v>91</v>
      </c>
      <c r="F915" s="791">
        <f>'SOUTH-2'!F481</f>
        <v>1</v>
      </c>
      <c r="G915" s="791">
        <f>'SOUTH-2'!G481</f>
        <v>0</v>
      </c>
      <c r="H915" s="791">
        <f>'SOUTH-2'!H481</f>
        <v>0</v>
      </c>
      <c r="I915" s="791">
        <f>'SOUTH-2'!I481</f>
        <v>0</v>
      </c>
      <c r="J915" s="791">
        <f>'SOUTH-2'!J481</f>
        <v>40000</v>
      </c>
      <c r="K915" s="791">
        <f>'SOUTH-2'!K481</f>
        <v>0</v>
      </c>
      <c r="L915" s="791">
        <f>'SOUTH-2'!L481</f>
        <v>0</v>
      </c>
      <c r="M915" s="791">
        <f>'SOUTH-2'!M481</f>
        <v>0</v>
      </c>
      <c r="N915" s="2019">
        <f>'SOUTH-2'!N481</f>
        <v>0</v>
      </c>
      <c r="O915" s="2019" t="str">
        <f>Sheet2!$C$88</f>
        <v>Kamalapur Railway 33/11 KV SS</v>
      </c>
    </row>
    <row r="916" spans="1:15" x14ac:dyDescent="0.35">
      <c r="A916" s="2019">
        <f>'SOUTH-2'!A482</f>
        <v>16</v>
      </c>
      <c r="B916" s="2019" t="str">
        <f>'SOUTH-2'!B482</f>
        <v>11 kV Feeder-14</v>
      </c>
      <c r="C916" s="2019">
        <f>'SOUTH-2'!C482</f>
        <v>11</v>
      </c>
      <c r="D916" s="2019">
        <f>'SOUTH-2'!D482</f>
        <v>0</v>
      </c>
      <c r="E916" s="2019">
        <f>'SOUTH-2'!E482</f>
        <v>18</v>
      </c>
      <c r="F916" s="791">
        <f>'SOUTH-2'!F482</f>
        <v>1</v>
      </c>
      <c r="G916" s="791">
        <f>'SOUTH-2'!G482</f>
        <v>0</v>
      </c>
      <c r="H916" s="791">
        <f>'SOUTH-2'!H482</f>
        <v>0</v>
      </c>
      <c r="I916" s="791">
        <f>'SOUTH-2'!I482</f>
        <v>0</v>
      </c>
      <c r="J916" s="791">
        <f>'SOUTH-2'!J482</f>
        <v>40000</v>
      </c>
      <c r="K916" s="791">
        <f>'SOUTH-2'!K482</f>
        <v>0</v>
      </c>
      <c r="L916" s="791">
        <f>'SOUTH-2'!L482</f>
        <v>0</v>
      </c>
      <c r="M916" s="791">
        <f>'SOUTH-2'!M482</f>
        <v>0</v>
      </c>
      <c r="N916" s="2019">
        <f>'SOUTH-2'!N482</f>
        <v>0</v>
      </c>
      <c r="O916" s="2019" t="str">
        <f>Sheet2!$C$88</f>
        <v>Kamalapur Railway 33/11 KV SS</v>
      </c>
    </row>
    <row r="917" spans="1:15" x14ac:dyDescent="0.35">
      <c r="A917" s="2019">
        <f>'SOUTH-2'!A483</f>
        <v>17</v>
      </c>
      <c r="B917" s="2019" t="str">
        <f>'SOUTH-2'!B483</f>
        <v>11 kV Feeder-15</v>
      </c>
      <c r="C917" s="2019">
        <f>'SOUTH-2'!C483</f>
        <v>11</v>
      </c>
      <c r="D917" s="2019">
        <f>'SOUTH-2'!D483</f>
        <v>0</v>
      </c>
      <c r="E917" s="2019">
        <f>'SOUTH-2'!E483</f>
        <v>171</v>
      </c>
      <c r="F917" s="791">
        <f>'SOUTH-2'!F483</f>
        <v>1</v>
      </c>
      <c r="G917" s="791">
        <f>'SOUTH-2'!G483</f>
        <v>0</v>
      </c>
      <c r="H917" s="791">
        <f>'SOUTH-2'!H483</f>
        <v>0</v>
      </c>
      <c r="I917" s="791">
        <f>'SOUTH-2'!I483</f>
        <v>0</v>
      </c>
      <c r="J917" s="791">
        <f>'SOUTH-2'!J483</f>
        <v>40000</v>
      </c>
      <c r="K917" s="791">
        <f>'SOUTH-2'!K483</f>
        <v>0</v>
      </c>
      <c r="L917" s="791">
        <f>'SOUTH-2'!L483</f>
        <v>0</v>
      </c>
      <c r="M917" s="791">
        <f>'SOUTH-2'!M483</f>
        <v>0</v>
      </c>
      <c r="N917" s="2019">
        <f>'SOUTH-2'!N483</f>
        <v>0</v>
      </c>
      <c r="O917" s="2019" t="str">
        <f>Sheet2!$C$88</f>
        <v>Kamalapur Railway 33/11 KV SS</v>
      </c>
    </row>
    <row r="918" spans="1:15" x14ac:dyDescent="0.35">
      <c r="A918" s="2019">
        <f>'SOUTH-2'!A484</f>
        <v>18</v>
      </c>
      <c r="B918" s="2019" t="str">
        <f>'SOUTH-2'!B484</f>
        <v>11 kV Feeder-16</v>
      </c>
      <c r="C918" s="2019">
        <f>'SOUTH-2'!C484</f>
        <v>11</v>
      </c>
      <c r="D918" s="2019">
        <f>'SOUTH-2'!D484</f>
        <v>0</v>
      </c>
      <c r="E918" s="2019">
        <f>'SOUTH-2'!E484</f>
        <v>204</v>
      </c>
      <c r="F918" s="791">
        <f>'SOUTH-2'!F484</f>
        <v>1</v>
      </c>
      <c r="G918" s="791">
        <f>'SOUTH-2'!G484</f>
        <v>0</v>
      </c>
      <c r="H918" s="791">
        <f>'SOUTH-2'!H484</f>
        <v>0</v>
      </c>
      <c r="I918" s="791">
        <f>'SOUTH-2'!I484</f>
        <v>0</v>
      </c>
      <c r="J918" s="791">
        <f>'SOUTH-2'!J484</f>
        <v>40000</v>
      </c>
      <c r="K918" s="791">
        <f>'SOUTH-2'!K484</f>
        <v>0</v>
      </c>
      <c r="L918" s="791">
        <f>'SOUTH-2'!L484</f>
        <v>0</v>
      </c>
      <c r="M918" s="791">
        <f>'SOUTH-2'!M484</f>
        <v>0</v>
      </c>
      <c r="N918" s="2019">
        <f>'SOUTH-2'!N484</f>
        <v>0</v>
      </c>
      <c r="O918" s="2019" t="str">
        <f>Sheet2!$C$88</f>
        <v>Kamalapur Railway 33/11 KV SS</v>
      </c>
    </row>
    <row r="919" spans="1:15" x14ac:dyDescent="0.35">
      <c r="A919" s="2019">
        <f>'SOUTH-2'!A485</f>
        <v>19</v>
      </c>
      <c r="B919" s="2019" t="str">
        <f>'SOUTH-2'!B485</f>
        <v>Auxiliary -1 (AT-1 )</v>
      </c>
      <c r="C919" s="2019">
        <f>'SOUTH-2'!C485</f>
        <v>0.4</v>
      </c>
      <c r="D919" s="2019">
        <f>'SOUTH-2'!D485</f>
        <v>0</v>
      </c>
      <c r="E919" s="2019" t="str">
        <f>'SOUTH-2'!E485</f>
        <v>DHKF 7632</v>
      </c>
      <c r="F919" s="791">
        <f>'SOUTH-2'!F485</f>
        <v>1</v>
      </c>
      <c r="G919" s="791">
        <f>'SOUTH-2'!G485</f>
        <v>577.6</v>
      </c>
      <c r="H919" s="791">
        <f>'SOUTH-2'!H485</f>
        <v>601.78</v>
      </c>
      <c r="I919" s="791">
        <f>'SOUTH-2'!I485</f>
        <v>24.17999999999995</v>
      </c>
      <c r="J919" s="791">
        <f>'SOUTH-2'!J485</f>
        <v>100</v>
      </c>
      <c r="K919" s="791">
        <f>'SOUTH-2'!K485</f>
        <v>0</v>
      </c>
      <c r="L919" s="791">
        <f>'SOUTH-2'!L485</f>
        <v>2417.999999999995</v>
      </c>
      <c r="M919" s="791">
        <f>'SOUTH-2'!M485</f>
        <v>0</v>
      </c>
      <c r="N919" s="2019" t="str">
        <f>'SOUTH-2'!N485</f>
        <v>Rajarbag</v>
      </c>
      <c r="O919" s="2019" t="str">
        <f>Sheet2!$C$88</f>
        <v>Kamalapur Railway 33/11 KV SS</v>
      </c>
    </row>
    <row r="920" spans="1:15" x14ac:dyDescent="0.35">
      <c r="A920" s="2019">
        <f>'SOUTH-2'!A486</f>
        <v>20</v>
      </c>
      <c r="B920" s="2019" t="str">
        <f>'SOUTH-2'!B486</f>
        <v>Auxiliary -1 (AT-2 )</v>
      </c>
      <c r="C920" s="2019">
        <f>'SOUTH-2'!C486</f>
        <v>0.41499999999999998</v>
      </c>
      <c r="D920" s="2019">
        <f>'SOUTH-2'!D486</f>
        <v>0</v>
      </c>
      <c r="E920" s="2019" t="str">
        <f>'SOUTH-2'!E486</f>
        <v>DHKF 7733</v>
      </c>
      <c r="F920" s="791">
        <f>'SOUTH-2'!F486</f>
        <v>1</v>
      </c>
      <c r="G920" s="791">
        <f>'SOUTH-2'!G486</f>
        <v>119.59</v>
      </c>
      <c r="H920" s="791">
        <f>'SOUTH-2'!H486</f>
        <v>119.59</v>
      </c>
      <c r="I920" s="791">
        <f>'SOUTH-2'!I486</f>
        <v>0</v>
      </c>
      <c r="J920" s="791">
        <f>'SOUTH-2'!J486</f>
        <v>100</v>
      </c>
      <c r="K920" s="791">
        <f>'SOUTH-2'!K486</f>
        <v>0</v>
      </c>
      <c r="L920" s="791">
        <f>'SOUTH-2'!L486</f>
        <v>0</v>
      </c>
      <c r="M920" s="791">
        <f>'SOUTH-2'!M486</f>
        <v>0</v>
      </c>
      <c r="N920" s="2019" t="str">
        <f>'SOUTH-2'!N486</f>
        <v>Rajarbag</v>
      </c>
      <c r="O920" s="2019" t="str">
        <f>Sheet2!$C$88</f>
        <v>Kamalapur Railway 33/11 KV SS</v>
      </c>
    </row>
    <row r="921" spans="1:15" x14ac:dyDescent="0.35">
      <c r="A921" s="2019">
        <f>'SOUTH-2'!A551</f>
        <v>1</v>
      </c>
      <c r="B921" s="2019" t="str">
        <f>'SOUTH-2'!B551</f>
        <v>11 kV DIT S/S-1 Feeder</v>
      </c>
      <c r="C921" s="2019">
        <f>'SOUTH-2'!C551</f>
        <v>11</v>
      </c>
      <c r="D921" s="2019" t="str">
        <f>'SOUTH-2'!D551</f>
        <v>Motijheel</v>
      </c>
      <c r="E921" s="2019">
        <f>'SOUTH-2'!E551</f>
        <v>4150750</v>
      </c>
      <c r="F921" s="791">
        <f>'SOUTH-2'!F551</f>
        <v>1</v>
      </c>
      <c r="G921" s="791">
        <f>'SOUTH-2'!G551</f>
        <v>208180.13</v>
      </c>
      <c r="H921" s="791">
        <f>'SOUTH-2'!H551</f>
        <v>208879.53</v>
      </c>
      <c r="I921" s="791">
        <f>'SOUTH-2'!I551</f>
        <v>699.39999999999418</v>
      </c>
      <c r="J921" s="791">
        <f>'SOUTH-2'!J551</f>
        <v>1000</v>
      </c>
      <c r="K921" s="791">
        <f>'SOUTH-2'!K551</f>
        <v>0</v>
      </c>
      <c r="L921" s="791">
        <f>'SOUTH-2'!L551</f>
        <v>699399.99999999418</v>
      </c>
      <c r="M921" s="791">
        <f>'SOUTH-2'!M551</f>
        <v>0</v>
      </c>
      <c r="N921" s="2019" t="str">
        <f>'SOUTH-2'!N551</f>
        <v>Motijheel</v>
      </c>
      <c r="O921" s="2019" t="str">
        <f>Sheet2!$C$47</f>
        <v>Bangabhaban 132/11KV S/S</v>
      </c>
    </row>
    <row r="922" spans="1:15" x14ac:dyDescent="0.35">
      <c r="A922" s="2019">
        <f>'SOUTH-2'!A552</f>
        <v>2</v>
      </c>
      <c r="B922" s="2019" t="str">
        <f>'SOUTH-2'!B552</f>
        <v>11 kV Bangabhaban Switching Circuit-1</v>
      </c>
      <c r="C922" s="2019">
        <f>'SOUTH-2'!C552</f>
        <v>11</v>
      </c>
      <c r="D922" s="2019" t="str">
        <f>'SOUTH-2'!D552</f>
        <v>Motijheel</v>
      </c>
      <c r="E922" s="2019">
        <f>'SOUTH-2'!E552</f>
        <v>4150743</v>
      </c>
      <c r="F922" s="791">
        <f>'SOUTH-2'!F552</f>
        <v>1</v>
      </c>
      <c r="G922" s="791">
        <f>'SOUTH-2'!G552</f>
        <v>23684.28</v>
      </c>
      <c r="H922" s="791">
        <f>'SOUTH-2'!H552</f>
        <v>23700.48</v>
      </c>
      <c r="I922" s="791">
        <f>'SOUTH-2'!I552</f>
        <v>16.200000000000728</v>
      </c>
      <c r="J922" s="791">
        <f>'SOUTH-2'!J552</f>
        <v>1000</v>
      </c>
      <c r="K922" s="791">
        <f>'SOUTH-2'!K552</f>
        <v>0</v>
      </c>
      <c r="L922" s="791">
        <f>'SOUTH-2'!L552</f>
        <v>16200.000000000728</v>
      </c>
      <c r="M922" s="791">
        <f>'SOUTH-2'!M552</f>
        <v>0</v>
      </c>
      <c r="N922" s="2019" t="str">
        <f>'SOUTH-2'!N552</f>
        <v>Motijheel</v>
      </c>
      <c r="O922" s="2019" t="str">
        <f>Sheet2!$C$47</f>
        <v>Bangabhaban 132/11KV S/S</v>
      </c>
    </row>
    <row r="923" spans="1:15" x14ac:dyDescent="0.35">
      <c r="A923" s="2019">
        <f>'SOUTH-2'!A553</f>
        <v>3</v>
      </c>
      <c r="B923" s="2019" t="str">
        <f>'SOUTH-2'!B553</f>
        <v>11 kV Saidabad Water Treatment</v>
      </c>
      <c r="C923" s="2019">
        <f>'SOUTH-2'!C553</f>
        <v>11</v>
      </c>
      <c r="D923" s="2019" t="str">
        <f>'SOUTH-2'!D553</f>
        <v>Maniknagar</v>
      </c>
      <c r="E923" s="2019">
        <f>'SOUTH-2'!E553</f>
        <v>4150749</v>
      </c>
      <c r="F923" s="791">
        <f>'SOUTH-2'!F553</f>
        <v>1</v>
      </c>
      <c r="G923" s="791">
        <f>'SOUTH-2'!G553</f>
        <v>4129.6000000000004</v>
      </c>
      <c r="H923" s="791">
        <f>'SOUTH-2'!H553</f>
        <v>4129.6000000000004</v>
      </c>
      <c r="I923" s="791">
        <f>'SOUTH-2'!I553</f>
        <v>0</v>
      </c>
      <c r="J923" s="791">
        <f>'SOUTH-2'!J553</f>
        <v>1000</v>
      </c>
      <c r="K923" s="791">
        <f>'SOUTH-2'!K553</f>
        <v>0</v>
      </c>
      <c r="L923" s="791">
        <f>'SOUTH-2'!L553</f>
        <v>0</v>
      </c>
      <c r="M923" s="791">
        <f>'SOUTH-2'!M553</f>
        <v>0</v>
      </c>
      <c r="N923" s="2019" t="str">
        <f>'SOUTH-2'!N553</f>
        <v>Maniknagar</v>
      </c>
      <c r="O923" s="2019" t="str">
        <f>Sheet2!$C$47</f>
        <v>Bangabhaban 132/11KV S/S</v>
      </c>
    </row>
    <row r="924" spans="1:15" x14ac:dyDescent="0.35">
      <c r="A924" s="2019">
        <f>'SOUTH-2'!A554</f>
        <v>4</v>
      </c>
      <c r="B924" s="2019" t="str">
        <f>'SOUTH-2'!B554</f>
        <v>11 kV Bangladesh Bank Feeder</v>
      </c>
      <c r="C924" s="2019">
        <f>'SOUTH-2'!C554</f>
        <v>11</v>
      </c>
      <c r="D924" s="2019" t="str">
        <f>'SOUTH-2'!D554</f>
        <v>Motijheel</v>
      </c>
      <c r="E924" s="2019">
        <f>'SOUTH-2'!E554</f>
        <v>4150738</v>
      </c>
      <c r="F924" s="791">
        <f>'SOUTH-2'!F554</f>
        <v>1</v>
      </c>
      <c r="G924" s="791">
        <f>'SOUTH-2'!G554</f>
        <v>73964.37</v>
      </c>
      <c r="H924" s="791">
        <f>'SOUTH-2'!H554</f>
        <v>73970.289999999994</v>
      </c>
      <c r="I924" s="791">
        <f>'SOUTH-2'!I554</f>
        <v>5.9199999999982538</v>
      </c>
      <c r="J924" s="791">
        <f>'SOUTH-2'!J554</f>
        <v>1000</v>
      </c>
      <c r="K924" s="791">
        <f>'SOUTH-2'!K554</f>
        <v>0</v>
      </c>
      <c r="L924" s="791">
        <f>'SOUTH-2'!L554</f>
        <v>5919.9999999982538</v>
      </c>
      <c r="M924" s="791">
        <f>'SOUTH-2'!M554</f>
        <v>0</v>
      </c>
      <c r="N924" s="2019" t="str">
        <f>'SOUTH-2'!N554</f>
        <v>Motijheel</v>
      </c>
      <c r="O924" s="2019" t="str">
        <f>Sheet2!$C$47</f>
        <v>Bangabhaban 132/11KV S/S</v>
      </c>
    </row>
    <row r="925" spans="1:15" x14ac:dyDescent="0.35">
      <c r="A925" s="2019">
        <f>'SOUTH-2'!A555</f>
        <v>5</v>
      </c>
      <c r="B925" s="2019" t="str">
        <f>'SOUTH-2'!B555</f>
        <v>11 kV P &amp; T Substation</v>
      </c>
      <c r="C925" s="2019">
        <f>'SOUTH-2'!C555</f>
        <v>11</v>
      </c>
      <c r="D925" s="2019" t="str">
        <f>'SOUTH-2'!D555</f>
        <v>Motijheel</v>
      </c>
      <c r="E925" s="2019">
        <f>'SOUTH-2'!E555</f>
        <v>4150751</v>
      </c>
      <c r="F925" s="791">
        <f>'SOUTH-2'!F555</f>
        <v>1</v>
      </c>
      <c r="G925" s="791">
        <f>'SOUTH-2'!G555</f>
        <v>376848.18</v>
      </c>
      <c r="H925" s="791">
        <f>'SOUTH-2'!H555</f>
        <v>376848.18</v>
      </c>
      <c r="I925" s="791">
        <f>'SOUTH-2'!I555</f>
        <v>0</v>
      </c>
      <c r="J925" s="791">
        <f>'SOUTH-2'!J555</f>
        <v>1000</v>
      </c>
      <c r="K925" s="791">
        <f>'SOUTH-2'!K555</f>
        <v>0</v>
      </c>
      <c r="L925" s="791">
        <f>'SOUTH-2'!L555</f>
        <v>0</v>
      </c>
      <c r="M925" s="791">
        <f>'SOUTH-2'!M555</f>
        <v>0</v>
      </c>
      <c r="N925" s="2019" t="str">
        <f>'SOUTH-2'!N555</f>
        <v>Motijheel</v>
      </c>
      <c r="O925" s="2019" t="str">
        <f>Sheet2!$C$47</f>
        <v>Bangabhaban 132/11KV S/S</v>
      </c>
    </row>
    <row r="926" spans="1:15" x14ac:dyDescent="0.35">
      <c r="A926" s="2019">
        <f>'SOUTH-2'!A556</f>
        <v>6</v>
      </c>
      <c r="B926" s="2019" t="str">
        <f>'SOUTH-2'!B556</f>
        <v>11 kV Osmani Feeder</v>
      </c>
      <c r="C926" s="2019">
        <f>'SOUTH-2'!C556</f>
        <v>11</v>
      </c>
      <c r="D926" s="2019" t="str">
        <f>'SOUTH-2'!D556</f>
        <v>Ramna</v>
      </c>
      <c r="E926" s="2019">
        <f>'SOUTH-2'!E556</f>
        <v>4150754</v>
      </c>
      <c r="F926" s="791">
        <f>'SOUTH-2'!F556</f>
        <v>1</v>
      </c>
      <c r="G926" s="791">
        <f>'SOUTH-2'!G556</f>
        <v>33779.199999999997</v>
      </c>
      <c r="H926" s="791">
        <f>'SOUTH-2'!H556</f>
        <v>33783.89</v>
      </c>
      <c r="I926" s="791">
        <f>'SOUTH-2'!I556</f>
        <v>4.6900000000023283</v>
      </c>
      <c r="J926" s="791">
        <f>'SOUTH-2'!J556</f>
        <v>1000</v>
      </c>
      <c r="K926" s="791">
        <f>'SOUTH-2'!K556</f>
        <v>0</v>
      </c>
      <c r="L926" s="791">
        <f>'SOUTH-2'!L556</f>
        <v>4690.0000000023283</v>
      </c>
      <c r="M926" s="791">
        <f>'SOUTH-2'!M556</f>
        <v>0</v>
      </c>
      <c r="N926" s="2019" t="str">
        <f>'SOUTH-2'!N556</f>
        <v>Ramna</v>
      </c>
      <c r="O926" s="2019" t="str">
        <f>Sheet2!$C$47</f>
        <v>Bangabhaban 132/11KV S/S</v>
      </c>
    </row>
    <row r="927" spans="1:15" x14ac:dyDescent="0.35">
      <c r="A927" s="2019">
        <f>'SOUTH-2'!A557</f>
        <v>7</v>
      </c>
      <c r="B927" s="2019" t="str">
        <f>'SOUTH-2'!B557</f>
        <v>11 kV Modhumita via Ovisar</v>
      </c>
      <c r="C927" s="2019">
        <f>'SOUTH-2'!C557</f>
        <v>11</v>
      </c>
      <c r="D927" s="2019" t="str">
        <f>'SOUTH-2'!D557</f>
        <v>Motijheel</v>
      </c>
      <c r="E927" s="2019">
        <f>'SOUTH-2'!E557</f>
        <v>4150741</v>
      </c>
      <c r="F927" s="791">
        <f>'SOUTH-2'!F557</f>
        <v>1</v>
      </c>
      <c r="G927" s="791">
        <f>'SOUTH-2'!G557</f>
        <v>48388.29</v>
      </c>
      <c r="H927" s="791">
        <f>'SOUTH-2'!H557</f>
        <v>48388.29</v>
      </c>
      <c r="I927" s="791">
        <f>'SOUTH-2'!I557</f>
        <v>0</v>
      </c>
      <c r="J927" s="791">
        <f>'SOUTH-2'!J557</f>
        <v>1000</v>
      </c>
      <c r="K927" s="791">
        <f>'SOUTH-2'!K557</f>
        <v>0</v>
      </c>
      <c r="L927" s="791">
        <f>'SOUTH-2'!L557</f>
        <v>0</v>
      </c>
      <c r="M927" s="791">
        <f>'SOUTH-2'!M557</f>
        <v>0</v>
      </c>
      <c r="N927" s="2019" t="str">
        <f>'SOUTH-2'!N557</f>
        <v>Motijheel</v>
      </c>
      <c r="O927" s="2019" t="str">
        <f>Sheet2!$C$47</f>
        <v>Bangabhaban 132/11KV S/S</v>
      </c>
    </row>
    <row r="928" spans="1:15" x14ac:dyDescent="0.35">
      <c r="A928" s="2019">
        <f>'SOUTH-2'!A558</f>
        <v>8</v>
      </c>
      <c r="B928" s="2019" t="str">
        <f>'SOUTH-2'!B558</f>
        <v>11 kV Sugar Bhaban &amp; Car Parking</v>
      </c>
      <c r="C928" s="2019">
        <f>'SOUTH-2'!C558</f>
        <v>11</v>
      </c>
      <c r="D928" s="2019" t="str">
        <f>'SOUTH-2'!D558</f>
        <v>Motijheel</v>
      </c>
      <c r="E928" s="2019">
        <f>'SOUTH-2'!E558</f>
        <v>4150753</v>
      </c>
      <c r="F928" s="791">
        <f>'SOUTH-2'!F558</f>
        <v>1</v>
      </c>
      <c r="G928" s="791">
        <f>'SOUTH-2'!G558</f>
        <v>15375.16</v>
      </c>
      <c r="H928" s="791">
        <f>'SOUTH-2'!H558</f>
        <v>15411.21</v>
      </c>
      <c r="I928" s="791">
        <f>'SOUTH-2'!I558</f>
        <v>36.049999999999272</v>
      </c>
      <c r="J928" s="791">
        <f>'SOUTH-2'!J558</f>
        <v>1000</v>
      </c>
      <c r="K928" s="791">
        <f>'SOUTH-2'!K558</f>
        <v>0</v>
      </c>
      <c r="L928" s="791">
        <f>'SOUTH-2'!L558</f>
        <v>36049.999999999272</v>
      </c>
      <c r="M928" s="791">
        <f>'SOUTH-2'!M558</f>
        <v>0</v>
      </c>
      <c r="N928" s="2019" t="str">
        <f>'SOUTH-2'!N558</f>
        <v>Motijheel</v>
      </c>
      <c r="O928" s="2019" t="str">
        <f>Sheet2!$C$47</f>
        <v>Bangabhaban 132/11KV S/S</v>
      </c>
    </row>
    <row r="929" spans="1:15" x14ac:dyDescent="0.35">
      <c r="A929" s="2019">
        <f>'SOUTH-2'!A559</f>
        <v>9</v>
      </c>
      <c r="B929" s="2019" t="str">
        <f>'SOUTH-2'!B559</f>
        <v xml:space="preserve">11 kV Motijheel-1 Feeder </v>
      </c>
      <c r="C929" s="2019">
        <f>'SOUTH-2'!C559</f>
        <v>11</v>
      </c>
      <c r="D929" s="2019" t="str">
        <f>'SOUTH-2'!D559</f>
        <v>South-2</v>
      </c>
      <c r="E929" s="2019">
        <f>'SOUTH-2'!E559</f>
        <v>4150748</v>
      </c>
      <c r="F929" s="791">
        <f>'SOUTH-2'!F559</f>
        <v>1</v>
      </c>
      <c r="G929" s="791">
        <f>'SOUTH-2'!G559</f>
        <v>0</v>
      </c>
      <c r="H929" s="791">
        <f>'SOUTH-2'!H559</f>
        <v>0</v>
      </c>
      <c r="I929" s="791">
        <f>'SOUTH-2'!I559</f>
        <v>0</v>
      </c>
      <c r="J929" s="791">
        <f>'SOUTH-2'!J559</f>
        <v>1000</v>
      </c>
      <c r="K929" s="791">
        <f>'SOUTH-2'!K559</f>
        <v>0</v>
      </c>
      <c r="L929" s="791">
        <f>'SOUTH-2'!L559</f>
        <v>0</v>
      </c>
      <c r="M929" s="791">
        <f>'SOUTH-2'!M559</f>
        <v>0</v>
      </c>
      <c r="N929" s="2019" t="str">
        <f>'SOUTH-2'!N559</f>
        <v>Motijheel</v>
      </c>
      <c r="O929" s="2019" t="str">
        <f>Sheet2!$C$47</f>
        <v>Bangabhaban 132/11KV S/S</v>
      </c>
    </row>
    <row r="930" spans="1:15" x14ac:dyDescent="0.35">
      <c r="A930" s="2019">
        <f>'SOUTH-2'!A560</f>
        <v>10</v>
      </c>
      <c r="B930" s="2019" t="str">
        <f>'SOUTH-2'!B560</f>
        <v>11 kV Navana O/H Feeder</v>
      </c>
      <c r="C930" s="2019">
        <f>'SOUTH-2'!C560</f>
        <v>11</v>
      </c>
      <c r="D930" s="2019" t="str">
        <f>'SOUTH-2'!D560</f>
        <v>Motijheel</v>
      </c>
      <c r="E930" s="2019">
        <f>'SOUTH-2'!E560</f>
        <v>4150752</v>
      </c>
      <c r="F930" s="791">
        <f>'SOUTH-2'!F560</f>
        <v>1</v>
      </c>
      <c r="G930" s="791">
        <f>'SOUTH-2'!G560</f>
        <v>239141.23</v>
      </c>
      <c r="H930" s="791">
        <f>'SOUTH-2'!H560</f>
        <v>239849.38</v>
      </c>
      <c r="I930" s="791">
        <f>'SOUTH-2'!I560</f>
        <v>708.14999999999418</v>
      </c>
      <c r="J930" s="791">
        <f>'SOUTH-2'!J560</f>
        <v>1000</v>
      </c>
      <c r="K930" s="791">
        <f>'SOUTH-2'!K560</f>
        <v>0</v>
      </c>
      <c r="L930" s="791">
        <f>'SOUTH-2'!L560</f>
        <v>708149.99999999418</v>
      </c>
      <c r="M930" s="791">
        <f>'SOUTH-2'!M560</f>
        <v>0</v>
      </c>
      <c r="N930" s="2019" t="str">
        <f>'SOUTH-2'!N560</f>
        <v>Motijheel</v>
      </c>
      <c r="O930" s="2019" t="str">
        <f>Sheet2!$C$47</f>
        <v>Bangabhaban 132/11KV S/S</v>
      </c>
    </row>
    <row r="931" spans="1:15" x14ac:dyDescent="0.35">
      <c r="A931" s="2019">
        <f>'SOUTH-2'!A561</f>
        <v>13</v>
      </c>
      <c r="B931" s="2019" t="str">
        <f>'SOUTH-2'!B561</f>
        <v>11 kV Bangabhaban Switching Circuit-2</v>
      </c>
      <c r="C931" s="2019">
        <f>'SOUTH-2'!C561</f>
        <v>11</v>
      </c>
      <c r="D931" s="2019" t="str">
        <f>'SOUTH-2'!D561</f>
        <v>Motijheel</v>
      </c>
      <c r="E931" s="2019">
        <f>'SOUTH-2'!E561</f>
        <v>4150737</v>
      </c>
      <c r="F931" s="791">
        <f>'SOUTH-2'!F561</f>
        <v>1</v>
      </c>
      <c r="G931" s="791">
        <f>'SOUTH-2'!G561</f>
        <v>13289.39</v>
      </c>
      <c r="H931" s="791">
        <f>'SOUTH-2'!H561</f>
        <v>13402.27</v>
      </c>
      <c r="I931" s="791">
        <f>'SOUTH-2'!I561</f>
        <v>112.88000000000102</v>
      </c>
      <c r="J931" s="791">
        <f>'SOUTH-2'!J561</f>
        <v>1000</v>
      </c>
      <c r="K931" s="791">
        <f>'SOUTH-2'!K561</f>
        <v>0</v>
      </c>
      <c r="L931" s="791">
        <f>'SOUTH-2'!L561</f>
        <v>112880.00000000102</v>
      </c>
      <c r="M931" s="791">
        <f>'SOUTH-2'!M561</f>
        <v>0</v>
      </c>
      <c r="N931" s="2019" t="str">
        <f>'SOUTH-2'!N561</f>
        <v>Motijheel</v>
      </c>
      <c r="O931" s="2019" t="str">
        <f>Sheet2!$C$47</f>
        <v>Bangabhaban 132/11KV S/S</v>
      </c>
    </row>
    <row r="932" spans="1:15" x14ac:dyDescent="0.35">
      <c r="A932" s="2019">
        <f>'SOUTH-2'!A562</f>
        <v>14</v>
      </c>
      <c r="B932" s="2019" t="str">
        <f>'SOUTH-2'!B562</f>
        <v xml:space="preserve">11 kV Motijheel-2  Feeder </v>
      </c>
      <c r="C932" s="2019">
        <f>'SOUTH-2'!C562</f>
        <v>11</v>
      </c>
      <c r="D932" s="2019" t="str">
        <f>'SOUTH-2'!D562</f>
        <v>South-2</v>
      </c>
      <c r="E932" s="2019">
        <f>'SOUTH-2'!E562</f>
        <v>4150735</v>
      </c>
      <c r="F932" s="791">
        <f>'SOUTH-2'!F562</f>
        <v>1</v>
      </c>
      <c r="G932" s="791">
        <f>'SOUTH-2'!G562</f>
        <v>0</v>
      </c>
      <c r="H932" s="791">
        <f>'SOUTH-2'!H562</f>
        <v>0</v>
      </c>
      <c r="I932" s="791">
        <f>'SOUTH-2'!I562</f>
        <v>0</v>
      </c>
      <c r="J932" s="791">
        <f>'SOUTH-2'!J562</f>
        <v>1000</v>
      </c>
      <c r="K932" s="791">
        <f>'SOUTH-2'!K562</f>
        <v>0</v>
      </c>
      <c r="L932" s="791">
        <f>'SOUTH-2'!L562</f>
        <v>0</v>
      </c>
      <c r="M932" s="791">
        <f>'SOUTH-2'!M562</f>
        <v>0</v>
      </c>
      <c r="N932" s="2019" t="str">
        <f>'SOUTH-2'!N562</f>
        <v>Motijheel</v>
      </c>
      <c r="O932" s="2019" t="str">
        <f>Sheet2!$C$47</f>
        <v>Bangabhaban 132/11KV S/S</v>
      </c>
    </row>
    <row r="933" spans="1:15" x14ac:dyDescent="0.35">
      <c r="A933" s="2019">
        <f>'SOUTH-2'!A563</f>
        <v>15</v>
      </c>
      <c r="B933" s="2019" t="str">
        <f>'SOUTH-2'!B563</f>
        <v>11 kV WAPDA building RMU Feeder</v>
      </c>
      <c r="C933" s="2019">
        <f>'SOUTH-2'!C563</f>
        <v>11</v>
      </c>
      <c r="D933" s="2019" t="str">
        <f>'SOUTH-2'!D563</f>
        <v>Motijheel</v>
      </c>
      <c r="E933" s="2019">
        <f>'SOUTH-2'!E563</f>
        <v>4150736</v>
      </c>
      <c r="F933" s="791">
        <f>'SOUTH-2'!F563</f>
        <v>1</v>
      </c>
      <c r="G933" s="791">
        <f>'SOUTH-2'!G563</f>
        <v>92588.12</v>
      </c>
      <c r="H933" s="791">
        <f>'SOUTH-2'!H563</f>
        <v>92588.12</v>
      </c>
      <c r="I933" s="791">
        <f>'SOUTH-2'!I563</f>
        <v>0</v>
      </c>
      <c r="J933" s="791">
        <f>'SOUTH-2'!J563</f>
        <v>1000</v>
      </c>
      <c r="K933" s="791">
        <f>'SOUTH-2'!K563</f>
        <v>0</v>
      </c>
      <c r="L933" s="791">
        <f>'SOUTH-2'!L563</f>
        <v>0</v>
      </c>
      <c r="M933" s="791">
        <f>'SOUTH-2'!M563</f>
        <v>0</v>
      </c>
      <c r="N933" s="2019" t="str">
        <f>'SOUTH-2'!N563</f>
        <v>Motijheel</v>
      </c>
      <c r="O933" s="2019" t="str">
        <f>Sheet2!$C$47</f>
        <v>Bangabhaban 132/11KV S/S</v>
      </c>
    </row>
    <row r="934" spans="1:15" x14ac:dyDescent="0.35">
      <c r="A934" s="2019">
        <f>'SOUTH-2'!A564</f>
        <v>16</v>
      </c>
      <c r="B934" s="2019" t="str">
        <f>'SOUTH-2'!B564</f>
        <v>11 kV PDB Design Feeder</v>
      </c>
      <c r="C934" s="2019">
        <f>'SOUTH-2'!C564</f>
        <v>11</v>
      </c>
      <c r="D934" s="2019" t="str">
        <f>'SOUTH-2'!D564</f>
        <v>Motijheel</v>
      </c>
      <c r="E934" s="2019">
        <f>'SOUTH-2'!E564</f>
        <v>4150747</v>
      </c>
      <c r="F934" s="791">
        <f>'SOUTH-2'!F564</f>
        <v>1</v>
      </c>
      <c r="G934" s="791">
        <f>'SOUTH-2'!G564</f>
        <v>161864.51</v>
      </c>
      <c r="H934" s="791">
        <f>'SOUTH-2'!H564</f>
        <v>162034.82999999999</v>
      </c>
      <c r="I934" s="791">
        <f>'SOUTH-2'!I564</f>
        <v>170.31999999997788</v>
      </c>
      <c r="J934" s="791">
        <f>'SOUTH-2'!J564</f>
        <v>1000</v>
      </c>
      <c r="K934" s="791">
        <f>'SOUTH-2'!K564</f>
        <v>0</v>
      </c>
      <c r="L934" s="791">
        <f>'SOUTH-2'!L564</f>
        <v>170319.99999997788</v>
      </c>
      <c r="M934" s="791">
        <f>'SOUTH-2'!M564</f>
        <v>0</v>
      </c>
      <c r="N934" s="2019" t="str">
        <f>'SOUTH-2'!N564</f>
        <v>Motijheel</v>
      </c>
      <c r="O934" s="2019" t="str">
        <f>Sheet2!$C$47</f>
        <v>Bangabhaban 132/11KV S/S</v>
      </c>
    </row>
    <row r="935" spans="1:15" x14ac:dyDescent="0.35">
      <c r="A935" s="2019">
        <f>'SOUTH-2'!A565</f>
        <v>17</v>
      </c>
      <c r="B935" s="2019" t="str">
        <f>'SOUTH-2'!B565</f>
        <v>11 kV BB Hospital Zone RMU Feeder</v>
      </c>
      <c r="C935" s="2019">
        <f>'SOUTH-2'!C565</f>
        <v>11</v>
      </c>
      <c r="D935" s="2019" t="str">
        <f>'SOUTH-2'!D565</f>
        <v>Motijheel</v>
      </c>
      <c r="E935" s="2019">
        <f>'SOUTH-2'!E565</f>
        <v>4150739</v>
      </c>
      <c r="F935" s="791">
        <f>'SOUTH-2'!F565</f>
        <v>1</v>
      </c>
      <c r="G935" s="791">
        <f>'SOUTH-2'!G565</f>
        <v>20253.82</v>
      </c>
      <c r="H935" s="791">
        <f>'SOUTH-2'!H565</f>
        <v>20280.45</v>
      </c>
      <c r="I935" s="791">
        <f>'SOUTH-2'!I565</f>
        <v>26.630000000001019</v>
      </c>
      <c r="J935" s="791">
        <f>'SOUTH-2'!J565</f>
        <v>1000</v>
      </c>
      <c r="K935" s="791">
        <f>'SOUTH-2'!K565</f>
        <v>0</v>
      </c>
      <c r="L935" s="791">
        <f>'SOUTH-2'!L565</f>
        <v>26630.000000001019</v>
      </c>
      <c r="M935" s="791">
        <f>'SOUTH-2'!M565</f>
        <v>0</v>
      </c>
      <c r="N935" s="2019" t="str">
        <f>'SOUTH-2'!N565</f>
        <v>Motijheel</v>
      </c>
      <c r="O935" s="2019" t="str">
        <f>Sheet2!$C$47</f>
        <v>Bangabhaban 132/11KV S/S</v>
      </c>
    </row>
    <row r="936" spans="1:15" x14ac:dyDescent="0.35">
      <c r="A936" s="2019">
        <f>'SOUTH-2'!A566</f>
        <v>18</v>
      </c>
      <c r="B936" s="2019" t="str">
        <f>'SOUTH-2'!B566</f>
        <v>11 kV Sonali Bank RMU Feeder</v>
      </c>
      <c r="C936" s="2019">
        <f>'SOUTH-2'!C566</f>
        <v>11</v>
      </c>
      <c r="D936" s="2019" t="str">
        <f>'SOUTH-2'!D566</f>
        <v>Motijheel</v>
      </c>
      <c r="E936" s="2019">
        <f>'SOUTH-2'!E566</f>
        <v>4150746</v>
      </c>
      <c r="F936" s="791">
        <f>'SOUTH-2'!F566</f>
        <v>1</v>
      </c>
      <c r="G936" s="791">
        <f>'SOUTH-2'!G566</f>
        <v>80786.44</v>
      </c>
      <c r="H936" s="791">
        <f>'SOUTH-2'!H566</f>
        <v>81051.210000000006</v>
      </c>
      <c r="I936" s="791">
        <f>'SOUTH-2'!I566</f>
        <v>264.77000000000407</v>
      </c>
      <c r="J936" s="791">
        <f>'SOUTH-2'!J566</f>
        <v>1000</v>
      </c>
      <c r="K936" s="791">
        <f>'SOUTH-2'!K566</f>
        <v>0</v>
      </c>
      <c r="L936" s="791">
        <f>'SOUTH-2'!L566</f>
        <v>264770.00000000407</v>
      </c>
      <c r="M936" s="791">
        <f>'SOUTH-2'!M566</f>
        <v>0</v>
      </c>
      <c r="N936" s="2019" t="str">
        <f>'SOUTH-2'!N566</f>
        <v>Motijheel</v>
      </c>
      <c r="O936" s="2019" t="str">
        <f>Sheet2!$C$47</f>
        <v>Bangabhaban 132/11KV S/S</v>
      </c>
    </row>
    <row r="937" spans="1:15" x14ac:dyDescent="0.35">
      <c r="A937" s="2019">
        <f>'SOUTH-2'!A567</f>
        <v>19</v>
      </c>
      <c r="B937" s="2019" t="str">
        <f>'SOUTH-2'!B567</f>
        <v xml:space="preserve">11 kV Janata Bank Feeder </v>
      </c>
      <c r="C937" s="2019">
        <f>'SOUTH-2'!C567</f>
        <v>11</v>
      </c>
      <c r="D937" s="2019" t="str">
        <f>'SOUTH-2'!D567</f>
        <v>Motijheel</v>
      </c>
      <c r="E937" s="2019">
        <f>'SOUTH-2'!E567</f>
        <v>4150755</v>
      </c>
      <c r="F937" s="791">
        <f>'SOUTH-2'!F567</f>
        <v>1</v>
      </c>
      <c r="G937" s="791">
        <f>'SOUTH-2'!G567</f>
        <v>120847.1</v>
      </c>
      <c r="H937" s="791">
        <f>'SOUTH-2'!H567</f>
        <v>121049.16</v>
      </c>
      <c r="I937" s="791">
        <f>'SOUTH-2'!I567</f>
        <v>202.05999999999767</v>
      </c>
      <c r="J937" s="791">
        <f>'SOUTH-2'!J567</f>
        <v>1000</v>
      </c>
      <c r="K937" s="791">
        <f>'SOUTH-2'!K567</f>
        <v>0</v>
      </c>
      <c r="L937" s="791">
        <f>'SOUTH-2'!L567</f>
        <v>202059.99999999767</v>
      </c>
      <c r="M937" s="791">
        <f>'SOUTH-2'!M567</f>
        <v>0</v>
      </c>
      <c r="N937" s="2019" t="str">
        <f>'SOUTH-2'!N567</f>
        <v>Motijheel</v>
      </c>
      <c r="O937" s="2019" t="str">
        <f>Sheet2!$C$47</f>
        <v>Bangabhaban 132/11KV S/S</v>
      </c>
    </row>
    <row r="938" spans="1:15" x14ac:dyDescent="0.35">
      <c r="A938" s="2019">
        <f>'SOUTH-2'!A568</f>
        <v>20</v>
      </c>
      <c r="B938" s="2019" t="str">
        <f>'SOUTH-2'!B568</f>
        <v>11 kV DIT S/S RMU Feeder</v>
      </c>
      <c r="C938" s="2019">
        <f>'SOUTH-2'!C568</f>
        <v>11</v>
      </c>
      <c r="D938" s="2019" t="str">
        <f>'SOUTH-2'!D568</f>
        <v>Motijheel</v>
      </c>
      <c r="E938" s="2019">
        <f>'SOUTH-2'!E568</f>
        <v>4150740</v>
      </c>
      <c r="F938" s="791">
        <f>'SOUTH-2'!F568</f>
        <v>1</v>
      </c>
      <c r="G938" s="791">
        <f>'SOUTH-2'!G568</f>
        <v>267866.17</v>
      </c>
      <c r="H938" s="791">
        <f>'SOUTH-2'!H568</f>
        <v>268376.38</v>
      </c>
      <c r="I938" s="791">
        <f>'SOUTH-2'!I568</f>
        <v>510.21000000002095</v>
      </c>
      <c r="J938" s="791">
        <f>'SOUTH-2'!J568</f>
        <v>1000</v>
      </c>
      <c r="K938" s="791">
        <f>'SOUTH-2'!K568</f>
        <v>0</v>
      </c>
      <c r="L938" s="791">
        <f>'SOUTH-2'!L568</f>
        <v>510210.00000002095</v>
      </c>
      <c r="M938" s="791">
        <f>'SOUTH-2'!M568</f>
        <v>0</v>
      </c>
      <c r="N938" s="2019" t="str">
        <f>'SOUTH-2'!N568</f>
        <v>Motijheel</v>
      </c>
      <c r="O938" s="2019" t="str">
        <f>Sheet2!$C$47</f>
        <v>Bangabhaban 132/11KV S/S</v>
      </c>
    </row>
    <row r="939" spans="1:15" x14ac:dyDescent="0.35">
      <c r="A939" s="2019">
        <f>'SOUTH-2'!A569</f>
        <v>21</v>
      </c>
      <c r="B939" s="2019" t="str">
        <f>'SOUTH-2'!B569</f>
        <v>11 kV Sena Kalyan Feeder</v>
      </c>
      <c r="C939" s="2019">
        <f>'SOUTH-2'!C569</f>
        <v>11</v>
      </c>
      <c r="D939" s="2019" t="str">
        <f>'SOUTH-2'!D569</f>
        <v>Motijheel</v>
      </c>
      <c r="E939" s="2019">
        <f>'SOUTH-2'!E569</f>
        <v>4150745</v>
      </c>
      <c r="F939" s="791">
        <f>'SOUTH-2'!F569</f>
        <v>1</v>
      </c>
      <c r="G939" s="791">
        <f>'SOUTH-2'!G569</f>
        <v>78094.34</v>
      </c>
      <c r="H939" s="791">
        <f>'SOUTH-2'!H569</f>
        <v>78288.63</v>
      </c>
      <c r="I939" s="791">
        <f>'SOUTH-2'!I569</f>
        <v>194.29000000000815</v>
      </c>
      <c r="J939" s="791">
        <f>'SOUTH-2'!J569</f>
        <v>1000</v>
      </c>
      <c r="K939" s="791">
        <f>'SOUTH-2'!K569</f>
        <v>0</v>
      </c>
      <c r="L939" s="791">
        <f>'SOUTH-2'!L569</f>
        <v>194290.00000000815</v>
      </c>
      <c r="M939" s="791">
        <f>'SOUTH-2'!M569</f>
        <v>0</v>
      </c>
      <c r="N939" s="2019" t="str">
        <f>'SOUTH-2'!N569</f>
        <v>Motijheel</v>
      </c>
      <c r="O939" s="2019" t="str">
        <f>Sheet2!$C$47</f>
        <v>Bangabhaban 132/11KV S/S</v>
      </c>
    </row>
    <row r="940" spans="1:15" x14ac:dyDescent="0.35">
      <c r="A940" s="2019">
        <f>'SOUTH-2'!A570</f>
        <v>22</v>
      </c>
      <c r="B940" s="2019" t="str">
        <f>'SOUTH-2'!B570</f>
        <v>11 kV BCIC  Feeder</v>
      </c>
      <c r="C940" s="2019">
        <f>'SOUTH-2'!C570</f>
        <v>11</v>
      </c>
      <c r="D940" s="2019" t="str">
        <f>'SOUTH-2'!D570</f>
        <v>Motijheel</v>
      </c>
      <c r="E940" s="2019">
        <f>'SOUTH-2'!E570</f>
        <v>4150756</v>
      </c>
      <c r="F940" s="791">
        <f>'SOUTH-2'!F570</f>
        <v>1</v>
      </c>
      <c r="G940" s="791">
        <f>'SOUTH-2'!G570</f>
        <v>191929.72</v>
      </c>
      <c r="H940" s="791">
        <f>'SOUTH-2'!H570</f>
        <v>191976.69</v>
      </c>
      <c r="I940" s="791">
        <f>'SOUTH-2'!I570</f>
        <v>46.970000000001164</v>
      </c>
      <c r="J940" s="791">
        <f>'SOUTH-2'!J570</f>
        <v>1000</v>
      </c>
      <c r="K940" s="791">
        <f>'SOUTH-2'!K570</f>
        <v>0</v>
      </c>
      <c r="L940" s="791">
        <f>'SOUTH-2'!L570</f>
        <v>46970.000000001164</v>
      </c>
      <c r="M940" s="791">
        <f>'SOUTH-2'!M570</f>
        <v>0</v>
      </c>
      <c r="N940" s="2019" t="str">
        <f>'SOUTH-2'!N570</f>
        <v>Motijheel</v>
      </c>
      <c r="O940" s="2019" t="str">
        <f>Sheet2!$C$47</f>
        <v>Bangabhaban 132/11KV S/S</v>
      </c>
    </row>
    <row r="941" spans="1:15" x14ac:dyDescent="0.35">
      <c r="A941" s="2019">
        <f>'SOUTH-2'!A571</f>
        <v>23</v>
      </c>
      <c r="B941" s="2019" t="str">
        <f>'SOUTH-2'!B571</f>
        <v>11/0.4 kV AT-1</v>
      </c>
      <c r="C941" s="2019">
        <f>'SOUTH-2'!C571</f>
        <v>0.4</v>
      </c>
      <c r="D941" s="2019">
        <f>'SOUTH-2'!D571</f>
        <v>0</v>
      </c>
      <c r="E941" s="2019">
        <f>'SOUTH-2'!E571</f>
        <v>63412931</v>
      </c>
      <c r="F941" s="791">
        <f>'SOUTH-2'!F571</f>
        <v>1</v>
      </c>
      <c r="G941" s="791">
        <f>'SOUTH-2'!G571</f>
        <v>55423</v>
      </c>
      <c r="H941" s="791">
        <f>'SOUTH-2'!H571</f>
        <v>57502.400000000001</v>
      </c>
      <c r="I941" s="791">
        <f>'SOUTH-2'!I571</f>
        <v>2079.4000000000015</v>
      </c>
      <c r="J941" s="791">
        <f>'SOUTH-2'!J571</f>
        <v>1</v>
      </c>
      <c r="K941" s="791">
        <f>'SOUTH-2'!K571</f>
        <v>0</v>
      </c>
      <c r="L941" s="791">
        <f>'SOUTH-2'!L571</f>
        <v>2079.4000000000015</v>
      </c>
      <c r="M941" s="791">
        <f>'SOUTH-2'!M571</f>
        <v>0</v>
      </c>
      <c r="N941" s="2019" t="str">
        <f>'SOUTH-2'!N571</f>
        <v>Motijheel</v>
      </c>
      <c r="O941" s="2019" t="str">
        <f>Sheet2!$C$47</f>
        <v>Bangabhaban 132/11KV S/S</v>
      </c>
    </row>
    <row r="942" spans="1:15" x14ac:dyDescent="0.35">
      <c r="A942" s="2019">
        <f>'SOUTH-2'!A572</f>
        <v>24</v>
      </c>
      <c r="B942" s="2019" t="str">
        <f>'SOUTH-2'!B572</f>
        <v>11/0.4 kV AT-2</v>
      </c>
      <c r="C942" s="2019">
        <f>'SOUTH-2'!C572</f>
        <v>0.4</v>
      </c>
      <c r="D942" s="2019">
        <f>'SOUTH-2'!D572</f>
        <v>0</v>
      </c>
      <c r="E942" s="2019">
        <f>'SOUTH-2'!E572</f>
        <v>63403117</v>
      </c>
      <c r="F942" s="791">
        <f>'SOUTH-2'!F572</f>
        <v>1</v>
      </c>
      <c r="G942" s="791">
        <f>'SOUTH-2'!G572</f>
        <v>68552</v>
      </c>
      <c r="H942" s="791">
        <f>'SOUTH-2'!H572</f>
        <v>91678.2</v>
      </c>
      <c r="I942" s="791">
        <f>'SOUTH-2'!I572</f>
        <v>23126.199999999997</v>
      </c>
      <c r="J942" s="791">
        <f>'SOUTH-2'!J572</f>
        <v>1</v>
      </c>
      <c r="K942" s="791">
        <f>'SOUTH-2'!K572</f>
        <v>0</v>
      </c>
      <c r="L942" s="791">
        <f>'SOUTH-2'!L572</f>
        <v>23126.199999999997</v>
      </c>
      <c r="M942" s="791">
        <f>'SOUTH-2'!M572</f>
        <v>0</v>
      </c>
      <c r="N942" s="2019" t="str">
        <f>'SOUTH-2'!N572</f>
        <v>Motijheel</v>
      </c>
      <c r="O942" s="2019" t="str">
        <f>Sheet2!$C$47</f>
        <v>Bangabhaban 132/11KV S/S</v>
      </c>
    </row>
    <row r="943" spans="1:15" x14ac:dyDescent="0.35">
      <c r="A943" s="2019">
        <f>'SOUTH-2'!A671</f>
        <v>1</v>
      </c>
      <c r="B943" s="2019" t="str">
        <f>'SOUTH-2'!B671</f>
        <v xml:space="preserve">11 kV  Bonogram Feeder </v>
      </c>
      <c r="C943" s="2019">
        <f>'SOUTH-2'!C671</f>
        <v>11</v>
      </c>
      <c r="D943" s="2019" t="str">
        <f>'SOUTH-2'!D671</f>
        <v>Narinda</v>
      </c>
      <c r="E943" s="2019" t="str">
        <f>'SOUTH-2'!E671</f>
        <v>06604467</v>
      </c>
      <c r="F943" s="791">
        <f>'SOUTH-2'!F671</f>
        <v>1</v>
      </c>
      <c r="G943" s="791">
        <f>'SOUTH-2'!G671</f>
        <v>23852.67</v>
      </c>
      <c r="H943" s="791">
        <f>'SOUTH-2'!H671</f>
        <v>23936.16</v>
      </c>
      <c r="I943" s="791">
        <f>'SOUTH-2'!I671</f>
        <v>83.490000000001601</v>
      </c>
      <c r="J943" s="791">
        <f>'SOUTH-2'!J671</f>
        <v>8000</v>
      </c>
      <c r="K943" s="791">
        <f>'SOUTH-2'!K671</f>
        <v>0</v>
      </c>
      <c r="L943" s="791">
        <f>'SOUTH-2'!L671</f>
        <v>667920.00000001281</v>
      </c>
      <c r="M943" s="791">
        <f>'SOUTH-2'!M671</f>
        <v>0</v>
      </c>
      <c r="N943" s="2019" t="str">
        <f>'SOUTH-2'!N671</f>
        <v>Narinda</v>
      </c>
      <c r="O943" s="2019" t="str">
        <f>Sheet2!$C$49</f>
        <v>Narinda 33/11KV S/S</v>
      </c>
    </row>
    <row r="944" spans="1:15" x14ac:dyDescent="0.35">
      <c r="A944" s="2019">
        <f>'SOUTH-2'!A672</f>
        <v>2</v>
      </c>
      <c r="B944" s="2019" t="str">
        <f>'SOUTH-2'!B672</f>
        <v>11 kV Sha Saheb Len Feeder</v>
      </c>
      <c r="C944" s="2019">
        <f>'SOUTH-2'!C672</f>
        <v>11</v>
      </c>
      <c r="D944" s="2019" t="str">
        <f>'SOUTH-2'!D672</f>
        <v>Narinda</v>
      </c>
      <c r="E944" s="2019" t="str">
        <f>'SOUTH-2'!E672</f>
        <v>06604469</v>
      </c>
      <c r="F944" s="791">
        <f>'SOUTH-2'!F672</f>
        <v>1</v>
      </c>
      <c r="G944" s="791">
        <f>'SOUTH-2'!G672</f>
        <v>16239.2</v>
      </c>
      <c r="H944" s="791">
        <f>'SOUTH-2'!H672</f>
        <v>16261.55</v>
      </c>
      <c r="I944" s="791">
        <f>'SOUTH-2'!I672</f>
        <v>22.349999999998545</v>
      </c>
      <c r="J944" s="791">
        <f>'SOUTH-2'!J672</f>
        <v>8000</v>
      </c>
      <c r="K944" s="791">
        <f>'SOUTH-2'!K672</f>
        <v>0</v>
      </c>
      <c r="L944" s="791">
        <f>'SOUTH-2'!L672</f>
        <v>178799.99999998836</v>
      </c>
      <c r="M944" s="791">
        <f>'SOUTH-2'!M672</f>
        <v>0</v>
      </c>
      <c r="N944" s="2019" t="str">
        <f>'SOUTH-2'!N672</f>
        <v>Swamibag</v>
      </c>
      <c r="O944" s="2019" t="str">
        <f>Sheet2!$C$49</f>
        <v>Narinda 33/11KV S/S</v>
      </c>
    </row>
    <row r="945" spans="1:15" x14ac:dyDescent="0.35">
      <c r="A945" s="2019">
        <f>'SOUTH-2'!A673</f>
        <v>3</v>
      </c>
      <c r="B945" s="2019" t="str">
        <f>'SOUTH-2'!B673</f>
        <v>11 kV Sadiabad Water Treatment</v>
      </c>
      <c r="C945" s="2019">
        <f>'SOUTH-2'!C673</f>
        <v>11</v>
      </c>
      <c r="D945" s="2019" t="str">
        <f>'SOUTH-2'!D673</f>
        <v>Maniknagar</v>
      </c>
      <c r="E945" s="2019" t="str">
        <f>'SOUTH-2'!E673</f>
        <v>06604354</v>
      </c>
      <c r="F945" s="791">
        <f>'SOUTH-2'!F673</f>
        <v>1</v>
      </c>
      <c r="G945" s="791">
        <f>'SOUTH-2'!G673</f>
        <v>419.64</v>
      </c>
      <c r="H945" s="791">
        <f>'SOUTH-2'!H673</f>
        <v>434.09</v>
      </c>
      <c r="I945" s="791">
        <f>'SOUTH-2'!I673</f>
        <v>14.449999999999989</v>
      </c>
      <c r="J945" s="791">
        <f>'SOUTH-2'!J673</f>
        <v>40000</v>
      </c>
      <c r="K945" s="791">
        <f>'SOUTH-2'!K673</f>
        <v>0</v>
      </c>
      <c r="L945" s="791">
        <f>'SOUTH-2'!L673</f>
        <v>577999.99999999953</v>
      </c>
      <c r="M945" s="791">
        <f>'SOUTH-2'!M673</f>
        <v>0</v>
      </c>
      <c r="N945" s="2019" t="str">
        <f>'SOUTH-2'!N673</f>
        <v>Maniknagar</v>
      </c>
      <c r="O945" s="2019" t="str">
        <f>Sheet2!$C$49</f>
        <v>Narinda 33/11KV S/S</v>
      </c>
    </row>
    <row r="946" spans="1:15" x14ac:dyDescent="0.35">
      <c r="A946" s="2019">
        <f>'SOUTH-2'!A674</f>
        <v>4</v>
      </c>
      <c r="B946" s="2019" t="str">
        <f>'SOUTH-2'!B674</f>
        <v>11 kV Manashi Feeder</v>
      </c>
      <c r="C946" s="2019">
        <f>'SOUTH-2'!C674</f>
        <v>11</v>
      </c>
      <c r="D946" s="2019" t="str">
        <f>'SOUTH-2'!D674</f>
        <v>Narinda</v>
      </c>
      <c r="E946" s="2019" t="str">
        <f>'SOUTH-2'!E674</f>
        <v>06604353</v>
      </c>
      <c r="F946" s="791">
        <f>'SOUTH-2'!F674</f>
        <v>1</v>
      </c>
      <c r="G946" s="791">
        <f>'SOUTH-2'!G674</f>
        <v>5351.01</v>
      </c>
      <c r="H946" s="791">
        <f>'SOUTH-2'!H674</f>
        <v>5367.98</v>
      </c>
      <c r="I946" s="791">
        <f>'SOUTH-2'!I674</f>
        <v>16.969999999999345</v>
      </c>
      <c r="J946" s="791">
        <f>'SOUTH-2'!J674</f>
        <v>40000</v>
      </c>
      <c r="K946" s="791">
        <f>'SOUTH-2'!K674</f>
        <v>0</v>
      </c>
      <c r="L946" s="791">
        <f>'SOUTH-2'!L674</f>
        <v>678799.99999997381</v>
      </c>
      <c r="M946" s="791">
        <f>'SOUTH-2'!M674</f>
        <v>0</v>
      </c>
      <c r="N946" s="2019" t="str">
        <f>'SOUTH-2'!N674</f>
        <v>Narinda</v>
      </c>
      <c r="O946" s="2019" t="str">
        <f>Sheet2!$C$49</f>
        <v>Narinda 33/11KV S/S</v>
      </c>
    </row>
    <row r="947" spans="1:15" x14ac:dyDescent="0.35">
      <c r="A947" s="2019">
        <f>'SOUTH-2'!A675</f>
        <v>5</v>
      </c>
      <c r="B947" s="2019" t="str">
        <f>'SOUTH-2'!B675</f>
        <v>11 kV Maniknagar Feeder</v>
      </c>
      <c r="C947" s="2019">
        <f>'SOUTH-2'!C675</f>
        <v>11</v>
      </c>
      <c r="D947" s="2019" t="str">
        <f>'SOUTH-2'!D675</f>
        <v>Maniknagar</v>
      </c>
      <c r="E947" s="2019" t="str">
        <f>'SOUTH-2'!E675</f>
        <v>06604324</v>
      </c>
      <c r="F947" s="791">
        <f>'SOUTH-2'!F675</f>
        <v>1</v>
      </c>
      <c r="G947" s="791">
        <f>'SOUTH-2'!G675</f>
        <v>3275.98</v>
      </c>
      <c r="H947" s="791">
        <f>'SOUTH-2'!H675</f>
        <v>3275.98</v>
      </c>
      <c r="I947" s="791">
        <f>'SOUTH-2'!I675</f>
        <v>0</v>
      </c>
      <c r="J947" s="791">
        <f>'SOUTH-2'!J675</f>
        <v>40000</v>
      </c>
      <c r="K947" s="791" t="str">
        <f>'SOUTH-2'!K675</f>
        <v xml:space="preserve"> </v>
      </c>
      <c r="L947" s="791">
        <f>'SOUTH-2'!L675</f>
        <v>0</v>
      </c>
      <c r="M947" s="791">
        <f>'SOUTH-2'!M675</f>
        <v>0</v>
      </c>
      <c r="N947" s="2019" t="str">
        <f>'SOUTH-2'!N675</f>
        <v>Maniknagar</v>
      </c>
      <c r="O947" s="2019" t="str">
        <f>Sheet2!$C$49</f>
        <v>Narinda 33/11KV S/S</v>
      </c>
    </row>
    <row r="948" spans="1:15" x14ac:dyDescent="0.35">
      <c r="A948" s="2019">
        <f>'SOUTH-2'!A676</f>
        <v>6</v>
      </c>
      <c r="B948" s="2019" t="str">
        <f>'SOUTH-2'!B676</f>
        <v>11 kV Jatrabari Feeder</v>
      </c>
      <c r="C948" s="2019">
        <f>'SOUTH-2'!C676</f>
        <v>11</v>
      </c>
      <c r="D948" s="2019" t="str">
        <f>'SOUTH-2'!D676</f>
        <v>Swamibag</v>
      </c>
      <c r="E948" s="2019" t="str">
        <f>'SOUTH-2'!E676</f>
        <v>06604291</v>
      </c>
      <c r="F948" s="791">
        <f>'SOUTH-2'!F676</f>
        <v>1</v>
      </c>
      <c r="G948" s="791">
        <f>'SOUTH-2'!G676</f>
        <v>8281.31</v>
      </c>
      <c r="H948" s="791">
        <f>'SOUTH-2'!H676</f>
        <v>8298.5</v>
      </c>
      <c r="I948" s="791">
        <f>'SOUTH-2'!I676</f>
        <v>17.190000000000509</v>
      </c>
      <c r="J948" s="791">
        <f>'SOUTH-2'!J676</f>
        <v>40000</v>
      </c>
      <c r="K948" s="791">
        <f>'SOUTH-2'!K676</f>
        <v>0</v>
      </c>
      <c r="L948" s="791">
        <f>'SOUTH-2'!L676</f>
        <v>687600.00000002037</v>
      </c>
      <c r="M948" s="791">
        <f>'SOUTH-2'!M676</f>
        <v>0</v>
      </c>
      <c r="N948" s="2019" t="str">
        <f>'SOUTH-2'!N676</f>
        <v>Swamibag</v>
      </c>
      <c r="O948" s="2019" t="str">
        <f>Sheet2!$C$49</f>
        <v>Narinda 33/11KV S/S</v>
      </c>
    </row>
    <row r="949" spans="1:15" x14ac:dyDescent="0.35">
      <c r="A949" s="2019">
        <f>'SOUTH-2'!A677</f>
        <v>7</v>
      </c>
      <c r="B949" s="2019" t="str">
        <f>'SOUTH-2'!B677</f>
        <v>11 kV Narinda Feeder</v>
      </c>
      <c r="C949" s="2019">
        <f>'SOUTH-2'!C677</f>
        <v>11</v>
      </c>
      <c r="D949" s="2019" t="str">
        <f>'SOUTH-2'!D677</f>
        <v>Narinda</v>
      </c>
      <c r="E949" s="2019" t="str">
        <f>'SOUTH-2'!E677</f>
        <v>06604348</v>
      </c>
      <c r="F949" s="791">
        <f>'SOUTH-2'!F677</f>
        <v>1</v>
      </c>
      <c r="G949" s="791">
        <f>'SOUTH-2'!G677</f>
        <v>7048.51</v>
      </c>
      <c r="H949" s="791">
        <f>'SOUTH-2'!H677</f>
        <v>7071.79</v>
      </c>
      <c r="I949" s="791">
        <f>'SOUTH-2'!I677</f>
        <v>23.279999999999745</v>
      </c>
      <c r="J949" s="791">
        <f>'SOUTH-2'!J677</f>
        <v>40000</v>
      </c>
      <c r="K949" s="791">
        <f>'SOUTH-2'!K677</f>
        <v>0</v>
      </c>
      <c r="L949" s="791">
        <f>'SOUTH-2'!L677</f>
        <v>931199.99999998976</v>
      </c>
      <c r="M949" s="791">
        <f>'SOUTH-2'!M677</f>
        <v>0</v>
      </c>
      <c r="N949" s="2019" t="str">
        <f>'SOUTH-2'!N677</f>
        <v>Narinda</v>
      </c>
      <c r="O949" s="2019" t="str">
        <f>Sheet2!$C$49</f>
        <v>Narinda 33/11KV S/S</v>
      </c>
    </row>
    <row r="950" spans="1:15" x14ac:dyDescent="0.35">
      <c r="A950" s="2019">
        <f>'SOUTH-2'!A678</f>
        <v>10</v>
      </c>
      <c r="B950" s="2019" t="str">
        <f>'SOUTH-2'!B678</f>
        <v>11 kV Distillary Feeder</v>
      </c>
      <c r="C950" s="2019">
        <f>'SOUTH-2'!C678</f>
        <v>11</v>
      </c>
      <c r="D950" s="2019" t="str">
        <f>'SOUTH-2'!D678</f>
        <v>Swamibag</v>
      </c>
      <c r="E950" s="2019" t="str">
        <f>'SOUTH-2'!E678</f>
        <v>06604347</v>
      </c>
      <c r="F950" s="791">
        <f>'SOUTH-2'!F678</f>
        <v>1</v>
      </c>
      <c r="G950" s="791">
        <f>'SOUTH-2'!G678</f>
        <v>5780.2</v>
      </c>
      <c r="H950" s="791">
        <f>'SOUTH-2'!H678</f>
        <v>5801.24</v>
      </c>
      <c r="I950" s="791">
        <f>'SOUTH-2'!I678</f>
        <v>21.039999999999964</v>
      </c>
      <c r="J950" s="791">
        <f>'SOUTH-2'!J678</f>
        <v>40000</v>
      </c>
      <c r="K950" s="791">
        <f>'SOUTH-2'!K678</f>
        <v>0</v>
      </c>
      <c r="L950" s="791">
        <f>'SOUTH-2'!L678</f>
        <v>841599.9999999986</v>
      </c>
      <c r="M950" s="791">
        <f>'SOUTH-2'!M678</f>
        <v>0</v>
      </c>
      <c r="N950" s="2019" t="str">
        <f>'SOUTH-2'!N678</f>
        <v>Swamibag</v>
      </c>
      <c r="O950" s="2019" t="str">
        <f>Sheet2!$C$49</f>
        <v>Narinda 33/11KV S/S</v>
      </c>
    </row>
    <row r="951" spans="1:15" x14ac:dyDescent="0.35">
      <c r="A951" s="2019">
        <f>'SOUTH-2'!A679</f>
        <v>11</v>
      </c>
      <c r="B951" s="2019" t="str">
        <f>'SOUTH-2'!B679</f>
        <v>11 kV Thatari Bazar Feeder</v>
      </c>
      <c r="C951" s="2019">
        <f>'SOUTH-2'!C679</f>
        <v>11</v>
      </c>
      <c r="D951" s="2019" t="str">
        <f>'SOUTH-2'!D679</f>
        <v>Narinda</v>
      </c>
      <c r="E951" s="2019" t="str">
        <f>'SOUTH-2'!E679</f>
        <v>06604296</v>
      </c>
      <c r="F951" s="791">
        <f>'SOUTH-2'!F679</f>
        <v>1</v>
      </c>
      <c r="G951" s="791">
        <f>'SOUTH-2'!G679</f>
        <v>4853.57</v>
      </c>
      <c r="H951" s="791">
        <f>'SOUTH-2'!H679</f>
        <v>4872.16</v>
      </c>
      <c r="I951" s="791">
        <f>'SOUTH-2'!I679</f>
        <v>18.590000000000146</v>
      </c>
      <c r="J951" s="791">
        <f>'SOUTH-2'!J679</f>
        <v>40000</v>
      </c>
      <c r="K951" s="791">
        <f>'SOUTH-2'!K679</f>
        <v>0</v>
      </c>
      <c r="L951" s="791">
        <f>'SOUTH-2'!L679</f>
        <v>743600.00000000582</v>
      </c>
      <c r="M951" s="791">
        <f>'SOUTH-2'!M679</f>
        <v>0</v>
      </c>
      <c r="N951" s="2019" t="str">
        <f>'SOUTH-2'!N679</f>
        <v>Narinda</v>
      </c>
      <c r="O951" s="2019" t="str">
        <f>Sheet2!$C$49</f>
        <v>Narinda 33/11KV S/S</v>
      </c>
    </row>
    <row r="952" spans="1:15" x14ac:dyDescent="0.35">
      <c r="A952" s="2019">
        <f>'SOUTH-2'!A680</f>
        <v>12</v>
      </c>
      <c r="B952" s="2019" t="str">
        <f>'SOUTH-2'!B680</f>
        <v>11 kV  Swamibagh Feeder</v>
      </c>
      <c r="C952" s="2019">
        <f>'SOUTH-2'!C680</f>
        <v>11</v>
      </c>
      <c r="D952" s="2019" t="str">
        <f>'SOUTH-2'!D680</f>
        <v>Swamibag</v>
      </c>
      <c r="E952" s="2019" t="str">
        <f>'SOUTH-2'!E680</f>
        <v>06604352</v>
      </c>
      <c r="F952" s="791">
        <f>'SOUTH-2'!F680</f>
        <v>1</v>
      </c>
      <c r="G952" s="791">
        <f>'SOUTH-2'!G680</f>
        <v>7632.38</v>
      </c>
      <c r="H952" s="791">
        <f>'SOUTH-2'!H680</f>
        <v>7646.32</v>
      </c>
      <c r="I952" s="791">
        <f>'SOUTH-2'!I680</f>
        <v>13.9399999999996</v>
      </c>
      <c r="J952" s="791">
        <f>'SOUTH-2'!J680</f>
        <v>40000</v>
      </c>
      <c r="K952" s="791">
        <f>'SOUTH-2'!K680</f>
        <v>0</v>
      </c>
      <c r="L952" s="791">
        <f>'SOUTH-2'!L680</f>
        <v>557599.99999998393</v>
      </c>
      <c r="M952" s="791">
        <f>'SOUTH-2'!M680</f>
        <v>0</v>
      </c>
      <c r="N952" s="2019" t="str">
        <f>'SOUTH-2'!N680</f>
        <v>Swamibag</v>
      </c>
      <c r="O952" s="2019" t="str">
        <f>Sheet2!$C$49</f>
        <v>Narinda 33/11KV S/S</v>
      </c>
    </row>
    <row r="953" spans="1:15" x14ac:dyDescent="0.35">
      <c r="A953" s="2019">
        <f>'SOUTH-2'!A681</f>
        <v>13</v>
      </c>
      <c r="B953" s="2019" t="str">
        <f>'SOUTH-2'!B681</f>
        <v>11 kV Tipu Sultan Feeder</v>
      </c>
      <c r="C953" s="2019">
        <f>'SOUTH-2'!C681</f>
        <v>11</v>
      </c>
      <c r="D953" s="2019" t="str">
        <f>'SOUTH-2'!D681</f>
        <v>Narinda</v>
      </c>
      <c r="E953" s="2019" t="str">
        <f>'SOUTH-2'!E681</f>
        <v>06604322</v>
      </c>
      <c r="F953" s="791">
        <f>'SOUTH-2'!F681</f>
        <v>1</v>
      </c>
      <c r="G953" s="791">
        <f>'SOUTH-2'!G681</f>
        <v>6192.99</v>
      </c>
      <c r="H953" s="791">
        <f>'SOUTH-2'!H681</f>
        <v>6210.72</v>
      </c>
      <c r="I953" s="791">
        <f>'SOUTH-2'!I681</f>
        <v>17.730000000000473</v>
      </c>
      <c r="J953" s="791">
        <f>'SOUTH-2'!J681</f>
        <v>40000</v>
      </c>
      <c r="K953" s="791">
        <f>'SOUTH-2'!K681</f>
        <v>0</v>
      </c>
      <c r="L953" s="791">
        <f>'SOUTH-2'!L681</f>
        <v>709200.00000001886</v>
      </c>
      <c r="M953" s="791">
        <f>'SOUTH-2'!M681</f>
        <v>0</v>
      </c>
      <c r="N953" s="2019" t="str">
        <f>'SOUTH-2'!N681</f>
        <v>Narinda</v>
      </c>
      <c r="O953" s="2019" t="str">
        <f>Sheet2!$C$49</f>
        <v>Narinda 33/11KV S/S</v>
      </c>
    </row>
    <row r="954" spans="1:15" x14ac:dyDescent="0.35">
      <c r="A954" s="2019">
        <f>'SOUTH-2'!A682</f>
        <v>14</v>
      </c>
      <c r="B954" s="2019" t="str">
        <f>'SOUTH-2'!B682</f>
        <v>11 kV Wari Feeder</v>
      </c>
      <c r="C954" s="2019">
        <f>'SOUTH-2'!C682</f>
        <v>11</v>
      </c>
      <c r="D954" s="2019" t="str">
        <f>'SOUTH-2'!D682</f>
        <v>Narinda</v>
      </c>
      <c r="E954" s="2019" t="str">
        <f>'SOUTH-2'!E682</f>
        <v>06604294</v>
      </c>
      <c r="F954" s="791">
        <f>'SOUTH-2'!F682</f>
        <v>1</v>
      </c>
      <c r="G954" s="791">
        <f>'SOUTH-2'!G682</f>
        <v>7191.78</v>
      </c>
      <c r="H954" s="791">
        <f>'SOUTH-2'!H682</f>
        <v>7215.86</v>
      </c>
      <c r="I954" s="791">
        <f>'SOUTH-2'!I682</f>
        <v>24.079999999999927</v>
      </c>
      <c r="J954" s="791">
        <f>'SOUTH-2'!J682</f>
        <v>40000</v>
      </c>
      <c r="K954" s="791">
        <f>'SOUTH-2'!K682</f>
        <v>0</v>
      </c>
      <c r="L954" s="791">
        <f>'SOUTH-2'!L682</f>
        <v>963199.99999999709</v>
      </c>
      <c r="M954" s="791">
        <f>'SOUTH-2'!M682</f>
        <v>0</v>
      </c>
      <c r="N954" s="2019" t="str">
        <f>'SOUTH-2'!N682</f>
        <v>Narinda</v>
      </c>
      <c r="O954" s="2019" t="str">
        <f>Sheet2!$C$49</f>
        <v>Narinda 33/11KV S/S</v>
      </c>
    </row>
    <row r="955" spans="1:15" x14ac:dyDescent="0.35">
      <c r="A955" s="2019">
        <f>'SOUTH-2'!A683</f>
        <v>15</v>
      </c>
      <c r="B955" s="2019" t="str">
        <f>'SOUTH-2'!B683</f>
        <v xml:space="preserve">11 kV Folder Street Feeder </v>
      </c>
      <c r="C955" s="2019">
        <f>'SOUTH-2'!C683</f>
        <v>11</v>
      </c>
      <c r="D955" s="2019" t="str">
        <f>'SOUTH-2'!D683</f>
        <v>Narinda</v>
      </c>
      <c r="E955" s="2019" t="str">
        <f>'SOUTH-2'!E683</f>
        <v>DHK00089</v>
      </c>
      <c r="F955" s="791">
        <f>'SOUTH-2'!F683</f>
        <v>1</v>
      </c>
      <c r="G955" s="791">
        <f>'SOUTH-2'!G683</f>
        <v>5821.1</v>
      </c>
      <c r="H955" s="791">
        <f>'SOUTH-2'!H683</f>
        <v>7946</v>
      </c>
      <c r="I955" s="791">
        <f>'SOUTH-2'!I683</f>
        <v>2124.8999999999996</v>
      </c>
      <c r="J955" s="791">
        <f>'SOUTH-2'!J683</f>
        <v>444.44</v>
      </c>
      <c r="K955" s="791">
        <f>'SOUTH-2'!K683</f>
        <v>0</v>
      </c>
      <c r="L955" s="791">
        <f>'SOUTH-2'!L683</f>
        <v>944390.55599999987</v>
      </c>
      <c r="M955" s="791">
        <f>'SOUTH-2'!M683</f>
        <v>0</v>
      </c>
      <c r="N955" s="2019" t="str">
        <f>'SOUTH-2'!N683</f>
        <v>Narinda</v>
      </c>
      <c r="O955" s="2019" t="str">
        <f>Sheet2!$C$49</f>
        <v>Narinda 33/11KV S/S</v>
      </c>
    </row>
    <row r="956" spans="1:15" x14ac:dyDescent="0.35">
      <c r="A956" s="2019">
        <f>'SOUTH-2'!A684</f>
        <v>16</v>
      </c>
      <c r="B956" s="2019" t="str">
        <f>'SOUTH-2'!B684</f>
        <v>11 kV Bhajohari Feeder</v>
      </c>
      <c r="C956" s="2019">
        <f>'SOUTH-2'!C684</f>
        <v>11</v>
      </c>
      <c r="D956" s="2019" t="str">
        <f>'SOUTH-2'!D684</f>
        <v>Narinda</v>
      </c>
      <c r="E956" s="2019" t="str">
        <f>'SOUTH-2'!E684</f>
        <v>DHK27842</v>
      </c>
      <c r="F956" s="791">
        <f>'SOUTH-2'!F684</f>
        <v>1</v>
      </c>
      <c r="G956" s="791">
        <f>'SOUTH-2'!G684</f>
        <v>329087</v>
      </c>
      <c r="H956" s="791">
        <f>'SOUTH-2'!H684</f>
        <v>335103</v>
      </c>
      <c r="I956" s="791">
        <f>'SOUTH-2'!I684</f>
        <v>6016</v>
      </c>
      <c r="J956" s="791">
        <f>'SOUTH-2'!J684</f>
        <v>80</v>
      </c>
      <c r="K956" s="791">
        <f>'SOUTH-2'!K684</f>
        <v>0</v>
      </c>
      <c r="L956" s="791">
        <f>'SOUTH-2'!L684</f>
        <v>481280</v>
      </c>
      <c r="M956" s="791">
        <f>'SOUTH-2'!M684</f>
        <v>0</v>
      </c>
      <c r="N956" s="2019" t="str">
        <f>'SOUTH-2'!N684</f>
        <v>Narinda</v>
      </c>
      <c r="O956" s="2019" t="str">
        <f>Sheet2!$C$49</f>
        <v>Narinda 33/11KV S/S</v>
      </c>
    </row>
    <row r="957" spans="1:15" x14ac:dyDescent="0.35">
      <c r="A957" s="2019">
        <f>'SOUTH-2'!A685</f>
        <v>17</v>
      </c>
      <c r="B957" s="2019" t="str">
        <f>'SOUTH-2'!B685</f>
        <v>11 kV Lal mohon shaha Feeder</v>
      </c>
      <c r="C957" s="2019">
        <f>'SOUTH-2'!C685</f>
        <v>11</v>
      </c>
      <c r="D957" s="2019" t="str">
        <f>'SOUTH-2'!D685</f>
        <v>Narinda</v>
      </c>
      <c r="E957" s="2019" t="str">
        <f>'SOUTH-2'!E685</f>
        <v>DHK00086</v>
      </c>
      <c r="F957" s="791">
        <f>'SOUTH-2'!F685</f>
        <v>1</v>
      </c>
      <c r="G957" s="791">
        <f>'SOUTH-2'!G685</f>
        <v>18911.900000000001</v>
      </c>
      <c r="H957" s="791">
        <f>'SOUTH-2'!H685</f>
        <v>20316.2</v>
      </c>
      <c r="I957" s="791">
        <f>'SOUTH-2'!I685</f>
        <v>1404.2999999999993</v>
      </c>
      <c r="J957" s="791">
        <f>'SOUTH-2'!J685</f>
        <v>444.44</v>
      </c>
      <c r="K957" s="791">
        <f>'SOUTH-2'!K685</f>
        <v>0</v>
      </c>
      <c r="L957" s="791">
        <f>'SOUTH-2'!L685</f>
        <v>624127.09199999971</v>
      </c>
      <c r="M957" s="791">
        <f>'SOUTH-2'!M685</f>
        <v>0</v>
      </c>
      <c r="N957" s="2019" t="str">
        <f>'SOUTH-2'!N685</f>
        <v>Narinda</v>
      </c>
      <c r="O957" s="2019" t="str">
        <f>Sheet2!$C$49</f>
        <v>Narinda 33/11KV S/S</v>
      </c>
    </row>
    <row r="958" spans="1:15" x14ac:dyDescent="0.35">
      <c r="A958" s="2019">
        <f>'SOUTH-2'!A686</f>
        <v>18</v>
      </c>
      <c r="B958" s="2019" t="str">
        <f>'SOUTH-2'!B686</f>
        <v>11 kV Dupkhola Feeder</v>
      </c>
      <c r="C958" s="2019">
        <f>'SOUTH-2'!C686</f>
        <v>11</v>
      </c>
      <c r="D958" s="2019" t="str">
        <f>'SOUTH-2'!D686</f>
        <v>Swamibag</v>
      </c>
      <c r="E958" s="2019" t="str">
        <f>'SOUTH-2'!E686</f>
        <v>8838024/8838029</v>
      </c>
      <c r="F958" s="791">
        <f>'SOUTH-2'!F686</f>
        <v>1</v>
      </c>
      <c r="G958" s="791">
        <f>'SOUTH-2'!G686</f>
        <v>33267.699999999997</v>
      </c>
      <c r="H958" s="791">
        <f>'SOUTH-2'!H686</f>
        <v>33578.6</v>
      </c>
      <c r="I958" s="791">
        <f>'SOUTH-2'!I686</f>
        <v>310.90000000000146</v>
      </c>
      <c r="J958" s="791">
        <f>'SOUTH-2'!J686</f>
        <v>1000</v>
      </c>
      <c r="K958" s="791">
        <f>'SOUTH-2'!K686</f>
        <v>0</v>
      </c>
      <c r="L958" s="791">
        <f>'SOUTH-2'!L686</f>
        <v>310900.00000000146</v>
      </c>
      <c r="M958" s="791">
        <f>'SOUTH-2'!M686</f>
        <v>0</v>
      </c>
      <c r="N958" s="2019" t="str">
        <f>'SOUTH-2'!N686</f>
        <v>Swamibag</v>
      </c>
      <c r="O958" s="2019" t="str">
        <f>Sheet2!$C$49</f>
        <v>Narinda 33/11KV S/S</v>
      </c>
    </row>
    <row r="959" spans="1:15" x14ac:dyDescent="0.35">
      <c r="A959" s="2019">
        <f>'SOUTH-2'!A687</f>
        <v>1</v>
      </c>
      <c r="B959" s="2019" t="str">
        <f>'SOUTH-2'!B687</f>
        <v>11/0.4 kV Aux Transformer-1</v>
      </c>
      <c r="C959" s="2019">
        <f>'SOUTH-2'!C687</f>
        <v>0.4</v>
      </c>
      <c r="D959" s="2019">
        <f>'SOUTH-2'!D687</f>
        <v>0</v>
      </c>
      <c r="E959" s="2019" t="str">
        <f>'SOUTH-2'!E687</f>
        <v>DHK-21032</v>
      </c>
      <c r="F959" s="791">
        <f>'SOUTH-2'!F687</f>
        <v>1</v>
      </c>
      <c r="G959" s="791">
        <f>'SOUTH-2'!G687</f>
        <v>135180</v>
      </c>
      <c r="H959" s="791">
        <f>'SOUTH-2'!H687</f>
        <v>136304</v>
      </c>
      <c r="I959" s="791">
        <f>'SOUTH-2'!I687</f>
        <v>1124</v>
      </c>
      <c r="J959" s="791">
        <f>'SOUTH-2'!J687</f>
        <v>4</v>
      </c>
      <c r="K959" s="791">
        <f>'SOUTH-2'!K687</f>
        <v>0</v>
      </c>
      <c r="L959" s="791">
        <f>'SOUTH-2'!L687</f>
        <v>4496</v>
      </c>
      <c r="M959" s="791">
        <f>'SOUTH-2'!M687</f>
        <v>0</v>
      </c>
      <c r="N959" s="2019" t="str">
        <f>'SOUTH-2'!N687</f>
        <v>Narinda</v>
      </c>
      <c r="O959" s="2019" t="str">
        <f>Sheet2!$C$49</f>
        <v>Narinda 33/11KV S/S</v>
      </c>
    </row>
    <row r="960" spans="1:15" x14ac:dyDescent="0.35">
      <c r="A960" s="2019">
        <f>'SOUTH-2'!A688</f>
        <v>2</v>
      </c>
      <c r="B960" s="2019" t="str">
        <f>'SOUTH-2'!B688</f>
        <v>11/0.4 kV Aux Transformer-2</v>
      </c>
      <c r="C960" s="2019">
        <f>'SOUTH-2'!C688</f>
        <v>0.4</v>
      </c>
      <c r="D960" s="2019">
        <f>'SOUTH-2'!D688</f>
        <v>0</v>
      </c>
      <c r="E960" s="2019" t="str">
        <f>'SOUTH-2'!E688</f>
        <v>DHK-21094</v>
      </c>
      <c r="F960" s="791">
        <f>'SOUTH-2'!F688</f>
        <v>1</v>
      </c>
      <c r="G960" s="791">
        <f>'SOUTH-2'!G688</f>
        <v>233968</v>
      </c>
      <c r="H960" s="791">
        <f>'SOUTH-2'!H688</f>
        <v>234104.1</v>
      </c>
      <c r="I960" s="791">
        <f>'SOUTH-2'!I688</f>
        <v>136.10000000000582</v>
      </c>
      <c r="J960" s="791">
        <f>'SOUTH-2'!J688</f>
        <v>4</v>
      </c>
      <c r="K960" s="791">
        <f>'SOUTH-2'!K688</f>
        <v>0</v>
      </c>
      <c r="L960" s="791">
        <f>'SOUTH-2'!L688</f>
        <v>544.40000000002328</v>
      </c>
      <c r="M960" s="791">
        <f>'SOUTH-2'!M688</f>
        <v>0</v>
      </c>
      <c r="N960" s="2019" t="str">
        <f>'SOUTH-2'!N688</f>
        <v>Narinda</v>
      </c>
      <c r="O960" s="2019" t="str">
        <f>Sheet2!$C$49</f>
        <v>Narinda 33/11KV S/S</v>
      </c>
    </row>
    <row r="961" spans="1:15" x14ac:dyDescent="0.35">
      <c r="A961" s="2019">
        <f>'SOUTH-2'!A756</f>
        <v>11</v>
      </c>
      <c r="B961" s="2019" t="str">
        <f>'SOUTH-2'!B756</f>
        <v>11kV Babubazar Feeder</v>
      </c>
      <c r="C961" s="2019">
        <f>'SOUTH-2'!C756</f>
        <v>11</v>
      </c>
      <c r="D961" s="2019" t="str">
        <f>'SOUTH-2'!D756</f>
        <v>Banglabazar</v>
      </c>
      <c r="E961" s="2019" t="str">
        <f>'SOUTH-2'!E756</f>
        <v>DHK00004</v>
      </c>
      <c r="F961" s="791">
        <f>'SOUTH-2'!F756</f>
        <v>1</v>
      </c>
      <c r="G961" s="791">
        <f>'SOUTH-2'!G756</f>
        <v>62000.6</v>
      </c>
      <c r="H961" s="791">
        <f>'SOUTH-2'!H756</f>
        <v>62009.8</v>
      </c>
      <c r="I961" s="791">
        <f>'SOUTH-2'!I756</f>
        <v>9.2000000000043656</v>
      </c>
      <c r="J961" s="791">
        <f>'SOUTH-2'!J756</f>
        <v>2222.2199999999998</v>
      </c>
      <c r="K961" s="791">
        <f>'SOUTH-2'!K756</f>
        <v>0</v>
      </c>
      <c r="L961" s="791">
        <f>'SOUTH-2'!L756</f>
        <v>20444.424000009698</v>
      </c>
      <c r="M961" s="791">
        <f>'SOUTH-2'!M756</f>
        <v>0</v>
      </c>
      <c r="N961" s="2019" t="str">
        <f>'SOUTH-2'!N756</f>
        <v>Banglabazar</v>
      </c>
      <c r="O961" s="2019" t="str">
        <f>Sheet2!$C$50</f>
        <v>Kumertuly  33/11KV S/S</v>
      </c>
    </row>
    <row r="962" spans="1:15" x14ac:dyDescent="0.35">
      <c r="A962" s="2019">
        <f>'SOUTH-2'!A757</f>
        <v>12</v>
      </c>
      <c r="B962" s="2019" t="str">
        <f>'SOUTH-2'!B757</f>
        <v>11kV Islampur Feeder</v>
      </c>
      <c r="C962" s="2019">
        <f>'SOUTH-2'!C757</f>
        <v>11</v>
      </c>
      <c r="D962" s="2019" t="str">
        <f>'SOUTH-2'!D757</f>
        <v>Banglabazar</v>
      </c>
      <c r="E962" s="2019" t="str">
        <f>'SOUTH-2'!E757</f>
        <v>06604381</v>
      </c>
      <c r="F962" s="791">
        <f>'SOUTH-2'!F757</f>
        <v>1</v>
      </c>
      <c r="G962" s="791">
        <f>'SOUTH-2'!G757</f>
        <v>4531</v>
      </c>
      <c r="H962" s="791">
        <f>'SOUTH-2'!H757</f>
        <v>4531.05</v>
      </c>
      <c r="I962" s="791">
        <f>'SOUTH-2'!I757</f>
        <v>5.0000000000181899E-2</v>
      </c>
      <c r="J962" s="791">
        <f>'SOUTH-2'!J757</f>
        <v>40000</v>
      </c>
      <c r="K962" s="791">
        <f>'SOUTH-2'!K757</f>
        <v>0</v>
      </c>
      <c r="L962" s="791">
        <f>'SOUTH-2'!L757</f>
        <v>2000.000000007276</v>
      </c>
      <c r="M962" s="791">
        <f>'SOUTH-2'!M757</f>
        <v>0</v>
      </c>
      <c r="N962" s="2019" t="str">
        <f>'SOUTH-2'!N757</f>
        <v>Banglabazar</v>
      </c>
      <c r="O962" s="2019" t="str">
        <f>Sheet2!$C$50</f>
        <v>Kumertuly  33/11KV S/S</v>
      </c>
    </row>
    <row r="963" spans="1:15" x14ac:dyDescent="0.35">
      <c r="A963" s="2019">
        <f>'SOUTH-2'!A758</f>
        <v>13</v>
      </c>
      <c r="B963" s="2019" t="str">
        <f>'SOUTH-2'!B758</f>
        <v>11kV Champatully Feeder</v>
      </c>
      <c r="C963" s="2019">
        <f>'SOUTH-2'!C758</f>
        <v>11</v>
      </c>
      <c r="D963" s="2019" t="str">
        <f>'SOUTH-2'!D758</f>
        <v>Bangshal</v>
      </c>
      <c r="E963" s="2019" t="str">
        <f>'SOUTH-2'!E758</f>
        <v>06604404</v>
      </c>
      <c r="F963" s="791">
        <f>'SOUTH-2'!F758</f>
        <v>1</v>
      </c>
      <c r="G963" s="791">
        <f>'SOUTH-2'!G758</f>
        <v>903.15</v>
      </c>
      <c r="H963" s="791">
        <f>'SOUTH-2'!H758</f>
        <v>903.15</v>
      </c>
      <c r="I963" s="791">
        <f>'SOUTH-2'!I758</f>
        <v>0</v>
      </c>
      <c r="J963" s="791">
        <f>'SOUTH-2'!J758</f>
        <v>40000</v>
      </c>
      <c r="K963" s="791">
        <f>'SOUTH-2'!K758</f>
        <v>0</v>
      </c>
      <c r="L963" s="791">
        <f>'SOUTH-2'!L758</f>
        <v>0</v>
      </c>
      <c r="M963" s="791">
        <f>'SOUTH-2'!M758</f>
        <v>0</v>
      </c>
      <c r="N963" s="2019" t="str">
        <f>'SOUTH-2'!N758</f>
        <v>Bangshal</v>
      </c>
      <c r="O963" s="2019" t="str">
        <f>Sheet2!$C$50</f>
        <v>Kumertuly  33/11KV S/S</v>
      </c>
    </row>
    <row r="964" spans="1:15" x14ac:dyDescent="0.35">
      <c r="A964" s="2019">
        <f>'SOUTH-2'!A759</f>
        <v>14</v>
      </c>
      <c r="B964" s="2019" t="str">
        <f>'SOUTH-2'!B759</f>
        <v>11kV Majar O/H Feeder</v>
      </c>
      <c r="C964" s="2019">
        <f>'SOUTH-2'!C759</f>
        <v>11</v>
      </c>
      <c r="D964" s="2019" t="str">
        <f>'SOUTH-2'!D759</f>
        <v>Banglabazar</v>
      </c>
      <c r="E964" s="2019" t="str">
        <f>'SOUTH-2'!E759</f>
        <v>06604385</v>
      </c>
      <c r="F964" s="791">
        <f>'SOUTH-2'!F759</f>
        <v>1</v>
      </c>
      <c r="G964" s="791">
        <f>'SOUTH-2'!G759</f>
        <v>5120.49</v>
      </c>
      <c r="H964" s="791">
        <f>'SOUTH-2'!H759</f>
        <v>5120.76</v>
      </c>
      <c r="I964" s="791">
        <f>'SOUTH-2'!I759</f>
        <v>0.27000000000043656</v>
      </c>
      <c r="J964" s="791">
        <f>'SOUTH-2'!J759</f>
        <v>40000</v>
      </c>
      <c r="K964" s="791">
        <f>'SOUTH-2'!K759</f>
        <v>0</v>
      </c>
      <c r="L964" s="791">
        <f>'SOUTH-2'!L759</f>
        <v>10800.000000017462</v>
      </c>
      <c r="M964" s="791">
        <f>'SOUTH-2'!M759</f>
        <v>0</v>
      </c>
      <c r="N964" s="2019" t="str">
        <f>'SOUTH-2'!N759</f>
        <v>Banglabazar</v>
      </c>
      <c r="O964" s="2019" t="str">
        <f>Sheet2!$C$50</f>
        <v>Kumertuly  33/11KV S/S</v>
      </c>
    </row>
    <row r="965" spans="1:15" x14ac:dyDescent="0.35">
      <c r="A965" s="2019">
        <f>'SOUTH-2'!A760</f>
        <v>15</v>
      </c>
      <c r="B965" s="2019" t="str">
        <f>'SOUTH-2'!B760</f>
        <v xml:space="preserve">11kV Spare </v>
      </c>
      <c r="C965" s="2019">
        <f>'SOUTH-2'!C760</f>
        <v>11</v>
      </c>
      <c r="D965" s="2019" t="str">
        <f>'SOUTH-2'!D760</f>
        <v>Banglabazar</v>
      </c>
      <c r="E965" s="2019" t="str">
        <f>'SOUTH-2'!E760</f>
        <v>06604380</v>
      </c>
      <c r="F965" s="791">
        <f>'SOUTH-2'!F760</f>
        <v>1</v>
      </c>
      <c r="G965" s="791">
        <f>'SOUTH-2'!G760</f>
        <v>0</v>
      </c>
      <c r="H965" s="791">
        <f>'SOUTH-2'!H760</f>
        <v>0</v>
      </c>
      <c r="I965" s="791">
        <f>'SOUTH-2'!I760</f>
        <v>0</v>
      </c>
      <c r="J965" s="791">
        <f>'SOUTH-2'!J760</f>
        <v>40000</v>
      </c>
      <c r="K965" s="791">
        <f>'SOUTH-2'!K760</f>
        <v>0</v>
      </c>
      <c r="L965" s="791">
        <f>'SOUTH-2'!L760</f>
        <v>0</v>
      </c>
      <c r="M965" s="791">
        <f>'SOUTH-2'!M760</f>
        <v>0</v>
      </c>
      <c r="N965" s="2019">
        <f>'SOUTH-2'!N760</f>
        <v>0</v>
      </c>
      <c r="O965" s="2019" t="str">
        <f>Sheet2!$C$50</f>
        <v>Kumertuly  33/11KV S/S</v>
      </c>
    </row>
    <row r="966" spans="1:15" x14ac:dyDescent="0.35">
      <c r="A966" s="2019">
        <f>'SOUTH-2'!A761</f>
        <v>16</v>
      </c>
      <c r="B966" s="2019" t="str">
        <f>'SOUTH-2'!B761</f>
        <v>11kV Sadarghat Feeder</v>
      </c>
      <c r="C966" s="2019">
        <f>'SOUTH-2'!C761</f>
        <v>11</v>
      </c>
      <c r="D966" s="2019" t="str">
        <f>'SOUTH-2'!D761</f>
        <v>Banglabazar</v>
      </c>
      <c r="E966" s="2019" t="str">
        <f>'SOUTH-2'!E761</f>
        <v>06604315</v>
      </c>
      <c r="F966" s="791">
        <f>'SOUTH-2'!F761</f>
        <v>1</v>
      </c>
      <c r="G966" s="791">
        <f>'SOUTH-2'!G761</f>
        <v>5389.82</v>
      </c>
      <c r="H966" s="791">
        <f>'SOUTH-2'!H761</f>
        <v>5389.85</v>
      </c>
      <c r="I966" s="791">
        <f>'SOUTH-2'!I761</f>
        <v>3.0000000000654836E-2</v>
      </c>
      <c r="J966" s="791">
        <f>'SOUTH-2'!J761</f>
        <v>40000</v>
      </c>
      <c r="K966" s="791">
        <f>'SOUTH-2'!K761</f>
        <v>0</v>
      </c>
      <c r="L966" s="791">
        <f>'SOUTH-2'!L761</f>
        <v>1200.0000000261934</v>
      </c>
      <c r="M966" s="791">
        <f>'SOUTH-2'!M761</f>
        <v>0</v>
      </c>
      <c r="N966" s="2019" t="str">
        <f>'SOUTH-2'!N761</f>
        <v>Banglabazar</v>
      </c>
      <c r="O966" s="2019" t="str">
        <f>Sheet2!$C$50</f>
        <v>Kumertuly  33/11KV S/S</v>
      </c>
    </row>
    <row r="967" spans="1:15" x14ac:dyDescent="0.35">
      <c r="A967" s="2019">
        <f>'SOUTH-2'!A762</f>
        <v>17</v>
      </c>
      <c r="B967" s="2019" t="str">
        <f>'SOUTH-2'!B762</f>
        <v>11kV Mitford Hospital Feeder</v>
      </c>
      <c r="C967" s="2019">
        <f>'SOUTH-2'!C762</f>
        <v>11</v>
      </c>
      <c r="D967" s="2019" t="str">
        <f>'SOUTH-2'!D762</f>
        <v>Bangshal</v>
      </c>
      <c r="E967" s="2019" t="str">
        <f>'SOUTH-2'!E762</f>
        <v>06604409</v>
      </c>
      <c r="F967" s="791">
        <f>'SOUTH-2'!F762</f>
        <v>1</v>
      </c>
      <c r="G967" s="791">
        <f>'SOUTH-2'!G762</f>
        <v>1013.63</v>
      </c>
      <c r="H967" s="791">
        <f>'SOUTH-2'!H762</f>
        <v>1013.68</v>
      </c>
      <c r="I967" s="791">
        <f>'SOUTH-2'!I762</f>
        <v>4.9999999999954525E-2</v>
      </c>
      <c r="J967" s="791">
        <f>'SOUTH-2'!J762</f>
        <v>40000</v>
      </c>
      <c r="K967" s="791">
        <f>'SOUTH-2'!K762</f>
        <v>0</v>
      </c>
      <c r="L967" s="791">
        <f>'SOUTH-2'!L762</f>
        <v>1999.999999998181</v>
      </c>
      <c r="M967" s="791">
        <f>'SOUTH-2'!M762</f>
        <v>0</v>
      </c>
      <c r="N967" s="2019" t="str">
        <f>'SOUTH-2'!N762</f>
        <v>Bangshal</v>
      </c>
      <c r="O967" s="2019" t="str">
        <f>Sheet2!$C$50</f>
        <v>Kumertuly  33/11KV S/S</v>
      </c>
    </row>
    <row r="968" spans="1:15" x14ac:dyDescent="0.35">
      <c r="A968" s="2019">
        <f>'SOUTH-2'!A763</f>
        <v>18</v>
      </c>
      <c r="B968" s="2019" t="str">
        <f>'SOUTH-2'!B763</f>
        <v>11kV Zindabahar  Feeder</v>
      </c>
      <c r="C968" s="2019">
        <f>'SOUTH-2'!C763</f>
        <v>11</v>
      </c>
      <c r="D968" s="2019" t="str">
        <f>'SOUTH-2'!D763</f>
        <v>Banglabazar</v>
      </c>
      <c r="E968" s="2019" t="str">
        <f>'SOUTH-2'!E763</f>
        <v>06604405</v>
      </c>
      <c r="F968" s="791">
        <f>'SOUTH-2'!F763</f>
        <v>1</v>
      </c>
      <c r="G968" s="791">
        <f>'SOUTH-2'!G763</f>
        <v>4021.61</v>
      </c>
      <c r="H968" s="791">
        <f>'SOUTH-2'!H763</f>
        <v>4021.97</v>
      </c>
      <c r="I968" s="791">
        <f>'SOUTH-2'!I763</f>
        <v>0.35999999999967258</v>
      </c>
      <c r="J968" s="791">
        <f>'SOUTH-2'!J763</f>
        <v>40000</v>
      </c>
      <c r="K968" s="791">
        <f>'SOUTH-2'!K763</f>
        <v>0</v>
      </c>
      <c r="L968" s="791">
        <f>'SOUTH-2'!L763</f>
        <v>14399.999999986903</v>
      </c>
      <c r="M968" s="791">
        <f>'SOUTH-2'!M763</f>
        <v>0</v>
      </c>
      <c r="N968" s="2019" t="str">
        <f>'SOUTH-2'!N763</f>
        <v>Banglabazar</v>
      </c>
      <c r="O968" s="2019" t="str">
        <f>Sheet2!$C$50</f>
        <v>Kumertuly  33/11KV S/S</v>
      </c>
    </row>
    <row r="969" spans="1:15" x14ac:dyDescent="0.35">
      <c r="A969" s="2019">
        <f>'SOUTH-2'!A764</f>
        <v>21</v>
      </c>
      <c r="B969" s="2019" t="str">
        <f>'SOUTH-2'!B764</f>
        <v>11kV Police fari Feeder</v>
      </c>
      <c r="C969" s="2019">
        <f>'SOUTH-2'!C764</f>
        <v>11</v>
      </c>
      <c r="D969" s="2019" t="str">
        <f>'SOUTH-2'!D764</f>
        <v>Banglabazar</v>
      </c>
      <c r="E969" s="2019" t="str">
        <f>'SOUTH-2'!E764</f>
        <v>06604408</v>
      </c>
      <c r="F969" s="791">
        <f>'SOUTH-2'!F764</f>
        <v>1</v>
      </c>
      <c r="G969" s="791">
        <f>'SOUTH-2'!G764</f>
        <v>5739.2</v>
      </c>
      <c r="H969" s="791">
        <f>'SOUTH-2'!H764</f>
        <v>5739.2</v>
      </c>
      <c r="I969" s="791">
        <f>'SOUTH-2'!I764</f>
        <v>0</v>
      </c>
      <c r="J969" s="791">
        <f>'SOUTH-2'!J764</f>
        <v>40000</v>
      </c>
      <c r="K969" s="791">
        <f>'SOUTH-2'!K764</f>
        <v>0</v>
      </c>
      <c r="L969" s="791">
        <f>'SOUTH-2'!L764</f>
        <v>0</v>
      </c>
      <c r="M969" s="791">
        <f>'SOUTH-2'!M764</f>
        <v>0</v>
      </c>
      <c r="N969" s="2019" t="str">
        <f>'SOUTH-2'!N764</f>
        <v>Banglabazar</v>
      </c>
      <c r="O969" s="2019" t="str">
        <f>Sheet2!$C$50</f>
        <v>Kumertuly  33/11KV S/S</v>
      </c>
    </row>
    <row r="970" spans="1:15" x14ac:dyDescent="0.35">
      <c r="A970" s="2019">
        <f>'SOUTH-2'!A765</f>
        <v>22</v>
      </c>
      <c r="B970" s="2019" t="str">
        <f>'SOUTH-2'!B765</f>
        <v>11kV Patuatully Feeder</v>
      </c>
      <c r="C970" s="2019">
        <f>'SOUTH-2'!C765</f>
        <v>11</v>
      </c>
      <c r="D970" s="2019" t="str">
        <f>'SOUTH-2'!D765</f>
        <v>Banglabazar</v>
      </c>
      <c r="E970" s="2019" t="str">
        <f>'SOUTH-2'!E765</f>
        <v>06604383</v>
      </c>
      <c r="F970" s="791">
        <f>'SOUTH-2'!F765</f>
        <v>1</v>
      </c>
      <c r="G970" s="791">
        <f>'SOUTH-2'!G765</f>
        <v>5722.82</v>
      </c>
      <c r="H970" s="791">
        <f>'SOUTH-2'!H765</f>
        <v>5740</v>
      </c>
      <c r="I970" s="791">
        <f>'SOUTH-2'!I765</f>
        <v>17.180000000000291</v>
      </c>
      <c r="J970" s="791">
        <f>'SOUTH-2'!J765</f>
        <v>40000</v>
      </c>
      <c r="K970" s="791">
        <f>'SOUTH-2'!K765</f>
        <v>0</v>
      </c>
      <c r="L970" s="791">
        <f>'SOUTH-2'!L765</f>
        <v>687200.00000001164</v>
      </c>
      <c r="M970" s="791">
        <f>'SOUTH-2'!M765</f>
        <v>0</v>
      </c>
      <c r="N970" s="2019" t="str">
        <f>'SOUTH-2'!N765</f>
        <v>Banglabazar</v>
      </c>
      <c r="O970" s="2019" t="str">
        <f>Sheet2!$C$50</f>
        <v>Kumertuly  33/11KV S/S</v>
      </c>
    </row>
    <row r="971" spans="1:15" x14ac:dyDescent="0.35">
      <c r="A971" s="2019">
        <f>'SOUTH-2'!A766</f>
        <v>23</v>
      </c>
      <c r="B971" s="2019" t="str">
        <f>'SOUTH-2'!B766</f>
        <v>11kV Laxmibazar Feeder</v>
      </c>
      <c r="C971" s="2019">
        <f>'SOUTH-2'!C766</f>
        <v>11</v>
      </c>
      <c r="D971" s="2019" t="str">
        <f>'SOUTH-2'!D766</f>
        <v>Banglabazar</v>
      </c>
      <c r="E971" s="2019" t="str">
        <f>'SOUTH-2'!E766</f>
        <v>06604407</v>
      </c>
      <c r="F971" s="791">
        <f>'SOUTH-2'!F766</f>
        <v>1</v>
      </c>
      <c r="G971" s="791">
        <f>'SOUTH-2'!G766</f>
        <v>7885.37</v>
      </c>
      <c r="H971" s="791">
        <f>'SOUTH-2'!H766</f>
        <v>7911.83</v>
      </c>
      <c r="I971" s="791">
        <f>'SOUTH-2'!I766</f>
        <v>26.460000000000036</v>
      </c>
      <c r="J971" s="791">
        <f>'SOUTH-2'!J766</f>
        <v>40000</v>
      </c>
      <c r="K971" s="791">
        <f>'SOUTH-2'!K766</f>
        <v>0</v>
      </c>
      <c r="L971" s="791">
        <f>'SOUTH-2'!L766</f>
        <v>1058400.0000000014</v>
      </c>
      <c r="M971" s="791">
        <f>'SOUTH-2'!M766</f>
        <v>0</v>
      </c>
      <c r="N971" s="2019" t="str">
        <f>'SOUTH-2'!N766</f>
        <v>Banglabazar</v>
      </c>
      <c r="O971" s="2019" t="str">
        <f>Sheet2!$C$50</f>
        <v>Kumertuly  33/11KV S/S</v>
      </c>
    </row>
    <row r="972" spans="1:15" x14ac:dyDescent="0.35">
      <c r="A972" s="2019">
        <f>'SOUTH-2'!A767</f>
        <v>24</v>
      </c>
      <c r="B972" s="2019" t="str">
        <f>'SOUTH-2'!B767</f>
        <v>11kV Jhonson Road Feeder</v>
      </c>
      <c r="C972" s="2019">
        <f>'SOUTH-2'!C767</f>
        <v>11</v>
      </c>
      <c r="D972" s="2019" t="str">
        <f>'SOUTH-2'!D767</f>
        <v>Banglabazar</v>
      </c>
      <c r="E972" s="2019" t="str">
        <f>'SOUTH-2'!E767</f>
        <v>06604384</v>
      </c>
      <c r="F972" s="791">
        <f>'SOUTH-2'!F767</f>
        <v>1</v>
      </c>
      <c r="G972" s="791">
        <f>'SOUTH-2'!G767</f>
        <v>3696.07</v>
      </c>
      <c r="H972" s="791">
        <f>'SOUTH-2'!H767</f>
        <v>3700.77</v>
      </c>
      <c r="I972" s="791">
        <f>'SOUTH-2'!I767</f>
        <v>4.6999999999998181</v>
      </c>
      <c r="J972" s="791">
        <f>'SOUTH-2'!J767</f>
        <v>40000</v>
      </c>
      <c r="K972" s="791">
        <f>'SOUTH-2'!K767</f>
        <v>0</v>
      </c>
      <c r="L972" s="791">
        <f>'SOUTH-2'!L767</f>
        <v>187999.99999999272</v>
      </c>
      <c r="M972" s="791">
        <f>'SOUTH-2'!M767</f>
        <v>0</v>
      </c>
      <c r="N972" s="2019" t="str">
        <f>'SOUTH-2'!N767</f>
        <v>Banglabazar</v>
      </c>
      <c r="O972" s="2019" t="str">
        <f>Sheet2!$C$50</f>
        <v>Kumertuly  33/11KV S/S</v>
      </c>
    </row>
    <row r="973" spans="1:15" x14ac:dyDescent="0.35">
      <c r="A973" s="2019">
        <f>'SOUTH-2'!A768</f>
        <v>25</v>
      </c>
      <c r="B973" s="2019" t="str">
        <f>'SOUTH-2'!B768</f>
        <v>11kV Dholaikhal Feeder</v>
      </c>
      <c r="C973" s="2019">
        <f>'SOUTH-2'!C768</f>
        <v>11</v>
      </c>
      <c r="D973" s="2019" t="str">
        <f>'SOUTH-2'!D768</f>
        <v>Banglabazar</v>
      </c>
      <c r="E973" s="2019" t="str">
        <f>'SOUTH-2'!E768</f>
        <v>06604379</v>
      </c>
      <c r="F973" s="791">
        <f>'SOUTH-2'!F768</f>
        <v>1</v>
      </c>
      <c r="G973" s="791">
        <f>'SOUTH-2'!G768</f>
        <v>9664.4599999999991</v>
      </c>
      <c r="H973" s="791">
        <f>'SOUTH-2'!H768</f>
        <v>9664.4599999999991</v>
      </c>
      <c r="I973" s="791">
        <f>'SOUTH-2'!I768</f>
        <v>0</v>
      </c>
      <c r="J973" s="791">
        <f>'SOUTH-2'!J768</f>
        <v>40000</v>
      </c>
      <c r="K973" s="791">
        <f>'SOUTH-2'!K768</f>
        <v>0</v>
      </c>
      <c r="L973" s="791">
        <f>'SOUTH-2'!L768</f>
        <v>0</v>
      </c>
      <c r="M973" s="791">
        <f>'SOUTH-2'!M768</f>
        <v>0</v>
      </c>
      <c r="N973" s="2019" t="str">
        <f>'SOUTH-2'!N768</f>
        <v>Banglabazar</v>
      </c>
      <c r="O973" s="2019" t="str">
        <f>Sheet2!$C$50</f>
        <v>Kumertuly  33/11KV S/S</v>
      </c>
    </row>
    <row r="974" spans="1:15" x14ac:dyDescent="0.35">
      <c r="A974" s="2019">
        <f>'SOUTH-2'!A769</f>
        <v>26</v>
      </c>
      <c r="B974" s="2019" t="str">
        <f>'SOUTH-2'!B769</f>
        <v>11kV Bikrompur Garden City Feeder</v>
      </c>
      <c r="C974" s="2019">
        <f>'SOUTH-2'!C769</f>
        <v>11</v>
      </c>
      <c r="D974" s="2019" t="str">
        <f>'SOUTH-2'!D769</f>
        <v>Banglabazar</v>
      </c>
      <c r="E974" s="2019" t="str">
        <f>'SOUTH-2'!E769</f>
        <v>06604406</v>
      </c>
      <c r="F974" s="791">
        <f>'SOUTH-2'!F769</f>
        <v>1</v>
      </c>
      <c r="G974" s="791">
        <f>'SOUTH-2'!G769</f>
        <v>3538.56</v>
      </c>
      <c r="H974" s="791">
        <f>'SOUTH-2'!H769</f>
        <v>3543.34</v>
      </c>
      <c r="I974" s="791">
        <f>'SOUTH-2'!I769</f>
        <v>4.7800000000002001</v>
      </c>
      <c r="J974" s="791">
        <f>'SOUTH-2'!J769</f>
        <v>40000</v>
      </c>
      <c r="K974" s="791">
        <f>'SOUTH-2'!K769</f>
        <v>0</v>
      </c>
      <c r="L974" s="791">
        <f>'SOUTH-2'!L769</f>
        <v>191200.000000008</v>
      </c>
      <c r="M974" s="791">
        <f>'SOUTH-2'!M769</f>
        <v>0</v>
      </c>
      <c r="N974" s="2019" t="str">
        <f>'SOUTH-2'!N769</f>
        <v>Banglabazar</v>
      </c>
      <c r="O974" s="2019" t="str">
        <f>Sheet2!$C$50</f>
        <v>Kumertuly  33/11KV S/S</v>
      </c>
    </row>
    <row r="975" spans="1:15" x14ac:dyDescent="0.35">
      <c r="A975" s="2019">
        <f>'SOUTH-2'!A770</f>
        <v>27</v>
      </c>
      <c r="B975" s="2019" t="str">
        <f>'SOUTH-2'!B770</f>
        <v>11/0.4 kV AT-1</v>
      </c>
      <c r="C975" s="2019">
        <f>'SOUTH-2'!C770</f>
        <v>0.4</v>
      </c>
      <c r="D975" s="2019">
        <f>'SOUTH-2'!D770</f>
        <v>0</v>
      </c>
      <c r="E975" s="2019" t="str">
        <f>'SOUTH-2'!E770</f>
        <v>05379603</v>
      </c>
      <c r="F975" s="791">
        <f>'SOUTH-2'!F770</f>
        <v>1</v>
      </c>
      <c r="G975" s="791">
        <f>'SOUTH-2'!G770</f>
        <v>0</v>
      </c>
      <c r="H975" s="791">
        <f>'SOUTH-2'!H770</f>
        <v>0</v>
      </c>
      <c r="I975" s="791">
        <f>'SOUTH-2'!I770</f>
        <v>0</v>
      </c>
      <c r="J975" s="791">
        <f>'SOUTH-2'!J770</f>
        <v>2</v>
      </c>
      <c r="K975" s="791">
        <f>'SOUTH-2'!K770</f>
        <v>0</v>
      </c>
      <c r="L975" s="791">
        <f>'SOUTH-2'!L770</f>
        <v>0</v>
      </c>
      <c r="M975" s="791">
        <f>'SOUTH-2'!M770</f>
        <v>0</v>
      </c>
      <c r="N975" s="2019" t="str">
        <f>'SOUTH-2'!N770</f>
        <v>Banglabazar</v>
      </c>
      <c r="O975" s="2019" t="str">
        <f>Sheet2!$C$50</f>
        <v>Kumertuly  33/11KV S/S</v>
      </c>
    </row>
    <row r="976" spans="1:15" x14ac:dyDescent="0.35">
      <c r="A976" s="2019">
        <f>'SOUTH-2'!A771</f>
        <v>28</v>
      </c>
      <c r="B976" s="2019" t="str">
        <f>'SOUTH-2'!B771</f>
        <v>11/0.4 kV AT-2</v>
      </c>
      <c r="C976" s="2019">
        <f>'SOUTH-2'!C771</f>
        <v>0.4</v>
      </c>
      <c r="D976" s="2019">
        <f>'SOUTH-2'!D771</f>
        <v>0</v>
      </c>
      <c r="E976" s="2019" t="str">
        <f>'SOUTH-2'!E771</f>
        <v>05378636</v>
      </c>
      <c r="F976" s="791">
        <f>'SOUTH-2'!F771</f>
        <v>1</v>
      </c>
      <c r="G976" s="791">
        <f>'SOUTH-2'!G771</f>
        <v>152799.9</v>
      </c>
      <c r="H976" s="791">
        <f>'SOUTH-2'!H771</f>
        <v>153503.20000000001</v>
      </c>
      <c r="I976" s="791">
        <f>'SOUTH-2'!I771</f>
        <v>703.30000000001746</v>
      </c>
      <c r="J976" s="791">
        <f>'SOUTH-2'!J771</f>
        <v>2</v>
      </c>
      <c r="K976" s="791">
        <f>'SOUTH-2'!K771</f>
        <v>0</v>
      </c>
      <c r="L976" s="791">
        <f>'SOUTH-2'!L771</f>
        <v>1406.6000000000349</v>
      </c>
      <c r="M976" s="791">
        <f>'SOUTH-2'!M771</f>
        <v>0</v>
      </c>
      <c r="N976" s="2019" t="str">
        <f>'SOUTH-2'!N771</f>
        <v>Banglabazar</v>
      </c>
      <c r="O976" s="2019" t="str">
        <f>Sheet2!$C$50</f>
        <v>Kumertuly  33/11KV S/S</v>
      </c>
    </row>
    <row r="977" spans="1:15" x14ac:dyDescent="0.35">
      <c r="A977" s="2019">
        <f>'SOUTH-2'!A834</f>
        <v>1</v>
      </c>
      <c r="B977" s="2019" t="str">
        <f>'SOUTH-2'!B834</f>
        <v>11 kV Bangladesh Math Feeder</v>
      </c>
      <c r="C977" s="2019">
        <f>'SOUTH-2'!C834</f>
        <v>11</v>
      </c>
      <c r="D977" s="2019" t="str">
        <f>'SOUTH-2'!D834</f>
        <v>Bangshal</v>
      </c>
      <c r="E977" s="2019">
        <f>'SOUTH-2'!E834</f>
        <v>340180017728</v>
      </c>
      <c r="F977" s="791">
        <f>'SOUTH-2'!F834</f>
        <v>1</v>
      </c>
      <c r="G977" s="791">
        <f>'SOUTH-2'!G834</f>
        <v>33377707</v>
      </c>
      <c r="H977" s="791">
        <f>'SOUTH-2'!H834</f>
        <v>33862083</v>
      </c>
      <c r="I977" s="791">
        <f>'SOUTH-2'!I834</f>
        <v>484376</v>
      </c>
      <c r="J977" s="791">
        <f>'SOUTH-2'!J834</f>
        <v>1</v>
      </c>
      <c r="K977" s="791">
        <f>'SOUTH-2'!K834</f>
        <v>0</v>
      </c>
      <c r="L977" s="791">
        <f>'SOUTH-2'!L834</f>
        <v>484376</v>
      </c>
      <c r="M977" s="791">
        <f>'SOUTH-2'!M834</f>
        <v>0</v>
      </c>
      <c r="N977" s="2019" t="str">
        <f>'SOUTH-2'!N834</f>
        <v>Bangshal</v>
      </c>
      <c r="O977" s="2019" t="str">
        <f>Sheet2!$C$25</f>
        <v>Banshal 33/11KV S/S</v>
      </c>
    </row>
    <row r="978" spans="1:15" x14ac:dyDescent="0.35">
      <c r="A978" s="2019">
        <f>'SOUTH-2'!A835</f>
        <v>2</v>
      </c>
      <c r="B978" s="2019" t="str">
        <f>'SOUTH-2'!B835</f>
        <v>11 kV Spare Feeder</v>
      </c>
      <c r="C978" s="2019">
        <f>'SOUTH-2'!C835</f>
        <v>11</v>
      </c>
      <c r="D978" s="2019" t="str">
        <f>'SOUTH-2'!D835</f>
        <v>Bangshal</v>
      </c>
      <c r="E978" s="2019">
        <f>'SOUTH-2'!E835</f>
        <v>340180025257</v>
      </c>
      <c r="F978" s="791">
        <f>'SOUTH-2'!F835</f>
        <v>1</v>
      </c>
      <c r="G978" s="791">
        <f>'SOUTH-2'!G835</f>
        <v>0</v>
      </c>
      <c r="H978" s="791">
        <f>'SOUTH-2'!H835</f>
        <v>0</v>
      </c>
      <c r="I978" s="791">
        <f>'SOUTH-2'!I835</f>
        <v>0</v>
      </c>
      <c r="J978" s="791">
        <f>'SOUTH-2'!J835</f>
        <v>1</v>
      </c>
      <c r="K978" s="791">
        <f>'SOUTH-2'!K835</f>
        <v>0</v>
      </c>
      <c r="L978" s="791">
        <f>'SOUTH-2'!L835</f>
        <v>0</v>
      </c>
      <c r="M978" s="791">
        <f>'SOUTH-2'!M835</f>
        <v>0</v>
      </c>
      <c r="N978" s="2019" t="str">
        <f>'SOUTH-2'!N835</f>
        <v>Bangshal</v>
      </c>
      <c r="O978" s="2019" t="str">
        <f>Sheet2!$C$25</f>
        <v>Banshal 33/11KV S/S</v>
      </c>
    </row>
    <row r="979" spans="1:15" x14ac:dyDescent="0.35">
      <c r="A979" s="2019">
        <f>'SOUTH-2'!A836</f>
        <v>3</v>
      </c>
      <c r="B979" s="2019" t="str">
        <f>'SOUTH-2'!B836</f>
        <v>11 kV Siddikbazar Feeder</v>
      </c>
      <c r="C979" s="2019">
        <f>'SOUTH-2'!C836</f>
        <v>11</v>
      </c>
      <c r="D979" s="2019" t="str">
        <f>'SOUTH-2'!D836</f>
        <v>Bangshal</v>
      </c>
      <c r="E979" s="2019">
        <f>'SOUTH-2'!E836</f>
        <v>340180016897</v>
      </c>
      <c r="F979" s="791">
        <f>'SOUTH-2'!F836</f>
        <v>1</v>
      </c>
      <c r="G979" s="791">
        <f>'SOUTH-2'!G836</f>
        <v>0</v>
      </c>
      <c r="H979" s="791">
        <f>'SOUTH-2'!H836</f>
        <v>0</v>
      </c>
      <c r="I979" s="791">
        <f>'SOUTH-2'!I836</f>
        <v>0</v>
      </c>
      <c r="J979" s="791">
        <f>'SOUTH-2'!J836</f>
        <v>1</v>
      </c>
      <c r="K979" s="791">
        <f>'SOUTH-2'!K836</f>
        <v>0</v>
      </c>
      <c r="L979" s="791">
        <f>'SOUTH-2'!L836</f>
        <v>0</v>
      </c>
      <c r="M979" s="791">
        <f>'SOUTH-2'!M836</f>
        <v>0</v>
      </c>
      <c r="N979" s="2019" t="str">
        <f>'SOUTH-2'!N836</f>
        <v>Bangshal</v>
      </c>
      <c r="O979" s="2019" t="str">
        <f>Sheet2!$C$25</f>
        <v>Banshal 33/11KV S/S</v>
      </c>
    </row>
    <row r="980" spans="1:15" x14ac:dyDescent="0.35">
      <c r="A980" s="2019">
        <f>'SOUTH-2'!A837</f>
        <v>4</v>
      </c>
      <c r="B980" s="2019" t="str">
        <f>'SOUTH-2'!B837</f>
        <v>11 kV Tatibazar feeder</v>
      </c>
      <c r="C980" s="2019">
        <f>'SOUTH-2'!C837</f>
        <v>11</v>
      </c>
      <c r="D980" s="2019" t="str">
        <f>'SOUTH-2'!D837</f>
        <v>Banglabazar</v>
      </c>
      <c r="E980" s="2019">
        <f>'SOUTH-2'!E837</f>
        <v>340180016042</v>
      </c>
      <c r="F980" s="791">
        <f>'SOUTH-2'!F837</f>
        <v>1</v>
      </c>
      <c r="G980" s="791">
        <f>'SOUTH-2'!G837</f>
        <v>40961229</v>
      </c>
      <c r="H980" s="791">
        <f>'SOUTH-2'!H837</f>
        <v>41743215</v>
      </c>
      <c r="I980" s="791">
        <f>'SOUTH-2'!I837</f>
        <v>781986</v>
      </c>
      <c r="J980" s="791">
        <f>'SOUTH-2'!J837</f>
        <v>1</v>
      </c>
      <c r="K980" s="791">
        <f>'SOUTH-2'!K837</f>
        <v>0</v>
      </c>
      <c r="L980" s="791">
        <f>'SOUTH-2'!L837</f>
        <v>781986</v>
      </c>
      <c r="M980" s="791">
        <f>'SOUTH-2'!M837</f>
        <v>0</v>
      </c>
      <c r="N980" s="2019" t="str">
        <f>'SOUTH-2'!N837</f>
        <v>Banglabazar</v>
      </c>
      <c r="O980" s="2019" t="str">
        <f>Sheet2!$C$25</f>
        <v>Banshal 33/11KV S/S</v>
      </c>
    </row>
    <row r="981" spans="1:15" x14ac:dyDescent="0.35">
      <c r="A981" s="2019">
        <f>'SOUTH-2'!A838</f>
        <v>5</v>
      </c>
      <c r="B981" s="2019" t="str">
        <f>'SOUTH-2'!B838</f>
        <v>11 kV Bangsal Road Feeder</v>
      </c>
      <c r="C981" s="2019">
        <f>'SOUTH-2'!C838</f>
        <v>11</v>
      </c>
      <c r="D981" s="2019" t="str">
        <f>'SOUTH-2'!D838</f>
        <v>Bangshal</v>
      </c>
      <c r="E981" s="2019">
        <f>'SOUTH-2'!E838</f>
        <v>340180015747</v>
      </c>
      <c r="F981" s="791">
        <f>'SOUTH-2'!F838</f>
        <v>1</v>
      </c>
      <c r="G981" s="791">
        <f>'SOUTH-2'!G838</f>
        <v>15743126</v>
      </c>
      <c r="H981" s="791">
        <f>'SOUTH-2'!H838</f>
        <v>16164109</v>
      </c>
      <c r="I981" s="791">
        <f>'SOUTH-2'!I838</f>
        <v>420983</v>
      </c>
      <c r="J981" s="791">
        <f>'SOUTH-2'!J838</f>
        <v>1</v>
      </c>
      <c r="K981" s="791">
        <f>'SOUTH-2'!K838</f>
        <v>0</v>
      </c>
      <c r="L981" s="791">
        <f>'SOUTH-2'!L838</f>
        <v>420983</v>
      </c>
      <c r="M981" s="791">
        <f>'SOUTH-2'!M838</f>
        <v>0</v>
      </c>
      <c r="N981" s="2019" t="str">
        <f>'SOUTH-2'!N838</f>
        <v>Bangshal</v>
      </c>
      <c r="O981" s="2019" t="str">
        <f>Sheet2!$C$25</f>
        <v>Banshal 33/11KV S/S</v>
      </c>
    </row>
    <row r="982" spans="1:15" x14ac:dyDescent="0.35">
      <c r="A982" s="2019">
        <f>'SOUTH-2'!A839</f>
        <v>8</v>
      </c>
      <c r="B982" s="2019" t="str">
        <f>'SOUTH-2'!B839</f>
        <v>11 kV Hazi Osman Gani Feeder</v>
      </c>
      <c r="C982" s="2019">
        <f>'SOUTH-2'!C839</f>
        <v>11</v>
      </c>
      <c r="D982" s="2019" t="str">
        <f>'SOUTH-2'!D839</f>
        <v>Bangshal</v>
      </c>
      <c r="E982" s="2019">
        <f>'SOUTH-2'!E839</f>
        <v>340180012709</v>
      </c>
      <c r="F982" s="791">
        <f>'SOUTH-2'!F839</f>
        <v>1</v>
      </c>
      <c r="G982" s="791">
        <f>'SOUTH-2'!G839</f>
        <v>35644749</v>
      </c>
      <c r="H982" s="791">
        <f>'SOUTH-2'!H839</f>
        <v>36662689</v>
      </c>
      <c r="I982" s="791">
        <f>'SOUTH-2'!I839</f>
        <v>1017940</v>
      </c>
      <c r="J982" s="791">
        <f>'SOUTH-2'!J839</f>
        <v>1</v>
      </c>
      <c r="K982" s="791">
        <f>'SOUTH-2'!K839</f>
        <v>0</v>
      </c>
      <c r="L982" s="791">
        <f>'SOUTH-2'!L839</f>
        <v>1017940</v>
      </c>
      <c r="M982" s="791">
        <f>'SOUTH-2'!M839</f>
        <v>0</v>
      </c>
      <c r="N982" s="2019" t="str">
        <f>'SOUTH-2'!N839</f>
        <v>Bangshal</v>
      </c>
      <c r="O982" s="2019" t="str">
        <f>Sheet2!$C$25</f>
        <v>Banshal 33/11KV S/S</v>
      </c>
    </row>
    <row r="983" spans="1:15" x14ac:dyDescent="0.35">
      <c r="A983" s="2019">
        <f>'SOUTH-2'!A840</f>
        <v>9</v>
      </c>
      <c r="B983" s="2019" t="str">
        <f>'SOUTH-2'!B840</f>
        <v>11 kV French Road Feeder</v>
      </c>
      <c r="C983" s="2019">
        <f>'SOUTH-2'!C840</f>
        <v>11</v>
      </c>
      <c r="D983" s="2019" t="str">
        <f>'SOUTH-2'!D840</f>
        <v>Bangshal</v>
      </c>
      <c r="E983" s="2019">
        <f>'SOUTH-2'!E840</f>
        <v>340180016889</v>
      </c>
      <c r="F983" s="791">
        <f>'SOUTH-2'!F840</f>
        <v>1</v>
      </c>
      <c r="G983" s="791">
        <f>'SOUTH-2'!G840</f>
        <v>53737679</v>
      </c>
      <c r="H983" s="791">
        <f>'SOUTH-2'!H840</f>
        <v>55355834</v>
      </c>
      <c r="I983" s="791">
        <f>'SOUTH-2'!I840</f>
        <v>1618155</v>
      </c>
      <c r="J983" s="791">
        <f>'SOUTH-2'!J840</f>
        <v>1</v>
      </c>
      <c r="K983" s="791">
        <f>'SOUTH-2'!K840</f>
        <v>0</v>
      </c>
      <c r="L983" s="791">
        <f>'SOUTH-2'!L840</f>
        <v>1618155</v>
      </c>
      <c r="M983" s="791">
        <f>'SOUTH-2'!M840</f>
        <v>0</v>
      </c>
      <c r="N983" s="2019" t="str">
        <f>'SOUTH-2'!N840</f>
        <v>Bangshal</v>
      </c>
      <c r="O983" s="2019" t="str">
        <f>Sheet2!$C$25</f>
        <v>Banshal 33/11KV S/S</v>
      </c>
    </row>
    <row r="984" spans="1:15" x14ac:dyDescent="0.35">
      <c r="A984" s="2019">
        <f>'SOUTH-2'!A841</f>
        <v>10</v>
      </c>
      <c r="B984" s="2019" t="str">
        <f>'SOUTH-2'!B841</f>
        <v>11 kV North-South Road Feeder</v>
      </c>
      <c r="C984" s="2019">
        <f>'SOUTH-2'!C841</f>
        <v>11</v>
      </c>
      <c r="D984" s="2019" t="str">
        <f>'SOUTH-2'!D841</f>
        <v>Bangshal</v>
      </c>
      <c r="E984" s="2019">
        <f>'SOUTH-2'!E841</f>
        <v>340180015534</v>
      </c>
      <c r="F984" s="791">
        <f>'SOUTH-2'!F841</f>
        <v>1</v>
      </c>
      <c r="G984" s="791">
        <f>'SOUTH-2'!G841</f>
        <v>20978069</v>
      </c>
      <c r="H984" s="791">
        <f>'SOUTH-2'!H841</f>
        <v>22389877</v>
      </c>
      <c r="I984" s="791">
        <f>'SOUTH-2'!I841</f>
        <v>1411808</v>
      </c>
      <c r="J984" s="791">
        <f>'SOUTH-2'!J841</f>
        <v>1</v>
      </c>
      <c r="K984" s="791">
        <f>'SOUTH-2'!K841</f>
        <v>0</v>
      </c>
      <c r="L984" s="791">
        <f>'SOUTH-2'!L841</f>
        <v>1411808</v>
      </c>
      <c r="M984" s="791">
        <f>'SOUTH-2'!M841</f>
        <v>0</v>
      </c>
      <c r="N984" s="2019" t="str">
        <f>'SOUTH-2'!N841</f>
        <v>Bangshal</v>
      </c>
      <c r="O984" s="2019" t="str">
        <f>Sheet2!$C$25</f>
        <v>Banshal 33/11KV S/S</v>
      </c>
    </row>
    <row r="985" spans="1:15" x14ac:dyDescent="0.35">
      <c r="A985" s="2019">
        <f>'SOUTH-2'!A842</f>
        <v>11</v>
      </c>
      <c r="B985" s="2019" t="str">
        <f>'SOUTH-2'!B842</f>
        <v>11 kV Nazirabazar Feeder</v>
      </c>
      <c r="C985" s="2019">
        <f>'SOUTH-2'!C842</f>
        <v>11</v>
      </c>
      <c r="D985" s="2019" t="str">
        <f>'SOUTH-2'!D842</f>
        <v>Bangshal</v>
      </c>
      <c r="E985" s="2019">
        <f>'SOUTH-2'!E842</f>
        <v>340180025261</v>
      </c>
      <c r="F985" s="791">
        <f>'SOUTH-2'!F842</f>
        <v>1</v>
      </c>
      <c r="G985" s="791">
        <f>'SOUTH-2'!G842</f>
        <v>53954316</v>
      </c>
      <c r="H985" s="791">
        <f>'SOUTH-2'!H842</f>
        <v>53954316</v>
      </c>
      <c r="I985" s="791">
        <f>'SOUTH-2'!I842</f>
        <v>0</v>
      </c>
      <c r="J985" s="791">
        <f>'SOUTH-2'!J842</f>
        <v>1</v>
      </c>
      <c r="K985" s="791">
        <f>'SOUTH-2'!K842</f>
        <v>0</v>
      </c>
      <c r="L985" s="791">
        <f>'SOUTH-2'!L842</f>
        <v>0</v>
      </c>
      <c r="M985" s="791">
        <f>'SOUTH-2'!M842</f>
        <v>0</v>
      </c>
      <c r="N985" s="2019" t="str">
        <f>'SOUTH-2'!N842</f>
        <v>Bangshal</v>
      </c>
      <c r="O985" s="2019" t="str">
        <f>Sheet2!$C$25</f>
        <v>Banshal 33/11KV S/S</v>
      </c>
    </row>
    <row r="986" spans="1:15" x14ac:dyDescent="0.35">
      <c r="A986" s="2019">
        <f>'SOUTH-2'!A843</f>
        <v>12</v>
      </c>
      <c r="B986" s="2019" t="str">
        <f>'SOUTH-2'!B843</f>
        <v>11 kV Suritolla Feeder</v>
      </c>
      <c r="C986" s="2019">
        <f>'SOUTH-2'!C843</f>
        <v>11</v>
      </c>
      <c r="D986" s="2019" t="str">
        <f>'SOUTH-2'!D843</f>
        <v>Narinda</v>
      </c>
      <c r="E986" s="2019">
        <f>'SOUTH-2'!E843</f>
        <v>340180025212</v>
      </c>
      <c r="F986" s="791">
        <f>'SOUTH-2'!F843</f>
        <v>1</v>
      </c>
      <c r="G986" s="791">
        <f>'SOUTH-2'!G843</f>
        <v>42630089</v>
      </c>
      <c r="H986" s="791">
        <f>'SOUTH-2'!H843</f>
        <v>43320509</v>
      </c>
      <c r="I986" s="791">
        <f>'SOUTH-2'!I843</f>
        <v>690420</v>
      </c>
      <c r="J986" s="791">
        <f>'SOUTH-2'!J843</f>
        <v>1</v>
      </c>
      <c r="K986" s="791">
        <f>'SOUTH-2'!K843</f>
        <v>0</v>
      </c>
      <c r="L986" s="791">
        <f>'SOUTH-2'!L843</f>
        <v>690420</v>
      </c>
      <c r="M986" s="791">
        <f>'SOUTH-2'!M843</f>
        <v>0</v>
      </c>
      <c r="N986" s="2019" t="str">
        <f>'SOUTH-2'!N843</f>
        <v>Narinda</v>
      </c>
      <c r="O986" s="2019" t="str">
        <f>Sheet2!$C$25</f>
        <v>Banshal 33/11KV S/S</v>
      </c>
    </row>
    <row r="987" spans="1:15" x14ac:dyDescent="0.35">
      <c r="A987" s="2019">
        <f>'SOUTH-2'!A844</f>
        <v>13</v>
      </c>
      <c r="B987" s="2019" t="str">
        <f>'SOUTH-2'!B844</f>
        <v>AT-1</v>
      </c>
      <c r="C987" s="2019">
        <f>'SOUTH-2'!C844</f>
        <v>0.4</v>
      </c>
      <c r="D987" s="2019">
        <f>'SOUTH-2'!D844</f>
        <v>0</v>
      </c>
      <c r="E987" s="2019" t="str">
        <f>'SOUTH-2'!E844</f>
        <v>DHK-4415</v>
      </c>
      <c r="F987" s="791">
        <f>'SOUTH-2'!F844</f>
        <v>1</v>
      </c>
      <c r="G987" s="791">
        <f>'SOUTH-2'!G844</f>
        <v>524.28</v>
      </c>
      <c r="H987" s="791">
        <f>'SOUTH-2'!H844</f>
        <v>546.39</v>
      </c>
      <c r="I987" s="791">
        <f>'SOUTH-2'!I844</f>
        <v>22.110000000000014</v>
      </c>
      <c r="J987" s="791">
        <f>'SOUTH-2'!J844</f>
        <v>100</v>
      </c>
      <c r="K987" s="791">
        <f>'SOUTH-2'!K844</f>
        <v>0</v>
      </c>
      <c r="L987" s="791">
        <f>'SOUTH-2'!L844</f>
        <v>2211.0000000000014</v>
      </c>
      <c r="M987" s="791">
        <f>'SOUTH-2'!M844</f>
        <v>0</v>
      </c>
      <c r="N987" s="2019" t="str">
        <f>'SOUTH-2'!N844</f>
        <v>Bangshal</v>
      </c>
      <c r="O987" s="2019" t="str">
        <f>Sheet2!$C$25</f>
        <v>Banshal 33/11KV S/S</v>
      </c>
    </row>
    <row r="988" spans="1:15" x14ac:dyDescent="0.35">
      <c r="A988" s="2019">
        <f>'SOUTH-2'!A845</f>
        <v>14</v>
      </c>
      <c r="B988" s="2019" t="str">
        <f>'SOUTH-2'!B845</f>
        <v>AT-2</v>
      </c>
      <c r="C988" s="2019">
        <f>'SOUTH-2'!C845</f>
        <v>0.4</v>
      </c>
      <c r="D988" s="2019">
        <f>'SOUTH-2'!D845</f>
        <v>0</v>
      </c>
      <c r="E988" s="2019" t="str">
        <f>'SOUTH-2'!E845</f>
        <v>DHK-4410</v>
      </c>
      <c r="F988" s="791">
        <f>'SOUTH-2'!F845</f>
        <v>1</v>
      </c>
      <c r="G988" s="791">
        <f>'SOUTH-2'!G845</f>
        <v>634.5</v>
      </c>
      <c r="H988" s="791">
        <f>'SOUTH-2'!H845</f>
        <v>636.59</v>
      </c>
      <c r="I988" s="791">
        <f>'SOUTH-2'!I845</f>
        <v>2.0900000000000318</v>
      </c>
      <c r="J988" s="791">
        <f>'SOUTH-2'!J845</f>
        <v>100</v>
      </c>
      <c r="K988" s="791">
        <f>'SOUTH-2'!K845</f>
        <v>0</v>
      </c>
      <c r="L988" s="791">
        <f>'SOUTH-2'!L845</f>
        <v>209.00000000000318</v>
      </c>
      <c r="M988" s="791">
        <f>'SOUTH-2'!M845</f>
        <v>0</v>
      </c>
      <c r="N988" s="2019" t="str">
        <f>'SOUTH-2'!N845</f>
        <v>Bangshal</v>
      </c>
      <c r="O988" s="2019" t="str">
        <f>Sheet2!$C$25</f>
        <v>Banshal 33/11KV S/S</v>
      </c>
    </row>
    <row r="989" spans="1:15" x14ac:dyDescent="0.35">
      <c r="A989" s="2019">
        <f>'SOUTH-2'!A967</f>
        <v>17</v>
      </c>
      <c r="B989" s="2019" t="str">
        <f>'SOUTH-2'!B967</f>
        <v>11 kV Nayanagor Feeder</v>
      </c>
      <c r="C989" s="2019">
        <f>'SOUTH-2'!C967</f>
        <v>11</v>
      </c>
      <c r="D989" s="2019" t="str">
        <f>'SOUTH-2'!D967</f>
        <v>Kazla</v>
      </c>
      <c r="E989" s="2019" t="str">
        <f>'SOUTH-2'!E967</f>
        <v>DHK-61125</v>
      </c>
      <c r="F989" s="791">
        <f>'SOUTH-2'!F967</f>
        <v>1</v>
      </c>
      <c r="G989" s="791">
        <f>'SOUTH-2'!G967</f>
        <v>649307.9</v>
      </c>
      <c r="H989" s="791">
        <f>'SOUTH-2'!H967</f>
        <v>668362.1</v>
      </c>
      <c r="I989" s="791">
        <f>'SOUTH-2'!I967</f>
        <v>19054.199999999953</v>
      </c>
      <c r="J989" s="791">
        <f>'SOUTH-2'!J967</f>
        <v>60</v>
      </c>
      <c r="K989" s="791">
        <f>'SOUTH-2'!K967</f>
        <v>0</v>
      </c>
      <c r="L989" s="791">
        <f>'SOUTH-2'!L967</f>
        <v>1143251.9999999972</v>
      </c>
      <c r="M989" s="791">
        <f>'SOUTH-2'!M967</f>
        <v>0</v>
      </c>
      <c r="N989" s="2019" t="str">
        <f>'SOUTH-2'!N967</f>
        <v>Kazla</v>
      </c>
      <c r="O989" s="2019" t="str">
        <f>Sheet2!$C$55</f>
        <v>Kazla  33/11KV S/S</v>
      </c>
    </row>
    <row r="990" spans="1:15" x14ac:dyDescent="0.35">
      <c r="A990" s="2019">
        <f>'SOUTH-2'!A968</f>
        <v>18</v>
      </c>
      <c r="B990" s="2019" t="str">
        <f>'SOUTH-2'!B968</f>
        <v>11 kV Madrasa Bazar Feeder</v>
      </c>
      <c r="C990" s="2019">
        <f>'SOUTH-2'!C968</f>
        <v>11</v>
      </c>
      <c r="D990" s="2019" t="str">
        <f>'SOUTH-2'!D968</f>
        <v>Kazla</v>
      </c>
      <c r="E990" s="2019" t="str">
        <f>'SOUTH-2'!E968</f>
        <v>HA-021101033-02</v>
      </c>
      <c r="F990" s="791">
        <f>'SOUTH-2'!F968</f>
        <v>3</v>
      </c>
      <c r="G990" s="791">
        <f>'SOUTH-2'!G968</f>
        <v>38764513</v>
      </c>
      <c r="H990" s="791">
        <f>'SOUTH-2'!H968</f>
        <v>38764513</v>
      </c>
      <c r="I990" s="791">
        <f>'SOUTH-2'!I968</f>
        <v>0</v>
      </c>
      <c r="J990" s="791">
        <f>'SOUTH-2'!J968</f>
        <v>1</v>
      </c>
      <c r="K990" s="791">
        <f>'SOUTH-2'!K968</f>
        <v>0</v>
      </c>
      <c r="L990" s="791">
        <f>'SOUTH-2'!L968</f>
        <v>0</v>
      </c>
      <c r="M990" s="791">
        <f>'SOUTH-2'!M968</f>
        <v>0</v>
      </c>
      <c r="N990" s="2019" t="str">
        <f>'SOUTH-2'!N968</f>
        <v>Kazla</v>
      </c>
      <c r="O990" s="2019" t="str">
        <f>Sheet2!$C$55</f>
        <v>Kazla  33/11KV S/S</v>
      </c>
    </row>
    <row r="991" spans="1:15" x14ac:dyDescent="0.35">
      <c r="A991" s="2019">
        <f>'SOUTH-2'!A969</f>
        <v>19</v>
      </c>
      <c r="B991" s="2019" t="str">
        <f>'SOUTH-2'!B969</f>
        <v xml:space="preserve">11 kV Kazla Feeder </v>
      </c>
      <c r="C991" s="2019">
        <f>'SOUTH-2'!C969</f>
        <v>11</v>
      </c>
      <c r="D991" s="2019" t="str">
        <f>'SOUTH-2'!D969</f>
        <v>Kazla</v>
      </c>
      <c r="E991" s="2019" t="str">
        <f>'SOUTH-2'!E969</f>
        <v>HA021101071</v>
      </c>
      <c r="F991" s="791">
        <f>'SOUTH-2'!F969</f>
        <v>1</v>
      </c>
      <c r="G991" s="791">
        <f>'SOUTH-2'!G969</f>
        <v>94698216</v>
      </c>
      <c r="H991" s="791">
        <f>'SOUTH-2'!H969</f>
        <v>94698216</v>
      </c>
      <c r="I991" s="791">
        <f>'SOUTH-2'!I969</f>
        <v>0</v>
      </c>
      <c r="J991" s="791">
        <f>'SOUTH-2'!J969</f>
        <v>1</v>
      </c>
      <c r="K991" s="791">
        <f>'SOUTH-2'!K969</f>
        <v>0</v>
      </c>
      <c r="L991" s="791">
        <f>'SOUTH-2'!L969</f>
        <v>0</v>
      </c>
      <c r="M991" s="791">
        <f>'SOUTH-2'!M969</f>
        <v>0</v>
      </c>
      <c r="N991" s="2019" t="str">
        <f>'SOUTH-2'!N969</f>
        <v>Kazla</v>
      </c>
      <c r="O991" s="2019" t="str">
        <f>Sheet2!$C$55</f>
        <v>Kazla  33/11KV S/S</v>
      </c>
    </row>
    <row r="992" spans="1:15" x14ac:dyDescent="0.35">
      <c r="A992" s="2019">
        <f>'SOUTH-2'!A970</f>
        <v>20</v>
      </c>
      <c r="B992" s="2019" t="str">
        <f>'SOUTH-2'!B970</f>
        <v xml:space="preserve">11 kV Sayedabad Feeder </v>
      </c>
      <c r="C992" s="2019">
        <f>'SOUTH-2'!C970</f>
        <v>11</v>
      </c>
      <c r="D992" s="2019" t="str">
        <f>'SOUTH-2'!D970</f>
        <v>Maniknagar</v>
      </c>
      <c r="E992" s="2019" t="str">
        <f>'SOUTH-2'!E970</f>
        <v>HA021101239-02</v>
      </c>
      <c r="F992" s="791">
        <f>'SOUTH-2'!F970</f>
        <v>1</v>
      </c>
      <c r="G992" s="791">
        <f>'SOUTH-2'!G970</f>
        <v>36963712</v>
      </c>
      <c r="H992" s="791">
        <f>'SOUTH-2'!H970</f>
        <v>36963725</v>
      </c>
      <c r="I992" s="791">
        <f>'SOUTH-2'!I970</f>
        <v>13</v>
      </c>
      <c r="J992" s="791">
        <f>'SOUTH-2'!J970</f>
        <v>1000</v>
      </c>
      <c r="K992" s="791">
        <f>'SOUTH-2'!K970</f>
        <v>0</v>
      </c>
      <c r="L992" s="791">
        <f>'SOUTH-2'!L970</f>
        <v>13000</v>
      </c>
      <c r="M992" s="791">
        <f>'SOUTH-2'!M970</f>
        <v>0</v>
      </c>
      <c r="N992" s="2019" t="str">
        <f>'SOUTH-2'!N970</f>
        <v>Maniknagar</v>
      </c>
      <c r="O992" s="2019" t="str">
        <f>Sheet2!$C$55</f>
        <v>Kazla  33/11KV S/S</v>
      </c>
    </row>
    <row r="993" spans="1:15" x14ac:dyDescent="0.35">
      <c r="A993" s="2019">
        <f>'SOUTH-2'!A971</f>
        <v>21</v>
      </c>
      <c r="B993" s="2019" t="str">
        <f>'SOUTH-2'!B971</f>
        <v xml:space="preserve">11 kV Zenith Feeder </v>
      </c>
      <c r="C993" s="2019">
        <f>'SOUTH-2'!C971</f>
        <v>11</v>
      </c>
      <c r="D993" s="2019" t="str">
        <f>'SOUTH-2'!D971</f>
        <v>Kazla</v>
      </c>
      <c r="E993" s="2019" t="str">
        <f>'SOUTH-2'!E971</f>
        <v>HA-021101068-02</v>
      </c>
      <c r="F993" s="791">
        <f>'SOUTH-2'!F971</f>
        <v>1</v>
      </c>
      <c r="G993" s="791">
        <f>'SOUTH-2'!G971</f>
        <v>4111597</v>
      </c>
      <c r="H993" s="791">
        <f>'SOUTH-2'!H971</f>
        <v>4111597</v>
      </c>
      <c r="I993" s="791">
        <f>'SOUTH-2'!I971</f>
        <v>0</v>
      </c>
      <c r="J993" s="791">
        <f>'SOUTH-2'!J971</f>
        <v>1</v>
      </c>
      <c r="K993" s="791">
        <f>'SOUTH-2'!K971</f>
        <v>0</v>
      </c>
      <c r="L993" s="791">
        <f>'SOUTH-2'!L971</f>
        <v>0</v>
      </c>
      <c r="M993" s="791">
        <f>'SOUTH-2'!M971</f>
        <v>0</v>
      </c>
      <c r="N993" s="2019" t="str">
        <f>'SOUTH-2'!N971</f>
        <v>Kazla</v>
      </c>
      <c r="O993" s="2019" t="str">
        <f>Sheet2!$C$55</f>
        <v>Kazla  33/11KV S/S</v>
      </c>
    </row>
    <row r="994" spans="1:15" x14ac:dyDescent="0.35">
      <c r="A994" s="2019">
        <f>'SOUTH-2'!A972</f>
        <v>22</v>
      </c>
      <c r="B994" s="2019" t="str">
        <f>'SOUTH-2'!B972</f>
        <v xml:space="preserve">11 kV Paterbagh Feeder </v>
      </c>
      <c r="C994" s="2019">
        <f>'SOUTH-2'!C972</f>
        <v>11</v>
      </c>
      <c r="D994" s="2019" t="str">
        <f>'SOUTH-2'!D972</f>
        <v>Jurain</v>
      </c>
      <c r="E994" s="2019" t="str">
        <f>'SOUTH-2'!E972</f>
        <v>HA-021200060</v>
      </c>
      <c r="F994" s="791">
        <f>'SOUTH-2'!F972</f>
        <v>1</v>
      </c>
      <c r="G994" s="791">
        <f>'SOUTH-2'!G972</f>
        <v>100435.4</v>
      </c>
      <c r="H994" s="791">
        <f>'SOUTH-2'!H972</f>
        <v>101738.9</v>
      </c>
      <c r="I994" s="791">
        <f>'SOUTH-2'!I972</f>
        <v>1303.5</v>
      </c>
      <c r="J994" s="791">
        <f>'SOUTH-2'!J972</f>
        <v>1000</v>
      </c>
      <c r="K994" s="791">
        <f>'SOUTH-2'!K972</f>
        <v>0</v>
      </c>
      <c r="L994" s="791">
        <f>'SOUTH-2'!L972</f>
        <v>1303500</v>
      </c>
      <c r="M994" s="791">
        <f>'SOUTH-2'!M972</f>
        <v>0</v>
      </c>
      <c r="N994" s="2019" t="str">
        <f>'SOUTH-2'!N972</f>
        <v>Jurain</v>
      </c>
      <c r="O994" s="2019" t="str">
        <f>Sheet2!$C$55</f>
        <v>Kazla  33/11KV S/S</v>
      </c>
    </row>
    <row r="995" spans="1:15" x14ac:dyDescent="0.35">
      <c r="A995" s="2019">
        <f>'SOUTH-2'!A973</f>
        <v>23</v>
      </c>
      <c r="B995" s="2019" t="str">
        <f>'SOUTH-2'!B973</f>
        <v xml:space="preserve">11 kV Matuail Feeder </v>
      </c>
      <c r="C995" s="2019">
        <f>'SOUTH-2'!C973</f>
        <v>11</v>
      </c>
      <c r="D995" s="2019" t="str">
        <f>'SOUTH-2'!D973</f>
        <v>Kazla</v>
      </c>
      <c r="E995" s="2019" t="str">
        <f>'SOUTH-2'!E973</f>
        <v>HA-021100984</v>
      </c>
      <c r="F995" s="791">
        <f>'SOUTH-2'!F973</f>
        <v>1</v>
      </c>
      <c r="G995" s="791">
        <f>'SOUTH-2'!G973</f>
        <v>41024544</v>
      </c>
      <c r="H995" s="791">
        <f>'SOUTH-2'!H973</f>
        <v>41024544</v>
      </c>
      <c r="I995" s="791">
        <f>'SOUTH-2'!I973</f>
        <v>0</v>
      </c>
      <c r="J995" s="791">
        <f>'SOUTH-2'!J973</f>
        <v>1</v>
      </c>
      <c r="K995" s="791">
        <f>'SOUTH-2'!K973</f>
        <v>0</v>
      </c>
      <c r="L995" s="791">
        <f>'SOUTH-2'!L973</f>
        <v>0</v>
      </c>
      <c r="M995" s="791">
        <f>'SOUTH-2'!M973</f>
        <v>0</v>
      </c>
      <c r="N995" s="2019" t="str">
        <f>'SOUTH-2'!N973</f>
        <v>Kazla</v>
      </c>
      <c r="O995" s="2019" t="str">
        <f>Sheet2!$C$55</f>
        <v>Kazla  33/11KV S/S</v>
      </c>
    </row>
    <row r="996" spans="1:15" x14ac:dyDescent="0.35">
      <c r="A996" s="2019">
        <f>'SOUTH-2'!A974</f>
        <v>25</v>
      </c>
      <c r="B996" s="2019" t="str">
        <f>'SOUTH-2'!B974</f>
        <v xml:space="preserve">11 kV Kutubkhali Feeder </v>
      </c>
      <c r="C996" s="2019">
        <f>'SOUTH-2'!C974</f>
        <v>11</v>
      </c>
      <c r="D996" s="2019" t="str">
        <f>'SOUTH-2'!D974</f>
        <v>Jurain</v>
      </c>
      <c r="E996" s="2019" t="str">
        <f>'SOUTH-2'!E974</f>
        <v>DHK-61117</v>
      </c>
      <c r="F996" s="791">
        <f>'SOUTH-2'!F974</f>
        <v>1</v>
      </c>
      <c r="G996" s="791">
        <f>'SOUTH-2'!G974</f>
        <v>474345.7</v>
      </c>
      <c r="H996" s="791">
        <f>'SOUTH-2'!H974</f>
        <v>497936.5</v>
      </c>
      <c r="I996" s="791">
        <f>'SOUTH-2'!I974</f>
        <v>23590.799999999988</v>
      </c>
      <c r="J996" s="791">
        <f>'SOUTH-2'!J974</f>
        <v>60</v>
      </c>
      <c r="K996" s="791">
        <f>'SOUTH-2'!K974</f>
        <v>0</v>
      </c>
      <c r="L996" s="791">
        <f>'SOUTH-2'!L974</f>
        <v>1415447.9999999993</v>
      </c>
      <c r="M996" s="791">
        <f>'SOUTH-2'!M974</f>
        <v>0</v>
      </c>
      <c r="N996" s="2019" t="str">
        <f>'SOUTH-2'!N974</f>
        <v>Jurain</v>
      </c>
      <c r="O996" s="2019" t="str">
        <f>Sheet2!$C$55</f>
        <v>Kazla  33/11KV S/S</v>
      </c>
    </row>
    <row r="997" spans="1:15" x14ac:dyDescent="0.35">
      <c r="A997" s="2019">
        <f>'SOUTH-2'!A975</f>
        <v>26</v>
      </c>
      <c r="B997" s="2019" t="str">
        <f>'SOUTH-2'!B975</f>
        <v xml:space="preserve">11 kV Mridhabari Feeder </v>
      </c>
      <c r="C997" s="2019">
        <f>'SOUTH-2'!C975</f>
        <v>11</v>
      </c>
      <c r="D997" s="2019" t="str">
        <f>'SOUTH-2'!D975</f>
        <v>Kazla</v>
      </c>
      <c r="E997" s="2019" t="str">
        <f>'SOUTH-2'!E975</f>
        <v>DHK-61118</v>
      </c>
      <c r="F997" s="791">
        <f>'SOUTH-2'!F975</f>
        <v>1</v>
      </c>
      <c r="G997" s="791">
        <f>'SOUTH-2'!G975</f>
        <v>464416.2</v>
      </c>
      <c r="H997" s="791">
        <f>'SOUTH-2'!H975</f>
        <v>482159.8</v>
      </c>
      <c r="I997" s="791">
        <f>'SOUTH-2'!I975</f>
        <v>17743.599999999977</v>
      </c>
      <c r="J997" s="791">
        <f>'SOUTH-2'!J975</f>
        <v>60</v>
      </c>
      <c r="K997" s="791">
        <f>'SOUTH-2'!K975</f>
        <v>0</v>
      </c>
      <c r="L997" s="791">
        <f>'SOUTH-2'!L975</f>
        <v>1064615.9999999986</v>
      </c>
      <c r="M997" s="791">
        <f>'SOUTH-2'!M975</f>
        <v>0</v>
      </c>
      <c r="N997" s="2019" t="str">
        <f>'SOUTH-2'!N975</f>
        <v>Kazla</v>
      </c>
      <c r="O997" s="2019" t="str">
        <f>Sheet2!$C$55</f>
        <v>Kazla  33/11KV S/S</v>
      </c>
    </row>
    <row r="998" spans="1:15" x14ac:dyDescent="0.35">
      <c r="A998" s="2019">
        <f>'SOUTH-2'!A976</f>
        <v>27</v>
      </c>
      <c r="B998" s="2019" t="str">
        <f>'SOUTH-2'!B976</f>
        <v xml:space="preserve">11 kV Muslim Nagar Feeder </v>
      </c>
      <c r="C998" s="2019">
        <f>'SOUTH-2'!C976</f>
        <v>11</v>
      </c>
      <c r="D998" s="2019" t="str">
        <f>'SOUTH-2'!D976</f>
        <v>Kazla</v>
      </c>
      <c r="E998" s="2019" t="str">
        <f>'SOUTH-2'!E976</f>
        <v>DHK-61011</v>
      </c>
      <c r="F998" s="791">
        <f>'SOUTH-2'!F976</f>
        <v>1</v>
      </c>
      <c r="G998" s="791">
        <f>'SOUTH-2'!G976</f>
        <v>736182.12</v>
      </c>
      <c r="H998" s="791">
        <f>'SOUTH-2'!H976</f>
        <v>768979.2</v>
      </c>
      <c r="I998" s="791">
        <f>'SOUTH-2'!I976</f>
        <v>32797.079999999958</v>
      </c>
      <c r="J998" s="791">
        <f>'SOUTH-2'!J976</f>
        <v>60</v>
      </c>
      <c r="K998" s="791">
        <f>'SOUTH-2'!K976</f>
        <v>0</v>
      </c>
      <c r="L998" s="791">
        <f>'SOUTH-2'!L976</f>
        <v>1967824.7999999975</v>
      </c>
      <c r="M998" s="791">
        <f>'SOUTH-2'!M976</f>
        <v>0</v>
      </c>
      <c r="N998" s="2019" t="str">
        <f>'SOUTH-2'!N976</f>
        <v>Kazla</v>
      </c>
      <c r="O998" s="2019" t="str">
        <f>Sheet2!$C$55</f>
        <v>Kazla  33/11KV S/S</v>
      </c>
    </row>
    <row r="999" spans="1:15" x14ac:dyDescent="0.35">
      <c r="A999" s="2019">
        <f>'SOUTH-2'!A977</f>
        <v>28</v>
      </c>
      <c r="B999" s="2019" t="str">
        <f>'SOUTH-2'!B977</f>
        <v>11 kV Jatrabari Thana Feeder</v>
      </c>
      <c r="C999" s="2019">
        <f>'SOUTH-2'!C977</f>
        <v>11</v>
      </c>
      <c r="D999" s="2019" t="str">
        <f>'SOUTH-2'!D977</f>
        <v>Kazla</v>
      </c>
      <c r="E999" s="2019" t="str">
        <f>'SOUTH-2'!E977</f>
        <v>DHK-61010</v>
      </c>
      <c r="F999" s="791">
        <f>'SOUTH-2'!F977</f>
        <v>1</v>
      </c>
      <c r="G999" s="791">
        <f>'SOUTH-2'!G977</f>
        <v>104600.4</v>
      </c>
      <c r="H999" s="791">
        <f>'SOUTH-2'!H977</f>
        <v>104600.4</v>
      </c>
      <c r="I999" s="791">
        <f>'SOUTH-2'!I977</f>
        <v>0</v>
      </c>
      <c r="J999" s="791">
        <f>'SOUTH-2'!J977</f>
        <v>60</v>
      </c>
      <c r="K999" s="791">
        <f>'SOUTH-2'!K977</f>
        <v>0</v>
      </c>
      <c r="L999" s="791">
        <f>'SOUTH-2'!L977</f>
        <v>0</v>
      </c>
      <c r="M999" s="791">
        <f>'SOUTH-2'!M977</f>
        <v>0</v>
      </c>
      <c r="N999" s="2019" t="str">
        <f>'SOUTH-2'!N977</f>
        <v>Kazla</v>
      </c>
      <c r="O999" s="2019" t="str">
        <f>Sheet2!$C$55</f>
        <v>Kazla  33/11KV S/S</v>
      </c>
    </row>
    <row r="1000" spans="1:15" x14ac:dyDescent="0.35">
      <c r="A1000" s="2019">
        <f>'SOUTH-2'!A978</f>
        <v>29</v>
      </c>
      <c r="B1000" s="2019" t="str">
        <f>'SOUTH-2'!B978</f>
        <v xml:space="preserve">11 kV Mirhazirbag Feeder </v>
      </c>
      <c r="C1000" s="2019">
        <f>'SOUTH-2'!C978</f>
        <v>11</v>
      </c>
      <c r="D1000" s="2019" t="str">
        <f>'SOUTH-2'!D978</f>
        <v>Swamibag</v>
      </c>
      <c r="E1000" s="2019" t="str">
        <f>'SOUTH-2'!E978</f>
        <v>DHK-61008</v>
      </c>
      <c r="F1000" s="791">
        <f>'SOUTH-2'!F978</f>
        <v>1</v>
      </c>
      <c r="G1000" s="791">
        <f>'SOUTH-2'!G978</f>
        <v>27667.8</v>
      </c>
      <c r="H1000" s="791">
        <f>'SOUTH-2'!H978</f>
        <v>48216.4</v>
      </c>
      <c r="I1000" s="791">
        <f>'SOUTH-2'!I978</f>
        <v>20548.600000000002</v>
      </c>
      <c r="J1000" s="791">
        <f>'SOUTH-2'!J978</f>
        <v>60</v>
      </c>
      <c r="K1000" s="791">
        <f>'SOUTH-2'!K978</f>
        <v>0</v>
      </c>
      <c r="L1000" s="791">
        <f>'SOUTH-2'!L978</f>
        <v>1232916.0000000002</v>
      </c>
      <c r="M1000" s="791">
        <f>'SOUTH-2'!M978</f>
        <v>0</v>
      </c>
      <c r="N1000" s="2019" t="str">
        <f>'SOUTH-2'!N978</f>
        <v>Swamibag</v>
      </c>
      <c r="O1000" s="2019" t="str">
        <f>Sheet2!$C$55</f>
        <v>Kazla  33/11KV S/S</v>
      </c>
    </row>
    <row r="1001" spans="1:15" x14ac:dyDescent="0.35">
      <c r="A1001" s="2019">
        <f>'SOUTH-2'!A979</f>
        <v>31</v>
      </c>
      <c r="B1001" s="2019" t="str">
        <f>'SOUTH-2'!B979</f>
        <v xml:space="preserve">11 kV Mukti Sharani Feeder </v>
      </c>
      <c r="C1001" s="2019">
        <f>'SOUTH-2'!C979</f>
        <v>11</v>
      </c>
      <c r="D1001" s="2019" t="str">
        <f>'SOUTH-2'!D979</f>
        <v>Jurain</v>
      </c>
      <c r="E1001" s="2019" t="str">
        <f>'SOUTH-2'!E979</f>
        <v>DHK-61014</v>
      </c>
      <c r="F1001" s="791">
        <f>'SOUTH-2'!F979</f>
        <v>1</v>
      </c>
      <c r="G1001" s="791">
        <f>'SOUTH-2'!G979</f>
        <v>856501.4</v>
      </c>
      <c r="H1001" s="791">
        <f>'SOUTH-2'!H979</f>
        <v>881190.5</v>
      </c>
      <c r="I1001" s="791">
        <f>'SOUTH-2'!I979</f>
        <v>24689.099999999977</v>
      </c>
      <c r="J1001" s="791">
        <f>'SOUTH-2'!J979</f>
        <v>60</v>
      </c>
      <c r="K1001" s="791">
        <f>'SOUTH-2'!K979</f>
        <v>0</v>
      </c>
      <c r="L1001" s="791">
        <f>'SOUTH-2'!L979</f>
        <v>1481345.9999999986</v>
      </c>
      <c r="M1001" s="791">
        <f>'SOUTH-2'!M979</f>
        <v>0</v>
      </c>
      <c r="N1001" s="2019" t="str">
        <f>'SOUTH-2'!N979</f>
        <v>Jurain</v>
      </c>
      <c r="O1001" s="2019" t="str">
        <f>Sheet2!$C$55</f>
        <v>Kazla  33/11KV S/S</v>
      </c>
    </row>
    <row r="1002" spans="1:15" x14ac:dyDescent="0.35">
      <c r="A1002" s="2019">
        <f>'SOUTH-2'!A980</f>
        <v>32</v>
      </c>
      <c r="B1002" s="2019" t="str">
        <f>'SOUTH-2'!B980</f>
        <v xml:space="preserve">11 kV Kadamtali Feeder </v>
      </c>
      <c r="C1002" s="2019">
        <f>'SOUTH-2'!C980</f>
        <v>11</v>
      </c>
      <c r="D1002" s="2019" t="str">
        <f>'SOUTH-2'!D980</f>
        <v>Shympur</v>
      </c>
      <c r="E1002" s="2019" t="str">
        <f>'SOUTH-2'!E980</f>
        <v>DHK-61006</v>
      </c>
      <c r="F1002" s="791">
        <f>'SOUTH-2'!F980</f>
        <v>1</v>
      </c>
      <c r="G1002" s="791">
        <f>'SOUTH-2'!G980</f>
        <v>5078.8999999999996</v>
      </c>
      <c r="H1002" s="791">
        <f>'SOUTH-2'!H980</f>
        <v>27917</v>
      </c>
      <c r="I1002" s="791">
        <f>'SOUTH-2'!I980</f>
        <v>22838.1</v>
      </c>
      <c r="J1002" s="791">
        <f>'SOUTH-2'!J980</f>
        <v>60</v>
      </c>
      <c r="K1002" s="791">
        <f>'SOUTH-2'!K980</f>
        <v>0</v>
      </c>
      <c r="L1002" s="791">
        <f>'SOUTH-2'!L980</f>
        <v>1370286</v>
      </c>
      <c r="M1002" s="791">
        <f>'SOUTH-2'!M980</f>
        <v>0</v>
      </c>
      <c r="N1002" s="2019" t="str">
        <f>'SOUTH-2'!N980</f>
        <v>Shyampur</v>
      </c>
      <c r="O1002" s="2019" t="str">
        <f>Sheet2!$C$55</f>
        <v>Kazla  33/11KV S/S</v>
      </c>
    </row>
    <row r="1003" spans="1:15" x14ac:dyDescent="0.35">
      <c r="A1003" s="2019">
        <f>'SOUTH-2'!A981</f>
        <v>33</v>
      </c>
      <c r="B1003" s="2019" t="str">
        <f>'SOUTH-2'!B981</f>
        <v>11kV Rayerbagh Feeder</v>
      </c>
      <c r="C1003" s="2019">
        <f>'SOUTH-2'!C981</f>
        <v>11</v>
      </c>
      <c r="D1003" s="2019" t="str">
        <f>'SOUTH-2'!D981</f>
        <v>Matuail</v>
      </c>
      <c r="E1003" s="2019" t="str">
        <f>'SOUTH-2'!E981</f>
        <v>DHK-61012</v>
      </c>
      <c r="F1003" s="791">
        <f>'SOUTH-2'!F981</f>
        <v>1</v>
      </c>
      <c r="G1003" s="791">
        <f>'SOUTH-2'!G981</f>
        <v>262492.59999999998</v>
      </c>
      <c r="H1003" s="791">
        <f>'SOUTH-2'!H981</f>
        <v>286419.90000000002</v>
      </c>
      <c r="I1003" s="791">
        <f>'SOUTH-2'!I981</f>
        <v>23927.300000000047</v>
      </c>
      <c r="J1003" s="791">
        <f>'SOUTH-2'!J981</f>
        <v>60</v>
      </c>
      <c r="K1003" s="791">
        <f>'SOUTH-2'!K981</f>
        <v>0</v>
      </c>
      <c r="L1003" s="791">
        <f>'SOUTH-2'!L981</f>
        <v>1435638.0000000028</v>
      </c>
      <c r="M1003" s="791">
        <f>'SOUTH-2'!M981</f>
        <v>0</v>
      </c>
      <c r="N1003" s="2019" t="str">
        <f>'SOUTH-2'!N981</f>
        <v>Matuail</v>
      </c>
      <c r="O1003" s="2019" t="str">
        <f>Sheet2!$C$55</f>
        <v>Kazla  33/11KV S/S</v>
      </c>
    </row>
    <row r="1004" spans="1:15" x14ac:dyDescent="0.35">
      <c r="A1004" s="2019">
        <f>'SOUTH-2'!A982</f>
        <v>34</v>
      </c>
      <c r="B1004" s="2019" t="str">
        <f>'SOUTH-2'!B982</f>
        <v>11 kV Donia Feeder</v>
      </c>
      <c r="C1004" s="2019">
        <f>'SOUTH-2'!C982</f>
        <v>11</v>
      </c>
      <c r="D1004" s="2019" t="str">
        <f>'SOUTH-2'!D982</f>
        <v>Jurain</v>
      </c>
      <c r="E1004" s="2019" t="str">
        <f>'SOUTH-2'!E982</f>
        <v>DHK-61013</v>
      </c>
      <c r="F1004" s="791">
        <f>'SOUTH-2'!F982</f>
        <v>1</v>
      </c>
      <c r="G1004" s="791">
        <f>'SOUTH-2'!G982</f>
        <v>1762776</v>
      </c>
      <c r="H1004" s="791">
        <f>'SOUTH-2'!H982</f>
        <v>1783935</v>
      </c>
      <c r="I1004" s="791">
        <f>'SOUTH-2'!I982</f>
        <v>21159</v>
      </c>
      <c r="J1004" s="791">
        <f>'SOUTH-2'!J982</f>
        <v>60</v>
      </c>
      <c r="K1004" s="791">
        <f>'SOUTH-2'!K982</f>
        <v>0</v>
      </c>
      <c r="L1004" s="791">
        <f>'SOUTH-2'!L982</f>
        <v>1269540</v>
      </c>
      <c r="M1004" s="791">
        <f>'SOUTH-2'!M982</f>
        <v>0</v>
      </c>
      <c r="N1004" s="2019" t="str">
        <f>'SOUTH-2'!N982</f>
        <v>Jurain</v>
      </c>
      <c r="O1004" s="2019" t="str">
        <f>Sheet2!$C$55</f>
        <v>Kazla  33/11KV S/S</v>
      </c>
    </row>
    <row r="1005" spans="1:15" x14ac:dyDescent="0.35">
      <c r="A1005" s="2019">
        <f>'SOUTH-2'!A983</f>
        <v>35</v>
      </c>
      <c r="B1005" s="2019" t="str">
        <f>'SOUTH-2'!B983</f>
        <v>11 kV Nimtoli Feeder</v>
      </c>
      <c r="C1005" s="2019">
        <f>'SOUTH-2'!C983</f>
        <v>11</v>
      </c>
      <c r="D1005" s="2019" t="str">
        <f>'SOUTH-2'!D983</f>
        <v>Kazla</v>
      </c>
      <c r="E1005" s="2019" t="str">
        <f>'SOUTH-2'!E983</f>
        <v>HA-021100855-02</v>
      </c>
      <c r="F1005" s="791">
        <f>'SOUTH-2'!F983</f>
        <v>1</v>
      </c>
      <c r="G1005" s="791">
        <f>'SOUTH-2'!G983</f>
        <v>17926112</v>
      </c>
      <c r="H1005" s="791">
        <f>'SOUTH-2'!H983</f>
        <v>19345109</v>
      </c>
      <c r="I1005" s="791">
        <f>'SOUTH-2'!I983</f>
        <v>1418997</v>
      </c>
      <c r="J1005" s="791">
        <f>'SOUTH-2'!J983</f>
        <v>1</v>
      </c>
      <c r="K1005" s="791">
        <f>'SOUTH-2'!K983</f>
        <v>0</v>
      </c>
      <c r="L1005" s="791">
        <f>'SOUTH-2'!L983</f>
        <v>1418997</v>
      </c>
      <c r="M1005" s="791">
        <f>'SOUTH-2'!M983</f>
        <v>0</v>
      </c>
      <c r="N1005" s="2019" t="str">
        <f>'SOUTH-2'!N983</f>
        <v>Kazla</v>
      </c>
      <c r="O1005" s="2019" t="str">
        <f>Sheet2!$C$55</f>
        <v>Kazla  33/11KV S/S</v>
      </c>
    </row>
    <row r="1006" spans="1:15" x14ac:dyDescent="0.35">
      <c r="A1006" s="2019">
        <f>'SOUTH-2'!A984</f>
        <v>36</v>
      </c>
      <c r="B1006" s="2019" t="str">
        <f>'SOUTH-2'!B984</f>
        <v>11 kV Gobindapur Feeder</v>
      </c>
      <c r="C1006" s="2019">
        <f>'SOUTH-2'!C984</f>
        <v>11</v>
      </c>
      <c r="D1006" s="2019" t="str">
        <f>'SOUTH-2'!D984</f>
        <v>Kazla</v>
      </c>
      <c r="E1006" s="2019" t="str">
        <f>'SOUTH-2'!E984</f>
        <v>HA-021101057-02</v>
      </c>
      <c r="F1006" s="791">
        <f>'SOUTH-2'!F984</f>
        <v>1</v>
      </c>
      <c r="G1006" s="791">
        <f>'SOUTH-2'!G984</f>
        <v>22030276</v>
      </c>
      <c r="H1006" s="791">
        <f>'SOUTH-2'!H984</f>
        <v>22469436</v>
      </c>
      <c r="I1006" s="791">
        <f>'SOUTH-2'!I984</f>
        <v>439160</v>
      </c>
      <c r="J1006" s="791">
        <f>'SOUTH-2'!J984</f>
        <v>1</v>
      </c>
      <c r="K1006" s="791">
        <f>'SOUTH-2'!K984</f>
        <v>0</v>
      </c>
      <c r="L1006" s="791">
        <f>'SOUTH-2'!L984</f>
        <v>439160</v>
      </c>
      <c r="M1006" s="791">
        <f>'SOUTH-2'!M984</f>
        <v>0</v>
      </c>
      <c r="N1006" s="2019" t="str">
        <f>'SOUTH-2'!N984</f>
        <v>Kazla</v>
      </c>
      <c r="O1006" s="2019" t="str">
        <f>Sheet2!$C$55</f>
        <v>Kazla  33/11KV S/S</v>
      </c>
    </row>
    <row r="1007" spans="1:15" x14ac:dyDescent="0.35">
      <c r="A1007" s="2019">
        <f>'SOUTH-2'!A985</f>
        <v>37</v>
      </c>
      <c r="B1007" s="2019" t="str">
        <f>'SOUTH-2'!B985</f>
        <v>11 kV Eidgaon (Kabarsthan) Feeder</v>
      </c>
      <c r="C1007" s="2019">
        <f>'SOUTH-2'!C985</f>
        <v>11</v>
      </c>
      <c r="D1007" s="2019" t="str">
        <f>'SOUTH-2'!D985</f>
        <v>Kazla</v>
      </c>
      <c r="E1007" s="2019" t="str">
        <f>'SOUTH-2'!E985</f>
        <v>9A56136</v>
      </c>
      <c r="F1007" s="791">
        <f>'SOUTH-2'!F985</f>
        <v>1</v>
      </c>
      <c r="G1007" s="791">
        <f>'SOUTH-2'!G985</f>
        <v>1976.8</v>
      </c>
      <c r="H1007" s="791">
        <f>'SOUTH-2'!H985</f>
        <v>2140.5</v>
      </c>
      <c r="I1007" s="791">
        <f>'SOUTH-2'!I985</f>
        <v>163.70000000000005</v>
      </c>
      <c r="J1007" s="791">
        <f>'SOUTH-2'!J985</f>
        <v>10000</v>
      </c>
      <c r="K1007" s="791">
        <f>'SOUTH-2'!K985</f>
        <v>0</v>
      </c>
      <c r="L1007" s="791">
        <f>'SOUTH-2'!L985</f>
        <v>1637000.0000000005</v>
      </c>
      <c r="M1007" s="791">
        <f>'SOUTH-2'!M985</f>
        <v>0</v>
      </c>
      <c r="N1007" s="2019" t="str">
        <f>'SOUTH-2'!N985</f>
        <v>Kazla</v>
      </c>
      <c r="O1007" s="2019" t="str">
        <f>Sheet2!$C$55</f>
        <v>Kazla  33/11KV S/S</v>
      </c>
    </row>
    <row r="1008" spans="1:15" x14ac:dyDescent="0.35">
      <c r="A1008" s="2019">
        <f>'SOUTH-2'!A986</f>
        <v>38</v>
      </c>
      <c r="B1008" s="2019" t="str">
        <f>'SOUTH-2'!B986</f>
        <v>11 kV Samad Nagar Gate (Old)</v>
      </c>
      <c r="C1008" s="2019">
        <f>'SOUTH-2'!C986</f>
        <v>11</v>
      </c>
      <c r="D1008" s="2019" t="str">
        <f>'SOUTH-2'!D986</f>
        <v>Kazla</v>
      </c>
      <c r="E1008" s="2019" t="str">
        <f>'SOUTH-2'!E986</f>
        <v>8L55983</v>
      </c>
      <c r="F1008" s="791">
        <f>'SOUTH-2'!F986</f>
        <v>1</v>
      </c>
      <c r="G1008" s="791">
        <f>'SOUTH-2'!G986</f>
        <v>5216.7</v>
      </c>
      <c r="H1008" s="791">
        <f>'SOUTH-2'!H986</f>
        <v>5216.7</v>
      </c>
      <c r="I1008" s="791">
        <f>'SOUTH-2'!I986</f>
        <v>0</v>
      </c>
      <c r="J1008" s="791">
        <f>'SOUTH-2'!J986</f>
        <v>4000</v>
      </c>
      <c r="K1008" s="791">
        <f>'SOUTH-2'!K986</f>
        <v>0</v>
      </c>
      <c r="L1008" s="791">
        <f>'SOUTH-2'!L986</f>
        <v>0</v>
      </c>
      <c r="M1008" s="791">
        <f>'SOUTH-2'!M986</f>
        <v>0</v>
      </c>
      <c r="N1008" s="2019" t="str">
        <f>'SOUTH-2'!N986</f>
        <v>Kazla</v>
      </c>
      <c r="O1008" s="2019" t="str">
        <f>Sheet2!$C$55</f>
        <v>Kazla  33/11KV S/S</v>
      </c>
    </row>
    <row r="1009" spans="1:15" x14ac:dyDescent="0.35">
      <c r="A1009" s="2019">
        <f>'SOUTH-2'!A987</f>
        <v>40</v>
      </c>
      <c r="B1009" s="2019" t="str">
        <f>'SOUTH-2'!B987</f>
        <v>11 kV Dharmik Para</v>
      </c>
      <c r="C1009" s="2019">
        <f>'SOUTH-2'!C987</f>
        <v>11</v>
      </c>
      <c r="D1009" s="2019" t="str">
        <f>'SOUTH-2'!D987</f>
        <v>Kazla</v>
      </c>
      <c r="E1009" s="2019" t="str">
        <f>'SOUTH-2'!E987</f>
        <v>8K55676</v>
      </c>
      <c r="F1009" s="791">
        <f>'SOUTH-2'!F987</f>
        <v>1</v>
      </c>
      <c r="G1009" s="791">
        <f>'SOUTH-2'!G987</f>
        <v>475.3</v>
      </c>
      <c r="H1009" s="791">
        <f>'SOUTH-2'!H987</f>
        <v>475.3</v>
      </c>
      <c r="I1009" s="791">
        <f>'SOUTH-2'!I987</f>
        <v>0</v>
      </c>
      <c r="J1009" s="791">
        <f>'SOUTH-2'!J987</f>
        <v>4000</v>
      </c>
      <c r="K1009" s="791">
        <f>'SOUTH-2'!K987</f>
        <v>0</v>
      </c>
      <c r="L1009" s="791">
        <f>'SOUTH-2'!L987</f>
        <v>0</v>
      </c>
      <c r="M1009" s="791">
        <f>'SOUTH-2'!M987</f>
        <v>0</v>
      </c>
      <c r="N1009" s="2019" t="str">
        <f>'SOUTH-2'!N987</f>
        <v>Kazla</v>
      </c>
      <c r="O1009" s="2019" t="str">
        <f>Sheet2!$C$55</f>
        <v>Kazla  33/11KV S/S</v>
      </c>
    </row>
    <row r="1010" spans="1:15" x14ac:dyDescent="0.35">
      <c r="A1010" s="2019">
        <f>'SOUTH-2'!A988</f>
        <v>41</v>
      </c>
      <c r="B1010" s="2019" t="str">
        <f>'SOUTH-2'!B988</f>
        <v>11 kV Sheikhdi Feeder</v>
      </c>
      <c r="C1010" s="2019">
        <f>'SOUTH-2'!C988</f>
        <v>11</v>
      </c>
      <c r="D1010" s="2019" t="str">
        <f>'SOUTH-2'!D988</f>
        <v>Kazla</v>
      </c>
      <c r="E1010" s="2019" t="str">
        <f>'SOUTH-2'!E988</f>
        <v>9A56133</v>
      </c>
      <c r="F1010" s="791">
        <f>'SOUTH-2'!F988</f>
        <v>1</v>
      </c>
      <c r="G1010" s="791">
        <f>'SOUTH-2'!G988</f>
        <v>9537.2999999999993</v>
      </c>
      <c r="H1010" s="791">
        <f>'SOUTH-2'!H988</f>
        <v>9537.2999999999993</v>
      </c>
      <c r="I1010" s="791">
        <f>'SOUTH-2'!I988</f>
        <v>0</v>
      </c>
      <c r="J1010" s="791">
        <f>'SOUTH-2'!J988</f>
        <v>4000</v>
      </c>
      <c r="K1010" s="791">
        <f>'SOUTH-2'!K988</f>
        <v>0</v>
      </c>
      <c r="L1010" s="791">
        <f>'SOUTH-2'!L988</f>
        <v>0</v>
      </c>
      <c r="M1010" s="791">
        <f>'SOUTH-2'!M988</f>
        <v>0</v>
      </c>
      <c r="N1010" s="2019" t="str">
        <f>'SOUTH-2'!N988</f>
        <v>Kazla</v>
      </c>
      <c r="O1010" s="2019" t="str">
        <f>Sheet2!$C$55</f>
        <v>Kazla  33/11KV S/S</v>
      </c>
    </row>
    <row r="1011" spans="1:15" x14ac:dyDescent="0.35">
      <c r="A1011" s="2019">
        <f>'SOUTH-2'!A989</f>
        <v>43</v>
      </c>
      <c r="B1011" s="2019" t="str">
        <f>'SOUTH-2'!B989</f>
        <v>11 kV Spare Feeder</v>
      </c>
      <c r="C1011" s="2019">
        <f>'SOUTH-2'!C989</f>
        <v>11</v>
      </c>
      <c r="D1011" s="2019">
        <f>'SOUTH-2'!D989</f>
        <v>0</v>
      </c>
      <c r="E1011" s="2019">
        <f>'SOUTH-2'!E989</f>
        <v>0</v>
      </c>
      <c r="F1011" s="791">
        <f>'SOUTH-2'!F989</f>
        <v>1</v>
      </c>
      <c r="G1011" s="791">
        <f>'SOUTH-2'!G989</f>
        <v>0</v>
      </c>
      <c r="H1011" s="791">
        <f>'SOUTH-2'!H989</f>
        <v>0</v>
      </c>
      <c r="I1011" s="791">
        <f>'SOUTH-2'!I989</f>
        <v>0</v>
      </c>
      <c r="J1011" s="791">
        <f>'SOUTH-2'!J989</f>
        <v>1000</v>
      </c>
      <c r="K1011" s="791">
        <f>'SOUTH-2'!K989</f>
        <v>0</v>
      </c>
      <c r="L1011" s="791">
        <f>'SOUTH-2'!L989</f>
        <v>0</v>
      </c>
      <c r="M1011" s="791">
        <f>'SOUTH-2'!M989</f>
        <v>0</v>
      </c>
      <c r="N1011" s="2019" t="str">
        <f>'SOUTH-2'!N989</f>
        <v>Kazla</v>
      </c>
      <c r="O1011" s="2019" t="str">
        <f>Sheet2!$C$55</f>
        <v>Kazla  33/11KV S/S</v>
      </c>
    </row>
    <row r="1012" spans="1:15" x14ac:dyDescent="0.35">
      <c r="A1012" s="2019">
        <f>'SOUTH-2'!A990</f>
        <v>44</v>
      </c>
      <c r="B1012" s="2019" t="str">
        <f>'SOUTH-2'!B990</f>
        <v>11 kV Jenith Feeder</v>
      </c>
      <c r="C1012" s="2019">
        <f>'SOUTH-2'!C990</f>
        <v>11</v>
      </c>
      <c r="D1012" s="2019" t="str">
        <f>'SOUTH-2'!D990</f>
        <v>Kazla</v>
      </c>
      <c r="E1012" s="2019">
        <f>'SOUTH-2'!E990</f>
        <v>61903661</v>
      </c>
      <c r="F1012" s="791">
        <f>'SOUTH-2'!F990</f>
        <v>1</v>
      </c>
      <c r="G1012" s="791">
        <f>'SOUTH-2'!G990</f>
        <v>17362.7</v>
      </c>
      <c r="H1012" s="791">
        <f>'SOUTH-2'!H990</f>
        <v>17820.900000000001</v>
      </c>
      <c r="I1012" s="791">
        <f>'SOUTH-2'!I990</f>
        <v>458.20000000000073</v>
      </c>
      <c r="J1012" s="791">
        <f>'SOUTH-2'!J990</f>
        <v>1000</v>
      </c>
      <c r="K1012" s="791">
        <f>'SOUTH-2'!K990</f>
        <v>0</v>
      </c>
      <c r="L1012" s="791">
        <f>'SOUTH-2'!L990</f>
        <v>458200.0000000007</v>
      </c>
      <c r="M1012" s="791">
        <f>'SOUTH-2'!M990</f>
        <v>0</v>
      </c>
      <c r="N1012" s="2019" t="str">
        <f>'SOUTH-2'!N990</f>
        <v>Kazla</v>
      </c>
      <c r="O1012" s="2019" t="str">
        <f>Sheet2!$C$55</f>
        <v>Kazla  33/11KV S/S</v>
      </c>
    </row>
    <row r="1013" spans="1:15" x14ac:dyDescent="0.35">
      <c r="A1013" s="2019">
        <f>'SOUTH-2'!A991</f>
        <v>45</v>
      </c>
      <c r="B1013" s="2019" t="str">
        <f>'SOUTH-2'!B991</f>
        <v>11 KV Samad Nagor Gate</v>
      </c>
      <c r="C1013" s="2019">
        <f>'SOUTH-2'!C991</f>
        <v>11</v>
      </c>
      <c r="D1013" s="2019" t="str">
        <f>'SOUTH-2'!D991</f>
        <v>Kazla</v>
      </c>
      <c r="E1013" s="2019">
        <f>'SOUTH-2'!E991</f>
        <v>61903675</v>
      </c>
      <c r="F1013" s="791">
        <f>'SOUTH-2'!F991</f>
        <v>1</v>
      </c>
      <c r="G1013" s="791">
        <f>'SOUTH-2'!G991</f>
        <v>12872.7</v>
      </c>
      <c r="H1013" s="791">
        <f>'SOUTH-2'!H991</f>
        <v>13482.4</v>
      </c>
      <c r="I1013" s="791">
        <f>'SOUTH-2'!I991</f>
        <v>609.69999999999891</v>
      </c>
      <c r="J1013" s="791">
        <f>'SOUTH-2'!J991</f>
        <v>2000</v>
      </c>
      <c r="K1013" s="791">
        <f>'SOUTH-2'!K991</f>
        <v>0</v>
      </c>
      <c r="L1013" s="791">
        <f>'SOUTH-2'!L991</f>
        <v>1219399.9999999979</v>
      </c>
      <c r="M1013" s="791">
        <f>'SOUTH-2'!M991</f>
        <v>0</v>
      </c>
      <c r="N1013" s="2019" t="str">
        <f>'SOUTH-2'!N991</f>
        <v>Kazla</v>
      </c>
      <c r="O1013" s="2019" t="str">
        <f>Sheet2!$C$55</f>
        <v>Kazla  33/11KV S/S</v>
      </c>
    </row>
    <row r="1014" spans="1:15" x14ac:dyDescent="0.35">
      <c r="A1014" s="2019">
        <f>'SOUTH-2'!A992</f>
        <v>46</v>
      </c>
      <c r="B1014" s="2019" t="str">
        <f>'SOUTH-2'!B992</f>
        <v>11 KV Bibir Bagicha</v>
      </c>
      <c r="C1014" s="2019">
        <f>'SOUTH-2'!C992</f>
        <v>11</v>
      </c>
      <c r="D1014" s="2019" t="str">
        <f>'SOUTH-2'!D992</f>
        <v>Maniknagar</v>
      </c>
      <c r="E1014" s="2019">
        <f>'SOUTH-2'!E992</f>
        <v>61903557</v>
      </c>
      <c r="F1014" s="791">
        <f>'SOUTH-2'!F992</f>
        <v>1</v>
      </c>
      <c r="G1014" s="791">
        <f>'SOUTH-2'!G992</f>
        <v>32128.799999999999</v>
      </c>
      <c r="H1014" s="791">
        <f>'SOUTH-2'!H992</f>
        <v>32423</v>
      </c>
      <c r="I1014" s="791">
        <f>'SOUTH-2'!I992</f>
        <v>294.20000000000073</v>
      </c>
      <c r="J1014" s="791">
        <f>'SOUTH-2'!J992</f>
        <v>2000</v>
      </c>
      <c r="K1014" s="791">
        <f>'SOUTH-2'!K992</f>
        <v>0</v>
      </c>
      <c r="L1014" s="791">
        <f>'SOUTH-2'!L992</f>
        <v>588400.0000000014</v>
      </c>
      <c r="M1014" s="791">
        <f>'SOUTH-2'!M992</f>
        <v>0</v>
      </c>
      <c r="N1014" s="2019" t="str">
        <f>'SOUTH-2'!N992</f>
        <v>Maniknagar</v>
      </c>
      <c r="O1014" s="2019" t="str">
        <f>Sheet2!$C$55</f>
        <v>Kazla  33/11KV S/S</v>
      </c>
    </row>
    <row r="1015" spans="1:15" x14ac:dyDescent="0.35">
      <c r="A1015" s="2019">
        <f>'SOUTH-2'!A993</f>
        <v>47</v>
      </c>
      <c r="B1015" s="2019" t="str">
        <f>'SOUTH-2'!B993</f>
        <v>33/0.4 kV AT-1</v>
      </c>
      <c r="C1015" s="2019">
        <f>'SOUTH-2'!C993</f>
        <v>0.4</v>
      </c>
      <c r="D1015" s="2019">
        <f>'SOUTH-2'!D993</f>
        <v>0</v>
      </c>
      <c r="E1015" s="2019">
        <f>'SOUTH-2'!E993</f>
        <v>503043</v>
      </c>
      <c r="F1015" s="791">
        <f>'SOUTH-2'!F993</f>
        <v>1</v>
      </c>
      <c r="G1015" s="791">
        <f>'SOUTH-2'!G993</f>
        <v>95647</v>
      </c>
      <c r="H1015" s="791">
        <f>'SOUTH-2'!H993</f>
        <v>95647</v>
      </c>
      <c r="I1015" s="791">
        <f>'SOUTH-2'!I993</f>
        <v>0</v>
      </c>
      <c r="J1015" s="791">
        <f>'SOUTH-2'!J993</f>
        <v>10</v>
      </c>
      <c r="K1015" s="791">
        <f>'SOUTH-2'!K993</f>
        <v>0</v>
      </c>
      <c r="L1015" s="791">
        <f>'SOUTH-2'!L993</f>
        <v>0</v>
      </c>
      <c r="M1015" s="791">
        <f>'SOUTH-2'!M993</f>
        <v>0</v>
      </c>
      <c r="N1015" s="2019" t="str">
        <f>'SOUTH-2'!N993</f>
        <v>Kazla</v>
      </c>
      <c r="O1015" s="2019" t="str">
        <f>Sheet2!$C$55</f>
        <v>Kazla  33/11KV S/S</v>
      </c>
    </row>
    <row r="1016" spans="1:15" x14ac:dyDescent="0.35">
      <c r="A1016" s="2019">
        <f>'SOUTH-2'!A994</f>
        <v>48</v>
      </c>
      <c r="B1016" s="2019" t="str">
        <f>'SOUTH-2'!B994</f>
        <v>33/0.4 kV AT-2</v>
      </c>
      <c r="C1016" s="2019">
        <f>'SOUTH-2'!C994</f>
        <v>0.4</v>
      </c>
      <c r="D1016" s="2019">
        <f>'SOUTH-2'!D994</f>
        <v>0</v>
      </c>
      <c r="E1016" s="2019">
        <f>'SOUTH-2'!E994</f>
        <v>503044</v>
      </c>
      <c r="F1016" s="791">
        <f>'SOUTH-2'!F994</f>
        <v>1</v>
      </c>
      <c r="G1016" s="791">
        <f>'SOUTH-2'!G994</f>
        <v>90327</v>
      </c>
      <c r="H1016" s="791">
        <f>'SOUTH-2'!H994</f>
        <v>90327</v>
      </c>
      <c r="I1016" s="791">
        <f>'SOUTH-2'!I994</f>
        <v>0</v>
      </c>
      <c r="J1016" s="791">
        <f>'SOUTH-2'!J994</f>
        <v>10</v>
      </c>
      <c r="K1016" s="791">
        <f>'SOUTH-2'!K994</f>
        <v>0</v>
      </c>
      <c r="L1016" s="791">
        <f>'SOUTH-2'!L994</f>
        <v>0</v>
      </c>
      <c r="M1016" s="791">
        <f>'SOUTH-2'!M994</f>
        <v>0</v>
      </c>
      <c r="N1016" s="2019" t="str">
        <f>'SOUTH-2'!N994</f>
        <v>Kazla</v>
      </c>
      <c r="O1016" s="2019" t="str">
        <f>Sheet2!$C$55</f>
        <v>Kazla  33/11KV S/S</v>
      </c>
    </row>
    <row r="1017" spans="1:15" x14ac:dyDescent="0.35">
      <c r="A1017" s="2019">
        <f>'SOUTH-2'!A995</f>
        <v>23</v>
      </c>
      <c r="B1017" s="2019" t="str">
        <f>'SOUTH-2'!B995</f>
        <v>Auxiliary Transformer</v>
      </c>
      <c r="C1017" s="2019">
        <f>'SOUTH-2'!C995</f>
        <v>0.4</v>
      </c>
      <c r="D1017" s="2019">
        <f>'SOUTH-2'!D995</f>
        <v>0</v>
      </c>
      <c r="E1017" s="2019">
        <f>'SOUTH-2'!E995</f>
        <v>41901920685</v>
      </c>
      <c r="F1017" s="791">
        <f>'SOUTH-2'!F995</f>
        <v>1</v>
      </c>
      <c r="G1017" s="791">
        <f>'SOUTH-2'!G995</f>
        <v>1649.63</v>
      </c>
      <c r="H1017" s="791">
        <f>'SOUTH-2'!H995</f>
        <v>1659.43</v>
      </c>
      <c r="I1017" s="791">
        <f>'SOUTH-2'!I995</f>
        <v>9.7999999999999545</v>
      </c>
      <c r="J1017" s="791">
        <f>'SOUTH-2'!J995</f>
        <v>160</v>
      </c>
      <c r="K1017" s="791">
        <f>'SOUTH-2'!K995</f>
        <v>0</v>
      </c>
      <c r="L1017" s="791">
        <f>'SOUTH-2'!L995</f>
        <v>1567.9999999999927</v>
      </c>
      <c r="M1017" s="791">
        <f>'SOUTH-2'!M995</f>
        <v>0</v>
      </c>
      <c r="N1017" s="2019" t="str">
        <f>'SOUTH-2'!N995</f>
        <v>Kazla</v>
      </c>
      <c r="O1017" s="2019" t="str">
        <f>Sheet2!$C$55</f>
        <v>Kazla  33/11KV S/S</v>
      </c>
    </row>
    <row r="1018" spans="1:15" x14ac:dyDescent="0.35">
      <c r="A1018" s="2019">
        <f>'SOUTH-2'!A1115</f>
        <v>5</v>
      </c>
      <c r="B1018" s="2019" t="str">
        <f>'SOUTH-2'!B1115</f>
        <v>11 kV HR (Hajrat_Rahima) Steel Express</v>
      </c>
      <c r="C1018" s="2019">
        <f>'SOUTH-2'!C1115</f>
        <v>11</v>
      </c>
      <c r="D1018" s="2019" t="str">
        <f>'SOUTH-2'!D1115</f>
        <v>Shympur</v>
      </c>
      <c r="E1018" s="2019">
        <f>'SOUTH-2'!E1115</f>
        <v>0</v>
      </c>
      <c r="F1018" s="791">
        <f>'SOUTH-2'!F1115</f>
        <v>1</v>
      </c>
      <c r="G1018" s="791">
        <f>'SOUTH-2'!G1115</f>
        <v>297.23410000000001</v>
      </c>
      <c r="H1018" s="791">
        <f>'SOUTH-2'!H1115</f>
        <v>338.77679999999998</v>
      </c>
      <c r="I1018" s="791">
        <f>'SOUTH-2'!I1115</f>
        <v>41.542699999999968</v>
      </c>
      <c r="J1018" s="791">
        <f>'SOUTH-2'!J1115</f>
        <v>40000</v>
      </c>
      <c r="K1018" s="791">
        <f>'SOUTH-2'!K1115</f>
        <v>0</v>
      </c>
      <c r="L1018" s="791">
        <f>'SOUTH-2'!L1115</f>
        <v>1661707.9999999986</v>
      </c>
      <c r="M1018" s="791">
        <f>'SOUTH-2'!M1115</f>
        <v>0</v>
      </c>
      <c r="N1018" s="2019">
        <f>'SOUTH-2'!N1115</f>
        <v>0</v>
      </c>
      <c r="O1018" s="2019" t="str">
        <f>Sheet2!$C$57</f>
        <v>Shyampur  33/11KV S/S</v>
      </c>
    </row>
    <row r="1019" spans="1:15" x14ac:dyDescent="0.35">
      <c r="A1019" s="2019">
        <f>'SOUTH-2'!A1116</f>
        <v>6</v>
      </c>
      <c r="B1019" s="2019" t="str">
        <f>'SOUTH-2'!B1116</f>
        <v>11 kV Spare Feeder</v>
      </c>
      <c r="C1019" s="2019">
        <f>'SOUTH-2'!C1116</f>
        <v>11</v>
      </c>
      <c r="D1019" s="2019">
        <f>'SOUTH-2'!D1116</f>
        <v>0</v>
      </c>
      <c r="E1019" s="2019">
        <f>'SOUTH-2'!E1116</f>
        <v>0</v>
      </c>
      <c r="F1019" s="791">
        <f>'SOUTH-2'!F1116</f>
        <v>1</v>
      </c>
      <c r="G1019" s="791">
        <f>'SOUTH-2'!G1116</f>
        <v>0</v>
      </c>
      <c r="H1019" s="791">
        <f>'SOUTH-2'!H1116</f>
        <v>0</v>
      </c>
      <c r="I1019" s="791">
        <f>'SOUTH-2'!I1116</f>
        <v>0</v>
      </c>
      <c r="J1019" s="791">
        <f>'SOUTH-2'!J1116</f>
        <v>40000</v>
      </c>
      <c r="K1019" s="791">
        <f>'SOUTH-2'!K1116</f>
        <v>0</v>
      </c>
      <c r="L1019" s="791">
        <f>'SOUTH-2'!L1116</f>
        <v>0</v>
      </c>
      <c r="M1019" s="791">
        <f>'SOUTH-2'!M1116</f>
        <v>0</v>
      </c>
      <c r="N1019" s="2019">
        <f>'SOUTH-2'!N1116</f>
        <v>0</v>
      </c>
      <c r="O1019" s="2019" t="str">
        <f>Sheet2!$C$57</f>
        <v>Shyampur  33/11KV S/S</v>
      </c>
    </row>
    <row r="1020" spans="1:15" x14ac:dyDescent="0.35">
      <c r="A1020" s="2019">
        <f>'SOUTH-2'!A1117</f>
        <v>7</v>
      </c>
      <c r="B1020" s="2019" t="str">
        <f>'SOUTH-2'!B1117</f>
        <v>11 kV Road No.-21 Feeder</v>
      </c>
      <c r="C1020" s="2019">
        <f>'SOUTH-2'!C1117</f>
        <v>11</v>
      </c>
      <c r="D1020" s="2019">
        <f>'SOUTH-2'!D1117</f>
        <v>0</v>
      </c>
      <c r="E1020" s="2019" t="str">
        <f>'SOUTH-2'!E1117</f>
        <v>BD001943</v>
      </c>
      <c r="F1020" s="791">
        <f>'SOUTH-2'!F1117</f>
        <v>1</v>
      </c>
      <c r="G1020" s="791">
        <f>'SOUTH-2'!G1117</f>
        <v>918.60900000000004</v>
      </c>
      <c r="H1020" s="791">
        <f>'SOUTH-2'!H1117</f>
        <v>933.05589999999995</v>
      </c>
      <c r="I1020" s="791">
        <f>'SOUTH-2'!I1117</f>
        <v>14.446899999999914</v>
      </c>
      <c r="J1020" s="791">
        <f>'SOUTH-2'!J1117</f>
        <v>40000</v>
      </c>
      <c r="K1020" s="791">
        <f>'SOUTH-2'!K1117</f>
        <v>0</v>
      </c>
      <c r="L1020" s="791">
        <f>'SOUTH-2'!L1117</f>
        <v>577875.99999999651</v>
      </c>
      <c r="M1020" s="791">
        <f>'SOUTH-2'!M1117</f>
        <v>0</v>
      </c>
      <c r="N1020" s="2019">
        <f>'SOUTH-2'!N1117</f>
        <v>0</v>
      </c>
      <c r="O1020" s="2019" t="str">
        <f>Sheet2!$C$57</f>
        <v>Shyampur  33/11KV S/S</v>
      </c>
    </row>
    <row r="1021" spans="1:15" x14ac:dyDescent="0.35">
      <c r="A1021" s="2019">
        <f>'SOUTH-2'!A1118</f>
        <v>8</v>
      </c>
      <c r="B1021" s="2019" t="str">
        <f>'SOUTH-2'!B1118</f>
        <v>11 kV New Chakda Feeder</v>
      </c>
      <c r="C1021" s="2019">
        <f>'SOUTH-2'!C1118</f>
        <v>11</v>
      </c>
      <c r="D1021" s="2019" t="str">
        <f>'SOUTH-2'!D1118</f>
        <v>Shympur</v>
      </c>
      <c r="E1021" s="2019" t="str">
        <f>'SOUTH-2'!E1118</f>
        <v>BD001932</v>
      </c>
      <c r="F1021" s="791">
        <f>'SOUTH-2'!F1118</f>
        <v>1</v>
      </c>
      <c r="G1021" s="791">
        <f>'SOUTH-2'!G1118</f>
        <v>1364.5489</v>
      </c>
      <c r="H1021" s="791">
        <f>'SOUTH-2'!H1118</f>
        <v>1383.1978999999999</v>
      </c>
      <c r="I1021" s="791">
        <f>'SOUTH-2'!I1118</f>
        <v>18.648999999999887</v>
      </c>
      <c r="J1021" s="791">
        <f>'SOUTH-2'!J1118</f>
        <v>40000</v>
      </c>
      <c r="K1021" s="791">
        <f>'SOUTH-2'!K1118</f>
        <v>0</v>
      </c>
      <c r="L1021" s="791">
        <f>'SOUTH-2'!L1118</f>
        <v>745959.99999999546</v>
      </c>
      <c r="M1021" s="791">
        <f>'SOUTH-2'!M1118</f>
        <v>0</v>
      </c>
      <c r="N1021" s="2019">
        <f>'SOUTH-2'!N1118</f>
        <v>0</v>
      </c>
      <c r="O1021" s="2019" t="str">
        <f>Sheet2!$C$57</f>
        <v>Shyampur  33/11KV S/S</v>
      </c>
    </row>
    <row r="1022" spans="1:15" x14ac:dyDescent="0.35">
      <c r="A1022" s="2019">
        <f>'SOUTH-2'!A1119</f>
        <v>10</v>
      </c>
      <c r="B1022" s="2019" t="str">
        <f>'SOUTH-2'!B1119</f>
        <v>11 kV Burigonga Feeder</v>
      </c>
      <c r="C1022" s="2019">
        <f>'SOUTH-2'!C1119</f>
        <v>11</v>
      </c>
      <c r="D1022" s="2019" t="str">
        <f>'SOUTH-2'!D1119</f>
        <v>Shympur</v>
      </c>
      <c r="E1022" s="2019" t="str">
        <f>'SOUTH-2'!E1119</f>
        <v>BD001946</v>
      </c>
      <c r="F1022" s="791">
        <f>'SOUTH-2'!F1119</f>
        <v>1</v>
      </c>
      <c r="G1022" s="791">
        <f>'SOUTH-2'!G1119</f>
        <v>1288.7511999999999</v>
      </c>
      <c r="H1022" s="791">
        <f>'SOUTH-2'!H1119</f>
        <v>1304.1895999999999</v>
      </c>
      <c r="I1022" s="791">
        <f>'SOUTH-2'!I1119</f>
        <v>15.438400000000001</v>
      </c>
      <c r="J1022" s="791">
        <f>'SOUTH-2'!J1119</f>
        <v>40000</v>
      </c>
      <c r="K1022" s="791">
        <f>'SOUTH-2'!K1119</f>
        <v>0</v>
      </c>
      <c r="L1022" s="791">
        <f>'SOUTH-2'!L1119</f>
        <v>617536</v>
      </c>
      <c r="M1022" s="791">
        <f>'SOUTH-2'!M1119</f>
        <v>0</v>
      </c>
      <c r="N1022" s="2019">
        <f>'SOUTH-2'!N1119</f>
        <v>0</v>
      </c>
      <c r="O1022" s="2019" t="str">
        <f>Sheet2!$C$57</f>
        <v>Shyampur  33/11KV S/S</v>
      </c>
    </row>
    <row r="1023" spans="1:15" x14ac:dyDescent="0.35">
      <c r="A1023" s="2019">
        <f>'SOUTH-2'!A1120</f>
        <v>11</v>
      </c>
      <c r="B1023" s="2019" t="str">
        <f>'SOUTH-2'!B1120</f>
        <v>11 kV Dapa-Pagla Feeder</v>
      </c>
      <c r="C1023" s="2019">
        <f>'SOUTH-2'!C1120</f>
        <v>11</v>
      </c>
      <c r="D1023" s="2019" t="str">
        <f>'SOUTH-2'!D1120</f>
        <v>Fatulla</v>
      </c>
      <c r="E1023" s="2019" t="str">
        <f>'SOUTH-2'!E1120</f>
        <v>BD001953</v>
      </c>
      <c r="F1023" s="791">
        <f>'SOUTH-2'!F1120</f>
        <v>1</v>
      </c>
      <c r="G1023" s="791">
        <f>'SOUTH-2'!G1120</f>
        <v>1142.5186000000001</v>
      </c>
      <c r="H1023" s="791">
        <f>'SOUTH-2'!H1120</f>
        <v>1158.8689999999999</v>
      </c>
      <c r="I1023" s="791">
        <f>'SOUTH-2'!I1120</f>
        <v>16.350399999999809</v>
      </c>
      <c r="J1023" s="791">
        <f>'SOUTH-2'!J1120</f>
        <v>40000</v>
      </c>
      <c r="K1023" s="791">
        <f>'SOUTH-2'!K1120</f>
        <v>0</v>
      </c>
      <c r="L1023" s="791">
        <f>'SOUTH-2'!L1120</f>
        <v>654015.99999999232</v>
      </c>
      <c r="M1023" s="791">
        <f>'SOUTH-2'!M1120</f>
        <v>0</v>
      </c>
      <c r="N1023" s="2019">
        <f>'SOUTH-2'!N1120</f>
        <v>0</v>
      </c>
      <c r="O1023" s="2019" t="str">
        <f>Sheet2!$C$57</f>
        <v>Shyampur  33/11KV S/S</v>
      </c>
    </row>
    <row r="1024" spans="1:15" x14ac:dyDescent="0.35">
      <c r="A1024" s="2019">
        <f>'SOUTH-2'!A1121</f>
        <v>12</v>
      </c>
      <c r="B1024" s="2019" t="str">
        <f>'SOUTH-2'!B1121</f>
        <v xml:space="preserve">11 kV S. R. Steel Feeder. </v>
      </c>
      <c r="C1024" s="2019">
        <f>'SOUTH-2'!C1121</f>
        <v>11</v>
      </c>
      <c r="D1024" s="2019" t="str">
        <f>'SOUTH-2'!D1121</f>
        <v>Shympur</v>
      </c>
      <c r="E1024" s="2019" t="str">
        <f>'SOUTH-2'!E1121</f>
        <v>BD001945</v>
      </c>
      <c r="F1024" s="791">
        <f>'SOUTH-2'!F1121</f>
        <v>1</v>
      </c>
      <c r="G1024" s="791">
        <f>'SOUTH-2'!G1121</f>
        <v>2826.9234999999999</v>
      </c>
      <c r="H1024" s="791">
        <f>'SOUTH-2'!H1121</f>
        <v>2894.7478000000001</v>
      </c>
      <c r="I1024" s="791">
        <f>'SOUTH-2'!I1121</f>
        <v>67.824300000000221</v>
      </c>
      <c r="J1024" s="791">
        <f>'SOUTH-2'!J1121</f>
        <v>40000</v>
      </c>
      <c r="K1024" s="791">
        <f>'SOUTH-2'!K1121</f>
        <v>0</v>
      </c>
      <c r="L1024" s="791">
        <f>'SOUTH-2'!L1121</f>
        <v>2712972.0000000088</v>
      </c>
      <c r="M1024" s="791">
        <f>'SOUTH-2'!M1121</f>
        <v>0</v>
      </c>
      <c r="N1024" s="2019">
        <f>'SOUTH-2'!N1121</f>
        <v>0</v>
      </c>
      <c r="O1024" s="2019" t="str">
        <f>Sheet2!$C$57</f>
        <v>Shyampur  33/11KV S/S</v>
      </c>
    </row>
    <row r="1025" spans="1:15" x14ac:dyDescent="0.35">
      <c r="A1025" s="2019">
        <f>'SOUTH-2'!A1122</f>
        <v>13</v>
      </c>
      <c r="B1025" s="2019" t="str">
        <f>'SOUTH-2'!B1122</f>
        <v>11 kV Rahima Steel Feeder.</v>
      </c>
      <c r="C1025" s="2019">
        <f>'SOUTH-2'!C1122</f>
        <v>11</v>
      </c>
      <c r="D1025" s="2019" t="str">
        <f>'SOUTH-2'!D1122</f>
        <v>Shympur</v>
      </c>
      <c r="E1025" s="2019" t="str">
        <f>'SOUTH-2'!E1122</f>
        <v>BD001956</v>
      </c>
      <c r="F1025" s="791">
        <f>'SOUTH-2'!F1122</f>
        <v>1</v>
      </c>
      <c r="G1025" s="791">
        <f>'SOUTH-2'!G1122</f>
        <v>191.09</v>
      </c>
      <c r="H1025" s="791">
        <f>'SOUTH-2'!H1122</f>
        <v>191.09</v>
      </c>
      <c r="I1025" s="791">
        <f>'SOUTH-2'!I1122</f>
        <v>0</v>
      </c>
      <c r="J1025" s="791">
        <f>'SOUTH-2'!J1122</f>
        <v>40000</v>
      </c>
      <c r="K1025" s="791">
        <f>'SOUTH-2'!K1122</f>
        <v>0</v>
      </c>
      <c r="L1025" s="791">
        <f>'SOUTH-2'!L1122</f>
        <v>0</v>
      </c>
      <c r="M1025" s="791">
        <f>'SOUTH-2'!M1122</f>
        <v>0</v>
      </c>
      <c r="N1025" s="2019">
        <f>'SOUTH-2'!N1122</f>
        <v>0</v>
      </c>
      <c r="O1025" s="2019" t="str">
        <f>Sheet2!$C$57</f>
        <v>Shyampur  33/11KV S/S</v>
      </c>
    </row>
    <row r="1026" spans="1:15" x14ac:dyDescent="0.35">
      <c r="A1026" s="2019">
        <f>'SOUTH-2'!A1123</f>
        <v>14</v>
      </c>
      <c r="B1026" s="2019" t="str">
        <f>'SOUTH-2'!B1123</f>
        <v>11 kV Chand Textile Feeder</v>
      </c>
      <c r="C1026" s="2019">
        <f>'SOUTH-2'!C1123</f>
        <v>11</v>
      </c>
      <c r="D1026" s="2019" t="str">
        <f>'SOUTH-2'!D1123</f>
        <v>Shympur</v>
      </c>
      <c r="E1026" s="2019" t="str">
        <f>'SOUTH-2'!E1123</f>
        <v>BD001933</v>
      </c>
      <c r="F1026" s="791">
        <f>'SOUTH-2'!F1123</f>
        <v>1</v>
      </c>
      <c r="G1026" s="791">
        <f>'SOUTH-2'!G1123</f>
        <v>1821.2464</v>
      </c>
      <c r="H1026" s="791">
        <f>'SOUTH-2'!H1123</f>
        <v>1865.4976999999999</v>
      </c>
      <c r="I1026" s="791">
        <f>'SOUTH-2'!I1123</f>
        <v>44.251299999999901</v>
      </c>
      <c r="J1026" s="791">
        <f>'SOUTH-2'!J1123</f>
        <v>40000</v>
      </c>
      <c r="K1026" s="791">
        <f>'SOUTH-2'!K1123</f>
        <v>0</v>
      </c>
      <c r="L1026" s="791">
        <f>'SOUTH-2'!L1123</f>
        <v>1770051.999999996</v>
      </c>
      <c r="M1026" s="791">
        <f>'SOUTH-2'!M1123</f>
        <v>0</v>
      </c>
      <c r="N1026" s="2019">
        <f>'SOUTH-2'!N1123</f>
        <v>0</v>
      </c>
      <c r="O1026" s="2019" t="str">
        <f>Sheet2!$C$57</f>
        <v>Shyampur  33/11KV S/S</v>
      </c>
    </row>
    <row r="1027" spans="1:15" x14ac:dyDescent="0.35">
      <c r="A1027" s="2019">
        <f>'SOUTH-2'!A1124</f>
        <v>15</v>
      </c>
      <c r="B1027" s="2019" t="str">
        <f>'SOUTH-2'!B1124</f>
        <v>11 kV Kamalpur Feeder</v>
      </c>
      <c r="C1027" s="2019">
        <f>'SOUTH-2'!C1124</f>
        <v>11</v>
      </c>
      <c r="D1027" s="2019" t="str">
        <f>'SOUTH-2'!D1124</f>
        <v>Fatulla</v>
      </c>
      <c r="E1027" s="2019" t="str">
        <f>'SOUTH-2'!E1124</f>
        <v>BD001922</v>
      </c>
      <c r="F1027" s="791">
        <f>'SOUTH-2'!F1124</f>
        <v>1</v>
      </c>
      <c r="G1027" s="791">
        <f>'SOUTH-2'!G1124</f>
        <v>466.16370000000001</v>
      </c>
      <c r="H1027" s="791">
        <f>'SOUTH-2'!H1124</f>
        <v>467.61329999999998</v>
      </c>
      <c r="I1027" s="791">
        <f>'SOUTH-2'!I1124</f>
        <v>1.4495999999999754</v>
      </c>
      <c r="J1027" s="791">
        <f>'SOUTH-2'!J1124</f>
        <v>40000</v>
      </c>
      <c r="K1027" s="791">
        <f>'SOUTH-2'!K1124</f>
        <v>0</v>
      </c>
      <c r="L1027" s="791">
        <f>'SOUTH-2'!L1124</f>
        <v>57983.99999999901</v>
      </c>
      <c r="M1027" s="791">
        <f>'SOUTH-2'!M1124</f>
        <v>0</v>
      </c>
      <c r="N1027" s="2019">
        <f>'SOUTH-2'!N1124</f>
        <v>0</v>
      </c>
      <c r="O1027" s="2019" t="str">
        <f>Sheet2!$C$57</f>
        <v>Shyampur  33/11KV S/S</v>
      </c>
    </row>
    <row r="1028" spans="1:15" x14ac:dyDescent="0.35">
      <c r="A1028" s="2019">
        <f>'SOUTH-2'!A1125</f>
        <v>17</v>
      </c>
      <c r="B1028" s="2019" t="str">
        <f>'SOUTH-2'!B1125</f>
        <v xml:space="preserve">11 kV Alizan Steel Feeder </v>
      </c>
      <c r="C1028" s="2019">
        <f>'SOUTH-2'!C1125</f>
        <v>11</v>
      </c>
      <c r="D1028" s="2019" t="str">
        <f>'SOUTH-2'!D1125</f>
        <v>Shympur</v>
      </c>
      <c r="E1028" s="2019" t="str">
        <f>'SOUTH-2'!E1125</f>
        <v>BD001931</v>
      </c>
      <c r="F1028" s="791">
        <f>'SOUTH-2'!F1125</f>
        <v>1</v>
      </c>
      <c r="G1028" s="791">
        <f>'SOUTH-2'!G1125</f>
        <v>2731.1945999999998</v>
      </c>
      <c r="H1028" s="791">
        <f>'SOUTH-2'!H1125</f>
        <v>2784.1855</v>
      </c>
      <c r="I1028" s="791">
        <f>'SOUTH-2'!I1125</f>
        <v>52.990900000000238</v>
      </c>
      <c r="J1028" s="791">
        <f>'SOUTH-2'!J1125</f>
        <v>40000</v>
      </c>
      <c r="K1028" s="791">
        <f>'SOUTH-2'!K1125</f>
        <v>0</v>
      </c>
      <c r="L1028" s="791">
        <f>'SOUTH-2'!L1125</f>
        <v>2119636.0000000093</v>
      </c>
      <c r="M1028" s="791">
        <f>'SOUTH-2'!M1125</f>
        <v>0</v>
      </c>
      <c r="N1028" s="2019">
        <f>'SOUTH-2'!N1125</f>
        <v>0</v>
      </c>
      <c r="O1028" s="2019" t="str">
        <f>Sheet2!$C$57</f>
        <v>Shyampur  33/11KV S/S</v>
      </c>
    </row>
    <row r="1029" spans="1:15" x14ac:dyDescent="0.35">
      <c r="A1029" s="2019">
        <f>'SOUTH-2'!A1126</f>
        <v>18</v>
      </c>
      <c r="B1029" s="2019" t="str">
        <f>'SOUTH-2'!B1126</f>
        <v>11 kV Redwan Steel Feeder</v>
      </c>
      <c r="C1029" s="2019">
        <f>'SOUTH-2'!C1126</f>
        <v>11</v>
      </c>
      <c r="D1029" s="2019" t="str">
        <f>'SOUTH-2'!D1126</f>
        <v>Shympur</v>
      </c>
      <c r="E1029" s="2019" t="str">
        <f>'SOUTH-2'!E1126</f>
        <v>BD001933</v>
      </c>
      <c r="F1029" s="791">
        <f>'SOUTH-2'!F1126</f>
        <v>1</v>
      </c>
      <c r="G1029" s="791">
        <f>'SOUTH-2'!G1126</f>
        <v>1670.5235</v>
      </c>
      <c r="H1029" s="791">
        <f>'SOUTH-2'!H1126</f>
        <v>1704.1161999999999</v>
      </c>
      <c r="I1029" s="791">
        <f>'SOUTH-2'!I1126</f>
        <v>33.592699999999923</v>
      </c>
      <c r="J1029" s="791">
        <f>'SOUTH-2'!J1126</f>
        <v>40000</v>
      </c>
      <c r="K1029" s="791">
        <f>'SOUTH-2'!K1126</f>
        <v>0</v>
      </c>
      <c r="L1029" s="791">
        <f>'SOUTH-2'!L1126</f>
        <v>1343707.999999997</v>
      </c>
      <c r="M1029" s="791">
        <f>'SOUTH-2'!M1126</f>
        <v>0</v>
      </c>
      <c r="N1029" s="2019">
        <f>'SOUTH-2'!N1126</f>
        <v>0</v>
      </c>
      <c r="O1029" s="2019" t="str">
        <f>Sheet2!$C$57</f>
        <v>Shyampur  33/11KV S/S</v>
      </c>
    </row>
    <row r="1030" spans="1:15" x14ac:dyDescent="0.35">
      <c r="A1030" s="2019">
        <f>'SOUTH-2'!A1127</f>
        <v>19</v>
      </c>
      <c r="B1030" s="2019" t="str">
        <f>'SOUTH-2'!B1127</f>
        <v>11 kV Kadamtolly Steel Feeder</v>
      </c>
      <c r="C1030" s="2019">
        <f>'SOUTH-2'!C1127</f>
        <v>11</v>
      </c>
      <c r="D1030" s="2019" t="str">
        <f>'SOUTH-2'!D1127</f>
        <v>Shympur</v>
      </c>
      <c r="E1030" s="2019" t="str">
        <f>'SOUTH-2'!E1127</f>
        <v>BD001923</v>
      </c>
      <c r="F1030" s="791">
        <f>'SOUTH-2'!F1127</f>
        <v>1</v>
      </c>
      <c r="G1030" s="791">
        <f>'SOUTH-2'!G1127</f>
        <v>1142.7066</v>
      </c>
      <c r="H1030" s="791">
        <f>'SOUTH-2'!H1127</f>
        <v>1179.7084</v>
      </c>
      <c r="I1030" s="791">
        <f>'SOUTH-2'!I1127</f>
        <v>37.001800000000003</v>
      </c>
      <c r="J1030" s="791">
        <f>'SOUTH-2'!J1127</f>
        <v>40000</v>
      </c>
      <c r="K1030" s="791">
        <f>'SOUTH-2'!K1127</f>
        <v>0</v>
      </c>
      <c r="L1030" s="791">
        <f>'SOUTH-2'!L1127</f>
        <v>1480072</v>
      </c>
      <c r="M1030" s="791">
        <f>'SOUTH-2'!M1127</f>
        <v>0</v>
      </c>
      <c r="N1030" s="2019">
        <f>'SOUTH-2'!N1127</f>
        <v>0</v>
      </c>
      <c r="O1030" s="2019" t="str">
        <f>Sheet2!$C$57</f>
        <v>Shyampur  33/11KV S/S</v>
      </c>
    </row>
    <row r="1031" spans="1:15" x14ac:dyDescent="0.35">
      <c r="A1031" s="2019">
        <f>'SOUTH-2'!A1128</f>
        <v>20</v>
      </c>
      <c r="B1031" s="2019" t="str">
        <f>'SOUTH-2'!B1128</f>
        <v>11 kV Spare Feeder</v>
      </c>
      <c r="C1031" s="2019">
        <f>'SOUTH-2'!C1128</f>
        <v>0</v>
      </c>
      <c r="D1031" s="2019">
        <f>'SOUTH-2'!D1128</f>
        <v>0</v>
      </c>
      <c r="E1031" s="2019">
        <f>'SOUTH-2'!E1128</f>
        <v>0</v>
      </c>
      <c r="F1031" s="791">
        <f>'SOUTH-2'!F1128</f>
        <v>1</v>
      </c>
      <c r="G1031" s="791">
        <f>'SOUTH-2'!G1128</f>
        <v>0</v>
      </c>
      <c r="H1031" s="791">
        <f>'SOUTH-2'!H1128</f>
        <v>0</v>
      </c>
      <c r="I1031" s="791">
        <f>'SOUTH-2'!I1128</f>
        <v>0</v>
      </c>
      <c r="J1031" s="791">
        <f>'SOUTH-2'!J1128</f>
        <v>40000</v>
      </c>
      <c r="K1031" s="791">
        <f>'SOUTH-2'!K1128</f>
        <v>0</v>
      </c>
      <c r="L1031" s="791">
        <f>'SOUTH-2'!L1128</f>
        <v>0</v>
      </c>
      <c r="M1031" s="791">
        <f>'SOUTH-2'!M1128</f>
        <v>0</v>
      </c>
      <c r="N1031" s="2019">
        <f>'SOUTH-2'!N1128</f>
        <v>0</v>
      </c>
      <c r="O1031" s="2019" t="str">
        <f>Sheet2!$C$57</f>
        <v>Shyampur  33/11KV S/S</v>
      </c>
    </row>
    <row r="1032" spans="1:15" x14ac:dyDescent="0.35">
      <c r="A1032" s="2019">
        <f>'SOUTH-2'!A1129</f>
        <v>21</v>
      </c>
      <c r="B1032" s="2019" t="str">
        <f>'SOUTH-2'!B1129</f>
        <v>11 kV Orient-Al-Islam  Feeder</v>
      </c>
      <c r="C1032" s="2019">
        <f>'SOUTH-2'!C1129</f>
        <v>11</v>
      </c>
      <c r="D1032" s="2019" t="str">
        <f>'SOUTH-2'!D1129</f>
        <v>Shympur</v>
      </c>
      <c r="E1032" s="2019" t="str">
        <f>'SOUTH-2'!E1129</f>
        <v>BD001949</v>
      </c>
      <c r="F1032" s="791">
        <f>'SOUTH-2'!F1129</f>
        <v>1</v>
      </c>
      <c r="G1032" s="791">
        <f>'SOUTH-2'!G1129</f>
        <v>714.9683</v>
      </c>
      <c r="H1032" s="791">
        <f>'SOUTH-2'!H1129</f>
        <v>728.80690000000004</v>
      </c>
      <c r="I1032" s="791">
        <f>'SOUTH-2'!I1129</f>
        <v>13.838600000000042</v>
      </c>
      <c r="J1032" s="791">
        <f>'SOUTH-2'!J1129</f>
        <v>40000</v>
      </c>
      <c r="K1032" s="791">
        <f>'SOUTH-2'!K1129</f>
        <v>0</v>
      </c>
      <c r="L1032" s="791">
        <f>'SOUTH-2'!L1129</f>
        <v>553544.00000000163</v>
      </c>
      <c r="M1032" s="791">
        <f>'SOUTH-2'!M1129</f>
        <v>0</v>
      </c>
      <c r="N1032" s="2019">
        <f>'SOUTH-2'!N1129</f>
        <v>0</v>
      </c>
      <c r="O1032" s="2019" t="str">
        <f>Sheet2!$C$57</f>
        <v>Shyampur  33/11KV S/S</v>
      </c>
    </row>
    <row r="1033" spans="1:15" x14ac:dyDescent="0.35">
      <c r="A1033" s="2019">
        <f>'SOUTH-2'!A1130</f>
        <v>22</v>
      </c>
      <c r="B1033" s="2019" t="str">
        <f>'SOUTH-2'!B1130</f>
        <v>11 kV Delpara  Feeder</v>
      </c>
      <c r="C1033" s="2019">
        <f>'SOUTH-2'!C1130</f>
        <v>11</v>
      </c>
      <c r="D1033" s="2019" t="str">
        <f>'SOUTH-2'!D1130</f>
        <v>Shympur</v>
      </c>
      <c r="E1033" s="2019" t="str">
        <f>'SOUTH-2'!E1130</f>
        <v>BD001937</v>
      </c>
      <c r="F1033" s="791">
        <f>'SOUTH-2'!F1130</f>
        <v>1</v>
      </c>
      <c r="G1033" s="791">
        <f>'SOUTH-2'!G1130</f>
        <v>1162.3833</v>
      </c>
      <c r="H1033" s="791">
        <f>'SOUTH-2'!H1130</f>
        <v>1179.9536000000001</v>
      </c>
      <c r="I1033" s="791">
        <f>'SOUTH-2'!I1130</f>
        <v>17.570300000000088</v>
      </c>
      <c r="J1033" s="791">
        <f>'SOUTH-2'!J1130</f>
        <v>40000</v>
      </c>
      <c r="K1033" s="791">
        <f>'SOUTH-2'!K1130</f>
        <v>0</v>
      </c>
      <c r="L1033" s="791">
        <f>'SOUTH-2'!L1130</f>
        <v>702812.00000000349</v>
      </c>
      <c r="M1033" s="791">
        <f>'SOUTH-2'!M1130</f>
        <v>0</v>
      </c>
      <c r="N1033" s="2019">
        <f>'SOUTH-2'!N1130</f>
        <v>0</v>
      </c>
      <c r="O1033" s="2019" t="str">
        <f>Sheet2!$C$57</f>
        <v>Shyampur  33/11KV S/S</v>
      </c>
    </row>
    <row r="1034" spans="1:15" x14ac:dyDescent="0.35">
      <c r="A1034" s="2019">
        <f>'SOUTH-2'!A1131</f>
        <v>23</v>
      </c>
      <c r="B1034" s="2019" t="str">
        <f>'SOUTH-2'!B1131</f>
        <v>11 kV Wasa Feeder</v>
      </c>
      <c r="C1034" s="2019">
        <f>'SOUTH-2'!C1131</f>
        <v>11</v>
      </c>
      <c r="D1034" s="2019" t="str">
        <f>'SOUTH-2'!D1131</f>
        <v>Shympur</v>
      </c>
      <c r="E1034" s="2019" t="str">
        <f>'SOUTH-2'!E1131</f>
        <v>BD001928</v>
      </c>
      <c r="F1034" s="791">
        <f>'SOUTH-2'!F1131</f>
        <v>1</v>
      </c>
      <c r="G1034" s="791">
        <f>'SOUTH-2'!G1131</f>
        <v>2609.7197000000001</v>
      </c>
      <c r="H1034" s="791">
        <f>'SOUTH-2'!H1131</f>
        <v>2654.9812999999999</v>
      </c>
      <c r="I1034" s="791">
        <f>'SOUTH-2'!I1131</f>
        <v>45.261599999999817</v>
      </c>
      <c r="J1034" s="791">
        <f>'SOUTH-2'!J1131</f>
        <v>40000</v>
      </c>
      <c r="K1034" s="791">
        <f>'SOUTH-2'!K1131</f>
        <v>0</v>
      </c>
      <c r="L1034" s="791">
        <f>'SOUTH-2'!L1131</f>
        <v>1810463.9999999925</v>
      </c>
      <c r="M1034" s="791">
        <f>'SOUTH-2'!M1131</f>
        <v>0</v>
      </c>
      <c r="N1034" s="2019">
        <f>'SOUTH-2'!N1131</f>
        <v>0</v>
      </c>
      <c r="O1034" s="2019" t="str">
        <f>Sheet2!$C$57</f>
        <v>Shyampur  33/11KV S/S</v>
      </c>
    </row>
    <row r="1035" spans="1:15" x14ac:dyDescent="0.35">
      <c r="A1035" s="2019">
        <f>'SOUTH-2'!A1132</f>
        <v>24</v>
      </c>
      <c r="B1035" s="2019" t="str">
        <f>'SOUTH-2'!B1132</f>
        <v>11 kV Spare Feeder</v>
      </c>
      <c r="C1035" s="2019">
        <f>'SOUTH-2'!C1132</f>
        <v>11</v>
      </c>
      <c r="D1035" s="2019">
        <f>'SOUTH-2'!D1132</f>
        <v>0</v>
      </c>
      <c r="E1035" s="2019">
        <f>'SOUTH-2'!E1132</f>
        <v>0</v>
      </c>
      <c r="F1035" s="791">
        <f>'SOUTH-2'!F1132</f>
        <v>1</v>
      </c>
      <c r="G1035" s="791">
        <f>'SOUTH-2'!G1132</f>
        <v>0</v>
      </c>
      <c r="H1035" s="791">
        <f>'SOUTH-2'!H1132</f>
        <v>0</v>
      </c>
      <c r="I1035" s="791">
        <f>'SOUTH-2'!I1132</f>
        <v>0</v>
      </c>
      <c r="J1035" s="791">
        <f>'SOUTH-2'!J1132</f>
        <v>40000</v>
      </c>
      <c r="K1035" s="791">
        <f>'SOUTH-2'!K1132</f>
        <v>0</v>
      </c>
      <c r="L1035" s="791">
        <f>'SOUTH-2'!L1132</f>
        <v>0</v>
      </c>
      <c r="M1035" s="791">
        <f>'SOUTH-2'!M1132</f>
        <v>0</v>
      </c>
      <c r="N1035" s="2019">
        <f>'SOUTH-2'!N1132</f>
        <v>0</v>
      </c>
      <c r="O1035" s="2019" t="str">
        <f>Sheet2!$C$57</f>
        <v>Shyampur  33/11KV S/S</v>
      </c>
    </row>
    <row r="1036" spans="1:15" x14ac:dyDescent="0.35">
      <c r="A1036" s="2019">
        <f>'SOUTH-2'!A1133</f>
        <v>25</v>
      </c>
      <c r="B1036" s="2019" t="str">
        <f>'SOUTH-2'!B1133</f>
        <v>11 kV Al Noor-Femous Steel Feeder</v>
      </c>
      <c r="C1036" s="2019">
        <f>'SOUTH-2'!C1133</f>
        <v>11</v>
      </c>
      <c r="D1036" s="2019" t="str">
        <f>'SOUTH-2'!D1133</f>
        <v>Shympur</v>
      </c>
      <c r="E1036" s="2019" t="str">
        <f>'SOUTH-2'!E1133</f>
        <v>BD001938</v>
      </c>
      <c r="F1036" s="791">
        <f>'SOUTH-2'!F1133</f>
        <v>1</v>
      </c>
      <c r="G1036" s="791">
        <f>'SOUTH-2'!G1133</f>
        <v>1043.7438</v>
      </c>
      <c r="H1036" s="791">
        <f>'SOUTH-2'!H1133</f>
        <v>1053.174</v>
      </c>
      <c r="I1036" s="791">
        <f>'SOUTH-2'!I1133</f>
        <v>9.4302000000000135</v>
      </c>
      <c r="J1036" s="791">
        <f>'SOUTH-2'!J1133</f>
        <v>40000</v>
      </c>
      <c r="K1036" s="791">
        <f>'SOUTH-2'!K1133</f>
        <v>0</v>
      </c>
      <c r="L1036" s="791">
        <f>'SOUTH-2'!L1133</f>
        <v>377208.00000000052</v>
      </c>
      <c r="M1036" s="791">
        <f>'SOUTH-2'!M1133</f>
        <v>0</v>
      </c>
      <c r="N1036" s="2019">
        <f>'SOUTH-2'!N1133</f>
        <v>0</v>
      </c>
      <c r="O1036" s="2019" t="str">
        <f>Sheet2!$C$57</f>
        <v>Shyampur  33/11KV S/S</v>
      </c>
    </row>
    <row r="1037" spans="1:15" x14ac:dyDescent="0.35">
      <c r="A1037" s="2019">
        <f>'SOUTH-2'!A1134</f>
        <v>26</v>
      </c>
      <c r="B1037" s="2019" t="str">
        <f>'SOUTH-2'!B1134</f>
        <v>11 kV Shyampur Bazar Feeder</v>
      </c>
      <c r="C1037" s="2019">
        <f>'SOUTH-2'!C1134</f>
        <v>11</v>
      </c>
      <c r="D1037" s="2019" t="str">
        <f>'SOUTH-2'!D1134</f>
        <v>Shympur</v>
      </c>
      <c r="E1037" s="2019" t="str">
        <f>'SOUTH-2'!E1134</f>
        <v>BD001939</v>
      </c>
      <c r="F1037" s="791">
        <f>'SOUTH-2'!F1134</f>
        <v>1</v>
      </c>
      <c r="G1037" s="791">
        <f>'SOUTH-2'!G1134</f>
        <v>1686.4677999999999</v>
      </c>
      <c r="H1037" s="791">
        <f>'SOUTH-2'!H1134</f>
        <v>1716.6670999999999</v>
      </c>
      <c r="I1037" s="791">
        <f>'SOUTH-2'!I1134</f>
        <v>30.199299999999994</v>
      </c>
      <c r="J1037" s="791">
        <f>'SOUTH-2'!J1134</f>
        <v>40000</v>
      </c>
      <c r="K1037" s="791">
        <f>'SOUTH-2'!K1134</f>
        <v>0</v>
      </c>
      <c r="L1037" s="791">
        <f>'SOUTH-2'!L1134</f>
        <v>1207971.9999999998</v>
      </c>
      <c r="M1037" s="791">
        <f>'SOUTH-2'!M1134</f>
        <v>0</v>
      </c>
      <c r="N1037" s="2019">
        <f>'SOUTH-2'!N1134</f>
        <v>0</v>
      </c>
      <c r="O1037" s="2019" t="str">
        <f>Sheet2!$C$57</f>
        <v>Shyampur  33/11KV S/S</v>
      </c>
    </row>
    <row r="1038" spans="1:15" x14ac:dyDescent="0.35">
      <c r="A1038" s="2019">
        <f>'SOUTH-2'!A1135</f>
        <v>28</v>
      </c>
      <c r="B1038" s="2019" t="str">
        <f>'SOUTH-2'!B1135</f>
        <v>11 kV Spare Feeder</v>
      </c>
      <c r="C1038" s="2019">
        <f>'SOUTH-2'!C1135</f>
        <v>11</v>
      </c>
      <c r="D1038" s="2019" t="str">
        <f>'SOUTH-2'!D1135</f>
        <v>Shympur</v>
      </c>
      <c r="E1038" s="2019">
        <f>'SOUTH-2'!E1135</f>
        <v>0</v>
      </c>
      <c r="F1038" s="791">
        <f>'SOUTH-2'!F1135</f>
        <v>1</v>
      </c>
      <c r="G1038" s="791">
        <f>'SOUTH-2'!G1135</f>
        <v>0</v>
      </c>
      <c r="H1038" s="791">
        <f>'SOUTH-2'!H1135</f>
        <v>0</v>
      </c>
      <c r="I1038" s="791">
        <f>'SOUTH-2'!I1135</f>
        <v>0</v>
      </c>
      <c r="J1038" s="791">
        <f>'SOUTH-2'!J1135</f>
        <v>40000</v>
      </c>
      <c r="K1038" s="791">
        <f>'SOUTH-2'!K1135</f>
        <v>0</v>
      </c>
      <c r="L1038" s="791">
        <f>'SOUTH-2'!L1135</f>
        <v>0</v>
      </c>
      <c r="M1038" s="791">
        <f>'SOUTH-2'!M1135</f>
        <v>0</v>
      </c>
      <c r="N1038" s="2019">
        <f>'SOUTH-2'!N1135</f>
        <v>0</v>
      </c>
      <c r="O1038" s="2019" t="str">
        <f>Sheet2!$C$57</f>
        <v>Shyampur  33/11KV S/S</v>
      </c>
    </row>
    <row r="1039" spans="1:15" x14ac:dyDescent="0.35">
      <c r="A1039" s="2019">
        <f>'SOUTH-2'!A1136</f>
        <v>29</v>
      </c>
      <c r="B1039" s="2019" t="str">
        <f>'SOUTH-2'!B1136</f>
        <v xml:space="preserve">11 kV Binimoy Feeder </v>
      </c>
      <c r="C1039" s="2019">
        <f>'SOUTH-2'!C1136</f>
        <v>11</v>
      </c>
      <c r="D1039" s="2019" t="str">
        <f>'SOUTH-2'!D1136</f>
        <v>Shympur</v>
      </c>
      <c r="E1039" s="2019" t="str">
        <f>'SOUTH-2'!E1136</f>
        <v>BD001942</v>
      </c>
      <c r="F1039" s="791">
        <f>'SOUTH-2'!F1136</f>
        <v>1</v>
      </c>
      <c r="G1039" s="791">
        <f>'SOUTH-2'!G1136</f>
        <v>1221.1635000000001</v>
      </c>
      <c r="H1039" s="791">
        <f>'SOUTH-2'!H1136</f>
        <v>1238.4589000000001</v>
      </c>
      <c r="I1039" s="791">
        <f>'SOUTH-2'!I1136</f>
        <v>17.295399999999972</v>
      </c>
      <c r="J1039" s="791">
        <f>'SOUTH-2'!J1136</f>
        <v>40000</v>
      </c>
      <c r="K1039" s="791">
        <f>'SOUTH-2'!K1136</f>
        <v>0</v>
      </c>
      <c r="L1039" s="791">
        <f>'SOUTH-2'!L1136</f>
        <v>691815.99999999884</v>
      </c>
      <c r="M1039" s="791">
        <f>'SOUTH-2'!M1136</f>
        <v>0</v>
      </c>
      <c r="N1039" s="2019">
        <f>'SOUTH-2'!N1136</f>
        <v>0</v>
      </c>
      <c r="O1039" s="2019" t="str">
        <f>Sheet2!$C$57</f>
        <v>Shyampur  33/11KV S/S</v>
      </c>
    </row>
    <row r="1040" spans="1:15" x14ac:dyDescent="0.35">
      <c r="A1040" s="2019">
        <f>'SOUTH-2'!A1137</f>
        <v>30</v>
      </c>
      <c r="B1040" s="2019" t="str">
        <f>'SOUTH-2'!B1137</f>
        <v xml:space="preserve">11 kV Akbar-Nabi Steel </v>
      </c>
      <c r="C1040" s="2019">
        <f>'SOUTH-2'!C1137</f>
        <v>11</v>
      </c>
      <c r="D1040" s="2019" t="str">
        <f>'SOUTH-2'!D1137</f>
        <v>Shympur</v>
      </c>
      <c r="E1040" s="2019" t="str">
        <f>'SOUTH-2'!E1137</f>
        <v>BD001941</v>
      </c>
      <c r="F1040" s="791">
        <f>'SOUTH-2'!F1137</f>
        <v>1</v>
      </c>
      <c r="G1040" s="791">
        <f>'SOUTH-2'!G1137</f>
        <v>1130.8579</v>
      </c>
      <c r="H1040" s="791">
        <f>'SOUTH-2'!H1137</f>
        <v>1156.7186999999999</v>
      </c>
      <c r="I1040" s="791">
        <f>'SOUTH-2'!I1137</f>
        <v>25.860799999999927</v>
      </c>
      <c r="J1040" s="791">
        <f>'SOUTH-2'!J1137</f>
        <v>40000</v>
      </c>
      <c r="K1040" s="791">
        <f>'SOUTH-2'!K1137</f>
        <v>0</v>
      </c>
      <c r="L1040" s="791">
        <f>'SOUTH-2'!L1137</f>
        <v>1034431.9999999971</v>
      </c>
      <c r="M1040" s="791">
        <f>'SOUTH-2'!M1137</f>
        <v>0</v>
      </c>
      <c r="N1040" s="2019">
        <f>'SOUTH-2'!N1137</f>
        <v>0</v>
      </c>
      <c r="O1040" s="2019" t="str">
        <f>Sheet2!$C$57</f>
        <v>Shyampur  33/11KV S/S</v>
      </c>
    </row>
    <row r="1041" spans="1:15" x14ac:dyDescent="0.35">
      <c r="A1041" s="2019">
        <f>'SOUTH-2'!A1138</f>
        <v>31</v>
      </c>
      <c r="B1041" s="2019" t="str">
        <f>'SOUTH-2'!B1138</f>
        <v>11 kV Spare Feeder</v>
      </c>
      <c r="C1041" s="2019">
        <f>'SOUTH-2'!C1138</f>
        <v>11</v>
      </c>
      <c r="D1041" s="2019">
        <f>'SOUTH-2'!D1138</f>
        <v>0</v>
      </c>
      <c r="E1041" s="2019">
        <f>'SOUTH-2'!E1138</f>
        <v>0</v>
      </c>
      <c r="F1041" s="791">
        <f>'SOUTH-2'!F1138</f>
        <v>1</v>
      </c>
      <c r="G1041" s="791">
        <f>'SOUTH-2'!G1138</f>
        <v>0</v>
      </c>
      <c r="H1041" s="791">
        <f>'SOUTH-2'!H1138</f>
        <v>0</v>
      </c>
      <c r="I1041" s="791">
        <f>'SOUTH-2'!I1138</f>
        <v>0</v>
      </c>
      <c r="J1041" s="791">
        <f>'SOUTH-2'!J1138</f>
        <v>40000</v>
      </c>
      <c r="K1041" s="791">
        <f>'SOUTH-2'!K1138</f>
        <v>0</v>
      </c>
      <c r="L1041" s="791">
        <f>'SOUTH-2'!L1138</f>
        <v>0</v>
      </c>
      <c r="M1041" s="791">
        <f>'SOUTH-2'!M1138</f>
        <v>0</v>
      </c>
      <c r="N1041" s="2019">
        <f>'SOUTH-2'!N1138</f>
        <v>0</v>
      </c>
      <c r="O1041" s="2019" t="str">
        <f>Sheet2!$C$57</f>
        <v>Shyampur  33/11KV S/S</v>
      </c>
    </row>
    <row r="1042" spans="1:15" x14ac:dyDescent="0.35">
      <c r="A1042" s="2019">
        <f>'SOUTH-2'!A1139</f>
        <v>32</v>
      </c>
      <c r="B1042" s="2019" t="str">
        <f>'SOUTH-2'!B1139</f>
        <v>11 kV Spare Feeder</v>
      </c>
      <c r="C1042" s="2019">
        <f>'SOUTH-2'!C1139</f>
        <v>11</v>
      </c>
      <c r="D1042" s="2019">
        <f>'SOUTH-2'!D1139</f>
        <v>0</v>
      </c>
      <c r="E1042" s="2019">
        <f>'SOUTH-2'!E1139</f>
        <v>0</v>
      </c>
      <c r="F1042" s="791">
        <f>'SOUTH-2'!F1139</f>
        <v>1</v>
      </c>
      <c r="G1042" s="791">
        <f>'SOUTH-2'!G1139</f>
        <v>0</v>
      </c>
      <c r="H1042" s="791">
        <f>'SOUTH-2'!H1139</f>
        <v>0</v>
      </c>
      <c r="I1042" s="791">
        <f>'SOUTH-2'!I1139</f>
        <v>0</v>
      </c>
      <c r="J1042" s="791">
        <f>'SOUTH-2'!J1139</f>
        <v>40000</v>
      </c>
      <c r="K1042" s="791">
        <f>'SOUTH-2'!K1139</f>
        <v>0</v>
      </c>
      <c r="L1042" s="791">
        <f>'SOUTH-2'!L1139</f>
        <v>0</v>
      </c>
      <c r="M1042" s="791">
        <f>'SOUTH-2'!M1139</f>
        <v>0</v>
      </c>
      <c r="N1042" s="2019">
        <f>'SOUTH-2'!N1139</f>
        <v>0</v>
      </c>
      <c r="O1042" s="2019" t="str">
        <f>Sheet2!$C$57</f>
        <v>Shyampur  33/11KV S/S</v>
      </c>
    </row>
    <row r="1043" spans="1:15" x14ac:dyDescent="0.35">
      <c r="A1043" s="2019">
        <f>'SOUTH-2'!A1140</f>
        <v>33</v>
      </c>
      <c r="B1043" s="2019" t="str">
        <f>'SOUTH-2'!B1140</f>
        <v>11 kV Spare Feeder</v>
      </c>
      <c r="C1043" s="2019">
        <f>'SOUTH-2'!C1140</f>
        <v>11</v>
      </c>
      <c r="D1043" s="2019">
        <f>'SOUTH-2'!D1140</f>
        <v>0</v>
      </c>
      <c r="E1043" s="2019">
        <f>'SOUTH-2'!E1140</f>
        <v>0</v>
      </c>
      <c r="F1043" s="791">
        <f>'SOUTH-2'!F1140</f>
        <v>1</v>
      </c>
      <c r="G1043" s="791">
        <f>'SOUTH-2'!G1140</f>
        <v>0</v>
      </c>
      <c r="H1043" s="791">
        <f>'SOUTH-2'!H1140</f>
        <v>0</v>
      </c>
      <c r="I1043" s="791">
        <f>'SOUTH-2'!I1140</f>
        <v>0</v>
      </c>
      <c r="J1043" s="791">
        <f>'SOUTH-2'!J1140</f>
        <v>40000</v>
      </c>
      <c r="K1043" s="791">
        <f>'SOUTH-2'!K1140</f>
        <v>0</v>
      </c>
      <c r="L1043" s="791">
        <f>'SOUTH-2'!L1140</f>
        <v>0</v>
      </c>
      <c r="M1043" s="791">
        <f>'SOUTH-2'!M1140</f>
        <v>0</v>
      </c>
      <c r="N1043" s="2019">
        <f>'SOUTH-2'!N1140</f>
        <v>0</v>
      </c>
      <c r="O1043" s="2019" t="str">
        <f>Sheet2!$C$57</f>
        <v>Shyampur  33/11KV S/S</v>
      </c>
    </row>
    <row r="1044" spans="1:15" x14ac:dyDescent="0.35">
      <c r="A1044" s="2019">
        <f>'SOUTH-2'!A1141</f>
        <v>34</v>
      </c>
      <c r="B1044" s="2019" t="str">
        <f>'SOUTH-2'!B1141</f>
        <v>11 kV Rasulpur Feeder</v>
      </c>
      <c r="C1044" s="2019">
        <f>'SOUTH-2'!C1141</f>
        <v>11</v>
      </c>
      <c r="D1044" s="2019" t="str">
        <f>'SOUTH-2'!D1141</f>
        <v>Shympur</v>
      </c>
      <c r="E1044" s="2019" t="str">
        <f>'SOUTH-2'!E1141</f>
        <v>BD001943</v>
      </c>
      <c r="F1044" s="791">
        <f>'SOUTH-2'!F1141</f>
        <v>1</v>
      </c>
      <c r="G1044" s="791">
        <f>'SOUTH-2'!G1141</f>
        <v>1992.0011</v>
      </c>
      <c r="H1044" s="791">
        <f>'SOUTH-2'!H1141</f>
        <v>2009.6032</v>
      </c>
      <c r="I1044" s="791">
        <f>'SOUTH-2'!I1141</f>
        <v>17.602100000000064</v>
      </c>
      <c r="J1044" s="791">
        <f>'SOUTH-2'!J1141</f>
        <v>40000</v>
      </c>
      <c r="K1044" s="791">
        <f>'SOUTH-2'!K1141</f>
        <v>0</v>
      </c>
      <c r="L1044" s="791">
        <f>'SOUTH-2'!L1141</f>
        <v>704084.00000000256</v>
      </c>
      <c r="M1044" s="791">
        <f>'SOUTH-2'!M1141</f>
        <v>0</v>
      </c>
      <c r="N1044" s="2019">
        <f>'SOUTH-2'!N1141</f>
        <v>0</v>
      </c>
      <c r="O1044" s="2019" t="str">
        <f>Sheet2!$C$57</f>
        <v>Shyampur  33/11KV S/S</v>
      </c>
    </row>
    <row r="1045" spans="1:15" x14ac:dyDescent="0.35">
      <c r="A1045" s="2019">
        <f>'SOUTH-2'!A1142</f>
        <v>35</v>
      </c>
      <c r="B1045" s="2019" t="str">
        <f>'SOUTH-2'!B1142</f>
        <v xml:space="preserve"> 11 Kv  Pioneer Steel Feeder</v>
      </c>
      <c r="C1045" s="2019">
        <f>'SOUTH-2'!C1142</f>
        <v>11</v>
      </c>
      <c r="D1045" s="2019" t="str">
        <f>'SOUTH-2'!D1142</f>
        <v>Shympur</v>
      </c>
      <c r="E1045" s="2019" t="str">
        <f>'SOUTH-2'!E1142</f>
        <v>BD001924</v>
      </c>
      <c r="F1045" s="791">
        <f>'SOUTH-2'!F1142</f>
        <v>1</v>
      </c>
      <c r="G1045" s="791">
        <f>'SOUTH-2'!G1142</f>
        <v>154.42420000000001</v>
      </c>
      <c r="H1045" s="791">
        <f>'SOUTH-2'!H1142</f>
        <v>156.785</v>
      </c>
      <c r="I1045" s="791">
        <f>'SOUTH-2'!I1142</f>
        <v>2.3607999999999834</v>
      </c>
      <c r="J1045" s="791">
        <f>'SOUTH-2'!J1142</f>
        <v>40000</v>
      </c>
      <c r="K1045" s="791">
        <f>'SOUTH-2'!K1142</f>
        <v>0</v>
      </c>
      <c r="L1045" s="791">
        <f>'SOUTH-2'!L1142</f>
        <v>94431.999999999331</v>
      </c>
      <c r="M1045" s="791">
        <f>'SOUTH-2'!M1142</f>
        <v>0</v>
      </c>
      <c r="N1045" s="2019">
        <f>'SOUTH-2'!N1142</f>
        <v>0</v>
      </c>
      <c r="O1045" s="2019" t="str">
        <f>Sheet2!$C$57</f>
        <v>Shyampur  33/11KV S/S</v>
      </c>
    </row>
    <row r="1046" spans="1:15" x14ac:dyDescent="0.35">
      <c r="A1046" s="2019">
        <f>'SOUTH-2'!A1143</f>
        <v>37</v>
      </c>
      <c r="B1046" s="2019" t="str">
        <f>'SOUTH-2'!B1143</f>
        <v>11 kV Spare Feeder</v>
      </c>
      <c r="C1046" s="2019">
        <f>'SOUTH-2'!C1143</f>
        <v>0</v>
      </c>
      <c r="D1046" s="2019">
        <f>'SOUTH-2'!D1143</f>
        <v>0</v>
      </c>
      <c r="E1046" s="2019">
        <f>'SOUTH-2'!E1143</f>
        <v>0</v>
      </c>
      <c r="F1046" s="791">
        <f>'SOUTH-2'!F1143</f>
        <v>1</v>
      </c>
      <c r="G1046" s="791">
        <f>'SOUTH-2'!G1143</f>
        <v>0</v>
      </c>
      <c r="H1046" s="791">
        <f>'SOUTH-2'!H1143</f>
        <v>0</v>
      </c>
      <c r="I1046" s="791">
        <f>'SOUTH-2'!I1143</f>
        <v>0</v>
      </c>
      <c r="J1046" s="791">
        <f>'SOUTH-2'!J1143</f>
        <v>40000</v>
      </c>
      <c r="K1046" s="791">
        <f>'SOUTH-2'!K1143</f>
        <v>0</v>
      </c>
      <c r="L1046" s="791">
        <f>'SOUTH-2'!L1143</f>
        <v>0</v>
      </c>
      <c r="M1046" s="791">
        <f>'SOUTH-2'!M1143</f>
        <v>0</v>
      </c>
      <c r="N1046" s="2019">
        <f>'SOUTH-2'!N1143</f>
        <v>0</v>
      </c>
      <c r="O1046" s="2019" t="str">
        <f>Sheet2!$C$57</f>
        <v>Shyampur  33/11KV S/S</v>
      </c>
    </row>
    <row r="1047" spans="1:15" x14ac:dyDescent="0.35">
      <c r="A1047" s="2019">
        <f>'SOUTH-2'!A1144</f>
        <v>38</v>
      </c>
      <c r="B1047" s="2019" t="str">
        <f>'SOUTH-2'!B1144</f>
        <v>11 kV Sun Steel Feeder</v>
      </c>
      <c r="C1047" s="2019">
        <f>'SOUTH-2'!C1144</f>
        <v>11</v>
      </c>
      <c r="D1047" s="2019" t="str">
        <f>'SOUTH-2'!D1144</f>
        <v>Shympur</v>
      </c>
      <c r="E1047" s="2019" t="str">
        <f>'SOUTH-2'!E1144</f>
        <v>BD001935</v>
      </c>
      <c r="F1047" s="791">
        <f>'SOUTH-2'!F1144</f>
        <v>1</v>
      </c>
      <c r="G1047" s="791">
        <f>'SOUTH-2'!G1144</f>
        <v>1014.8308</v>
      </c>
      <c r="H1047" s="791">
        <f>'SOUTH-2'!H1144</f>
        <v>1038.2892999999999</v>
      </c>
      <c r="I1047" s="791">
        <f>'SOUTH-2'!I1144</f>
        <v>23.458499999999958</v>
      </c>
      <c r="J1047" s="791">
        <f>'SOUTH-2'!J1144</f>
        <v>40000</v>
      </c>
      <c r="K1047" s="791">
        <f>'SOUTH-2'!K1144</f>
        <v>0</v>
      </c>
      <c r="L1047" s="791">
        <f>'SOUTH-2'!L1144</f>
        <v>938339.99999999837</v>
      </c>
      <c r="M1047" s="791">
        <f>'SOUTH-2'!M1144</f>
        <v>0</v>
      </c>
      <c r="N1047" s="2019">
        <f>'SOUTH-2'!N1144</f>
        <v>0</v>
      </c>
      <c r="O1047" s="2019" t="str">
        <f>Sheet2!$C$57</f>
        <v>Shyampur  33/11KV S/S</v>
      </c>
    </row>
    <row r="1048" spans="1:15" x14ac:dyDescent="0.35">
      <c r="A1048" s="2019">
        <f>'SOUTH-2'!A1145</f>
        <v>39</v>
      </c>
      <c r="B1048" s="2019" t="str">
        <f>'SOUTH-2'!B1145</f>
        <v>11 kV Taher Steel Feeder</v>
      </c>
      <c r="C1048" s="2019">
        <f>'SOUTH-2'!C1145</f>
        <v>11</v>
      </c>
      <c r="D1048" s="2019" t="str">
        <f>'SOUTH-2'!D1145</f>
        <v>Shympur</v>
      </c>
      <c r="E1048" s="2019" t="str">
        <f>'SOUTH-2'!E1145</f>
        <v>BD001942</v>
      </c>
      <c r="F1048" s="791">
        <f>'SOUTH-2'!F1145</f>
        <v>1</v>
      </c>
      <c r="G1048" s="791">
        <f>'SOUTH-2'!G1145</f>
        <v>3278.0029</v>
      </c>
      <c r="H1048" s="791">
        <f>'SOUTH-2'!H1145</f>
        <v>3332.0327000000002</v>
      </c>
      <c r="I1048" s="791">
        <f>'SOUTH-2'!I1145</f>
        <v>54.02980000000025</v>
      </c>
      <c r="J1048" s="791">
        <f>'SOUTH-2'!J1145</f>
        <v>40000</v>
      </c>
      <c r="K1048" s="791">
        <f>'SOUTH-2'!K1145</f>
        <v>0</v>
      </c>
      <c r="L1048" s="791">
        <f>'SOUTH-2'!L1145</f>
        <v>2161192.0000000102</v>
      </c>
      <c r="M1048" s="791">
        <f>'SOUTH-2'!M1145</f>
        <v>0</v>
      </c>
      <c r="N1048" s="2019">
        <f>'SOUTH-2'!N1145</f>
        <v>0</v>
      </c>
      <c r="O1048" s="2019" t="str">
        <f>Sheet2!$C$57</f>
        <v>Shyampur  33/11KV S/S</v>
      </c>
    </row>
    <row r="1049" spans="1:15" x14ac:dyDescent="0.35">
      <c r="A1049" s="2019">
        <f>'SOUTH-2'!A1146</f>
        <v>40</v>
      </c>
      <c r="B1049" s="2019" t="str">
        <f>'SOUTH-2'!B1146</f>
        <v>11 kV Igloo Feeder</v>
      </c>
      <c r="C1049" s="2019">
        <f>'SOUTH-2'!C1146</f>
        <v>11</v>
      </c>
      <c r="D1049" s="2019" t="str">
        <f>'SOUTH-2'!D1146</f>
        <v>Shympur</v>
      </c>
      <c r="E1049" s="2019" t="str">
        <f>'SOUTH-2'!E1146</f>
        <v>BD001942</v>
      </c>
      <c r="F1049" s="791">
        <f>'SOUTH-2'!F1146</f>
        <v>1</v>
      </c>
      <c r="G1049" s="791">
        <f>'SOUTH-2'!G1146</f>
        <v>980.53510000000006</v>
      </c>
      <c r="H1049" s="791">
        <f>'SOUTH-2'!H1146</f>
        <v>986.47670000000005</v>
      </c>
      <c r="I1049" s="791">
        <f>'SOUTH-2'!I1146</f>
        <v>5.941599999999994</v>
      </c>
      <c r="J1049" s="791">
        <f>'SOUTH-2'!J1146</f>
        <v>40000</v>
      </c>
      <c r="K1049" s="791">
        <f>'SOUTH-2'!K1146</f>
        <v>0</v>
      </c>
      <c r="L1049" s="791">
        <f>'SOUTH-2'!L1146</f>
        <v>237663.99999999977</v>
      </c>
      <c r="M1049" s="791">
        <f>'SOUTH-2'!M1146</f>
        <v>0</v>
      </c>
      <c r="N1049" s="2019">
        <f>'SOUTH-2'!N1146</f>
        <v>0</v>
      </c>
      <c r="O1049" s="2019" t="str">
        <f>Sheet2!$C$57</f>
        <v>Shyampur  33/11KV S/S</v>
      </c>
    </row>
    <row r="1050" spans="1:15" x14ac:dyDescent="0.35">
      <c r="A1050" s="2019">
        <f>'SOUTH-2'!A1147</f>
        <v>41</v>
      </c>
      <c r="B1050" s="2019" t="str">
        <f>'SOUTH-2'!B1147</f>
        <v>11/0.4 kV Aux Transformer, T-1</v>
      </c>
      <c r="C1050" s="2019">
        <f>'SOUTH-2'!C1147</f>
        <v>0.4</v>
      </c>
      <c r="D1050" s="2019" t="str">
        <f>'SOUTH-2'!D1147</f>
        <v>DPDC</v>
      </c>
      <c r="E1050" s="2019" t="str">
        <f>'SOUTH-2'!E1147</f>
        <v>DHK20964</v>
      </c>
      <c r="F1050" s="791">
        <f>'SOUTH-2'!F1147</f>
        <v>1</v>
      </c>
      <c r="G1050" s="791">
        <f>'SOUTH-2'!G1147</f>
        <v>494429</v>
      </c>
      <c r="H1050" s="791">
        <f>'SOUTH-2'!H1147</f>
        <v>494429</v>
      </c>
      <c r="I1050" s="791">
        <f>'SOUTH-2'!I1147</f>
        <v>0</v>
      </c>
      <c r="J1050" s="791">
        <f>'SOUTH-2'!J1147</f>
        <v>1</v>
      </c>
      <c r="K1050" s="791">
        <f>'SOUTH-2'!K1147</f>
        <v>0</v>
      </c>
      <c r="L1050" s="791">
        <f>'SOUTH-2'!L1147</f>
        <v>0</v>
      </c>
      <c r="M1050" s="791">
        <f>'SOUTH-2'!M1147</f>
        <v>0</v>
      </c>
      <c r="N1050" s="2019">
        <f>'SOUTH-2'!N1147</f>
        <v>0</v>
      </c>
      <c r="O1050" s="2019" t="str">
        <f>Sheet2!$C$57</f>
        <v>Shyampur  33/11KV S/S</v>
      </c>
    </row>
    <row r="1051" spans="1:15" x14ac:dyDescent="0.35">
      <c r="A1051" s="2019">
        <f>'SOUTH-2'!A1148</f>
        <v>42</v>
      </c>
      <c r="B1051" s="2019" t="str">
        <f>'SOUTH-2'!B1148</f>
        <v>33/0.4 kV Aux TR, GT-4 (At 11 kV)</v>
      </c>
      <c r="C1051" s="2019">
        <f>'SOUTH-2'!C1148</f>
        <v>0.4</v>
      </c>
      <c r="D1051" s="2019" t="str">
        <f>'SOUTH-2'!D1148</f>
        <v>DPDC</v>
      </c>
      <c r="E1051" s="2019" t="str">
        <f>'SOUTH-2'!E1148</f>
        <v>DHK26108</v>
      </c>
      <c r="F1051" s="791">
        <f>'SOUTH-2'!F1148</f>
        <v>1</v>
      </c>
      <c r="G1051" s="791">
        <f>'SOUTH-2'!G1148</f>
        <v>60602.7</v>
      </c>
      <c r="H1051" s="791">
        <f>'SOUTH-2'!H1148</f>
        <v>61040.9</v>
      </c>
      <c r="I1051" s="791">
        <f>'SOUTH-2'!I1148</f>
        <v>438.20000000000437</v>
      </c>
      <c r="J1051" s="791">
        <f>'SOUTH-2'!J1148</f>
        <v>1</v>
      </c>
      <c r="K1051" s="791">
        <f>'SOUTH-2'!K1148</f>
        <v>0</v>
      </c>
      <c r="L1051" s="791">
        <f>'SOUTH-2'!L1148</f>
        <v>438.20000000000437</v>
      </c>
      <c r="M1051" s="791">
        <f>'SOUTH-2'!M1148</f>
        <v>0</v>
      </c>
      <c r="N1051" s="2019">
        <f>'SOUTH-2'!N1148</f>
        <v>0</v>
      </c>
      <c r="O1051" s="2019" t="str">
        <f>Sheet2!$C$57</f>
        <v>Shyampur  33/11KV S/S</v>
      </c>
    </row>
    <row r="1052" spans="1:15" x14ac:dyDescent="0.35">
      <c r="A1052" s="2019">
        <f>'SOUTH-2'!A1149</f>
        <v>25</v>
      </c>
      <c r="B1052" s="2019" t="str">
        <f>'SOUTH-2'!B1149</f>
        <v>33/0.4 kV Aux TR, GT-3 (At-33 kV)</v>
      </c>
      <c r="C1052" s="2019">
        <f>'SOUTH-2'!C1149</f>
        <v>0.4</v>
      </c>
      <c r="D1052" s="2019">
        <f>'SOUTH-2'!D1149</f>
        <v>0</v>
      </c>
      <c r="E1052" s="2019">
        <f>'SOUTH-2'!E1149</f>
        <v>0</v>
      </c>
      <c r="F1052" s="791">
        <f>'SOUTH-2'!F1149</f>
        <v>1</v>
      </c>
      <c r="G1052" s="791">
        <f>'SOUTH-2'!G1149</f>
        <v>535854</v>
      </c>
      <c r="H1052" s="791">
        <f>'SOUTH-2'!H1149</f>
        <v>544597</v>
      </c>
      <c r="I1052" s="791">
        <f>'SOUTH-2'!I1149</f>
        <v>8743</v>
      </c>
      <c r="J1052" s="791">
        <f>'SOUTH-2'!J1149</f>
        <v>1</v>
      </c>
      <c r="K1052" s="791">
        <f>'SOUTH-2'!K1149</f>
        <v>0</v>
      </c>
      <c r="L1052" s="791">
        <f>'SOUTH-2'!L1149</f>
        <v>8743</v>
      </c>
      <c r="M1052" s="791">
        <f>'SOUTH-2'!M1149</f>
        <v>0</v>
      </c>
      <c r="N1052" s="2019">
        <f>'SOUTH-2'!N1149</f>
        <v>0</v>
      </c>
      <c r="O1052" s="2019" t="str">
        <f>Sheet2!$C$57</f>
        <v>Shyampur  33/11KV S/S</v>
      </c>
    </row>
    <row r="1053" spans="1:15" x14ac:dyDescent="0.35">
      <c r="A1053" s="2019">
        <f>'SOUTH-2'!A1150</f>
        <v>26</v>
      </c>
      <c r="B1053" s="2019" t="str">
        <f>'SOUTH-2'!B1150</f>
        <v>11/0.4 kV Aux Transformer, T-2</v>
      </c>
      <c r="C1053" s="2019">
        <f>'SOUTH-2'!C1150</f>
        <v>0.4</v>
      </c>
      <c r="D1053" s="2019">
        <f>'SOUTH-2'!D1150</f>
        <v>0</v>
      </c>
      <c r="E1053" s="2019" t="str">
        <f>'SOUTH-2'!E1150</f>
        <v>DHK20964</v>
      </c>
      <c r="F1053" s="791">
        <f>'SOUTH-2'!F1150</f>
        <v>1</v>
      </c>
      <c r="G1053" s="791">
        <f>'SOUTH-2'!G1150</f>
        <v>0</v>
      </c>
      <c r="H1053" s="791">
        <f>'SOUTH-2'!H1150</f>
        <v>0</v>
      </c>
      <c r="I1053" s="791">
        <f>'SOUTH-2'!I1150</f>
        <v>0</v>
      </c>
      <c r="J1053" s="791">
        <f>'SOUTH-2'!J1150</f>
        <v>1</v>
      </c>
      <c r="K1053" s="791">
        <f>'SOUTH-2'!K1150</f>
        <v>0</v>
      </c>
      <c r="L1053" s="791">
        <f>'SOUTH-2'!L1150</f>
        <v>0</v>
      </c>
      <c r="M1053" s="791">
        <f>'SOUTH-2'!M1150</f>
        <v>0</v>
      </c>
      <c r="N1053" s="2019">
        <f>'SOUTH-2'!N1150</f>
        <v>0</v>
      </c>
      <c r="O1053" s="2019" t="str">
        <f>Sheet2!$C$57</f>
        <v>Shyampur  33/11KV S/S</v>
      </c>
    </row>
    <row r="1054" spans="1:15" x14ac:dyDescent="0.35">
      <c r="A1054" s="2019">
        <f>'SOUTH-2'!A1215</f>
        <v>1</v>
      </c>
      <c r="B1054" s="2019" t="str">
        <f>'SOUTH-2'!B1215</f>
        <v>11 kV Nama shyampur Feeder</v>
      </c>
      <c r="C1054" s="2019">
        <f>'SOUTH-2'!C1215</f>
        <v>11</v>
      </c>
      <c r="D1054" s="2019" t="str">
        <f>'SOUTH-2'!D1215</f>
        <v>Shympur</v>
      </c>
      <c r="E1054" s="2019" t="str">
        <f>'SOUTH-2'!E1215</f>
        <v>HA-021101066-02</v>
      </c>
      <c r="F1054" s="791">
        <f>'SOUTH-2'!F1215</f>
        <v>1</v>
      </c>
      <c r="G1054" s="791">
        <f>'SOUTH-2'!G1215</f>
        <v>23406710</v>
      </c>
      <c r="H1054" s="791">
        <f>'SOUTH-2'!H1215</f>
        <v>24768364</v>
      </c>
      <c r="I1054" s="791">
        <f>'SOUTH-2'!I1215</f>
        <v>1361654</v>
      </c>
      <c r="J1054" s="791">
        <f>'SOUTH-2'!J1215</f>
        <v>1</v>
      </c>
      <c r="K1054" s="791">
        <f>'SOUTH-2'!K1215</f>
        <v>0</v>
      </c>
      <c r="L1054" s="791">
        <f>'SOUTH-2'!L1215</f>
        <v>1361654</v>
      </c>
      <c r="M1054" s="791">
        <f>'SOUTH-2'!M1215</f>
        <v>0</v>
      </c>
      <c r="N1054" s="2019" t="str">
        <f>'SOUTH-2'!N1215</f>
        <v>Shyampur</v>
      </c>
      <c r="O1054" s="2019" t="str">
        <f>Sheet2!$C$58</f>
        <v>Shyampur BISIC  33/11KV S/S</v>
      </c>
    </row>
    <row r="1055" spans="1:15" x14ac:dyDescent="0.35">
      <c r="A1055" s="2019">
        <f>'SOUTH-2'!A1216</f>
        <v>2</v>
      </c>
      <c r="B1055" s="2019" t="str">
        <f>'SOUTH-2'!B1216</f>
        <v>11 kV  Bombay SweetsFeeder</v>
      </c>
      <c r="C1055" s="2019">
        <f>'SOUTH-2'!C1216</f>
        <v>11</v>
      </c>
      <c r="D1055" s="2019" t="str">
        <f>'SOUTH-2'!D1216</f>
        <v>Jurain</v>
      </c>
      <c r="E1055" s="2019" t="str">
        <f>'SOUTH-2'!E1216</f>
        <v>HA-021101063-02</v>
      </c>
      <c r="F1055" s="791">
        <f>'SOUTH-2'!F1216</f>
        <v>1</v>
      </c>
      <c r="G1055" s="791">
        <f>'SOUTH-2'!G1216</f>
        <v>16054301</v>
      </c>
      <c r="H1055" s="791">
        <f>'SOUTH-2'!H1216</f>
        <v>16569008</v>
      </c>
      <c r="I1055" s="791">
        <f>'SOUTH-2'!I1216</f>
        <v>514707</v>
      </c>
      <c r="J1055" s="791">
        <f>'SOUTH-2'!J1216</f>
        <v>1</v>
      </c>
      <c r="K1055" s="791">
        <f>'SOUTH-2'!K1216</f>
        <v>0</v>
      </c>
      <c r="L1055" s="791">
        <f>'SOUTH-2'!L1216</f>
        <v>514707</v>
      </c>
      <c r="M1055" s="791">
        <f>'SOUTH-2'!M1216</f>
        <v>0</v>
      </c>
      <c r="N1055" s="2019" t="str">
        <f>'SOUTH-2'!N1216</f>
        <v>Jurain</v>
      </c>
      <c r="O1055" s="2019" t="str">
        <f>Sheet2!$C$58</f>
        <v>Shyampur BISIC  33/11KV S/S</v>
      </c>
    </row>
    <row r="1056" spans="1:15" x14ac:dyDescent="0.35">
      <c r="A1056" s="2019">
        <f>'SOUTH-2'!A1217</f>
        <v>3</v>
      </c>
      <c r="B1056" s="2019" t="str">
        <f>'SOUTH-2'!B1217</f>
        <v>11 kV  H. R Steel</v>
      </c>
      <c r="C1056" s="2019">
        <f>'SOUTH-2'!C1217</f>
        <v>11</v>
      </c>
      <c r="D1056" s="2019" t="str">
        <f>'SOUTH-2'!D1217</f>
        <v>Shympur</v>
      </c>
      <c r="E1056" s="2019" t="str">
        <f>'SOUTH-2'!E1217</f>
        <v>HA-021100377-02</v>
      </c>
      <c r="F1056" s="791">
        <f>'SOUTH-2'!F1217</f>
        <v>1</v>
      </c>
      <c r="G1056" s="791">
        <f>'SOUTH-2'!G1217</f>
        <v>24410033</v>
      </c>
      <c r="H1056" s="791">
        <f>'SOUTH-2'!H1217</f>
        <v>24410033</v>
      </c>
      <c r="I1056" s="791">
        <f>'SOUTH-2'!I1217</f>
        <v>0</v>
      </c>
      <c r="J1056" s="791">
        <f>'SOUTH-2'!J1217</f>
        <v>1</v>
      </c>
      <c r="K1056" s="791">
        <f>'SOUTH-2'!K1217</f>
        <v>0</v>
      </c>
      <c r="L1056" s="791">
        <f>'SOUTH-2'!L1217</f>
        <v>0</v>
      </c>
      <c r="M1056" s="791">
        <f>'SOUTH-2'!M1217</f>
        <v>0</v>
      </c>
      <c r="N1056" s="2019" t="str">
        <f>'SOUTH-2'!N1217</f>
        <v>Shyampur</v>
      </c>
      <c r="O1056" s="2019" t="str">
        <f>Sheet2!$C$58</f>
        <v>Shyampur BISIC  33/11KV S/S</v>
      </c>
    </row>
    <row r="1057" spans="1:15" x14ac:dyDescent="0.35">
      <c r="A1057" s="2019">
        <f>'SOUTH-2'!A1218</f>
        <v>4</v>
      </c>
      <c r="B1057" s="2019" t="str">
        <f>'SOUTH-2'!B1218</f>
        <v>11 kV Shyampur Incoming (F1)</v>
      </c>
      <c r="C1057" s="2019">
        <f>'SOUTH-2'!C1218</f>
        <v>11</v>
      </c>
      <c r="D1057" s="2019" t="str">
        <f>'SOUTH-2'!D1218</f>
        <v>Import</v>
      </c>
      <c r="E1057" s="2019" t="str">
        <f>'SOUTH-2'!E1218</f>
        <v>DHK61020</v>
      </c>
      <c r="F1057" s="791">
        <f>'SOUTH-2'!F1218</f>
        <v>1</v>
      </c>
      <c r="G1057" s="791">
        <f>'SOUTH-2'!G1218</f>
        <v>9697.2000000000007</v>
      </c>
      <c r="H1057" s="791">
        <f>'SOUTH-2'!H1218</f>
        <v>9697.2000000000007</v>
      </c>
      <c r="I1057" s="791">
        <f>'SOUTH-2'!I1218</f>
        <v>0</v>
      </c>
      <c r="J1057" s="791">
        <f>'SOUTH-2'!J1218</f>
        <v>60</v>
      </c>
      <c r="K1057" s="791">
        <f>'SOUTH-2'!K1218</f>
        <v>0</v>
      </c>
      <c r="L1057" s="791">
        <f>'SOUTH-2'!L1218</f>
        <v>0</v>
      </c>
      <c r="M1057" s="791">
        <f>'SOUTH-2'!M1218</f>
        <v>0</v>
      </c>
      <c r="N1057" s="2019" t="str">
        <f>'SOUTH-2'!N1218</f>
        <v>Jurain</v>
      </c>
      <c r="O1057" s="2019" t="str">
        <f>Sheet2!$C$58</f>
        <v>Shyampur BISIC  33/11KV S/S</v>
      </c>
    </row>
    <row r="1058" spans="1:15" x14ac:dyDescent="0.35">
      <c r="A1058" s="2019">
        <f>'SOUTH-2'!A1219</f>
        <v>5</v>
      </c>
      <c r="B1058" s="2019" t="str">
        <f>'SOUTH-2'!B1219</f>
        <v>11 kV Ali Bahar Feeder (F2)</v>
      </c>
      <c r="C1058" s="2019">
        <f>'SOUTH-2'!C1219</f>
        <v>11</v>
      </c>
      <c r="D1058" s="2019" t="str">
        <f>'SOUTH-2'!D1219</f>
        <v>Jurain</v>
      </c>
      <c r="E1058" s="2019" t="str">
        <f>'SOUTH-2'!E1219</f>
        <v>DHK61021</v>
      </c>
      <c r="F1058" s="791">
        <f>'SOUTH-2'!F1219</f>
        <v>1</v>
      </c>
      <c r="G1058" s="791">
        <f>'SOUTH-2'!G1219</f>
        <v>192268.7</v>
      </c>
      <c r="H1058" s="791">
        <f>'SOUTH-2'!H1219</f>
        <v>222211.5</v>
      </c>
      <c r="I1058" s="791">
        <f>'SOUTH-2'!I1219</f>
        <v>29942.799999999988</v>
      </c>
      <c r="J1058" s="791">
        <f>'SOUTH-2'!J1219</f>
        <v>60</v>
      </c>
      <c r="K1058" s="791">
        <f>'SOUTH-2'!K1219</f>
        <v>0</v>
      </c>
      <c r="L1058" s="791">
        <f>'SOUTH-2'!L1219</f>
        <v>1796567.9999999993</v>
      </c>
      <c r="M1058" s="791">
        <f>'SOUTH-2'!M1219</f>
        <v>0</v>
      </c>
      <c r="N1058" s="2019" t="str">
        <f>'SOUTH-2'!N1219</f>
        <v>Jurain</v>
      </c>
      <c r="O1058" s="2019" t="str">
        <f>Sheet2!$C$58</f>
        <v>Shyampur BISIC  33/11KV S/S</v>
      </c>
    </row>
    <row r="1059" spans="1:15" x14ac:dyDescent="0.35">
      <c r="A1059" s="2019">
        <f>'SOUTH-2'!A1220</f>
        <v>6</v>
      </c>
      <c r="B1059" s="2019" t="str">
        <f>'SOUTH-2'!B1220</f>
        <v>11 kV Mosjid Road Feeder (F3)</v>
      </c>
      <c r="C1059" s="2019">
        <f>'SOUTH-2'!C1220</f>
        <v>11</v>
      </c>
      <c r="D1059" s="2019" t="str">
        <f>'SOUTH-2'!D1220</f>
        <v>Jurain</v>
      </c>
      <c r="E1059" s="2019" t="str">
        <f>'SOUTH-2'!E1220</f>
        <v>DHK60936</v>
      </c>
      <c r="F1059" s="791">
        <f>'SOUTH-2'!F1220</f>
        <v>1</v>
      </c>
      <c r="G1059" s="791">
        <f>'SOUTH-2'!G1220</f>
        <v>411635.8</v>
      </c>
      <c r="H1059" s="791">
        <f>'SOUTH-2'!H1220</f>
        <v>434805</v>
      </c>
      <c r="I1059" s="791">
        <f>'SOUTH-2'!I1220</f>
        <v>23169.200000000012</v>
      </c>
      <c r="J1059" s="791">
        <f>'SOUTH-2'!J1220</f>
        <v>60</v>
      </c>
      <c r="K1059" s="791">
        <f>'SOUTH-2'!K1220</f>
        <v>0</v>
      </c>
      <c r="L1059" s="791">
        <f>'SOUTH-2'!L1220</f>
        <v>1390152.0000000007</v>
      </c>
      <c r="M1059" s="791">
        <f>'SOUTH-2'!M1220</f>
        <v>0</v>
      </c>
      <c r="N1059" s="2019" t="str">
        <f>'SOUTH-2'!N1220</f>
        <v>Jurain</v>
      </c>
      <c r="O1059" s="2019" t="str">
        <f>Sheet2!$C$58</f>
        <v>Shyampur BISIC  33/11KV S/S</v>
      </c>
    </row>
    <row r="1060" spans="1:15" x14ac:dyDescent="0.35">
      <c r="A1060" s="2019">
        <f>'SOUTH-2'!A1221</f>
        <v>7</v>
      </c>
      <c r="B1060" s="2019" t="str">
        <f>'SOUTH-2'!B1221</f>
        <v>11 kV Shyampur O/H Feeder (F4)</v>
      </c>
      <c r="C1060" s="2019">
        <f>'SOUTH-2'!C1221</f>
        <v>11</v>
      </c>
      <c r="D1060" s="2019" t="str">
        <f>'SOUTH-2'!D1221</f>
        <v>Jurain</v>
      </c>
      <c r="E1060" s="2019" t="str">
        <f>'SOUTH-2'!E1221</f>
        <v>DHK60938</v>
      </c>
      <c r="F1060" s="791">
        <f>'SOUTH-2'!F1221</f>
        <v>1</v>
      </c>
      <c r="G1060" s="791">
        <f>'SOUTH-2'!G1221</f>
        <v>437585.6</v>
      </c>
      <c r="H1060" s="791">
        <f>'SOUTH-2'!H1221</f>
        <v>459882.8</v>
      </c>
      <c r="I1060" s="791">
        <f>'SOUTH-2'!I1221</f>
        <v>22297.200000000012</v>
      </c>
      <c r="J1060" s="791">
        <f>'SOUTH-2'!J1221</f>
        <v>60</v>
      </c>
      <c r="K1060" s="791">
        <f>'SOUTH-2'!K1221</f>
        <v>0</v>
      </c>
      <c r="L1060" s="791">
        <f>'SOUTH-2'!L1221</f>
        <v>1337832.0000000007</v>
      </c>
      <c r="M1060" s="791">
        <f>'SOUTH-2'!M1221</f>
        <v>0</v>
      </c>
      <c r="N1060" s="2019" t="str">
        <f>'SOUTH-2'!N1221</f>
        <v>Jurain</v>
      </c>
      <c r="O1060" s="2019" t="str">
        <f>Sheet2!$C$58</f>
        <v>Shyampur BISIC  33/11KV S/S</v>
      </c>
    </row>
    <row r="1061" spans="1:15" x14ac:dyDescent="0.35">
      <c r="A1061" s="2019">
        <f>'SOUTH-2'!A1222</f>
        <v>8</v>
      </c>
      <c r="B1061" s="2019" t="str">
        <f>'SOUTH-2'!B1222</f>
        <v>11 kV Road No-11 Feeder (F5)</v>
      </c>
      <c r="C1061" s="2019">
        <f>'SOUTH-2'!C1222</f>
        <v>11</v>
      </c>
      <c r="D1061" s="2019" t="str">
        <f>'SOUTH-2'!D1222</f>
        <v>Shympur</v>
      </c>
      <c r="E1061" s="2019" t="str">
        <f>'SOUTH-2'!E1222</f>
        <v>DHK60937</v>
      </c>
      <c r="F1061" s="791">
        <f>'SOUTH-2'!F1222</f>
        <v>1</v>
      </c>
      <c r="G1061" s="791">
        <f>'SOUTH-2'!G1222</f>
        <v>224532.7</v>
      </c>
      <c r="H1061" s="791">
        <f>'SOUTH-2'!H1222</f>
        <v>239131.6</v>
      </c>
      <c r="I1061" s="791">
        <f>'SOUTH-2'!I1222</f>
        <v>14598.899999999994</v>
      </c>
      <c r="J1061" s="791">
        <f>'SOUTH-2'!J1222</f>
        <v>60</v>
      </c>
      <c r="K1061" s="791">
        <f>'SOUTH-2'!K1222</f>
        <v>0</v>
      </c>
      <c r="L1061" s="791">
        <f>'SOUTH-2'!L1222</f>
        <v>875933.99999999965</v>
      </c>
      <c r="M1061" s="791">
        <f>'SOUTH-2'!M1222</f>
        <v>0</v>
      </c>
      <c r="N1061" s="2019" t="str">
        <f>'SOUTH-2'!N1222</f>
        <v>Shyampur</v>
      </c>
      <c r="O1061" s="2019" t="str">
        <f>Sheet2!$C$58</f>
        <v>Shyampur BISIC  33/11KV S/S</v>
      </c>
    </row>
    <row r="1062" spans="1:15" x14ac:dyDescent="0.35">
      <c r="A1062" s="2019">
        <f>'SOUTH-2'!A1223</f>
        <v>9</v>
      </c>
      <c r="B1062" s="2019" t="str">
        <f>'SOUTH-2'!B1223</f>
        <v>11 kV Hanif Express Feeder (F6)</v>
      </c>
      <c r="C1062" s="2019">
        <f>'SOUTH-2'!C1223</f>
        <v>11</v>
      </c>
      <c r="D1062" s="2019" t="str">
        <f>'SOUTH-2'!D1223</f>
        <v>Jurain</v>
      </c>
      <c r="E1062" s="2019" t="str">
        <f>'SOUTH-2'!E1223</f>
        <v>DHK60939</v>
      </c>
      <c r="F1062" s="791">
        <f>'SOUTH-2'!F1223</f>
        <v>1</v>
      </c>
      <c r="G1062" s="791">
        <f>'SOUTH-2'!G1223</f>
        <v>463097.9</v>
      </c>
      <c r="H1062" s="791">
        <f>'SOUTH-2'!H1223</f>
        <v>478286.7</v>
      </c>
      <c r="I1062" s="791">
        <f>'SOUTH-2'!I1223</f>
        <v>15188.799999999988</v>
      </c>
      <c r="J1062" s="791">
        <f>'SOUTH-2'!J1223</f>
        <v>60</v>
      </c>
      <c r="K1062" s="791">
        <f>'SOUTH-2'!K1223</f>
        <v>0</v>
      </c>
      <c r="L1062" s="791">
        <f>'SOUTH-2'!L1223</f>
        <v>911327.9999999993</v>
      </c>
      <c r="M1062" s="791">
        <f>'SOUTH-2'!M1223</f>
        <v>0</v>
      </c>
      <c r="N1062" s="2019" t="str">
        <f>'SOUTH-2'!N1223</f>
        <v>Jurain</v>
      </c>
      <c r="O1062" s="2019" t="str">
        <f>Sheet2!$C$58</f>
        <v>Shyampur BISIC  33/11KV S/S</v>
      </c>
    </row>
    <row r="1063" spans="1:15" x14ac:dyDescent="0.35">
      <c r="A1063" s="2019">
        <f>'SOUTH-2'!A1224</f>
        <v>12</v>
      </c>
      <c r="B1063" s="2019" t="str">
        <f>'SOUTH-2'!B1224</f>
        <v>11 kV  Zia Sharani Road Feeder(F7)</v>
      </c>
      <c r="C1063" s="2019">
        <f>'SOUTH-2'!C1224</f>
        <v>11</v>
      </c>
      <c r="D1063" s="2019" t="str">
        <f>'SOUTH-2'!D1224</f>
        <v>Jurain</v>
      </c>
      <c r="E1063" s="2019" t="str">
        <f>'SOUTH-2'!E1224</f>
        <v>DHK60940</v>
      </c>
      <c r="F1063" s="791">
        <f>'SOUTH-2'!F1224</f>
        <v>1</v>
      </c>
      <c r="G1063" s="791">
        <f>'SOUTH-2'!G1224</f>
        <v>573972.69999999995</v>
      </c>
      <c r="H1063" s="791">
        <f>'SOUTH-2'!H1224</f>
        <v>601227</v>
      </c>
      <c r="I1063" s="791">
        <f>'SOUTH-2'!I1224</f>
        <v>27254.300000000047</v>
      </c>
      <c r="J1063" s="791">
        <f>'SOUTH-2'!J1224</f>
        <v>60</v>
      </c>
      <c r="K1063" s="791">
        <f>'SOUTH-2'!K1224</f>
        <v>0</v>
      </c>
      <c r="L1063" s="791">
        <f>'SOUTH-2'!L1224</f>
        <v>1635258.0000000028</v>
      </c>
      <c r="M1063" s="791">
        <f>'SOUTH-2'!M1224</f>
        <v>0</v>
      </c>
      <c r="N1063" s="2019" t="str">
        <f>'SOUTH-2'!N1224</f>
        <v>Jurain</v>
      </c>
      <c r="O1063" s="2019" t="str">
        <f>Sheet2!$C$58</f>
        <v>Shyampur BISIC  33/11KV S/S</v>
      </c>
    </row>
    <row r="1064" spans="1:15" x14ac:dyDescent="0.35">
      <c r="A1064" s="2019">
        <f>'SOUTH-2'!A1225</f>
        <v>13</v>
      </c>
      <c r="B1064" s="2019" t="str">
        <f>'SOUTH-2'!B1225</f>
        <v>11 kV Road-12 &amp; 13 Feeder(F8)</v>
      </c>
      <c r="C1064" s="2019">
        <f>'SOUTH-2'!C1225</f>
        <v>11</v>
      </c>
      <c r="D1064" s="2019" t="str">
        <f>'SOUTH-2'!D1225</f>
        <v>Shympur</v>
      </c>
      <c r="E1064" s="2019" t="str">
        <f>'SOUTH-2'!E1225</f>
        <v>DHK60941</v>
      </c>
      <c r="F1064" s="791">
        <f>'SOUTH-2'!F1225</f>
        <v>1</v>
      </c>
      <c r="G1064" s="791">
        <f>'SOUTH-2'!G1225</f>
        <v>82792.800000000003</v>
      </c>
      <c r="H1064" s="791">
        <f>'SOUTH-2'!H1225</f>
        <v>104084</v>
      </c>
      <c r="I1064" s="791">
        <f>'SOUTH-2'!I1225</f>
        <v>21291.199999999997</v>
      </c>
      <c r="J1064" s="791">
        <f>'SOUTH-2'!J1225</f>
        <v>60</v>
      </c>
      <c r="K1064" s="791">
        <f>'SOUTH-2'!K1225</f>
        <v>0</v>
      </c>
      <c r="L1064" s="791">
        <f>'SOUTH-2'!L1225</f>
        <v>1277471.9999999998</v>
      </c>
      <c r="M1064" s="791">
        <f>'SOUTH-2'!M1225</f>
        <v>0</v>
      </c>
      <c r="N1064" s="2019" t="str">
        <f>'SOUTH-2'!N1225</f>
        <v>Shyampur</v>
      </c>
      <c r="O1064" s="2019" t="str">
        <f>Sheet2!$C$58</f>
        <v>Shyampur BISIC  33/11KV S/S</v>
      </c>
    </row>
    <row r="1065" spans="1:15" x14ac:dyDescent="0.35">
      <c r="A1065" s="2019">
        <f>'SOUTH-2'!A1226</f>
        <v>14</v>
      </c>
      <c r="B1065" s="2019" t="str">
        <f>'SOUTH-2'!B1226</f>
        <v>11 kV Rahman and Baset (F9).</v>
      </c>
      <c r="C1065" s="2019">
        <f>'SOUTH-2'!C1226</f>
        <v>11</v>
      </c>
      <c r="D1065" s="2019" t="str">
        <f>'SOUTH-2'!D1226</f>
        <v>Jurain</v>
      </c>
      <c r="E1065" s="2019" t="str">
        <f>'SOUTH-2'!E1226</f>
        <v>DHK60944</v>
      </c>
      <c r="F1065" s="791">
        <f>'SOUTH-2'!F1226</f>
        <v>1</v>
      </c>
      <c r="G1065" s="791">
        <f>'SOUTH-2'!G1226</f>
        <v>303897.59999999998</v>
      </c>
      <c r="H1065" s="791">
        <f>'SOUTH-2'!H1226</f>
        <v>331760</v>
      </c>
      <c r="I1065" s="791">
        <f>'SOUTH-2'!I1226</f>
        <v>27862.400000000023</v>
      </c>
      <c r="J1065" s="791">
        <f>'SOUTH-2'!J1226</f>
        <v>60</v>
      </c>
      <c r="K1065" s="791">
        <f>'SOUTH-2'!K1226</f>
        <v>0</v>
      </c>
      <c r="L1065" s="791">
        <f>'SOUTH-2'!L1226</f>
        <v>1671744.0000000014</v>
      </c>
      <c r="M1065" s="791">
        <f>'SOUTH-2'!M1226</f>
        <v>0</v>
      </c>
      <c r="N1065" s="2019" t="str">
        <f>'SOUTH-2'!N1226</f>
        <v>Jurain</v>
      </c>
      <c r="O1065" s="2019" t="str">
        <f>Sheet2!$C$58</f>
        <v>Shyampur BISIC  33/11KV S/S</v>
      </c>
    </row>
    <row r="1066" spans="1:15" x14ac:dyDescent="0.35">
      <c r="A1066" s="2019">
        <f>'SOUTH-2'!A1227</f>
        <v>15</v>
      </c>
      <c r="B1066" s="2019" t="str">
        <f>'SOUTH-2'!B1227</f>
        <v>11 kV Sabujbagh Feeder (F10)</v>
      </c>
      <c r="C1066" s="2019">
        <f>'SOUTH-2'!C1227</f>
        <v>11</v>
      </c>
      <c r="D1066" s="2019" t="str">
        <f>'SOUTH-2'!D1227</f>
        <v>Jurain</v>
      </c>
      <c r="E1066" s="2019" t="str">
        <f>'SOUTH-2'!E1227</f>
        <v>DHK61020</v>
      </c>
      <c r="F1066" s="791">
        <f>'SOUTH-2'!F1227</f>
        <v>1</v>
      </c>
      <c r="G1066" s="791">
        <f>'SOUTH-2'!G1227</f>
        <v>241900.5</v>
      </c>
      <c r="H1066" s="791">
        <f>'SOUTH-2'!H1227</f>
        <v>268476</v>
      </c>
      <c r="I1066" s="791">
        <f>'SOUTH-2'!I1227</f>
        <v>26575.5</v>
      </c>
      <c r="J1066" s="791">
        <f>'SOUTH-2'!J1227</f>
        <v>60</v>
      </c>
      <c r="K1066" s="791">
        <f>'SOUTH-2'!K1227</f>
        <v>0</v>
      </c>
      <c r="L1066" s="791">
        <f>'SOUTH-2'!L1227</f>
        <v>1594530</v>
      </c>
      <c r="M1066" s="791">
        <f>'SOUTH-2'!M1227</f>
        <v>0</v>
      </c>
      <c r="N1066" s="2019" t="str">
        <f>'SOUTH-2'!N1227</f>
        <v>Jurain</v>
      </c>
      <c r="O1066" s="2019" t="str">
        <f>Sheet2!$C$58</f>
        <v>Shyampur BISIC  33/11KV S/S</v>
      </c>
    </row>
    <row r="1067" spans="1:15" x14ac:dyDescent="0.35">
      <c r="A1067" s="2019">
        <f>'SOUTH-2'!A1228</f>
        <v>16</v>
      </c>
      <c r="B1067" s="2019" t="str">
        <f>'SOUTH-2'!B1228</f>
        <v>11 kV Road No-7 &amp; 8 Feeder(F11)</v>
      </c>
      <c r="C1067" s="2019">
        <f>'SOUTH-2'!C1228</f>
        <v>11</v>
      </c>
      <c r="D1067" s="2019" t="str">
        <f>'SOUTH-2'!D1228</f>
        <v>Jurain</v>
      </c>
      <c r="E1067" s="2019" t="str">
        <f>'SOUTH-2'!E1228</f>
        <v>DHK60943</v>
      </c>
      <c r="F1067" s="791">
        <f>'SOUTH-2'!F1228</f>
        <v>1</v>
      </c>
      <c r="G1067" s="791">
        <f>'SOUTH-2'!G1228</f>
        <v>758694.9</v>
      </c>
      <c r="H1067" s="791">
        <f>'SOUTH-2'!H1228</f>
        <v>771581.8</v>
      </c>
      <c r="I1067" s="791">
        <f>'SOUTH-2'!I1228</f>
        <v>12886.900000000023</v>
      </c>
      <c r="J1067" s="791">
        <f>'SOUTH-2'!J1228</f>
        <v>60</v>
      </c>
      <c r="K1067" s="791">
        <f>'SOUTH-2'!K1228</f>
        <v>0</v>
      </c>
      <c r="L1067" s="791">
        <f>'SOUTH-2'!L1228</f>
        <v>773214.0000000014</v>
      </c>
      <c r="M1067" s="791">
        <f>'SOUTH-2'!M1228</f>
        <v>0</v>
      </c>
      <c r="N1067" s="2019" t="str">
        <f>'SOUTH-2'!N1228</f>
        <v>Jurain</v>
      </c>
      <c r="O1067" s="2019" t="str">
        <f>Sheet2!$C$58</f>
        <v>Shyampur BISIC  33/11KV S/S</v>
      </c>
    </row>
    <row r="1068" spans="1:15" x14ac:dyDescent="0.35">
      <c r="A1068" s="2019">
        <f>'SOUTH-2'!A1229</f>
        <v>17</v>
      </c>
      <c r="B1068" s="2019" t="str">
        <f>'SOUTH-2'!B1229</f>
        <v>11 kV Hossain Express Feeder(F12)</v>
      </c>
      <c r="C1068" s="2019">
        <f>'SOUTH-2'!C1229</f>
        <v>11</v>
      </c>
      <c r="D1068" s="2019" t="str">
        <f>'SOUTH-2'!D1229</f>
        <v>Shympur</v>
      </c>
      <c r="E1068" s="2019" t="str">
        <f>'SOUTH-2'!E1229</f>
        <v>DHK60942</v>
      </c>
      <c r="F1068" s="791">
        <f>'SOUTH-2'!F1229</f>
        <v>1</v>
      </c>
      <c r="G1068" s="791">
        <f>'SOUTH-2'!G1229</f>
        <v>774266.9</v>
      </c>
      <c r="H1068" s="791">
        <f>'SOUTH-2'!H1229</f>
        <v>800130.2</v>
      </c>
      <c r="I1068" s="791">
        <f>'SOUTH-2'!I1229</f>
        <v>25863.29999999993</v>
      </c>
      <c r="J1068" s="791">
        <f>'SOUTH-2'!J1229</f>
        <v>60</v>
      </c>
      <c r="K1068" s="791">
        <f>'SOUTH-2'!K1229</f>
        <v>0</v>
      </c>
      <c r="L1068" s="791">
        <f>'SOUTH-2'!L1229</f>
        <v>1551797.9999999958</v>
      </c>
      <c r="M1068" s="791">
        <f>'SOUTH-2'!M1229</f>
        <v>0</v>
      </c>
      <c r="N1068" s="2019" t="str">
        <f>'SOUTH-2'!N1229</f>
        <v>Shyampur</v>
      </c>
      <c r="O1068" s="2019" t="str">
        <f>Sheet2!$C$58</f>
        <v>Shyampur BISIC  33/11KV S/S</v>
      </c>
    </row>
    <row r="1069" spans="1:15" x14ac:dyDescent="0.35">
      <c r="A1069" s="2019">
        <f>'SOUTH-2'!A1230</f>
        <v>18</v>
      </c>
      <c r="B1069" s="2019" t="str">
        <f>'SOUTH-2'!B1230</f>
        <v>11/0.415  kV, 200 kVA AT-1+2</v>
      </c>
      <c r="C1069" s="2019">
        <f>'SOUTH-2'!C1230</f>
        <v>0.41499999999999998</v>
      </c>
      <c r="D1069" s="2019">
        <f>'SOUTH-2'!D1230</f>
        <v>0</v>
      </c>
      <c r="E1069" s="2019" t="str">
        <f>'SOUTH-2'!E1230</f>
        <v>ELIB7380</v>
      </c>
      <c r="F1069" s="791">
        <f>'SOUTH-2'!F1230</f>
        <v>1</v>
      </c>
      <c r="G1069" s="791">
        <f>'SOUTH-2'!G1230</f>
        <v>583647</v>
      </c>
      <c r="H1069" s="791">
        <f>'SOUTH-2'!H1230</f>
        <v>586056</v>
      </c>
      <c r="I1069" s="791">
        <f>'SOUTH-2'!I1230</f>
        <v>2409</v>
      </c>
      <c r="J1069" s="791">
        <f>'SOUTH-2'!J1230</f>
        <v>1</v>
      </c>
      <c r="K1069" s="791">
        <f>'SOUTH-2'!K1230</f>
        <v>0</v>
      </c>
      <c r="L1069" s="791">
        <f>'SOUTH-2'!L1230</f>
        <v>2409</v>
      </c>
      <c r="M1069" s="791">
        <f>'SOUTH-2'!M1230</f>
        <v>0</v>
      </c>
      <c r="N1069" s="2019" t="str">
        <f>'SOUTH-2'!N1230</f>
        <v>Shyampur</v>
      </c>
      <c r="O1069" s="2019" t="str">
        <f>Sheet2!$C$58</f>
        <v>Shyampur BISIC  33/11KV S/S</v>
      </c>
    </row>
    <row r="1070" spans="1:15" x14ac:dyDescent="0.35">
      <c r="A1070" s="2019">
        <f>'SOUTH-2'!A1294</f>
        <v>8</v>
      </c>
      <c r="B1070" s="2019" t="str">
        <f>'SOUTH-2'!B1294</f>
        <v>11 kV Spare</v>
      </c>
      <c r="C1070" s="2019">
        <f>'SOUTH-2'!C1294</f>
        <v>11</v>
      </c>
      <c r="D1070" s="2019">
        <f>'SOUTH-2'!D1294</f>
        <v>0</v>
      </c>
      <c r="E1070" s="2019" t="str">
        <f>'SOUTH-2'!E1294</f>
        <v>00000090</v>
      </c>
      <c r="F1070" s="791">
        <f>'SOUTH-2'!F1294</f>
        <v>1</v>
      </c>
      <c r="G1070" s="791">
        <f>'SOUTH-2'!G1294</f>
        <v>0</v>
      </c>
      <c r="H1070" s="791">
        <f>'SOUTH-2'!H1294</f>
        <v>0</v>
      </c>
      <c r="I1070" s="791">
        <f>'SOUTH-2'!I1294</f>
        <v>0</v>
      </c>
      <c r="J1070" s="791">
        <f>'SOUTH-2'!J1294</f>
        <v>1</v>
      </c>
      <c r="K1070" s="791">
        <f>'SOUTH-2'!K1294</f>
        <v>0</v>
      </c>
      <c r="L1070" s="791">
        <f>'SOUTH-2'!L1294</f>
        <v>0</v>
      </c>
      <c r="M1070" s="791">
        <f>'SOUTH-2'!M1294</f>
        <v>0</v>
      </c>
      <c r="N1070" s="2019">
        <f>'SOUTH-2'!N1294</f>
        <v>0</v>
      </c>
      <c r="O1070" s="2019" t="str">
        <f>Sheet2!$C$78</f>
        <v>Nandalalpur 33/11 kV</v>
      </c>
    </row>
    <row r="1071" spans="1:15" x14ac:dyDescent="0.35">
      <c r="A1071" s="2019">
        <f>'SOUTH-2'!A1295</f>
        <v>9</v>
      </c>
      <c r="B1071" s="2019" t="str">
        <f>'SOUTH-2'!B1295</f>
        <v>11 kV Khaza Moinuddin</v>
      </c>
      <c r="C1071" s="2019">
        <f>'SOUTH-2'!C1295</f>
        <v>11</v>
      </c>
      <c r="D1071" s="2019">
        <f>'SOUTH-2'!D1295</f>
        <v>0</v>
      </c>
      <c r="E1071" s="2019" t="str">
        <f>'SOUTH-2'!E1295</f>
        <v>00000026</v>
      </c>
      <c r="F1071" s="791">
        <f>'SOUTH-2'!F1295</f>
        <v>1</v>
      </c>
      <c r="G1071" s="791">
        <f>'SOUTH-2'!G1295</f>
        <v>869477</v>
      </c>
      <c r="H1071" s="791">
        <f>'SOUTH-2'!H1295</f>
        <v>1257676</v>
      </c>
      <c r="I1071" s="791">
        <f>'SOUTH-2'!I1295</f>
        <v>388199</v>
      </c>
      <c r="J1071" s="791">
        <f>'SOUTH-2'!J1295</f>
        <v>1</v>
      </c>
      <c r="K1071" s="791">
        <f>'SOUTH-2'!K1295</f>
        <v>0</v>
      </c>
      <c r="L1071" s="791">
        <f>'SOUTH-2'!L1295</f>
        <v>388199</v>
      </c>
      <c r="M1071" s="791">
        <f>'SOUTH-2'!M1295</f>
        <v>0</v>
      </c>
      <c r="N1071" s="2019" t="str">
        <f>'SOUTH-2'!N1295</f>
        <v>Fatullah</v>
      </c>
      <c r="O1071" s="2019" t="str">
        <f>Sheet2!$C$78</f>
        <v>Nandalalpur 33/11 kV</v>
      </c>
    </row>
    <row r="1072" spans="1:15" x14ac:dyDescent="0.35">
      <c r="A1072" s="2019">
        <f>'SOUTH-2'!A1296</f>
        <v>10</v>
      </c>
      <c r="B1072" s="2019" t="str">
        <f>'SOUTH-2'!B1296</f>
        <v>11 kV Chitashal</v>
      </c>
      <c r="C1072" s="2019">
        <f>'SOUTH-2'!C1296</f>
        <v>11</v>
      </c>
      <c r="D1072" s="2019">
        <f>'SOUTH-2'!D1296</f>
        <v>0</v>
      </c>
      <c r="E1072" s="2019" t="str">
        <f>'SOUTH-2'!E1296</f>
        <v>00000027</v>
      </c>
      <c r="F1072" s="791">
        <f>'SOUTH-2'!F1296</f>
        <v>1</v>
      </c>
      <c r="G1072" s="791">
        <f>'SOUTH-2'!G1296</f>
        <v>28514730</v>
      </c>
      <c r="H1072" s="791">
        <f>'SOUTH-2'!H1296</f>
        <v>28938530</v>
      </c>
      <c r="I1072" s="791">
        <f>'SOUTH-2'!I1296</f>
        <v>423800</v>
      </c>
      <c r="J1072" s="791">
        <f>'SOUTH-2'!J1296</f>
        <v>1</v>
      </c>
      <c r="K1072" s="791">
        <f>'SOUTH-2'!K1296</f>
        <v>0</v>
      </c>
      <c r="L1072" s="791">
        <f>'SOUTH-2'!L1296</f>
        <v>423800</v>
      </c>
      <c r="M1072" s="791">
        <f>'SOUTH-2'!M1296</f>
        <v>0</v>
      </c>
      <c r="N1072" s="2019" t="str">
        <f>'SOUTH-2'!N1296</f>
        <v>Shyampur</v>
      </c>
      <c r="O1072" s="2019" t="str">
        <f>Sheet2!$C$78</f>
        <v>Nandalalpur 33/11 kV</v>
      </c>
    </row>
    <row r="1073" spans="1:15" x14ac:dyDescent="0.35">
      <c r="A1073" s="2019">
        <f>'SOUTH-2'!A1297</f>
        <v>11</v>
      </c>
      <c r="B1073" s="2019" t="str">
        <f>'SOUTH-2'!B1297</f>
        <v>11 kV Local Feeder</v>
      </c>
      <c r="C1073" s="2019">
        <f>'SOUTH-2'!C1297</f>
        <v>11</v>
      </c>
      <c r="D1073" s="2019">
        <f>'SOUTH-2'!D1297</f>
        <v>0</v>
      </c>
      <c r="E1073" s="2019" t="str">
        <f>'SOUTH-2'!E1297</f>
        <v>00000157</v>
      </c>
      <c r="F1073" s="791">
        <f>'SOUTH-2'!F1297</f>
        <v>1.5</v>
      </c>
      <c r="G1073" s="791">
        <f>'SOUTH-2'!G1297</f>
        <v>16961238</v>
      </c>
      <c r="H1073" s="791">
        <f>'SOUTH-2'!H1297</f>
        <v>17103078</v>
      </c>
      <c r="I1073" s="791">
        <f>'SOUTH-2'!I1297</f>
        <v>141840</v>
      </c>
      <c r="J1073" s="791">
        <f>'SOUTH-2'!J1297</f>
        <v>1</v>
      </c>
      <c r="K1073" s="791">
        <f>'SOUTH-2'!K1297</f>
        <v>0</v>
      </c>
      <c r="L1073" s="791">
        <f>'SOUTH-2'!L1297</f>
        <v>212760</v>
      </c>
      <c r="M1073" s="791">
        <f>'SOUTH-2'!M1297</f>
        <v>0</v>
      </c>
      <c r="N1073" s="2019" t="str">
        <f>'SOUTH-2'!N1297</f>
        <v>Shyampur</v>
      </c>
      <c r="O1073" s="2019" t="str">
        <f>Sheet2!$C$78</f>
        <v>Nandalalpur 33/11 kV</v>
      </c>
    </row>
    <row r="1074" spans="1:15" x14ac:dyDescent="0.35">
      <c r="A1074" s="2019">
        <f>'SOUTH-2'!A1298</f>
        <v>12</v>
      </c>
      <c r="B1074" s="2019" t="str">
        <f>'SOUTH-2'!B1298</f>
        <v>11 kV Rasel Germants</v>
      </c>
      <c r="C1074" s="2019">
        <f>'SOUTH-2'!C1298</f>
        <v>11</v>
      </c>
      <c r="D1074" s="2019">
        <f>'SOUTH-2'!D1298</f>
        <v>0</v>
      </c>
      <c r="E1074" s="2019" t="str">
        <f>'SOUTH-2'!E1298</f>
        <v>00000124</v>
      </c>
      <c r="F1074" s="791">
        <f>'SOUTH-2'!F1298</f>
        <v>1</v>
      </c>
      <c r="G1074" s="791">
        <f>'SOUTH-2'!G1298</f>
        <v>0</v>
      </c>
      <c r="H1074" s="791">
        <f>'SOUTH-2'!H1298</f>
        <v>0</v>
      </c>
      <c r="I1074" s="791">
        <f>'SOUTH-2'!I1298</f>
        <v>0</v>
      </c>
      <c r="J1074" s="791">
        <f>'SOUTH-2'!J1298</f>
        <v>1</v>
      </c>
      <c r="K1074" s="791">
        <f>'SOUTH-2'!K1298</f>
        <v>0</v>
      </c>
      <c r="L1074" s="791">
        <f>'SOUTH-2'!L1298</f>
        <v>0</v>
      </c>
      <c r="M1074" s="791">
        <f>'SOUTH-2'!M1298</f>
        <v>0</v>
      </c>
      <c r="N1074" s="2019" t="str">
        <f>'SOUTH-2'!N1298</f>
        <v>Fatullah</v>
      </c>
      <c r="O1074" s="2019" t="str">
        <f>Sheet2!$C$78</f>
        <v>Nandalalpur 33/11 kV</v>
      </c>
    </row>
    <row r="1075" spans="1:15" x14ac:dyDescent="0.35">
      <c r="A1075" s="2019">
        <f>'SOUTH-2'!A1299</f>
        <v>13</v>
      </c>
      <c r="B1075" s="2019" t="str">
        <f>'SOUTH-2'!B1299</f>
        <v>11 kV Matuail Medical (Adorsho nagar)</v>
      </c>
      <c r="C1075" s="2019">
        <f>'SOUTH-2'!C1299</f>
        <v>11</v>
      </c>
      <c r="D1075" s="2019">
        <f>'SOUTH-2'!D1299</f>
        <v>0</v>
      </c>
      <c r="E1075" s="2019" t="str">
        <f>'SOUTH-2'!E1299</f>
        <v>00000121</v>
      </c>
      <c r="F1075" s="791">
        <f>'SOUTH-2'!F1299</f>
        <v>1</v>
      </c>
      <c r="G1075" s="791">
        <f>'SOUTH-2'!G1299</f>
        <v>57752380</v>
      </c>
      <c r="H1075" s="791">
        <f>'SOUTH-2'!H1299</f>
        <v>58866656</v>
      </c>
      <c r="I1075" s="791">
        <f>'SOUTH-2'!I1299</f>
        <v>1114276</v>
      </c>
      <c r="J1075" s="791">
        <f>'SOUTH-2'!J1299</f>
        <v>1</v>
      </c>
      <c r="K1075" s="791">
        <f>'SOUTH-2'!K1299</f>
        <v>0</v>
      </c>
      <c r="L1075" s="791">
        <f>'SOUTH-2'!L1299</f>
        <v>1114276</v>
      </c>
      <c r="M1075" s="791">
        <f>'SOUTH-2'!M1299</f>
        <v>0</v>
      </c>
      <c r="N1075" s="2019" t="str">
        <f>'SOUTH-2'!N1299</f>
        <v>Matuail</v>
      </c>
      <c r="O1075" s="2019" t="str">
        <f>Sheet2!$C$78</f>
        <v>Nandalalpur 33/11 kV</v>
      </c>
    </row>
    <row r="1076" spans="1:15" x14ac:dyDescent="0.35">
      <c r="A1076" s="2019">
        <f>'SOUTH-2'!A1300</f>
        <v>14</v>
      </c>
      <c r="B1076" s="2019" t="str">
        <f>'SOUTH-2'!B1300</f>
        <v xml:space="preserve">11 kV Nandalalpur </v>
      </c>
      <c r="C1076" s="2019">
        <f>'SOUTH-2'!C1300</f>
        <v>11</v>
      </c>
      <c r="D1076" s="2019">
        <f>'SOUTH-2'!D1300</f>
        <v>0</v>
      </c>
      <c r="E1076" s="2019" t="str">
        <f>'SOUTH-2'!E1300</f>
        <v>00000010</v>
      </c>
      <c r="F1076" s="791">
        <f>'SOUTH-2'!F1300</f>
        <v>1</v>
      </c>
      <c r="G1076" s="791">
        <f>'SOUTH-2'!G1300</f>
        <v>77114928</v>
      </c>
      <c r="H1076" s="791">
        <f>'SOUTH-2'!H1300</f>
        <v>77905608</v>
      </c>
      <c r="I1076" s="791">
        <f>'SOUTH-2'!I1300</f>
        <v>790680</v>
      </c>
      <c r="J1076" s="791">
        <f>'SOUTH-2'!J1300</f>
        <v>1</v>
      </c>
      <c r="K1076" s="791">
        <f>'SOUTH-2'!K1300</f>
        <v>0</v>
      </c>
      <c r="L1076" s="791">
        <f>'SOUTH-2'!L1300</f>
        <v>790680</v>
      </c>
      <c r="M1076" s="791">
        <f>'SOUTH-2'!M1300</f>
        <v>0</v>
      </c>
      <c r="N1076" s="2019" t="str">
        <f>'SOUTH-2'!N1300</f>
        <v>Fatullah</v>
      </c>
      <c r="O1076" s="2019" t="str">
        <f>Sheet2!$C$78</f>
        <v>Nandalalpur 33/11 kV</v>
      </c>
    </row>
    <row r="1077" spans="1:15" x14ac:dyDescent="0.35">
      <c r="A1077" s="2019">
        <f>'SOUTH-2'!A1301</f>
        <v>15</v>
      </c>
      <c r="B1077" s="2019" t="str">
        <f>'SOUTH-2'!B1301</f>
        <v>11 kV  Sharif Bagh</v>
      </c>
      <c r="C1077" s="2019">
        <f>'SOUTH-2'!C1301</f>
        <v>11</v>
      </c>
      <c r="D1077" s="2019">
        <f>'SOUTH-2'!D1301</f>
        <v>0</v>
      </c>
      <c r="E1077" s="2019" t="str">
        <f>'SOUTH-2'!E1301</f>
        <v>00000132</v>
      </c>
      <c r="F1077" s="791">
        <f>'SOUTH-2'!F1301</f>
        <v>1</v>
      </c>
      <c r="G1077" s="791">
        <f>'SOUTH-2'!G1301</f>
        <v>60353092</v>
      </c>
      <c r="H1077" s="791">
        <f>'SOUTH-2'!H1301</f>
        <v>61446608</v>
      </c>
      <c r="I1077" s="791">
        <f>'SOUTH-2'!I1301</f>
        <v>1093516</v>
      </c>
      <c r="J1077" s="791">
        <f>'SOUTH-2'!J1301</f>
        <v>1</v>
      </c>
      <c r="K1077" s="791">
        <f>'SOUTH-2'!K1301</f>
        <v>0</v>
      </c>
      <c r="L1077" s="791">
        <f>'SOUTH-2'!L1301</f>
        <v>1093516</v>
      </c>
      <c r="M1077" s="791">
        <f>'SOUTH-2'!M1301</f>
        <v>0</v>
      </c>
      <c r="N1077" s="2019" t="str">
        <f>'SOUTH-2'!N1301</f>
        <v>Shyampur</v>
      </c>
      <c r="O1077" s="2019" t="str">
        <f>Sheet2!$C$78</f>
        <v>Nandalalpur 33/11 kV</v>
      </c>
    </row>
    <row r="1078" spans="1:15" x14ac:dyDescent="0.35">
      <c r="A1078" s="2019">
        <f>'SOUTH-2'!A1302</f>
        <v>18</v>
      </c>
      <c r="B1078" s="2019" t="str">
        <f>'SOUTH-2'!B1302</f>
        <v>11 kV Spare</v>
      </c>
      <c r="C1078" s="2019">
        <f>'SOUTH-2'!C1302</f>
        <v>11</v>
      </c>
      <c r="D1078" s="2019">
        <f>'SOUTH-2'!D1302</f>
        <v>0</v>
      </c>
      <c r="E1078" s="2019" t="str">
        <f>'SOUTH-2'!E1302</f>
        <v>00000139</v>
      </c>
      <c r="F1078" s="791">
        <f>'SOUTH-2'!F1302</f>
        <v>1</v>
      </c>
      <c r="G1078" s="791">
        <f>'SOUTH-2'!G1302</f>
        <v>0</v>
      </c>
      <c r="H1078" s="791">
        <f>'SOUTH-2'!H1302</f>
        <v>0</v>
      </c>
      <c r="I1078" s="791">
        <f>'SOUTH-2'!I1302</f>
        <v>0</v>
      </c>
      <c r="J1078" s="791">
        <f>'SOUTH-2'!J1302</f>
        <v>1</v>
      </c>
      <c r="K1078" s="791">
        <f>'SOUTH-2'!K1302</f>
        <v>0</v>
      </c>
      <c r="L1078" s="791">
        <f>'SOUTH-2'!L1302</f>
        <v>0</v>
      </c>
      <c r="M1078" s="791">
        <f>'SOUTH-2'!M1302</f>
        <v>0</v>
      </c>
      <c r="N1078" s="2019">
        <f>'SOUTH-2'!N1302</f>
        <v>0</v>
      </c>
      <c r="O1078" s="2019" t="str">
        <f>Sheet2!$C$78</f>
        <v>Nandalalpur 33/11 kV</v>
      </c>
    </row>
    <row r="1079" spans="1:15" x14ac:dyDescent="0.35">
      <c r="A1079" s="2019">
        <f>'SOUTH-2'!A1303</f>
        <v>19</v>
      </c>
      <c r="B1079" s="2019" t="str">
        <f>'SOUTH-2'!B1303</f>
        <v>11 KV Nayamati</v>
      </c>
      <c r="C1079" s="2019">
        <f>'SOUTH-2'!C1303</f>
        <v>11</v>
      </c>
      <c r="D1079" s="2019">
        <f>'SOUTH-2'!D1303</f>
        <v>0</v>
      </c>
      <c r="E1079" s="2019" t="str">
        <f>'SOUTH-2'!E1303</f>
        <v>00000158</v>
      </c>
      <c r="F1079" s="791">
        <f>'SOUTH-2'!F1303</f>
        <v>1</v>
      </c>
      <c r="G1079" s="791">
        <f>'SOUTH-2'!G1303</f>
        <v>57172460</v>
      </c>
      <c r="H1079" s="791">
        <f>'SOUTH-2'!H1303</f>
        <v>58098020</v>
      </c>
      <c r="I1079" s="791">
        <f>'SOUTH-2'!I1303</f>
        <v>925560</v>
      </c>
      <c r="J1079" s="791">
        <f>'SOUTH-2'!J1303</f>
        <v>1</v>
      </c>
      <c r="K1079" s="791">
        <f>'SOUTH-2'!K1303</f>
        <v>0</v>
      </c>
      <c r="L1079" s="791">
        <f>'SOUTH-2'!L1303</f>
        <v>925560</v>
      </c>
      <c r="M1079" s="791">
        <f>'SOUTH-2'!M1303</f>
        <v>0</v>
      </c>
      <c r="N1079" s="2019" t="str">
        <f>'SOUTH-2'!N1303</f>
        <v>Fatullah</v>
      </c>
      <c r="O1079" s="2019" t="str">
        <f>Sheet2!$C$78</f>
        <v>Nandalalpur 33/11 kV</v>
      </c>
    </row>
    <row r="1080" spans="1:15" x14ac:dyDescent="0.35">
      <c r="A1080" s="2019">
        <f>'SOUTH-2'!A1304</f>
        <v>20</v>
      </c>
      <c r="B1080" s="2019" t="str">
        <f>'SOUTH-2'!B1304</f>
        <v>11 kV Pulpar</v>
      </c>
      <c r="C1080" s="2019">
        <f>'SOUTH-2'!C1304</f>
        <v>11</v>
      </c>
      <c r="D1080" s="2019">
        <f>'SOUTH-2'!D1304</f>
        <v>0</v>
      </c>
      <c r="E1080" s="2019" t="str">
        <f>'SOUTH-2'!E1304</f>
        <v>00000160</v>
      </c>
      <c r="F1080" s="791">
        <f>'SOUTH-2'!F1304</f>
        <v>1</v>
      </c>
      <c r="G1080" s="791">
        <f>'SOUTH-2'!G1304</f>
        <v>1101237</v>
      </c>
      <c r="H1080" s="791">
        <f>'SOUTH-2'!H1304</f>
        <v>2000635</v>
      </c>
      <c r="I1080" s="791">
        <f>'SOUTH-2'!I1304</f>
        <v>899398</v>
      </c>
      <c r="J1080" s="791">
        <f>'SOUTH-2'!J1304</f>
        <v>1</v>
      </c>
      <c r="K1080" s="791">
        <f>'SOUTH-2'!K1304</f>
        <v>0</v>
      </c>
      <c r="L1080" s="791">
        <f>'SOUTH-2'!L1304</f>
        <v>899398</v>
      </c>
      <c r="M1080" s="791">
        <f>'SOUTH-2'!M1304</f>
        <v>0</v>
      </c>
      <c r="N1080" s="2019" t="str">
        <f>'SOUTH-2'!N1304</f>
        <v>Fatullah</v>
      </c>
      <c r="O1080" s="2019" t="str">
        <f>Sheet2!$C$78</f>
        <v>Nandalalpur 33/11 kV</v>
      </c>
    </row>
    <row r="1081" spans="1:15" x14ac:dyDescent="0.35">
      <c r="A1081" s="2019">
        <f>'SOUTH-2'!A1305</f>
        <v>21</v>
      </c>
      <c r="B1081" s="2019" t="str">
        <f>'SOUTH-2'!B1305</f>
        <v>11 kV Shahi Bazar</v>
      </c>
      <c r="C1081" s="2019">
        <f>'SOUTH-2'!C1305</f>
        <v>11</v>
      </c>
      <c r="D1081" s="2019">
        <f>'SOUTH-2'!D1305</f>
        <v>0</v>
      </c>
      <c r="E1081" s="2019" t="str">
        <f>'SOUTH-2'!E1305</f>
        <v>00000170</v>
      </c>
      <c r="F1081" s="791">
        <f>'SOUTH-2'!F1305</f>
        <v>1</v>
      </c>
      <c r="G1081" s="791">
        <f>'SOUTH-2'!G1305</f>
        <v>35488552</v>
      </c>
      <c r="H1081" s="791">
        <f>'SOUTH-2'!H1305</f>
        <v>36205432</v>
      </c>
      <c r="I1081" s="791">
        <f>'SOUTH-2'!I1305</f>
        <v>716880</v>
      </c>
      <c r="J1081" s="791">
        <f>'SOUTH-2'!J1305</f>
        <v>1</v>
      </c>
      <c r="K1081" s="791">
        <f>'SOUTH-2'!K1305</f>
        <v>0</v>
      </c>
      <c r="L1081" s="791">
        <f>'SOUTH-2'!L1305</f>
        <v>716880</v>
      </c>
      <c r="M1081" s="791">
        <f>'SOUTH-2'!M1305</f>
        <v>0</v>
      </c>
      <c r="N1081" s="2019" t="str">
        <f>'SOUTH-2'!N1305</f>
        <v>Shyampur</v>
      </c>
      <c r="O1081" s="2019" t="str">
        <f>Sheet2!$C$78</f>
        <v>Nandalalpur 33/11 kV</v>
      </c>
    </row>
    <row r="1082" spans="1:15" x14ac:dyDescent="0.35">
      <c r="A1082" s="2019">
        <f>'SOUTH-2'!A1306</f>
        <v>22</v>
      </c>
      <c r="B1082" s="2019" t="str">
        <f>'SOUTH-2'!B1306</f>
        <v>11 kV Pagla Bazar</v>
      </c>
      <c r="C1082" s="2019">
        <f>'SOUTH-2'!C1306</f>
        <v>11</v>
      </c>
      <c r="D1082" s="2019">
        <f>'SOUTH-2'!D1306</f>
        <v>0</v>
      </c>
      <c r="E1082" s="2019" t="str">
        <f>'SOUTH-2'!E1306</f>
        <v>00000060</v>
      </c>
      <c r="F1082" s="791">
        <f>'SOUTH-2'!F1306</f>
        <v>1</v>
      </c>
      <c r="G1082" s="791">
        <f>'SOUTH-2'!G1306</f>
        <v>44795652</v>
      </c>
      <c r="H1082" s="791">
        <f>'SOUTH-2'!H1306</f>
        <v>45432568</v>
      </c>
      <c r="I1082" s="791">
        <f>'SOUTH-2'!I1306</f>
        <v>636916</v>
      </c>
      <c r="J1082" s="791">
        <f>'SOUTH-2'!J1306</f>
        <v>1</v>
      </c>
      <c r="K1082" s="791">
        <f>'SOUTH-2'!K1306</f>
        <v>0</v>
      </c>
      <c r="L1082" s="791">
        <f>'SOUTH-2'!L1306</f>
        <v>636916</v>
      </c>
      <c r="M1082" s="791">
        <f>'SOUTH-2'!M1306</f>
        <v>0</v>
      </c>
      <c r="N1082" s="2019" t="str">
        <f>'SOUTH-2'!N1306</f>
        <v>Fatullah</v>
      </c>
      <c r="O1082" s="2019" t="str">
        <f>Sheet2!$C$78</f>
        <v>Nandalalpur 33/11 kV</v>
      </c>
    </row>
    <row r="1083" spans="1:15" x14ac:dyDescent="0.35">
      <c r="A1083" s="2019">
        <f>'SOUTH-2'!A1307</f>
        <v>23</v>
      </c>
      <c r="B1083" s="2019" t="str">
        <f>'SOUTH-2'!B1307</f>
        <v>11 kV Delpara bazar</v>
      </c>
      <c r="C1083" s="2019">
        <f>'SOUTH-2'!C1307</f>
        <v>11</v>
      </c>
      <c r="D1083" s="2019">
        <f>'SOUTH-2'!D1307</f>
        <v>0</v>
      </c>
      <c r="E1083" s="2019" t="str">
        <f>'SOUTH-2'!E1307</f>
        <v>00000063</v>
      </c>
      <c r="F1083" s="791">
        <f>'SOUTH-2'!F1307</f>
        <v>1</v>
      </c>
      <c r="G1083" s="791">
        <f>'SOUTH-2'!G1307</f>
        <v>68281952</v>
      </c>
      <c r="H1083" s="791">
        <f>'SOUTH-2'!H1307</f>
        <v>69552632</v>
      </c>
      <c r="I1083" s="791">
        <f>'SOUTH-2'!I1307</f>
        <v>1270680</v>
      </c>
      <c r="J1083" s="791">
        <f>'SOUTH-2'!J1307</f>
        <v>1</v>
      </c>
      <c r="K1083" s="791">
        <f>'SOUTH-2'!K1307</f>
        <v>0</v>
      </c>
      <c r="L1083" s="791">
        <f>'SOUTH-2'!L1307</f>
        <v>1270680</v>
      </c>
      <c r="M1083" s="791">
        <f>'SOUTH-2'!M1307</f>
        <v>0</v>
      </c>
      <c r="N1083" s="2019" t="str">
        <f>'SOUTH-2'!N1307</f>
        <v>Shyampur</v>
      </c>
      <c r="O1083" s="2019" t="str">
        <f>Sheet2!$C$78</f>
        <v>Nandalalpur 33/11 kV</v>
      </c>
    </row>
    <row r="1084" spans="1:15" x14ac:dyDescent="0.35">
      <c r="A1084" s="2019">
        <f>'SOUTH-2'!A1308</f>
        <v>24</v>
      </c>
      <c r="B1084" s="2019" t="str">
        <f>'SOUTH-2'!B1308</f>
        <v>11 kV Bhuighor (Board mill)</v>
      </c>
      <c r="C1084" s="2019">
        <f>'SOUTH-2'!C1308</f>
        <v>11</v>
      </c>
      <c r="D1084" s="2019">
        <f>'SOUTH-2'!D1308</f>
        <v>0</v>
      </c>
      <c r="E1084" s="2019" t="str">
        <f>'SOUTH-2'!E1308</f>
        <v>00000146</v>
      </c>
      <c r="F1084" s="791">
        <f>'SOUTH-2'!F1308</f>
        <v>1</v>
      </c>
      <c r="G1084" s="791">
        <f>'SOUTH-2'!G1308</f>
        <v>38093108</v>
      </c>
      <c r="H1084" s="791">
        <f>'SOUTH-2'!H1308</f>
        <v>38668904</v>
      </c>
      <c r="I1084" s="791">
        <f>'SOUTH-2'!I1308</f>
        <v>575796</v>
      </c>
      <c r="J1084" s="791">
        <f>'SOUTH-2'!J1308</f>
        <v>1</v>
      </c>
      <c r="K1084" s="791">
        <f>'SOUTH-2'!K1308</f>
        <v>0</v>
      </c>
      <c r="L1084" s="791">
        <f>'SOUTH-2'!L1308</f>
        <v>575796</v>
      </c>
      <c r="M1084" s="791">
        <f>'SOUTH-2'!M1308</f>
        <v>0</v>
      </c>
      <c r="N1084" s="2019" t="str">
        <f>'SOUTH-2'!N1308</f>
        <v>Matuail</v>
      </c>
      <c r="O1084" s="2019" t="str">
        <f>Sheet2!$C$78</f>
        <v>Nandalalpur 33/11 kV</v>
      </c>
    </row>
    <row r="1085" spans="1:15" x14ac:dyDescent="0.35">
      <c r="A1085" s="2019">
        <f>'SOUTH-2'!A1309</f>
        <v>25</v>
      </c>
      <c r="B1085" s="2019" t="str">
        <f>'SOUTH-2'!B1309</f>
        <v>11 kV Spare</v>
      </c>
      <c r="C1085" s="2019">
        <f>'SOUTH-2'!C1309</f>
        <v>11</v>
      </c>
      <c r="D1085" s="2019">
        <f>'SOUTH-2'!D1309</f>
        <v>0</v>
      </c>
      <c r="E1085" s="2019" t="str">
        <f>'SOUTH-2'!E1309</f>
        <v>00000059</v>
      </c>
      <c r="F1085" s="791">
        <f>'SOUTH-2'!F1309</f>
        <v>1</v>
      </c>
      <c r="G1085" s="791">
        <f>'SOUTH-2'!G1309</f>
        <v>0</v>
      </c>
      <c r="H1085" s="791">
        <f>'SOUTH-2'!H1309</f>
        <v>0</v>
      </c>
      <c r="I1085" s="791">
        <f>'SOUTH-2'!I1309</f>
        <v>0</v>
      </c>
      <c r="J1085" s="791">
        <f>'SOUTH-2'!J1309</f>
        <v>1</v>
      </c>
      <c r="K1085" s="791">
        <f>'SOUTH-2'!K1309</f>
        <v>0</v>
      </c>
      <c r="L1085" s="791">
        <f>'SOUTH-2'!L1309</f>
        <v>0</v>
      </c>
      <c r="M1085" s="791">
        <f>'SOUTH-2'!M1309</f>
        <v>0</v>
      </c>
      <c r="N1085" s="2019">
        <f>'SOUTH-2'!N1309</f>
        <v>0</v>
      </c>
      <c r="O1085" s="2019" t="str">
        <f>Sheet2!$C$78</f>
        <v>Nandalalpur 33/11 kV</v>
      </c>
    </row>
    <row r="1086" spans="1:15" x14ac:dyDescent="0.35">
      <c r="A1086" s="2019">
        <f>'SOUTH-2'!A1310</f>
        <v>26</v>
      </c>
      <c r="B1086" s="2019" t="str">
        <f>'SOUTH-2'!B1310</f>
        <v>33/0.415  kV, 200 kVA AT-1</v>
      </c>
      <c r="C1086" s="2019">
        <f>'SOUTH-2'!C1310</f>
        <v>11</v>
      </c>
      <c r="D1086" s="2019">
        <f>'SOUTH-2'!D1310</f>
        <v>0</v>
      </c>
      <c r="E1086" s="2019">
        <f>'SOUTH-2'!E1310</f>
        <v>7803</v>
      </c>
      <c r="F1086" s="791">
        <f>'SOUTH-2'!F1310</f>
        <v>1</v>
      </c>
      <c r="G1086" s="791">
        <f>'SOUTH-2'!G1310</f>
        <v>2069</v>
      </c>
      <c r="H1086" s="791">
        <f>'SOUTH-2'!H1310</f>
        <v>2092</v>
      </c>
      <c r="I1086" s="791">
        <f>'SOUTH-2'!I1310</f>
        <v>23</v>
      </c>
      <c r="J1086" s="791">
        <f>'SOUTH-2'!J1310</f>
        <v>100</v>
      </c>
      <c r="K1086" s="791">
        <f>'SOUTH-2'!K1310</f>
        <v>0</v>
      </c>
      <c r="L1086" s="791">
        <f>'SOUTH-2'!L1310</f>
        <v>2300</v>
      </c>
      <c r="M1086" s="791">
        <f>'SOUTH-2'!M1310</f>
        <v>0</v>
      </c>
      <c r="N1086" s="2019" t="str">
        <f>'SOUTH-2'!N1310</f>
        <v>Shyampur</v>
      </c>
      <c r="O1086" s="2019" t="str">
        <f>Sheet2!$C$78</f>
        <v>Nandalalpur 33/11 kV</v>
      </c>
    </row>
    <row r="1087" spans="1:15" x14ac:dyDescent="0.35">
      <c r="A1087" s="2019">
        <f>'SOUTH-2'!A1311</f>
        <v>27</v>
      </c>
      <c r="B1087" s="2019" t="str">
        <f>'SOUTH-2'!B1311</f>
        <v>33/0.415  kV, 200 kVA AT-2</v>
      </c>
      <c r="C1087" s="2019">
        <f>'SOUTH-2'!C1311</f>
        <v>11</v>
      </c>
      <c r="D1087" s="2019">
        <f>'SOUTH-2'!D1311</f>
        <v>0</v>
      </c>
      <c r="E1087" s="2019">
        <f>'SOUTH-2'!E1311</f>
        <v>7805</v>
      </c>
      <c r="F1087" s="791">
        <f>'SOUTH-2'!F1311</f>
        <v>1</v>
      </c>
      <c r="G1087" s="791">
        <f>'SOUTH-2'!G1311</f>
        <v>50</v>
      </c>
      <c r="H1087" s="791">
        <f>'SOUTH-2'!H1311</f>
        <v>50</v>
      </c>
      <c r="I1087" s="791">
        <f>'SOUTH-2'!I1311</f>
        <v>0</v>
      </c>
      <c r="J1087" s="791">
        <f>'SOUTH-2'!J1311</f>
        <v>100</v>
      </c>
      <c r="K1087" s="791">
        <f>'SOUTH-2'!K1311</f>
        <v>0</v>
      </c>
      <c r="L1087" s="791">
        <f>'SOUTH-2'!L1311</f>
        <v>0</v>
      </c>
      <c r="M1087" s="791">
        <f>'SOUTH-2'!M1311</f>
        <v>0</v>
      </c>
      <c r="N1087" s="2019" t="str">
        <f>'SOUTH-2'!N1311</f>
        <v>Shyampur</v>
      </c>
      <c r="O1087" s="2019" t="str">
        <f>Sheet2!$C$78</f>
        <v>Nandalalpur 33/11 kV</v>
      </c>
    </row>
    <row r="1088" spans="1:15" x14ac:dyDescent="0.35">
      <c r="A1088" s="2019">
        <f>'SOUTH-2'!A1437</f>
        <v>1</v>
      </c>
      <c r="B1088" s="2019" t="str">
        <f>'SOUTH-2'!B1437</f>
        <v>11 kV Station Road Feeder</v>
      </c>
      <c r="C1088" s="2019">
        <f>'SOUTH-2'!C1437</f>
        <v>11</v>
      </c>
      <c r="D1088" s="2019" t="str">
        <f>'SOUTH-2'!D1437</f>
        <v>Postogola</v>
      </c>
      <c r="E1088" s="2019" t="str">
        <f>'SOUTH-2'!E1437</f>
        <v>HA021100907-02</v>
      </c>
      <c r="F1088" s="791">
        <f>'SOUTH-2'!F1437</f>
        <v>1</v>
      </c>
      <c r="G1088" s="791">
        <f>'SOUTH-2'!G1437</f>
        <v>53876788</v>
      </c>
      <c r="H1088" s="791">
        <f>'SOUTH-2'!H1437</f>
        <v>54577487</v>
      </c>
      <c r="I1088" s="791">
        <f>'SOUTH-2'!I1437</f>
        <v>700699</v>
      </c>
      <c r="J1088" s="791">
        <f>'SOUTH-2'!J1437</f>
        <v>1</v>
      </c>
      <c r="K1088" s="791">
        <f>'SOUTH-2'!K1437</f>
        <v>0</v>
      </c>
      <c r="L1088" s="791">
        <f>'SOUTH-2'!L1437</f>
        <v>700699</v>
      </c>
      <c r="M1088" s="791">
        <f>'SOUTH-2'!M1437</f>
        <v>0</v>
      </c>
      <c r="N1088" s="2019" t="str">
        <f>'SOUTH-2'!N1437</f>
        <v>Postogola</v>
      </c>
      <c r="O1088" s="2019" t="str">
        <f>Sheet2!$C$59</f>
        <v>Postogola 33/11KV S/S</v>
      </c>
    </row>
    <row r="1089" spans="1:15" x14ac:dyDescent="0.35">
      <c r="A1089" s="2019">
        <f>'SOUTH-2'!A1438</f>
        <v>2</v>
      </c>
      <c r="B1089" s="2019" t="str">
        <f>'SOUTH-2'!B1438</f>
        <v>11 kV Samon &amp; Sons Feeder.</v>
      </c>
      <c r="C1089" s="2019">
        <f>'SOUTH-2'!C1438</f>
        <v>11</v>
      </c>
      <c r="D1089" s="2019" t="str">
        <f>'SOUTH-2'!D1438</f>
        <v>Jurain</v>
      </c>
      <c r="E1089" s="2019" t="str">
        <f>'SOUTH-2'!E1438</f>
        <v>HA021100501-02</v>
      </c>
      <c r="F1089" s="791">
        <f>'SOUTH-2'!F1438</f>
        <v>1</v>
      </c>
      <c r="G1089" s="791">
        <f>'SOUTH-2'!G1438</f>
        <v>132384</v>
      </c>
      <c r="H1089" s="791">
        <f>'SOUTH-2'!H1438</f>
        <v>1130802</v>
      </c>
      <c r="I1089" s="791">
        <f>'SOUTH-2'!I1438</f>
        <v>998418</v>
      </c>
      <c r="J1089" s="791">
        <f>'SOUTH-2'!J1438</f>
        <v>1</v>
      </c>
      <c r="K1089" s="791">
        <f>'SOUTH-2'!K1438</f>
        <v>0</v>
      </c>
      <c r="L1089" s="791">
        <f>'SOUTH-2'!L1438</f>
        <v>2002975</v>
      </c>
      <c r="M1089" s="791">
        <f>'SOUTH-2'!M1438</f>
        <v>0</v>
      </c>
      <c r="N1089" s="2019" t="str">
        <f>'SOUTH-2'!N1438</f>
        <v>Jurain</v>
      </c>
      <c r="O1089" s="2019" t="str">
        <f>Sheet2!$C$59</f>
        <v>Postogola 33/11KV S/S</v>
      </c>
    </row>
    <row r="1090" spans="1:15" x14ac:dyDescent="0.35">
      <c r="A1090" s="2019">
        <f>'SOUTH-2'!A1439</f>
        <v>3</v>
      </c>
      <c r="B1090" s="2019" t="str">
        <f>'SOUTH-2'!B1439</f>
        <v>11 kV Alam Bagh Feeder.</v>
      </c>
      <c r="C1090" s="2019">
        <f>'SOUTH-2'!C1439</f>
        <v>11</v>
      </c>
      <c r="D1090" s="2019" t="str">
        <f>'SOUTH-2'!D1439</f>
        <v>Postogola</v>
      </c>
      <c r="E1090" s="2019" t="str">
        <f>'SOUTH-2'!E1439</f>
        <v>HA021100718-02</v>
      </c>
      <c r="F1090" s="791">
        <f>'SOUTH-2'!F1439</f>
        <v>1</v>
      </c>
      <c r="G1090" s="791">
        <f>'SOUTH-2'!G1439</f>
        <v>20298858</v>
      </c>
      <c r="H1090" s="791">
        <f>'SOUTH-2'!H1439</f>
        <v>20783448</v>
      </c>
      <c r="I1090" s="791">
        <f>'SOUTH-2'!I1439</f>
        <v>484590</v>
      </c>
      <c r="J1090" s="791">
        <f>'SOUTH-2'!J1439</f>
        <v>1</v>
      </c>
      <c r="K1090" s="791">
        <f>'SOUTH-2'!K1439</f>
        <v>0</v>
      </c>
      <c r="L1090" s="791">
        <f>'SOUTH-2'!L1439</f>
        <v>484590</v>
      </c>
      <c r="M1090" s="791">
        <f>'SOUTH-2'!M1439</f>
        <v>0</v>
      </c>
      <c r="N1090" s="2019" t="str">
        <f>'SOUTH-2'!N1439</f>
        <v>Jurain</v>
      </c>
      <c r="O1090" s="2019" t="str">
        <f>Sheet2!$C$59</f>
        <v>Postogola 33/11KV S/S</v>
      </c>
    </row>
    <row r="1091" spans="1:15" x14ac:dyDescent="0.35">
      <c r="A1091" s="2019">
        <f>'SOUTH-2'!A1440</f>
        <v>4</v>
      </c>
      <c r="B1091" s="2019" t="str">
        <f>'SOUTH-2'!B1440</f>
        <v>11 kV Majar O/H Feeder</v>
      </c>
      <c r="C1091" s="2019">
        <f>'SOUTH-2'!C1440</f>
        <v>11</v>
      </c>
      <c r="D1091" s="2019" t="str">
        <f>'SOUTH-2'!D1440</f>
        <v>Postogola</v>
      </c>
      <c r="E1091" s="2019" t="str">
        <f>'SOUTH-2'!E1440</f>
        <v>HA021100714-02</v>
      </c>
      <c r="F1091" s="791">
        <f>'SOUTH-2'!F1440</f>
        <v>1</v>
      </c>
      <c r="G1091" s="791">
        <f>'SOUTH-2'!G1440</f>
        <v>63992188</v>
      </c>
      <c r="H1091" s="791">
        <f>'SOUTH-2'!H1440</f>
        <v>64922573</v>
      </c>
      <c r="I1091" s="791">
        <f>'SOUTH-2'!I1440</f>
        <v>930385</v>
      </c>
      <c r="J1091" s="791">
        <f>'SOUTH-2'!J1440</f>
        <v>1</v>
      </c>
      <c r="K1091" s="791">
        <f>'SOUTH-2'!K1440</f>
        <v>0</v>
      </c>
      <c r="L1091" s="791">
        <f>'SOUTH-2'!L1440</f>
        <v>930385</v>
      </c>
      <c r="M1091" s="791">
        <f>'SOUTH-2'!M1440</f>
        <v>0</v>
      </c>
      <c r="N1091" s="2019" t="str">
        <f>'SOUTH-2'!N1440</f>
        <v>Postogola</v>
      </c>
      <c r="O1091" s="2019" t="str">
        <f>Sheet2!$C$59</f>
        <v>Postogola 33/11KV S/S</v>
      </c>
    </row>
    <row r="1092" spans="1:15" x14ac:dyDescent="0.35">
      <c r="A1092" s="2019">
        <f>'SOUTH-2'!A1441</f>
        <v>6</v>
      </c>
      <c r="B1092" s="2019" t="str">
        <f>'SOUTH-2'!B1441</f>
        <v>11 kV Cyca Feeder</v>
      </c>
      <c r="C1092" s="2019">
        <f>'SOUTH-2'!C1441</f>
        <v>11</v>
      </c>
      <c r="D1092" s="2019" t="str">
        <f>'SOUTH-2'!D1441</f>
        <v>Postogola</v>
      </c>
      <c r="E1092" s="2019" t="str">
        <f>'SOUTH-2'!E1441</f>
        <v>DHK61081</v>
      </c>
      <c r="F1092" s="791">
        <f>'SOUTH-2'!F1441</f>
        <v>1</v>
      </c>
      <c r="G1092" s="791">
        <f>'SOUTH-2'!G1441</f>
        <v>349177.8</v>
      </c>
      <c r="H1092" s="791">
        <f>'SOUTH-2'!H1441</f>
        <v>359047.7</v>
      </c>
      <c r="I1092" s="791">
        <f>'SOUTH-2'!I1441</f>
        <v>9869.9000000000233</v>
      </c>
      <c r="J1092" s="791">
        <f>'SOUTH-2'!J1441</f>
        <v>60</v>
      </c>
      <c r="K1092" s="791">
        <f>'SOUTH-2'!K1441</f>
        <v>0</v>
      </c>
      <c r="L1092" s="791">
        <f>'SOUTH-2'!L1441</f>
        <v>592194.0000000014</v>
      </c>
      <c r="M1092" s="791">
        <f>'SOUTH-2'!M1441</f>
        <v>0</v>
      </c>
      <c r="N1092" s="2019" t="str">
        <f>'SOUTH-2'!N1441</f>
        <v>Postogola</v>
      </c>
      <c r="O1092" s="2019" t="str">
        <f>Sheet2!$C$59</f>
        <v>Postogola 33/11KV S/S</v>
      </c>
    </row>
    <row r="1093" spans="1:15" x14ac:dyDescent="0.35">
      <c r="A1093" s="2019">
        <f>'SOUTH-2'!A1442</f>
        <v>5</v>
      </c>
      <c r="B1093" s="2019" t="str">
        <f>'SOUTH-2'!B1442</f>
        <v>11 kV Housing O/H Feeder.</v>
      </c>
      <c r="C1093" s="2019">
        <f>'SOUTH-2'!C1442</f>
        <v>11</v>
      </c>
      <c r="D1093" s="2019" t="str">
        <f>'SOUTH-2'!D1442</f>
        <v>Postogola</v>
      </c>
      <c r="E1093" s="2019" t="str">
        <f>'SOUTH-2'!E1442</f>
        <v>DHK61085</v>
      </c>
      <c r="F1093" s="791">
        <f>'SOUTH-2'!F1442</f>
        <v>1</v>
      </c>
      <c r="G1093" s="791">
        <f>'SOUTH-2'!G1442</f>
        <v>729453.6</v>
      </c>
      <c r="H1093" s="791">
        <f>'SOUTH-2'!H1442</f>
        <v>741876.2</v>
      </c>
      <c r="I1093" s="791">
        <f>'SOUTH-2'!I1442</f>
        <v>12422.599999999977</v>
      </c>
      <c r="J1093" s="791">
        <f>'SOUTH-2'!J1442</f>
        <v>60</v>
      </c>
      <c r="K1093" s="791">
        <f>'SOUTH-2'!K1442</f>
        <v>0</v>
      </c>
      <c r="L1093" s="791">
        <f>'SOUTH-2'!L1442</f>
        <v>745355.9999999986</v>
      </c>
      <c r="M1093" s="791">
        <f>'SOUTH-2'!M1442</f>
        <v>0</v>
      </c>
      <c r="N1093" s="2019" t="str">
        <f>'SOUTH-2'!N1442</f>
        <v>Postogola</v>
      </c>
      <c r="O1093" s="2019" t="str">
        <f>Sheet2!$C$59</f>
        <v>Postogola 33/11KV S/S</v>
      </c>
    </row>
    <row r="1094" spans="1:15" x14ac:dyDescent="0.35">
      <c r="A1094" s="2019">
        <f>'SOUTH-2'!A1443</f>
        <v>7</v>
      </c>
      <c r="B1094" s="2019" t="str">
        <f>'SOUTH-2'!B1443</f>
        <v xml:space="preserve">11 kV Munshi Bari </v>
      </c>
      <c r="C1094" s="2019">
        <f>'SOUTH-2'!C1443</f>
        <v>11</v>
      </c>
      <c r="D1094" s="2019" t="str">
        <f>'SOUTH-2'!D1443</f>
        <v>Postogola</v>
      </c>
      <c r="E1094" s="2019" t="str">
        <f>'SOUTH-2'!E1443</f>
        <v>DHK61078</v>
      </c>
      <c r="F1094" s="791">
        <f>'SOUTH-2'!F1443</f>
        <v>1</v>
      </c>
      <c r="G1094" s="791">
        <f>'SOUTH-2'!G1443</f>
        <v>617597.30000000005</v>
      </c>
      <c r="H1094" s="791">
        <f>'SOUTH-2'!H1443</f>
        <v>630048.30000000005</v>
      </c>
      <c r="I1094" s="791">
        <f>'SOUTH-2'!I1443</f>
        <v>12451</v>
      </c>
      <c r="J1094" s="791">
        <f>'SOUTH-2'!J1443</f>
        <v>60</v>
      </c>
      <c r="K1094" s="791">
        <f>'SOUTH-2'!K1443</f>
        <v>0</v>
      </c>
      <c r="L1094" s="791">
        <f>'SOUTH-2'!L1443</f>
        <v>747060</v>
      </c>
      <c r="M1094" s="791">
        <f>'SOUTH-2'!M1443</f>
        <v>0</v>
      </c>
      <c r="N1094" s="2019" t="str">
        <f>'SOUTH-2'!N1443</f>
        <v>Postogola</v>
      </c>
      <c r="O1094" s="2019" t="str">
        <f>Sheet2!$C$59</f>
        <v>Postogola 33/11KV S/S</v>
      </c>
    </row>
    <row r="1095" spans="1:15" x14ac:dyDescent="0.35">
      <c r="A1095" s="2019">
        <f>'SOUTH-2'!A1444</f>
        <v>10</v>
      </c>
      <c r="B1095" s="2019" t="str">
        <f>'SOUTH-2'!B1444</f>
        <v xml:space="preserve">11 kV Cantonment Feeder  </v>
      </c>
      <c r="C1095" s="2019">
        <f>'SOUTH-2'!C1444</f>
        <v>11</v>
      </c>
      <c r="D1095" s="2019" t="str">
        <f>'SOUTH-2'!D1444</f>
        <v>Jurain</v>
      </c>
      <c r="E1095" s="2019" t="str">
        <f>'SOUTH-2'!E1444</f>
        <v>DHK60953</v>
      </c>
      <c r="F1095" s="791">
        <f>'SOUTH-2'!F1444</f>
        <v>1</v>
      </c>
      <c r="G1095" s="791">
        <f>'SOUTH-2'!G1444</f>
        <v>505949.4</v>
      </c>
      <c r="H1095" s="791">
        <f>'SOUTH-2'!H1444</f>
        <v>507184.7</v>
      </c>
      <c r="I1095" s="791">
        <f>'SOUTH-2'!I1444</f>
        <v>1235.2999999999884</v>
      </c>
      <c r="J1095" s="791">
        <f>'SOUTH-2'!J1444</f>
        <v>60</v>
      </c>
      <c r="K1095" s="791">
        <f>'SOUTH-2'!K1444</f>
        <v>0</v>
      </c>
      <c r="L1095" s="791">
        <f>'SOUTH-2'!L1444</f>
        <v>74117.999999999302</v>
      </c>
      <c r="M1095" s="791">
        <f>'SOUTH-2'!M1444</f>
        <v>0</v>
      </c>
      <c r="N1095" s="2019" t="str">
        <f>'SOUTH-2'!N1444</f>
        <v>Postogola</v>
      </c>
      <c r="O1095" s="2019" t="str">
        <f>Sheet2!$C$59</f>
        <v>Postogola 33/11KV S/S</v>
      </c>
    </row>
    <row r="1096" spans="1:15" x14ac:dyDescent="0.35">
      <c r="A1096" s="2019">
        <f>'SOUTH-2'!A1445</f>
        <v>11</v>
      </c>
      <c r="B1096" s="2019" t="str">
        <f>'SOUTH-2'!B1445</f>
        <v>11 kV DIT Feeder.</v>
      </c>
      <c r="C1096" s="2019">
        <f>'SOUTH-2'!C1445</f>
        <v>11</v>
      </c>
      <c r="D1096" s="2019" t="str">
        <f>'SOUTH-2'!D1445</f>
        <v>Postogola</v>
      </c>
      <c r="E1096" s="2019" t="str">
        <f>'SOUTH-2'!E1445</f>
        <v>DHK60868</v>
      </c>
      <c r="F1096" s="791">
        <f>'SOUTH-2'!F1445</f>
        <v>1</v>
      </c>
      <c r="G1096" s="791">
        <f>'SOUTH-2'!G1445</f>
        <v>665340.30000000005</v>
      </c>
      <c r="H1096" s="791">
        <f>'SOUTH-2'!H1445</f>
        <v>688804.5</v>
      </c>
      <c r="I1096" s="791">
        <f>'SOUTH-2'!I1445</f>
        <v>23464.199999999953</v>
      </c>
      <c r="J1096" s="791">
        <f>'SOUTH-2'!J1445</f>
        <v>60</v>
      </c>
      <c r="K1096" s="791">
        <f>'SOUTH-2'!K1445</f>
        <v>0</v>
      </c>
      <c r="L1096" s="791">
        <f>'SOUTH-2'!L1445</f>
        <v>1407851.9999999972</v>
      </c>
      <c r="M1096" s="791">
        <f>'SOUTH-2'!M1445</f>
        <v>0</v>
      </c>
      <c r="N1096" s="2019" t="str">
        <f>'SOUTH-2'!N1445</f>
        <v>Postogola</v>
      </c>
      <c r="O1096" s="2019" t="str">
        <f>Sheet2!$C$59</f>
        <v>Postogola 33/11KV S/S</v>
      </c>
    </row>
    <row r="1097" spans="1:15" x14ac:dyDescent="0.35">
      <c r="A1097" s="2019">
        <f>'SOUTH-2'!A1446</f>
        <v>12</v>
      </c>
      <c r="B1097" s="2019" t="str">
        <f>'SOUTH-2'!B1446</f>
        <v>11 kV Jurain WASA Road Feeder</v>
      </c>
      <c r="C1097" s="2019">
        <f>'SOUTH-2'!C1446</f>
        <v>11</v>
      </c>
      <c r="D1097" s="2019" t="str">
        <f>'SOUTH-2'!D1446</f>
        <v>Jurain</v>
      </c>
      <c r="E1097" s="2019" t="str">
        <f>'SOUTH-2'!E1446</f>
        <v>DHK60862</v>
      </c>
      <c r="F1097" s="791">
        <f>'SOUTH-2'!F1446</f>
        <v>1</v>
      </c>
      <c r="G1097" s="791">
        <f>'SOUTH-2'!G1446</f>
        <v>60122.5</v>
      </c>
      <c r="H1097" s="791">
        <f>'SOUTH-2'!H1446</f>
        <v>85095.4</v>
      </c>
      <c r="I1097" s="791">
        <f>'SOUTH-2'!I1446</f>
        <v>24972.899999999994</v>
      </c>
      <c r="J1097" s="791">
        <f>'SOUTH-2'!J1446</f>
        <v>60</v>
      </c>
      <c r="K1097" s="791">
        <f>'SOUTH-2'!K1446</f>
        <v>0</v>
      </c>
      <c r="L1097" s="791">
        <f>'SOUTH-2'!L1446</f>
        <v>1498373.9999999995</v>
      </c>
      <c r="M1097" s="791">
        <f>'SOUTH-2'!M1446</f>
        <v>0</v>
      </c>
      <c r="N1097" s="2019" t="str">
        <f>'SOUTH-2'!N1446</f>
        <v>Jurain</v>
      </c>
      <c r="O1097" s="2019" t="str">
        <f>Sheet2!$C$59</f>
        <v>Postogola 33/11KV S/S</v>
      </c>
    </row>
    <row r="1098" spans="1:15" x14ac:dyDescent="0.35">
      <c r="A1098" s="2019">
        <f>'SOUTH-2'!A1447</f>
        <v>13</v>
      </c>
      <c r="B1098" s="2019" t="str">
        <f>'SOUTH-2'!B1447</f>
        <v>11 kV Khorshed Ali O/H Feeder.</v>
      </c>
      <c r="C1098" s="2019">
        <f>'SOUTH-2'!C1447</f>
        <v>11</v>
      </c>
      <c r="D1098" s="2019" t="str">
        <f>'SOUTH-2'!D1447</f>
        <v>Jurain</v>
      </c>
      <c r="E1098" s="2019" t="str">
        <f>'SOUTH-2'!E1447</f>
        <v>HA021100484-02</v>
      </c>
      <c r="F1098" s="791">
        <f>'SOUTH-2'!F1447</f>
        <v>1</v>
      </c>
      <c r="G1098" s="791">
        <f>'SOUTH-2'!G1447</f>
        <v>24342122</v>
      </c>
      <c r="H1098" s="791">
        <f>'SOUTH-2'!H1447</f>
        <v>25959883</v>
      </c>
      <c r="I1098" s="791">
        <f>'SOUTH-2'!I1447</f>
        <v>1617761</v>
      </c>
      <c r="J1098" s="791">
        <f>'SOUTH-2'!J1447</f>
        <v>1</v>
      </c>
      <c r="K1098" s="791">
        <f>'SOUTH-2'!K1447</f>
        <v>0</v>
      </c>
      <c r="L1098" s="791">
        <f>'SOUTH-2'!L1447</f>
        <v>1617761</v>
      </c>
      <c r="M1098" s="791">
        <f>'SOUTH-2'!M1447</f>
        <v>0</v>
      </c>
      <c r="N1098" s="2019" t="str">
        <f>'SOUTH-2'!N1447</f>
        <v>Jurain</v>
      </c>
      <c r="O1098" s="2019" t="str">
        <f>Sheet2!$C$59</f>
        <v>Postogola 33/11KV S/S</v>
      </c>
    </row>
    <row r="1099" spans="1:15" x14ac:dyDescent="0.35">
      <c r="A1099" s="2019">
        <f>'SOUTH-2'!A1448</f>
        <v>14</v>
      </c>
      <c r="B1099" s="2019" t="str">
        <f>'SOUTH-2'!B1448</f>
        <v xml:space="preserve">11 kV Murad pur Feeder. </v>
      </c>
      <c r="C1099" s="2019">
        <f>'SOUTH-2'!C1448</f>
        <v>11</v>
      </c>
      <c r="D1099" s="2019" t="str">
        <f>'SOUTH-2'!D1448</f>
        <v>Jurain</v>
      </c>
      <c r="E1099" s="2019" t="str">
        <f>'SOUTH-2'!E1448</f>
        <v>HA021100680-02</v>
      </c>
      <c r="F1099" s="791">
        <f>'SOUTH-2'!F1448</f>
        <v>1</v>
      </c>
      <c r="G1099" s="791">
        <f>'SOUTH-2'!G1448</f>
        <v>8270682</v>
      </c>
      <c r="H1099" s="791">
        <f>'SOUTH-2'!H1448</f>
        <v>9673896</v>
      </c>
      <c r="I1099" s="791">
        <f>'SOUTH-2'!I1448</f>
        <v>1403214</v>
      </c>
      <c r="J1099" s="791">
        <f>'SOUTH-2'!J1448</f>
        <v>1</v>
      </c>
      <c r="K1099" s="791">
        <f>'SOUTH-2'!K1448</f>
        <v>0</v>
      </c>
      <c r="L1099" s="791">
        <f>'SOUTH-2'!L1448</f>
        <v>1403214</v>
      </c>
      <c r="M1099" s="791">
        <f>'SOUTH-2'!M1448</f>
        <v>0</v>
      </c>
      <c r="N1099" s="2019" t="str">
        <f>'SOUTH-2'!N1448</f>
        <v>Jurain</v>
      </c>
      <c r="O1099" s="2019" t="str">
        <f>Sheet2!$C$59</f>
        <v>Postogola 33/11KV S/S</v>
      </c>
    </row>
    <row r="1100" spans="1:15" x14ac:dyDescent="0.35">
      <c r="A1100" s="2019">
        <f>'SOUTH-2'!A1449</f>
        <v>15</v>
      </c>
      <c r="B1100" s="2019" t="str">
        <f>'SOUTH-2'!B1449</f>
        <v>11 kV Habib Oil Feeder.</v>
      </c>
      <c r="C1100" s="2019">
        <f>'SOUTH-2'!C1449</f>
        <v>11</v>
      </c>
      <c r="D1100" s="2019" t="str">
        <f>'SOUTH-2'!D1449</f>
        <v>Postogola</v>
      </c>
      <c r="E1100" s="2019" t="str">
        <f>'SOUTH-2'!E1449</f>
        <v>HA021101240-02</v>
      </c>
      <c r="F1100" s="791">
        <f>'SOUTH-2'!F1449</f>
        <v>1</v>
      </c>
      <c r="G1100" s="791">
        <f>'SOUTH-2'!G1449</f>
        <v>45431042</v>
      </c>
      <c r="H1100" s="791">
        <f>'SOUTH-2'!H1449</f>
        <v>46486532</v>
      </c>
      <c r="I1100" s="791">
        <f>'SOUTH-2'!I1449</f>
        <v>1055490</v>
      </c>
      <c r="J1100" s="791">
        <f>'SOUTH-2'!J1449</f>
        <v>1</v>
      </c>
      <c r="K1100" s="791">
        <f>'SOUTH-2'!K1449</f>
        <v>0</v>
      </c>
      <c r="L1100" s="791">
        <f>'SOUTH-2'!L1449</f>
        <v>1055490</v>
      </c>
      <c r="M1100" s="791">
        <f>'SOUTH-2'!M1449</f>
        <v>0</v>
      </c>
      <c r="N1100" s="2019" t="str">
        <f>'SOUTH-2'!N1449</f>
        <v>Postogola</v>
      </c>
      <c r="O1100" s="2019" t="str">
        <f>Sheet2!$C$59</f>
        <v>Postogola 33/11KV S/S</v>
      </c>
    </row>
    <row r="1101" spans="1:15" x14ac:dyDescent="0.35">
      <c r="A1101" s="2019">
        <f>'SOUTH-2'!A1450</f>
        <v>16</v>
      </c>
      <c r="B1101" s="2019" t="str">
        <f>'SOUTH-2'!B1450</f>
        <v>11 kV Rajabari Feeder.</v>
      </c>
      <c r="C1101" s="2019">
        <f>'SOUTH-2'!C1450</f>
        <v>11</v>
      </c>
      <c r="D1101" s="2019" t="str">
        <f>'SOUTH-2'!D1450</f>
        <v>Postogola</v>
      </c>
      <c r="E1101" s="2019" t="str">
        <f>'SOUTH-2'!E1450</f>
        <v>HA021100681-02</v>
      </c>
      <c r="F1101" s="791">
        <f>'SOUTH-2'!F1450</f>
        <v>1</v>
      </c>
      <c r="G1101" s="791">
        <f>'SOUTH-2'!G1450</f>
        <v>50894302</v>
      </c>
      <c r="H1101" s="791">
        <f>'SOUTH-2'!H1450</f>
        <v>51322896</v>
      </c>
      <c r="I1101" s="791">
        <f>'SOUTH-2'!I1450</f>
        <v>428594</v>
      </c>
      <c r="J1101" s="791">
        <f>'SOUTH-2'!J1450</f>
        <v>1</v>
      </c>
      <c r="K1101" s="791">
        <f>'SOUTH-2'!K1450</f>
        <v>0</v>
      </c>
      <c r="L1101" s="791">
        <f>'SOUTH-2'!L1450</f>
        <v>428594</v>
      </c>
      <c r="M1101" s="791">
        <f>'SOUTH-2'!M1450</f>
        <v>0</v>
      </c>
      <c r="N1101" s="2019" t="str">
        <f>'SOUTH-2'!N1450</f>
        <v>Postogola</v>
      </c>
      <c r="O1101" s="2019" t="str">
        <f>Sheet2!$C$59</f>
        <v>Postogola 33/11KV S/S</v>
      </c>
    </row>
    <row r="1102" spans="1:15" x14ac:dyDescent="0.35">
      <c r="A1102" s="2019">
        <f>'SOUTH-2'!A1451</f>
        <v>17</v>
      </c>
      <c r="B1102" s="2019" t="str">
        <f>'SOUTH-2'!B1451</f>
        <v>11/0.415  kV, 200 kVA AT-1+2</v>
      </c>
      <c r="C1102" s="2019">
        <f>'SOUTH-2'!C1451</f>
        <v>11</v>
      </c>
      <c r="D1102" s="2019">
        <f>'SOUTH-2'!D1451</f>
        <v>0</v>
      </c>
      <c r="E1102" s="2019" t="str">
        <f>'SOUTH-2'!E1451</f>
        <v>ELIB67385</v>
      </c>
      <c r="F1102" s="791">
        <f>'SOUTH-2'!F1451</f>
        <v>1</v>
      </c>
      <c r="G1102" s="791">
        <f>'SOUTH-2'!G1451</f>
        <v>9963.09</v>
      </c>
      <c r="H1102" s="791">
        <f>'SOUTH-2'!H1451</f>
        <v>10003.129999999999</v>
      </c>
      <c r="I1102" s="791">
        <f>'SOUTH-2'!I1451</f>
        <v>40.039999999999054</v>
      </c>
      <c r="J1102" s="791">
        <f>'SOUTH-2'!J1451</f>
        <v>80</v>
      </c>
      <c r="K1102" s="791">
        <f>'SOUTH-2'!K1451</f>
        <v>0</v>
      </c>
      <c r="L1102" s="791">
        <f>'SOUTH-2'!L1451</f>
        <v>3203.1999999999243</v>
      </c>
      <c r="M1102" s="791">
        <f>'SOUTH-2'!M1451</f>
        <v>0</v>
      </c>
      <c r="N1102" s="2019" t="str">
        <f>'SOUTH-2'!N1451</f>
        <v>Postogola</v>
      </c>
      <c r="O1102" s="2019" t="str">
        <f>Sheet2!$C$59</f>
        <v>Postogola 33/11KV S/S</v>
      </c>
    </row>
    <row r="1103" spans="1:15" x14ac:dyDescent="0.35">
      <c r="A1103" s="2019">
        <f>'SOUTH-2'!A1516</f>
        <v>1</v>
      </c>
      <c r="B1103" s="2019" t="str">
        <f>'SOUTH-2'!B1516</f>
        <v>11 kV Feeder-1</v>
      </c>
      <c r="C1103" s="2019">
        <f>'SOUTH-2'!C1516</f>
        <v>11</v>
      </c>
      <c r="D1103" s="2019">
        <f>'SOUTH-2'!D1516</f>
        <v>0</v>
      </c>
      <c r="E1103" s="2019" t="str">
        <f>'SOUTH-2'!E1516</f>
        <v>DHK60892</v>
      </c>
      <c r="F1103" s="791">
        <f>'SOUTH-2'!F1516</f>
        <v>1</v>
      </c>
      <c r="G1103" s="791">
        <f>'SOUTH-2'!G1516</f>
        <v>0</v>
      </c>
      <c r="H1103" s="791">
        <f>'SOUTH-2'!H1516</f>
        <v>0</v>
      </c>
      <c r="I1103" s="791">
        <f>'SOUTH-2'!I1516</f>
        <v>0</v>
      </c>
      <c r="J1103" s="791">
        <f>'SOUTH-2'!J1516</f>
        <v>60</v>
      </c>
      <c r="K1103" s="791">
        <f>'SOUTH-2'!K1516</f>
        <v>0</v>
      </c>
      <c r="L1103" s="791">
        <f>'SOUTH-2'!L1516</f>
        <v>0</v>
      </c>
      <c r="M1103" s="791">
        <f>'SOUTH-2'!M1516</f>
        <v>0</v>
      </c>
      <c r="N1103" s="2019">
        <f>'SOUTH-2'!N1516</f>
        <v>0</v>
      </c>
      <c r="O1103" s="2019" t="str">
        <f>Sheet2!$C$74</f>
        <v>IG Gate GIS 33/11 kV</v>
      </c>
    </row>
    <row r="1104" spans="1:15" x14ac:dyDescent="0.35">
      <c r="A1104" s="2019">
        <f>'SOUTH-2'!A1517</f>
        <v>2</v>
      </c>
      <c r="B1104" s="2019" t="str">
        <f>'SOUTH-2'!B1517</f>
        <v>11 kV Feeder-2</v>
      </c>
      <c r="C1104" s="2019">
        <f>'SOUTH-2'!C1517</f>
        <v>11</v>
      </c>
      <c r="D1104" s="2019">
        <f>'SOUTH-2'!D1517</f>
        <v>0</v>
      </c>
      <c r="E1104" s="2019" t="str">
        <f>'SOUTH-2'!E1517</f>
        <v>DHK60968</v>
      </c>
      <c r="F1104" s="791">
        <f>'SOUTH-2'!F1517</f>
        <v>1</v>
      </c>
      <c r="G1104" s="791">
        <f>'SOUTH-2'!G1517</f>
        <v>0</v>
      </c>
      <c r="H1104" s="791">
        <f>'SOUTH-2'!H1517</f>
        <v>0</v>
      </c>
      <c r="I1104" s="791">
        <f>'SOUTH-2'!I1517</f>
        <v>0</v>
      </c>
      <c r="J1104" s="791">
        <f>'SOUTH-2'!J1517</f>
        <v>60</v>
      </c>
      <c r="K1104" s="791">
        <f>'SOUTH-2'!K1517</f>
        <v>0</v>
      </c>
      <c r="L1104" s="791">
        <f>'SOUTH-2'!L1517</f>
        <v>0</v>
      </c>
      <c r="M1104" s="791">
        <f>'SOUTH-2'!M1517</f>
        <v>0</v>
      </c>
      <c r="N1104" s="2019">
        <f>'SOUTH-2'!N1517</f>
        <v>0</v>
      </c>
      <c r="O1104" s="2019" t="str">
        <f>Sheet2!$C$74</f>
        <v>IG Gate GIS 33/11 kV</v>
      </c>
    </row>
    <row r="1105" spans="1:15" x14ac:dyDescent="0.35">
      <c r="A1105" s="2019">
        <f>'SOUTH-2'!A1518</f>
        <v>3</v>
      </c>
      <c r="B1105" s="2019" t="str">
        <f>'SOUTH-2'!B1518</f>
        <v>11 kV Dholaikal RMU</v>
      </c>
      <c r="C1105" s="2019">
        <f>'SOUTH-2'!C1518</f>
        <v>11</v>
      </c>
      <c r="D1105" s="2019">
        <f>'SOUTH-2'!D1518</f>
        <v>0</v>
      </c>
      <c r="E1105" s="2019" t="str">
        <f>'SOUTH-2'!E1518</f>
        <v>DHK60970</v>
      </c>
      <c r="F1105" s="791">
        <f>'SOUTH-2'!F1518</f>
        <v>1</v>
      </c>
      <c r="G1105" s="791">
        <f>'SOUTH-2'!G1518</f>
        <v>21196.5</v>
      </c>
      <c r="H1105" s="791">
        <f>'SOUTH-2'!H1518</f>
        <v>39724.1</v>
      </c>
      <c r="I1105" s="791">
        <f>'SOUTH-2'!I1518</f>
        <v>18527.599999999999</v>
      </c>
      <c r="J1105" s="791">
        <f>'SOUTH-2'!J1518</f>
        <v>60</v>
      </c>
      <c r="K1105" s="791">
        <f>'SOUTH-2'!K1518</f>
        <v>0</v>
      </c>
      <c r="L1105" s="791">
        <f>'SOUTH-2'!L1518</f>
        <v>1111656</v>
      </c>
      <c r="M1105" s="791">
        <f>'SOUTH-2'!M1518</f>
        <v>0</v>
      </c>
      <c r="N1105" s="2019" t="str">
        <f>'SOUTH-2'!N1518</f>
        <v>Banglabazar</v>
      </c>
      <c r="O1105" s="2019" t="str">
        <f>Sheet2!$C$74</f>
        <v>IG Gate GIS 33/11 kV</v>
      </c>
    </row>
    <row r="1106" spans="1:15" x14ac:dyDescent="0.35">
      <c r="A1106" s="2019">
        <f>'SOUTH-2'!A1519</f>
        <v>4</v>
      </c>
      <c r="B1106" s="2019" t="str">
        <f>'SOUTH-2'!B1519</f>
        <v>11 kV Alom Gonj</v>
      </c>
      <c r="C1106" s="2019">
        <f>'SOUTH-2'!C1519</f>
        <v>11</v>
      </c>
      <c r="D1106" s="2019">
        <f>'SOUTH-2'!D1519</f>
        <v>0</v>
      </c>
      <c r="E1106" s="2019" t="str">
        <f>'SOUTH-2'!E1519</f>
        <v>DHK60894</v>
      </c>
      <c r="F1106" s="791">
        <f>'SOUTH-2'!F1519</f>
        <v>1</v>
      </c>
      <c r="G1106" s="791">
        <f>'SOUTH-2'!G1519</f>
        <v>412315</v>
      </c>
      <c r="H1106" s="791">
        <f>'SOUTH-2'!H1519</f>
        <v>419563.1</v>
      </c>
      <c r="I1106" s="791">
        <f>'SOUTH-2'!I1519</f>
        <v>7248.0999999999767</v>
      </c>
      <c r="J1106" s="791">
        <f>'SOUTH-2'!J1519</f>
        <v>60</v>
      </c>
      <c r="K1106" s="791">
        <f>'SOUTH-2'!K1519</f>
        <v>0</v>
      </c>
      <c r="L1106" s="791">
        <f>'SOUTH-2'!L1519</f>
        <v>434885.9999999986</v>
      </c>
      <c r="M1106" s="791">
        <f>'SOUTH-2'!M1519</f>
        <v>0</v>
      </c>
      <c r="N1106" s="2019" t="str">
        <f>'SOUTH-2'!N1519</f>
        <v>Postogola</v>
      </c>
      <c r="O1106" s="2019" t="str">
        <f>Sheet2!$C$74</f>
        <v>IG Gate GIS 33/11 kV</v>
      </c>
    </row>
    <row r="1107" spans="1:15" x14ac:dyDescent="0.35">
      <c r="A1107" s="2019">
        <f>'SOUTH-2'!A1520</f>
        <v>5</v>
      </c>
      <c r="B1107" s="2019" t="str">
        <f>'SOUTH-2'!B1520</f>
        <v>11 kV Dhalka Nagar Feeder (F-5)</v>
      </c>
      <c r="C1107" s="2019">
        <f>'SOUTH-2'!C1520</f>
        <v>11</v>
      </c>
      <c r="D1107" s="2019">
        <f>'SOUTH-2'!D1520</f>
        <v>0</v>
      </c>
      <c r="E1107" s="2019" t="str">
        <f>'SOUTH-2'!E1520</f>
        <v>DHK60895</v>
      </c>
      <c r="F1107" s="791">
        <f>'SOUTH-2'!F1520</f>
        <v>1</v>
      </c>
      <c r="G1107" s="791">
        <f>'SOUTH-2'!G1520</f>
        <v>348459.6</v>
      </c>
      <c r="H1107" s="791">
        <f>'SOUTH-2'!H1520</f>
        <v>366083.9</v>
      </c>
      <c r="I1107" s="791">
        <f>'SOUTH-2'!I1520</f>
        <v>17624.300000000047</v>
      </c>
      <c r="J1107" s="791">
        <f>'SOUTH-2'!J1520</f>
        <v>60</v>
      </c>
      <c r="K1107" s="791">
        <f>'SOUTH-2'!K1520</f>
        <v>0</v>
      </c>
      <c r="L1107" s="791">
        <f>'SOUTH-2'!L1520</f>
        <v>1057458.0000000028</v>
      </c>
      <c r="M1107" s="791">
        <f>'SOUTH-2'!M1520</f>
        <v>0</v>
      </c>
      <c r="N1107" s="2019" t="str">
        <f>'SOUTH-2'!N1520</f>
        <v>Postogola</v>
      </c>
      <c r="O1107" s="2019" t="str">
        <f>Sheet2!$C$74</f>
        <v>IG Gate GIS 33/11 kV</v>
      </c>
    </row>
    <row r="1108" spans="1:15" x14ac:dyDescent="0.35">
      <c r="A1108" s="2019">
        <f>'SOUTH-2'!A1521</f>
        <v>6</v>
      </c>
      <c r="B1108" s="2019" t="str">
        <f>'SOUTH-2'!B1521</f>
        <v>11 kV Farashgonj Feeder (F-6)</v>
      </c>
      <c r="C1108" s="2019">
        <f>'SOUTH-2'!C1521</f>
        <v>11</v>
      </c>
      <c r="D1108" s="2019">
        <f>'SOUTH-2'!D1521</f>
        <v>0</v>
      </c>
      <c r="E1108" s="2019" t="str">
        <f>'SOUTH-2'!E1521</f>
        <v>DHK68133</v>
      </c>
      <c r="F1108" s="791">
        <f>'SOUTH-2'!F1521</f>
        <v>1</v>
      </c>
      <c r="G1108" s="791">
        <f>'SOUTH-2'!G1521</f>
        <v>3386.31</v>
      </c>
      <c r="H1108" s="791">
        <f>'SOUTH-2'!H1521</f>
        <v>3406.26</v>
      </c>
      <c r="I1108" s="791">
        <f>'SOUTH-2'!I1521</f>
        <v>19.950000000000273</v>
      </c>
      <c r="J1108" s="791">
        <f>'SOUTH-2'!J1521</f>
        <v>60000</v>
      </c>
      <c r="K1108" s="791">
        <f>'SOUTH-2'!K1521</f>
        <v>0</v>
      </c>
      <c r="L1108" s="791">
        <f>'SOUTH-2'!L1521</f>
        <v>1197000.0000000163</v>
      </c>
      <c r="M1108" s="791">
        <f>'SOUTH-2'!M1521</f>
        <v>0</v>
      </c>
      <c r="N1108" s="2019" t="str">
        <f>'SOUTH-2'!N1521</f>
        <v>Banglabazar</v>
      </c>
      <c r="O1108" s="2019" t="str">
        <f>Sheet2!$C$74</f>
        <v>IG Gate GIS 33/11 kV</v>
      </c>
    </row>
    <row r="1109" spans="1:15" x14ac:dyDescent="0.35">
      <c r="A1109" s="2019">
        <f>'SOUTH-2'!A1522</f>
        <v>7</v>
      </c>
      <c r="B1109" s="2019" t="str">
        <f>'SOUTH-2'!B1522</f>
        <v>11 kV Doyaganj</v>
      </c>
      <c r="C1109" s="2019">
        <f>'SOUTH-2'!C1522</f>
        <v>11</v>
      </c>
      <c r="D1109" s="2019">
        <f>'SOUTH-2'!D1522</f>
        <v>0</v>
      </c>
      <c r="E1109" s="2019" t="str">
        <f>'SOUTH-2'!E1522</f>
        <v>DHK68134</v>
      </c>
      <c r="F1109" s="791">
        <f>'SOUTH-2'!F1522</f>
        <v>1</v>
      </c>
      <c r="G1109" s="791">
        <f>'SOUTH-2'!G1522</f>
        <v>2170.63</v>
      </c>
      <c r="H1109" s="791">
        <f>'SOUTH-2'!H1522</f>
        <v>2190.96</v>
      </c>
      <c r="I1109" s="791">
        <f>'SOUTH-2'!I1522</f>
        <v>20.329999999999927</v>
      </c>
      <c r="J1109" s="791">
        <f>'SOUTH-2'!J1522</f>
        <v>60000</v>
      </c>
      <c r="K1109" s="791">
        <f>'SOUTH-2'!K1522</f>
        <v>0</v>
      </c>
      <c r="L1109" s="791">
        <f>'SOUTH-2'!L1522</f>
        <v>1219799.9999999956</v>
      </c>
      <c r="M1109" s="791">
        <f>'SOUTH-2'!M1522</f>
        <v>0</v>
      </c>
      <c r="N1109" s="2019" t="str">
        <f>'SOUTH-2'!N1522</f>
        <v>Swamibag</v>
      </c>
      <c r="O1109" s="2019" t="str">
        <f>Sheet2!$C$74</f>
        <v>IG Gate GIS 33/11 kV</v>
      </c>
    </row>
    <row r="1110" spans="1:15" x14ac:dyDescent="0.35">
      <c r="A1110" s="2019">
        <f>'SOUTH-2'!A1523</f>
        <v>10</v>
      </c>
      <c r="B1110" s="2019" t="str">
        <f>'SOUTH-2'!B1523</f>
        <v xml:space="preserve">11 kV Faridabad </v>
      </c>
      <c r="C1110" s="2019">
        <f>'SOUTH-2'!C1523</f>
        <v>11</v>
      </c>
      <c r="D1110" s="2019">
        <f>'SOUTH-2'!D1523</f>
        <v>0</v>
      </c>
      <c r="E1110" s="2019" t="str">
        <f>'SOUTH-2'!E1523</f>
        <v>DHK68140</v>
      </c>
      <c r="F1110" s="791">
        <f>'SOUTH-2'!F1523</f>
        <v>1</v>
      </c>
      <c r="G1110" s="791">
        <f>'SOUTH-2'!G1523</f>
        <v>635.54</v>
      </c>
      <c r="H1110" s="791">
        <f>'SOUTH-2'!H1523</f>
        <v>649.35</v>
      </c>
      <c r="I1110" s="791">
        <f>'SOUTH-2'!I1523</f>
        <v>13.810000000000059</v>
      </c>
      <c r="J1110" s="791">
        <f>'SOUTH-2'!J1523</f>
        <v>60000</v>
      </c>
      <c r="K1110" s="791">
        <f>'SOUTH-2'!K1523</f>
        <v>0</v>
      </c>
      <c r="L1110" s="791">
        <f>'SOUTH-2'!L1523</f>
        <v>828600.00000000349</v>
      </c>
      <c r="M1110" s="791">
        <f>'SOUTH-2'!M1523</f>
        <v>0</v>
      </c>
      <c r="N1110" s="2019" t="str">
        <f>'SOUTH-2'!N1523</f>
        <v>Postogola</v>
      </c>
      <c r="O1110" s="2019" t="str">
        <f>Sheet2!$C$74</f>
        <v>IG Gate GIS 33/11 kV</v>
      </c>
    </row>
    <row r="1111" spans="1:15" x14ac:dyDescent="0.35">
      <c r="A1111" s="2019">
        <f>'SOUTH-2'!A1524</f>
        <v>11</v>
      </c>
      <c r="B1111" s="2019" t="str">
        <f>'SOUTH-2'!B1524</f>
        <v>11 kV Gandaria</v>
      </c>
      <c r="C1111" s="2019">
        <f>'SOUTH-2'!C1524</f>
        <v>11</v>
      </c>
      <c r="D1111" s="2019">
        <f>'SOUTH-2'!D1524</f>
        <v>0</v>
      </c>
      <c r="E1111" s="2019" t="str">
        <f>'SOUTH-2'!E1524</f>
        <v>DHK60969</v>
      </c>
      <c r="F1111" s="791">
        <f>'SOUTH-2'!F1524</f>
        <v>1</v>
      </c>
      <c r="G1111" s="791">
        <f>'SOUTH-2'!G1524</f>
        <v>147084.5</v>
      </c>
      <c r="H1111" s="791">
        <f>'SOUTH-2'!H1524</f>
        <v>167993.4</v>
      </c>
      <c r="I1111" s="791">
        <f>'SOUTH-2'!I1524</f>
        <v>20908.899999999994</v>
      </c>
      <c r="J1111" s="791">
        <f>'SOUTH-2'!J1524</f>
        <v>60</v>
      </c>
      <c r="K1111" s="791">
        <f>'SOUTH-2'!K1524</f>
        <v>0</v>
      </c>
      <c r="L1111" s="791">
        <f>'SOUTH-2'!L1524</f>
        <v>1254533.9999999995</v>
      </c>
      <c r="M1111" s="791">
        <f>'SOUTH-2'!M1524</f>
        <v>0</v>
      </c>
      <c r="N1111" s="2019" t="str">
        <f>'SOUTH-2'!N1524</f>
        <v>Postogola</v>
      </c>
      <c r="O1111" s="2019" t="str">
        <f>Sheet2!$C$74</f>
        <v>IG Gate GIS 33/11 kV</v>
      </c>
    </row>
    <row r="1112" spans="1:15" x14ac:dyDescent="0.35">
      <c r="A1112" s="2019">
        <f>'SOUTH-2'!A1525</f>
        <v>12</v>
      </c>
      <c r="B1112" s="2019" t="str">
        <f>'SOUTH-2'!B1525</f>
        <v>11 kV Walter Road</v>
      </c>
      <c r="C1112" s="2019">
        <f>'SOUTH-2'!C1525</f>
        <v>11</v>
      </c>
      <c r="D1112" s="2019">
        <f>'SOUTH-2'!D1525</f>
        <v>0</v>
      </c>
      <c r="E1112" s="2019" t="str">
        <f>'SOUTH-2'!E1525</f>
        <v>DHK68136</v>
      </c>
      <c r="F1112" s="791">
        <f>'SOUTH-2'!F1525</f>
        <v>1</v>
      </c>
      <c r="G1112" s="791">
        <f>'SOUTH-2'!G1525</f>
        <v>816.36</v>
      </c>
      <c r="H1112" s="791">
        <f>'SOUTH-2'!H1525</f>
        <v>831.25</v>
      </c>
      <c r="I1112" s="791">
        <f>'SOUTH-2'!I1525</f>
        <v>14.889999999999986</v>
      </c>
      <c r="J1112" s="791">
        <f>'SOUTH-2'!J1525</f>
        <v>60000</v>
      </c>
      <c r="K1112" s="791">
        <f>'SOUTH-2'!K1525</f>
        <v>0</v>
      </c>
      <c r="L1112" s="791">
        <f>'SOUTH-2'!L1525</f>
        <v>893399.99999999919</v>
      </c>
      <c r="M1112" s="791">
        <f>'SOUTH-2'!M1525</f>
        <v>0</v>
      </c>
      <c r="N1112" s="2019" t="str">
        <f>'SOUTH-2'!N1525</f>
        <v>Banglabazar</v>
      </c>
      <c r="O1112" s="2019" t="str">
        <f>Sheet2!$C$74</f>
        <v>IG Gate GIS 33/11 kV</v>
      </c>
    </row>
    <row r="1113" spans="1:15" x14ac:dyDescent="0.35">
      <c r="A1113" s="2019">
        <f>'SOUTH-2'!A1526</f>
        <v>13</v>
      </c>
      <c r="B1113" s="2019" t="str">
        <f>'SOUTH-2'!B1526</f>
        <v>11 kV Murgitola Feeder (F-11)</v>
      </c>
      <c r="C1113" s="2019">
        <f>'SOUTH-2'!C1526</f>
        <v>11</v>
      </c>
      <c r="D1113" s="2019">
        <f>'SOUTH-2'!D1526</f>
        <v>0</v>
      </c>
      <c r="E1113" s="2019" t="str">
        <f>'SOUTH-2'!E1526</f>
        <v>DHK68138</v>
      </c>
      <c r="F1113" s="791">
        <f>'SOUTH-2'!F1526</f>
        <v>1</v>
      </c>
      <c r="G1113" s="791">
        <f>'SOUTH-2'!G1526</f>
        <v>3628.83</v>
      </c>
      <c r="H1113" s="791">
        <f>'SOUTH-2'!H1526</f>
        <v>3655.72</v>
      </c>
      <c r="I1113" s="791">
        <f>'SOUTH-2'!I1526</f>
        <v>26.889999999999873</v>
      </c>
      <c r="J1113" s="791">
        <f>'SOUTH-2'!J1526</f>
        <v>60000</v>
      </c>
      <c r="K1113" s="791">
        <f>'SOUTH-2'!K1526</f>
        <v>0</v>
      </c>
      <c r="L1113" s="791">
        <f>'SOUTH-2'!L1526</f>
        <v>1613399.9999999923</v>
      </c>
      <c r="M1113" s="791">
        <f>'SOUTH-2'!M1526</f>
        <v>0</v>
      </c>
      <c r="N1113" s="2019" t="str">
        <f>'SOUTH-2'!N1526</f>
        <v>Swamibag</v>
      </c>
      <c r="O1113" s="2019" t="str">
        <f>Sheet2!$C$74</f>
        <v>IG Gate GIS 33/11 kV</v>
      </c>
    </row>
    <row r="1114" spans="1:15" x14ac:dyDescent="0.35">
      <c r="A1114" s="2019">
        <f>'SOUTH-2'!A1527</f>
        <v>14</v>
      </c>
      <c r="B1114" s="2019" t="str">
        <f>'SOUTH-2'!B1527</f>
        <v xml:space="preserve">11 kV Feeder-12 </v>
      </c>
      <c r="C1114" s="2019">
        <f>'SOUTH-2'!C1527</f>
        <v>11</v>
      </c>
      <c r="D1114" s="2019">
        <f>'SOUTH-2'!D1527</f>
        <v>0</v>
      </c>
      <c r="E1114" s="2019" t="str">
        <f>'SOUTH-2'!E1527</f>
        <v>DHK60900</v>
      </c>
      <c r="F1114" s="791">
        <f>'SOUTH-2'!F1527</f>
        <v>1</v>
      </c>
      <c r="G1114" s="791">
        <f>'SOUTH-2'!G1527</f>
        <v>0</v>
      </c>
      <c r="H1114" s="791">
        <f>'SOUTH-2'!H1527</f>
        <v>0</v>
      </c>
      <c r="I1114" s="791">
        <f>'SOUTH-2'!I1527</f>
        <v>0</v>
      </c>
      <c r="J1114" s="791">
        <f>'SOUTH-2'!J1527</f>
        <v>60</v>
      </c>
      <c r="K1114" s="791">
        <f>'SOUTH-2'!K1527</f>
        <v>0</v>
      </c>
      <c r="L1114" s="791">
        <f>'SOUTH-2'!L1527</f>
        <v>0</v>
      </c>
      <c r="M1114" s="791">
        <f>'SOUTH-2'!M1527</f>
        <v>0</v>
      </c>
      <c r="N1114" s="2019">
        <f>'SOUTH-2'!N1527</f>
        <v>0</v>
      </c>
      <c r="O1114" s="2019" t="str">
        <f>Sheet2!$C$74</f>
        <v>IG Gate GIS 33/11 kV</v>
      </c>
    </row>
    <row r="1115" spans="1:15" x14ac:dyDescent="0.35">
      <c r="A1115" s="2019">
        <f>'SOUTH-2'!A1528</f>
        <v>15</v>
      </c>
      <c r="B1115" s="2019" t="str">
        <f>'SOUTH-2'!B1528</f>
        <v>11 kV Begumgonj Feeder (F-13)</v>
      </c>
      <c r="C1115" s="2019">
        <f>'SOUTH-2'!C1528</f>
        <v>11</v>
      </c>
      <c r="D1115" s="2019">
        <f>'SOUTH-2'!D1528</f>
        <v>0</v>
      </c>
      <c r="E1115" s="2019" t="str">
        <f>'SOUTH-2'!E1528</f>
        <v>DHK60899</v>
      </c>
      <c r="F1115" s="791">
        <f>'SOUTH-2'!F1528</f>
        <v>1</v>
      </c>
      <c r="G1115" s="791">
        <f>'SOUTH-2'!G1528</f>
        <v>467211.5</v>
      </c>
      <c r="H1115" s="791">
        <f>'SOUTH-2'!H1528</f>
        <v>489363.20000000001</v>
      </c>
      <c r="I1115" s="791">
        <f>'SOUTH-2'!I1528</f>
        <v>22151.700000000012</v>
      </c>
      <c r="J1115" s="791">
        <f>'SOUTH-2'!J1528</f>
        <v>60</v>
      </c>
      <c r="K1115" s="791">
        <f>'SOUTH-2'!K1528</f>
        <v>0</v>
      </c>
      <c r="L1115" s="791">
        <f>'SOUTH-2'!L1528</f>
        <v>1329102.0000000007</v>
      </c>
      <c r="M1115" s="791">
        <f>'SOUTH-2'!M1528</f>
        <v>0</v>
      </c>
      <c r="N1115" s="2019" t="str">
        <f>'SOUTH-2'!N1528</f>
        <v>Swamibag</v>
      </c>
      <c r="O1115" s="2019" t="str">
        <f>Sheet2!$C$74</f>
        <v>IG Gate GIS 33/11 kV</v>
      </c>
    </row>
    <row r="1116" spans="1:15" x14ac:dyDescent="0.35">
      <c r="A1116" s="2019">
        <f>'SOUTH-2'!A1529</f>
        <v>16</v>
      </c>
      <c r="B1116" s="2019" t="str">
        <f>'SOUTH-2'!B1529</f>
        <v>11 kV Lohar Pool Feeder (F-14)</v>
      </c>
      <c r="C1116" s="2019">
        <f>'SOUTH-2'!C1529</f>
        <v>11</v>
      </c>
      <c r="D1116" s="2019">
        <f>'SOUTH-2'!D1529</f>
        <v>0</v>
      </c>
      <c r="E1116" s="2019" t="str">
        <f>'SOUTH-2'!E1529</f>
        <v>DHK60967</v>
      </c>
      <c r="F1116" s="791">
        <f>'SOUTH-2'!F1529</f>
        <v>1</v>
      </c>
      <c r="G1116" s="791">
        <f>'SOUTH-2'!G1529</f>
        <v>59870.3</v>
      </c>
      <c r="H1116" s="791">
        <f>'SOUTH-2'!H1529</f>
        <v>69656.3</v>
      </c>
      <c r="I1116" s="791">
        <f>'SOUTH-2'!I1529</f>
        <v>9786</v>
      </c>
      <c r="J1116" s="791">
        <f>'SOUTH-2'!J1529</f>
        <v>60</v>
      </c>
      <c r="K1116" s="791">
        <f>'SOUTH-2'!K1529</f>
        <v>0</v>
      </c>
      <c r="L1116" s="791">
        <f>'SOUTH-2'!L1529</f>
        <v>587160</v>
      </c>
      <c r="M1116" s="791">
        <f>'SOUTH-2'!M1529</f>
        <v>0</v>
      </c>
      <c r="N1116" s="2019" t="str">
        <f>'SOUTH-2'!N1529</f>
        <v>Postogola</v>
      </c>
      <c r="O1116" s="2019" t="str">
        <f>Sheet2!$C$74</f>
        <v>IG Gate GIS 33/11 kV</v>
      </c>
    </row>
    <row r="1117" spans="1:15" x14ac:dyDescent="0.35">
      <c r="A1117" s="2019">
        <f>'SOUTH-2'!A1530</f>
        <v>18</v>
      </c>
      <c r="B1117" s="2019" t="str">
        <f>'SOUTH-2'!B1530</f>
        <v>11/0.415  kV, 200 kVA AT-1+2</v>
      </c>
      <c r="C1117" s="2019">
        <f>'SOUTH-2'!C1530</f>
        <v>11</v>
      </c>
      <c r="D1117" s="2019">
        <f>'SOUTH-2'!D1530</f>
        <v>0</v>
      </c>
      <c r="E1117" s="2019" t="str">
        <f>'SOUTH-2'!E1530</f>
        <v>ELIB2774</v>
      </c>
      <c r="F1117" s="791">
        <f>'SOUTH-2'!F1530</f>
        <v>1</v>
      </c>
      <c r="G1117" s="791">
        <f>'SOUTH-2'!G1530</f>
        <v>267550</v>
      </c>
      <c r="H1117" s="791">
        <f>'SOUTH-2'!H1530</f>
        <v>268785</v>
      </c>
      <c r="I1117" s="791">
        <f>'SOUTH-2'!I1530</f>
        <v>1235</v>
      </c>
      <c r="J1117" s="791">
        <f>'SOUTH-2'!J1530</f>
        <v>1</v>
      </c>
      <c r="K1117" s="791">
        <f>'SOUTH-2'!K1530</f>
        <v>0</v>
      </c>
      <c r="L1117" s="791">
        <f>'SOUTH-2'!L1530</f>
        <v>1235</v>
      </c>
      <c r="M1117" s="791">
        <f>'SOUTH-2'!M1530</f>
        <v>0</v>
      </c>
      <c r="N1117" s="2019" t="str">
        <f>'SOUTH-2'!N1530</f>
        <v>Postogola</v>
      </c>
      <c r="O1117" s="2019" t="str">
        <f>Sheet2!$C$74</f>
        <v>IG Gate GIS 33/11 kV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91"/>
  <sheetViews>
    <sheetView tabSelected="1" workbookViewId="0">
      <selection activeCell="I7" sqref="I7"/>
    </sheetView>
  </sheetViews>
  <sheetFormatPr defaultRowHeight="14.5" x14ac:dyDescent="0.35"/>
  <cols>
    <col min="1" max="1" width="16.7265625" bestFit="1" customWidth="1"/>
    <col min="2" max="2" width="17.453125" style="27" customWidth="1"/>
    <col min="3" max="3" width="38.54296875" style="25" customWidth="1"/>
    <col min="4" max="4" width="13.54296875" bestFit="1" customWidth="1"/>
  </cols>
  <sheetData>
    <row r="1" spans="1:9" x14ac:dyDescent="0.35">
      <c r="B1" s="26" t="s">
        <v>47</v>
      </c>
    </row>
    <row r="2" spans="1:9" x14ac:dyDescent="0.35">
      <c r="B2" s="26">
        <v>15</v>
      </c>
      <c r="C2" s="25" t="s">
        <v>46</v>
      </c>
    </row>
    <row r="3" spans="1:9" x14ac:dyDescent="0.35">
      <c r="A3" t="s">
        <v>52</v>
      </c>
      <c r="B3" s="26" t="s">
        <v>88</v>
      </c>
      <c r="C3" s="25" t="s">
        <v>120</v>
      </c>
      <c r="D3" t="str">
        <f>_xlfn.TEXTJOIN(,TRUE,"'",C3,"'")</f>
        <v>'Moghbazar 132/33/11KV S/S'</v>
      </c>
      <c r="G3" t="str">
        <f>_xlfn.TEXTJOIN(",",TRUE,D3:D91)</f>
        <v>'Moghbazar 132/33/11KV S/S','Moghbazar 33/11KV S/S','Green Road 33/11KV S/S','Lalmatia  33/11KV S/S','Tejgoan 33/11KV S/S','T&amp;T 33/11 KV','Dhanmondi 132/33/11KV S/S','Dhanmondi 33/11KV S/S','Kawranbazar  33/11KV S/S','New Ramna   33/11KV S/S','Ullon 132/33/11KV S/S','Ullon local 33/11KV S/S','Kakrail  33/11KV S/S','Khillgaon  33/11KV S/S','Goran  33/11KV S/S','Taltola  33/11KV S/S','Satmasjid 33/11KV S/S','Jigatola 33/11KV S/S','Kallyanpur 33/11KV S/S','Kamrangirchar 132/33/11KV S/S','Kamrangirchar 33/11KV S/S','Lalbagh old 33/11KV S/S','Banshal 33/11KV S/S','Japan Garden 33/11 KV','Azimpur 33/11 KV','SHERE BANGLA NAGAR  33/11 KV S/S ','LALBAGH   132/33 KV S/S ','LALBAGH   33/11 KV S/S ','Asad Gate 33/11 KV S/S','Shatmasjid 132/33 KV S/S','Banasree 33/11 SS','Mugdhapara Hospital 33/11 KV SS','DMC 33/11 KV SS','Green Road Dormatory 33/11 SS','BSMMU 33/11KV S/S','Dhaka Uddyan 33/11 KV S/S','Dhaka University 132/33 KV S/S','Dhaka University 33/11 KV S/S','Monipuripara 33/11 KV S/S','BGB 33/11 KV S/S','BB Aveneu 33/11 KV S/S','Jigatola 132/33 KV S/S','Jigatola New 33/11 KV S/S','Ispahani 33/11 KV SS','Bangabhaban 132/11KV S/S','Narinda 132/33KV S/S','Narinda 33/11KV S/S','Kumertuly  33/11KV S/S','Maniknagar 132/33 S/S','Maniknagar 33/11 KV SS','Madarteck 132/33KV S/S','Madarteck 33/11KV S/S','Kazla  33/11KV S/S','Shyampur  132/33KV S/S','Shyampur  33/11KV S/S','Shyampur BISIC  33/11KV S/S','Postogola 33/11KV S/S','Fatullah 33/11KV S/S','Sitalakhya  132/33KV S/S','Sitalakhya  33/11KV S/S','Narayangonj (west) BSCIC33/11KV S/S','Char Syedpur 33/11KV S/S','Siddhirganj 132/33/11KV S/S','Siddhirganj  33/11KV S/S','Demra 33/11KV S/S','Mondalpara 33/11KV S/S','Khanpur 33/11KV S/S','Matuail 33/11KV S/S','Matuail 132/33 KV S/S','Sarulia  33/11KV S/S','Maniknagar 33/11KV S/S','IG Gate GIS 33/11 kV','Motijheel old 33/11 kV','Mitford 33/11 kV','Biddyut Bhaban 33/11 KV','Nandalalpur 33/11 kV','Dapa 33/11 kV','Laxmi Narayan Cotton Mill 33/11 kV','Amulia 33/11 kv','New Fatullah 132/33 KV SS','New Fatullah 33/11 KV SS','P &amp; T 33/11 KV SS','Motijheel 132/33 KV SS','Motijheel 33/11 KV SS (new)','Kazla 132/133 KV SS','Kamalapur Railway 33/11 KV SS','Char Syedpur 132/33KV S/S','Char Syedpur 33/11 KV S/S New','Postogola 132/33 KV S/S'</v>
      </c>
    </row>
    <row r="4" spans="1:9" ht="30" customHeight="1" x14ac:dyDescent="0.35">
      <c r="A4" t="s">
        <v>53</v>
      </c>
      <c r="B4" s="26" t="s">
        <v>89</v>
      </c>
      <c r="C4" s="25" t="s">
        <v>121</v>
      </c>
      <c r="D4" t="str">
        <f t="shared" ref="D4:D67" si="0">_xlfn.TEXTJOIN(,TRUE,"'",C4,"'")</f>
        <v>'Moghbazar 33/11KV S/S'</v>
      </c>
    </row>
    <row r="5" spans="1:9" x14ac:dyDescent="0.35">
      <c r="A5" t="s">
        <v>54</v>
      </c>
      <c r="B5" s="26" t="s">
        <v>90</v>
      </c>
      <c r="C5" s="25" t="s">
        <v>122</v>
      </c>
      <c r="D5" t="str">
        <f t="shared" si="0"/>
        <v>'Green Road 33/11KV S/S'</v>
      </c>
    </row>
    <row r="6" spans="1:9" x14ac:dyDescent="0.35">
      <c r="A6" t="s">
        <v>55</v>
      </c>
      <c r="B6" s="26" t="s">
        <v>91</v>
      </c>
      <c r="C6" s="25" t="s">
        <v>123</v>
      </c>
      <c r="D6" t="str">
        <f t="shared" si="0"/>
        <v>'Lalmatia  33/11KV S/S'</v>
      </c>
    </row>
    <row r="7" spans="1:9" x14ac:dyDescent="0.35">
      <c r="A7" t="s">
        <v>56</v>
      </c>
      <c r="B7" s="26" t="s">
        <v>92</v>
      </c>
      <c r="C7" s="25" t="s">
        <v>124</v>
      </c>
      <c r="D7" t="str">
        <f t="shared" si="0"/>
        <v>'Tejgoan 33/11KV S/S'</v>
      </c>
      <c r="G7" t="str">
        <f>_xlfn.TEXTJOIN(,TRUE,"'",B3,"'")</f>
        <v>'Motijheel'</v>
      </c>
      <c r="I7" t="str">
        <f>_xlfn.TEXTJOIN(",",TRUE,G7:G42)</f>
        <v>'Motijheel','Khilgaon','Lalbag','Kazla','Postogola','Banglabazar','N.Gonj (West)','Siddirgonj','Bashabo','Narinda','Maniknagar','Jurain','Shyampur','Swamibag','Bangshal','N.Gonj (East)','Fatullah','Mugdapara','Tejgaon','Satmasjid','Paribag','Kakrail','Moghbazar','Dhanmondi','Ramna','Shyamoli','Shere b.nagar','Rajarbag','Jigatola','Azimpur','Demra','Matuail','Sytalakhya','Kamrangirchar','Banosree','Adabor'</v>
      </c>
    </row>
    <row r="8" spans="1:9" x14ac:dyDescent="0.35">
      <c r="A8" t="s">
        <v>57</v>
      </c>
      <c r="B8" s="26" t="s">
        <v>93</v>
      </c>
      <c r="C8" s="25" t="s">
        <v>203</v>
      </c>
      <c r="D8" t="str">
        <f t="shared" si="0"/>
        <v>'T&amp;T 33/11 KV'</v>
      </c>
      <c r="G8" t="str">
        <f t="shared" ref="G8:G71" si="1">_xlfn.TEXTJOIN(,TRUE,"'",B4,"'")</f>
        <v>'Khilgaon'</v>
      </c>
    </row>
    <row r="9" spans="1:9" x14ac:dyDescent="0.35">
      <c r="A9" t="s">
        <v>58</v>
      </c>
      <c r="B9" s="26" t="s">
        <v>94</v>
      </c>
      <c r="C9" s="25" t="s">
        <v>125</v>
      </c>
      <c r="D9" t="str">
        <f t="shared" si="0"/>
        <v>'Dhanmondi 132/33/11KV S/S'</v>
      </c>
      <c r="G9" t="str">
        <f t="shared" si="1"/>
        <v>'Lalbag'</v>
      </c>
    </row>
    <row r="10" spans="1:9" x14ac:dyDescent="0.35">
      <c r="A10" t="s">
        <v>59</v>
      </c>
      <c r="B10" s="26" t="s">
        <v>95</v>
      </c>
      <c r="C10" s="25" t="s">
        <v>126</v>
      </c>
      <c r="D10" t="str">
        <f t="shared" si="0"/>
        <v>'Dhanmondi 33/11KV S/S'</v>
      </c>
      <c r="G10" t="str">
        <f t="shared" si="1"/>
        <v>'Kazla'</v>
      </c>
    </row>
    <row r="11" spans="1:9" x14ac:dyDescent="0.35">
      <c r="A11" t="s">
        <v>60</v>
      </c>
      <c r="B11" s="26" t="s">
        <v>96</v>
      </c>
      <c r="C11" s="25" t="s">
        <v>127</v>
      </c>
      <c r="D11" t="str">
        <f t="shared" si="0"/>
        <v>'Kawranbazar  33/11KV S/S'</v>
      </c>
      <c r="G11" t="str">
        <f t="shared" si="1"/>
        <v>'Postogola'</v>
      </c>
    </row>
    <row r="12" spans="1:9" x14ac:dyDescent="0.35">
      <c r="A12" t="s">
        <v>61</v>
      </c>
      <c r="B12" s="26" t="s">
        <v>97</v>
      </c>
      <c r="C12" s="25" t="s">
        <v>128</v>
      </c>
      <c r="D12" t="str">
        <f t="shared" si="0"/>
        <v>'New Ramna   33/11KV S/S'</v>
      </c>
      <c r="G12" t="str">
        <f t="shared" si="1"/>
        <v>'Banglabazar'</v>
      </c>
    </row>
    <row r="13" spans="1:9" x14ac:dyDescent="0.35">
      <c r="A13" t="s">
        <v>62</v>
      </c>
      <c r="B13" s="26" t="s">
        <v>98</v>
      </c>
      <c r="C13" s="25" t="s">
        <v>129</v>
      </c>
      <c r="D13" t="str">
        <f t="shared" si="0"/>
        <v>'Ullon 132/33/11KV S/S'</v>
      </c>
      <c r="G13" t="str">
        <f t="shared" si="1"/>
        <v>'N.Gonj (West)'</v>
      </c>
    </row>
    <row r="14" spans="1:9" x14ac:dyDescent="0.35">
      <c r="A14" t="s">
        <v>63</v>
      </c>
      <c r="B14" s="26" t="s">
        <v>99</v>
      </c>
      <c r="C14" s="25" t="s">
        <v>130</v>
      </c>
      <c r="D14" t="str">
        <f t="shared" si="0"/>
        <v>'Ullon local 33/11KV S/S'</v>
      </c>
      <c r="G14" t="str">
        <f t="shared" si="1"/>
        <v>'Siddirgonj'</v>
      </c>
    </row>
    <row r="15" spans="1:9" x14ac:dyDescent="0.35">
      <c r="A15" t="s">
        <v>64</v>
      </c>
      <c r="B15" s="26" t="s">
        <v>100</v>
      </c>
      <c r="C15" s="25" t="s">
        <v>131</v>
      </c>
      <c r="D15" t="str">
        <f t="shared" si="0"/>
        <v>'Kakrail  33/11KV S/S'</v>
      </c>
      <c r="G15" t="str">
        <f t="shared" si="1"/>
        <v>'Bashabo'</v>
      </c>
    </row>
    <row r="16" spans="1:9" x14ac:dyDescent="0.35">
      <c r="A16" t="s">
        <v>65</v>
      </c>
      <c r="B16" s="26" t="s">
        <v>101</v>
      </c>
      <c r="C16" s="25" t="s">
        <v>132</v>
      </c>
      <c r="D16" t="str">
        <f t="shared" si="0"/>
        <v>'Khillgaon  33/11KV S/S'</v>
      </c>
      <c r="G16" t="str">
        <f t="shared" si="1"/>
        <v>'Narinda'</v>
      </c>
    </row>
    <row r="17" spans="1:7" x14ac:dyDescent="0.35">
      <c r="A17" t="s">
        <v>66</v>
      </c>
      <c r="B17" s="26" t="s">
        <v>102</v>
      </c>
      <c r="C17" s="25" t="s">
        <v>133</v>
      </c>
      <c r="D17" t="str">
        <f t="shared" si="0"/>
        <v>'Goran  33/11KV S/S'</v>
      </c>
      <c r="G17" t="str">
        <f t="shared" si="1"/>
        <v>'Maniknagar'</v>
      </c>
    </row>
    <row r="18" spans="1:7" x14ac:dyDescent="0.35">
      <c r="A18" t="s">
        <v>67</v>
      </c>
      <c r="B18" s="26" t="s">
        <v>103</v>
      </c>
      <c r="C18" s="25" t="s">
        <v>134</v>
      </c>
      <c r="D18" t="str">
        <f t="shared" si="0"/>
        <v>'Taltola  33/11KV S/S'</v>
      </c>
      <c r="G18" t="str">
        <f t="shared" si="1"/>
        <v>'Jurain'</v>
      </c>
    </row>
    <row r="19" spans="1:7" x14ac:dyDescent="0.35">
      <c r="A19" t="s">
        <v>68</v>
      </c>
      <c r="B19" s="26" t="s">
        <v>104</v>
      </c>
      <c r="C19" s="25" t="s">
        <v>135</v>
      </c>
      <c r="D19" t="str">
        <f t="shared" si="0"/>
        <v>'Satmasjid 33/11KV S/S'</v>
      </c>
      <c r="G19" t="str">
        <f t="shared" si="1"/>
        <v>'Shyampur'</v>
      </c>
    </row>
    <row r="20" spans="1:7" x14ac:dyDescent="0.35">
      <c r="A20" t="s">
        <v>69</v>
      </c>
      <c r="B20" s="26" t="s">
        <v>105</v>
      </c>
      <c r="C20" s="25" t="s">
        <v>136</v>
      </c>
      <c r="D20" t="str">
        <f t="shared" si="0"/>
        <v>'Jigatola 33/11KV S/S'</v>
      </c>
      <c r="G20" t="str">
        <f t="shared" si="1"/>
        <v>'Swamibag'</v>
      </c>
    </row>
    <row r="21" spans="1:7" x14ac:dyDescent="0.35">
      <c r="A21" t="s">
        <v>70</v>
      </c>
      <c r="B21" s="26" t="s">
        <v>106</v>
      </c>
      <c r="C21" s="25" t="s">
        <v>4679</v>
      </c>
      <c r="D21" t="str">
        <f t="shared" si="0"/>
        <v>'Kallyanpur 33/11KV S/S'</v>
      </c>
      <c r="G21" t="str">
        <f t="shared" si="1"/>
        <v>'Bangshal'</v>
      </c>
    </row>
    <row r="22" spans="1:7" x14ac:dyDescent="0.35">
      <c r="A22" t="s">
        <v>71</v>
      </c>
      <c r="B22" s="26" t="s">
        <v>107</v>
      </c>
      <c r="C22" s="25" t="s">
        <v>138</v>
      </c>
      <c r="D22" t="str">
        <f t="shared" si="0"/>
        <v>'Kamrangirchar 132/33/11KV S/S'</v>
      </c>
      <c r="G22" t="str">
        <f t="shared" si="1"/>
        <v>'N.Gonj (East)'</v>
      </c>
    </row>
    <row r="23" spans="1:7" x14ac:dyDescent="0.35">
      <c r="A23" t="s">
        <v>72</v>
      </c>
      <c r="B23" s="26" t="s">
        <v>108</v>
      </c>
      <c r="C23" s="25" t="s">
        <v>139</v>
      </c>
      <c r="D23" t="str">
        <f t="shared" si="0"/>
        <v>'Kamrangirchar 33/11KV S/S'</v>
      </c>
      <c r="G23" t="str">
        <f t="shared" si="1"/>
        <v>'Fatullah'</v>
      </c>
    </row>
    <row r="24" spans="1:7" x14ac:dyDescent="0.35">
      <c r="A24" t="s">
        <v>73</v>
      </c>
      <c r="B24" s="26" t="s">
        <v>109</v>
      </c>
      <c r="C24" s="25" t="s">
        <v>4677</v>
      </c>
      <c r="D24" t="str">
        <f t="shared" si="0"/>
        <v>'Lalbagh old 33/11KV S/S'</v>
      </c>
      <c r="G24" t="str">
        <f t="shared" si="1"/>
        <v>'Mugdapara'</v>
      </c>
    </row>
    <row r="25" spans="1:7" x14ac:dyDescent="0.35">
      <c r="A25" t="s">
        <v>74</v>
      </c>
      <c r="B25" s="26" t="s">
        <v>110</v>
      </c>
      <c r="C25" s="25" t="s">
        <v>141</v>
      </c>
      <c r="D25" t="str">
        <f t="shared" si="0"/>
        <v>'Banshal 33/11KV S/S'</v>
      </c>
      <c r="G25" t="str">
        <f t="shared" si="1"/>
        <v>'Tejgaon'</v>
      </c>
    </row>
    <row r="26" spans="1:7" x14ac:dyDescent="0.35">
      <c r="A26" t="s">
        <v>75</v>
      </c>
      <c r="B26" s="26" t="s">
        <v>50</v>
      </c>
      <c r="C26" s="25" t="s">
        <v>204</v>
      </c>
      <c r="D26" t="str">
        <f t="shared" si="0"/>
        <v>'Japan Garden 33/11 KV'</v>
      </c>
      <c r="G26" t="str">
        <f t="shared" si="1"/>
        <v>'Satmasjid'</v>
      </c>
    </row>
    <row r="27" spans="1:7" x14ac:dyDescent="0.35">
      <c r="A27" t="s">
        <v>76</v>
      </c>
      <c r="B27" s="26" t="s">
        <v>111</v>
      </c>
      <c r="C27" s="25" t="s">
        <v>205</v>
      </c>
      <c r="D27" t="str">
        <f t="shared" si="0"/>
        <v>'Azimpur 33/11 KV'</v>
      </c>
      <c r="G27" t="str">
        <f t="shared" si="1"/>
        <v>'Paribag'</v>
      </c>
    </row>
    <row r="28" spans="1:7" x14ac:dyDescent="0.35">
      <c r="A28" t="s">
        <v>77</v>
      </c>
      <c r="B28" s="26" t="s">
        <v>112</v>
      </c>
      <c r="C28" s="25" t="s">
        <v>142</v>
      </c>
      <c r="D28" t="str">
        <f t="shared" si="0"/>
        <v>'SHERE BANGLA NAGAR  33/11 KV S/S '</v>
      </c>
      <c r="G28" t="str">
        <f t="shared" si="1"/>
        <v>'Kakrail'</v>
      </c>
    </row>
    <row r="29" spans="1:7" x14ac:dyDescent="0.35">
      <c r="A29" t="s">
        <v>78</v>
      </c>
      <c r="B29" s="26" t="s">
        <v>113</v>
      </c>
      <c r="C29" s="25" t="s">
        <v>143</v>
      </c>
      <c r="D29" t="str">
        <f t="shared" si="0"/>
        <v>'LALBAGH   132/33 KV S/S '</v>
      </c>
      <c r="G29" t="str">
        <f t="shared" si="1"/>
        <v>'Moghbazar'</v>
      </c>
    </row>
    <row r="30" spans="1:7" x14ac:dyDescent="0.35">
      <c r="A30" t="s">
        <v>79</v>
      </c>
      <c r="B30" s="26" t="s">
        <v>114</v>
      </c>
      <c r="C30" s="25" t="s">
        <v>144</v>
      </c>
      <c r="D30" t="str">
        <f t="shared" si="0"/>
        <v>'LALBAGH   33/11 KV S/S '</v>
      </c>
      <c r="G30" t="str">
        <f t="shared" si="1"/>
        <v>'Dhanmondi'</v>
      </c>
    </row>
    <row r="31" spans="1:7" x14ac:dyDescent="0.35">
      <c r="A31" t="s">
        <v>80</v>
      </c>
      <c r="B31" s="26" t="s">
        <v>51</v>
      </c>
      <c r="C31" s="25" t="s">
        <v>145</v>
      </c>
      <c r="D31" t="str">
        <f t="shared" si="0"/>
        <v>'Asad Gate 33/11 KV S/S'</v>
      </c>
      <c r="G31" t="str">
        <f t="shared" si="1"/>
        <v>'Ramna'</v>
      </c>
    </row>
    <row r="32" spans="1:7" x14ac:dyDescent="0.35">
      <c r="A32" t="s">
        <v>81</v>
      </c>
      <c r="B32" s="26" t="s">
        <v>48</v>
      </c>
      <c r="C32" s="25" t="s">
        <v>146</v>
      </c>
      <c r="D32" t="str">
        <f t="shared" si="0"/>
        <v>'Shatmasjid 132/33 KV S/S'</v>
      </c>
      <c r="G32" t="str">
        <f t="shared" si="1"/>
        <v>'Shyamoli'</v>
      </c>
    </row>
    <row r="33" spans="1:7" x14ac:dyDescent="0.35">
      <c r="A33" t="s">
        <v>82</v>
      </c>
      <c r="B33" s="26" t="s">
        <v>115</v>
      </c>
      <c r="C33" s="25" t="s">
        <v>147</v>
      </c>
      <c r="D33" t="str">
        <f t="shared" si="0"/>
        <v>'Banasree 33/11 SS'</v>
      </c>
      <c r="G33" t="str">
        <f t="shared" si="1"/>
        <v>'Shere b.nagar'</v>
      </c>
    </row>
    <row r="34" spans="1:7" x14ac:dyDescent="0.35">
      <c r="A34" t="s">
        <v>83</v>
      </c>
      <c r="B34" s="26" t="s">
        <v>116</v>
      </c>
      <c r="C34" s="25" t="s">
        <v>4680</v>
      </c>
      <c r="D34" t="str">
        <f t="shared" si="0"/>
        <v>'Mugdhapara Hospital 33/11 KV SS'</v>
      </c>
      <c r="G34" t="str">
        <f t="shared" si="1"/>
        <v>'Rajarbag'</v>
      </c>
    </row>
    <row r="35" spans="1:7" x14ac:dyDescent="0.35">
      <c r="A35" t="s">
        <v>84</v>
      </c>
      <c r="B35" s="26" t="s">
        <v>117</v>
      </c>
      <c r="C35" s="25" t="s">
        <v>4678</v>
      </c>
      <c r="D35" t="str">
        <f t="shared" si="0"/>
        <v>'DMC 33/11 KV SS'</v>
      </c>
      <c r="G35" t="str">
        <f t="shared" si="1"/>
        <v>'Jigatola'</v>
      </c>
    </row>
    <row r="36" spans="1:7" x14ac:dyDescent="0.35">
      <c r="A36" t="s">
        <v>85</v>
      </c>
      <c r="B36" s="26" t="s">
        <v>49</v>
      </c>
      <c r="C36" s="25" t="s">
        <v>150</v>
      </c>
      <c r="D36" t="str">
        <f t="shared" si="0"/>
        <v>'Green Road Dormatory 33/11 SS'</v>
      </c>
      <c r="G36" t="str">
        <f t="shared" si="1"/>
        <v>'Azimpur'</v>
      </c>
    </row>
    <row r="37" spans="1:7" x14ac:dyDescent="0.35">
      <c r="A37" t="s">
        <v>86</v>
      </c>
      <c r="B37" s="26" t="s">
        <v>118</v>
      </c>
      <c r="C37" s="25" t="s">
        <v>151</v>
      </c>
      <c r="D37" t="str">
        <f t="shared" si="0"/>
        <v>'BSMMU 33/11KV S/S'</v>
      </c>
      <c r="G37" t="str">
        <f t="shared" si="1"/>
        <v>'Demra'</v>
      </c>
    </row>
    <row r="38" spans="1:7" x14ac:dyDescent="0.35">
      <c r="A38" t="s">
        <v>87</v>
      </c>
      <c r="B38" s="26" t="s">
        <v>119</v>
      </c>
      <c r="C38" s="25" t="s">
        <v>152</v>
      </c>
      <c r="D38" t="str">
        <f t="shared" si="0"/>
        <v>'Dhaka Uddyan 33/11 KV S/S'</v>
      </c>
      <c r="G38" t="str">
        <f t="shared" si="1"/>
        <v>'Matuail'</v>
      </c>
    </row>
    <row r="39" spans="1:7" x14ac:dyDescent="0.35">
      <c r="C39" s="25" t="s">
        <v>153</v>
      </c>
      <c r="D39" t="str">
        <f t="shared" si="0"/>
        <v>'Dhaka University 132/33 KV S/S'</v>
      </c>
      <c r="G39" t="str">
        <f t="shared" si="1"/>
        <v>'Sytalakhya'</v>
      </c>
    </row>
    <row r="40" spans="1:7" x14ac:dyDescent="0.35">
      <c r="C40" s="25" t="s">
        <v>154</v>
      </c>
      <c r="D40" t="str">
        <f t="shared" si="0"/>
        <v>'Dhaka University 33/11 KV S/S'</v>
      </c>
      <c r="G40" t="str">
        <f t="shared" si="1"/>
        <v>'Kamrangirchar'</v>
      </c>
    </row>
    <row r="41" spans="1:7" x14ac:dyDescent="0.35">
      <c r="C41" s="25" t="s">
        <v>155</v>
      </c>
      <c r="D41" t="str">
        <f t="shared" si="0"/>
        <v>'Monipuripara 33/11 KV S/S'</v>
      </c>
      <c r="G41" t="str">
        <f t="shared" si="1"/>
        <v>'Banosree'</v>
      </c>
    </row>
    <row r="42" spans="1:7" x14ac:dyDescent="0.35">
      <c r="C42" s="25" t="s">
        <v>156</v>
      </c>
      <c r="D42" t="str">
        <f t="shared" si="0"/>
        <v>'BGB 33/11 KV S/S'</v>
      </c>
      <c r="G42" t="str">
        <f t="shared" si="1"/>
        <v>'Adabor'</v>
      </c>
    </row>
    <row r="43" spans="1:7" x14ac:dyDescent="0.35">
      <c r="C43" s="25" t="s">
        <v>157</v>
      </c>
      <c r="D43" t="str">
        <f t="shared" si="0"/>
        <v>'BB Aveneu 33/11 KV S/S'</v>
      </c>
      <c r="G43" t="str">
        <f t="shared" si="1"/>
        <v>''</v>
      </c>
    </row>
    <row r="44" spans="1:7" x14ac:dyDescent="0.35">
      <c r="C44" s="25" t="s">
        <v>158</v>
      </c>
      <c r="D44" t="str">
        <f t="shared" si="0"/>
        <v>'Jigatola 132/33 KV S/S'</v>
      </c>
      <c r="G44" t="str">
        <f t="shared" si="1"/>
        <v>''</v>
      </c>
    </row>
    <row r="45" spans="1:7" x14ac:dyDescent="0.35">
      <c r="C45" s="25" t="s">
        <v>159</v>
      </c>
      <c r="D45" t="str">
        <f t="shared" si="0"/>
        <v>'Jigatola New 33/11 KV S/S'</v>
      </c>
      <c r="G45" t="str">
        <f t="shared" si="1"/>
        <v>''</v>
      </c>
    </row>
    <row r="46" spans="1:7" x14ac:dyDescent="0.35">
      <c r="C46" s="25" t="s">
        <v>301</v>
      </c>
      <c r="D46" t="str">
        <f t="shared" si="0"/>
        <v>'Ispahani 33/11 KV SS'</v>
      </c>
      <c r="G46" t="str">
        <f t="shared" si="1"/>
        <v>''</v>
      </c>
    </row>
    <row r="47" spans="1:7" x14ac:dyDescent="0.35">
      <c r="C47" s="25" t="s">
        <v>160</v>
      </c>
      <c r="D47" t="str">
        <f t="shared" si="0"/>
        <v>'Bangabhaban 132/11KV S/S'</v>
      </c>
      <c r="G47" t="str">
        <f t="shared" si="1"/>
        <v>''</v>
      </c>
    </row>
    <row r="48" spans="1:7" x14ac:dyDescent="0.35">
      <c r="C48" s="25" t="s">
        <v>161</v>
      </c>
      <c r="D48" t="str">
        <f t="shared" si="0"/>
        <v>'Narinda 132/33KV S/S'</v>
      </c>
      <c r="G48" t="str">
        <f t="shared" si="1"/>
        <v>''</v>
      </c>
    </row>
    <row r="49" spans="3:7" x14ac:dyDescent="0.35">
      <c r="C49" s="25" t="s">
        <v>162</v>
      </c>
      <c r="D49" t="str">
        <f t="shared" si="0"/>
        <v>'Narinda 33/11KV S/S'</v>
      </c>
      <c r="G49" t="str">
        <f t="shared" si="1"/>
        <v>''</v>
      </c>
    </row>
    <row r="50" spans="3:7" x14ac:dyDescent="0.35">
      <c r="C50" s="25" t="s">
        <v>163</v>
      </c>
      <c r="D50" t="str">
        <f t="shared" si="0"/>
        <v>'Kumertuly  33/11KV S/S'</v>
      </c>
      <c r="G50" t="str">
        <f t="shared" si="1"/>
        <v>''</v>
      </c>
    </row>
    <row r="51" spans="3:7" x14ac:dyDescent="0.35">
      <c r="C51" s="25" t="s">
        <v>4681</v>
      </c>
      <c r="D51" t="str">
        <f t="shared" si="0"/>
        <v>'Maniknagar 132/33 S/S'</v>
      </c>
      <c r="G51" t="str">
        <f t="shared" si="1"/>
        <v>''</v>
      </c>
    </row>
    <row r="52" spans="3:7" x14ac:dyDescent="0.35">
      <c r="C52" s="25" t="s">
        <v>4682</v>
      </c>
      <c r="D52" t="str">
        <f t="shared" si="0"/>
        <v>'Maniknagar 33/11 KV SS'</v>
      </c>
      <c r="G52" t="str">
        <f t="shared" si="1"/>
        <v>''</v>
      </c>
    </row>
    <row r="53" spans="3:7" x14ac:dyDescent="0.35">
      <c r="C53" s="25" t="s">
        <v>165</v>
      </c>
      <c r="D53" t="str">
        <f t="shared" si="0"/>
        <v>'Madarteck 132/33KV S/S'</v>
      </c>
      <c r="G53" t="str">
        <f t="shared" si="1"/>
        <v>''</v>
      </c>
    </row>
    <row r="54" spans="3:7" x14ac:dyDescent="0.35">
      <c r="C54" s="25" t="s">
        <v>166</v>
      </c>
      <c r="D54" t="str">
        <f t="shared" si="0"/>
        <v>'Madarteck 33/11KV S/S'</v>
      </c>
      <c r="G54" t="str">
        <f t="shared" si="1"/>
        <v>''</v>
      </c>
    </row>
    <row r="55" spans="3:7" x14ac:dyDescent="0.35">
      <c r="C55" s="25" t="s">
        <v>167</v>
      </c>
      <c r="D55" t="str">
        <f t="shared" si="0"/>
        <v>'Kazla  33/11KV S/S'</v>
      </c>
      <c r="G55" t="str">
        <f t="shared" si="1"/>
        <v>''</v>
      </c>
    </row>
    <row r="56" spans="3:7" x14ac:dyDescent="0.35">
      <c r="C56" s="25" t="s">
        <v>168</v>
      </c>
      <c r="D56" t="str">
        <f t="shared" si="0"/>
        <v>'Shyampur  132/33KV S/S'</v>
      </c>
      <c r="G56" t="str">
        <f t="shared" si="1"/>
        <v>''</v>
      </c>
    </row>
    <row r="57" spans="3:7" x14ac:dyDescent="0.35">
      <c r="C57" s="25" t="s">
        <v>169</v>
      </c>
      <c r="D57" t="str">
        <f t="shared" si="0"/>
        <v>'Shyampur  33/11KV S/S'</v>
      </c>
      <c r="G57" t="str">
        <f t="shared" si="1"/>
        <v>''</v>
      </c>
    </row>
    <row r="58" spans="3:7" x14ac:dyDescent="0.35">
      <c r="C58" s="25" t="s">
        <v>170</v>
      </c>
      <c r="D58" t="str">
        <f t="shared" si="0"/>
        <v>'Shyampur BISIC  33/11KV S/S'</v>
      </c>
      <c r="G58" t="str">
        <f t="shared" si="1"/>
        <v>''</v>
      </c>
    </row>
    <row r="59" spans="3:7" x14ac:dyDescent="0.35">
      <c r="C59" s="25" t="s">
        <v>171</v>
      </c>
      <c r="D59" t="str">
        <f t="shared" si="0"/>
        <v>'Postogola 33/11KV S/S'</v>
      </c>
      <c r="G59" t="str">
        <f t="shared" si="1"/>
        <v>''</v>
      </c>
    </row>
    <row r="60" spans="3:7" x14ac:dyDescent="0.35">
      <c r="C60" s="25" t="s">
        <v>172</v>
      </c>
      <c r="D60" t="str">
        <f t="shared" si="0"/>
        <v>'Fatullah 33/11KV S/S'</v>
      </c>
      <c r="G60" t="str">
        <f t="shared" si="1"/>
        <v>''</v>
      </c>
    </row>
    <row r="61" spans="3:7" x14ac:dyDescent="0.35">
      <c r="C61" s="25" t="s">
        <v>173</v>
      </c>
      <c r="D61" t="str">
        <f t="shared" si="0"/>
        <v>'Sitalakhya  132/33KV S/S'</v>
      </c>
      <c r="G61" t="str">
        <f t="shared" si="1"/>
        <v>''</v>
      </c>
    </row>
    <row r="62" spans="3:7" x14ac:dyDescent="0.35">
      <c r="C62" s="25" t="s">
        <v>174</v>
      </c>
      <c r="D62" t="str">
        <f t="shared" si="0"/>
        <v>'Sitalakhya  33/11KV S/S'</v>
      </c>
      <c r="G62" t="str">
        <f t="shared" si="1"/>
        <v>''</v>
      </c>
    </row>
    <row r="63" spans="3:7" x14ac:dyDescent="0.35">
      <c r="C63" s="25" t="s">
        <v>175</v>
      </c>
      <c r="D63" t="str">
        <f t="shared" si="0"/>
        <v>'Narayangonj (west) BSCIC33/11KV S/S'</v>
      </c>
      <c r="G63" t="str">
        <f t="shared" si="1"/>
        <v>''</v>
      </c>
    </row>
    <row r="64" spans="3:7" x14ac:dyDescent="0.35">
      <c r="C64" s="25" t="s">
        <v>176</v>
      </c>
      <c r="D64" t="str">
        <f t="shared" si="0"/>
        <v>'Char Syedpur 33/11KV S/S'</v>
      </c>
      <c r="G64" t="str">
        <f t="shared" si="1"/>
        <v>''</v>
      </c>
    </row>
    <row r="65" spans="3:7" x14ac:dyDescent="0.35">
      <c r="C65" s="25" t="s">
        <v>177</v>
      </c>
      <c r="D65" t="str">
        <f t="shared" si="0"/>
        <v>'Siddhirganj 132/33/11KV S/S'</v>
      </c>
      <c r="G65" t="str">
        <f t="shared" si="1"/>
        <v>''</v>
      </c>
    </row>
    <row r="66" spans="3:7" x14ac:dyDescent="0.35">
      <c r="C66" s="25" t="s">
        <v>178</v>
      </c>
      <c r="D66" t="str">
        <f t="shared" si="0"/>
        <v>'Siddhirganj  33/11KV S/S'</v>
      </c>
      <c r="G66" t="str">
        <f t="shared" si="1"/>
        <v>''</v>
      </c>
    </row>
    <row r="67" spans="3:7" x14ac:dyDescent="0.35">
      <c r="C67" s="25" t="s">
        <v>179</v>
      </c>
      <c r="D67" t="str">
        <f t="shared" si="0"/>
        <v>'Demra 33/11KV S/S'</v>
      </c>
      <c r="G67" t="str">
        <f t="shared" si="1"/>
        <v>''</v>
      </c>
    </row>
    <row r="68" spans="3:7" x14ac:dyDescent="0.35">
      <c r="C68" s="25" t="s">
        <v>180</v>
      </c>
      <c r="D68" t="str">
        <f t="shared" ref="D68:D91" si="2">_xlfn.TEXTJOIN(,TRUE,"'",C68,"'")</f>
        <v>'Mondalpara 33/11KV S/S'</v>
      </c>
      <c r="G68" t="str">
        <f t="shared" si="1"/>
        <v>''</v>
      </c>
    </row>
    <row r="69" spans="3:7" x14ac:dyDescent="0.35">
      <c r="C69" s="25" t="s">
        <v>181</v>
      </c>
      <c r="D69" t="str">
        <f t="shared" si="2"/>
        <v>'Khanpur 33/11KV S/S'</v>
      </c>
      <c r="G69" t="str">
        <f t="shared" si="1"/>
        <v>''</v>
      </c>
    </row>
    <row r="70" spans="3:7" x14ac:dyDescent="0.35">
      <c r="C70" s="25" t="s">
        <v>182</v>
      </c>
      <c r="D70" t="str">
        <f t="shared" si="2"/>
        <v>'Matuail 33/11KV S/S'</v>
      </c>
      <c r="G70" t="str">
        <f t="shared" si="1"/>
        <v>''</v>
      </c>
    </row>
    <row r="71" spans="3:7" x14ac:dyDescent="0.35">
      <c r="C71" s="25" t="s">
        <v>183</v>
      </c>
      <c r="D71" t="str">
        <f t="shared" si="2"/>
        <v>'Matuail 132/33 KV S/S'</v>
      </c>
      <c r="G71" t="str">
        <f t="shared" si="1"/>
        <v>''</v>
      </c>
    </row>
    <row r="72" spans="3:7" x14ac:dyDescent="0.35">
      <c r="C72" s="25" t="s">
        <v>184</v>
      </c>
      <c r="D72" t="str">
        <f t="shared" si="2"/>
        <v>'Sarulia  33/11KV S/S'</v>
      </c>
      <c r="G72" t="str">
        <f t="shared" ref="G72:G82" si="3">_xlfn.TEXTJOIN(,TRUE,"'",B68,"'")</f>
        <v>''</v>
      </c>
    </row>
    <row r="73" spans="3:7" x14ac:dyDescent="0.35">
      <c r="C73" s="25" t="s">
        <v>185</v>
      </c>
      <c r="D73" t="str">
        <f t="shared" si="2"/>
        <v>'Maniknagar 33/11KV S/S'</v>
      </c>
      <c r="G73" t="str">
        <f t="shared" si="3"/>
        <v>''</v>
      </c>
    </row>
    <row r="74" spans="3:7" x14ac:dyDescent="0.35">
      <c r="C74" s="25" t="s">
        <v>186</v>
      </c>
      <c r="D74" t="str">
        <f t="shared" si="2"/>
        <v>'IG Gate GIS 33/11 kV'</v>
      </c>
      <c r="G74" t="str">
        <f t="shared" si="3"/>
        <v>''</v>
      </c>
    </row>
    <row r="75" spans="3:7" x14ac:dyDescent="0.35">
      <c r="C75" s="25" t="s">
        <v>4683</v>
      </c>
      <c r="D75" t="str">
        <f t="shared" si="2"/>
        <v>'Motijheel old 33/11 kV'</v>
      </c>
      <c r="G75" t="str">
        <f t="shared" si="3"/>
        <v>''</v>
      </c>
    </row>
    <row r="76" spans="3:7" x14ac:dyDescent="0.35">
      <c r="C76" s="25" t="s">
        <v>187</v>
      </c>
      <c r="D76" t="str">
        <f t="shared" si="2"/>
        <v>'Mitford 33/11 kV'</v>
      </c>
      <c r="G76" t="str">
        <f t="shared" si="3"/>
        <v>''</v>
      </c>
    </row>
    <row r="77" spans="3:7" x14ac:dyDescent="0.35">
      <c r="C77" s="25" t="s">
        <v>188</v>
      </c>
      <c r="D77" t="str">
        <f t="shared" si="2"/>
        <v>'Biddyut Bhaban 33/11 KV'</v>
      </c>
      <c r="G77" t="str">
        <f t="shared" si="3"/>
        <v>''</v>
      </c>
    </row>
    <row r="78" spans="3:7" x14ac:dyDescent="0.35">
      <c r="C78" s="25" t="s">
        <v>189</v>
      </c>
      <c r="D78" t="str">
        <f t="shared" si="2"/>
        <v>'Nandalalpur 33/11 kV'</v>
      </c>
      <c r="G78" t="str">
        <f t="shared" si="3"/>
        <v>''</v>
      </c>
    </row>
    <row r="79" spans="3:7" x14ac:dyDescent="0.35">
      <c r="C79" s="25" t="s">
        <v>190</v>
      </c>
      <c r="D79" t="str">
        <f t="shared" si="2"/>
        <v>'Dapa 33/11 kV'</v>
      </c>
      <c r="G79" t="str">
        <f t="shared" si="3"/>
        <v>''</v>
      </c>
    </row>
    <row r="80" spans="3:7" x14ac:dyDescent="0.35">
      <c r="C80" s="25" t="s">
        <v>191</v>
      </c>
      <c r="D80" t="str">
        <f t="shared" si="2"/>
        <v>'Laxmi Narayan Cotton Mill 33/11 kV'</v>
      </c>
      <c r="G80" t="str">
        <f t="shared" si="3"/>
        <v>''</v>
      </c>
    </row>
    <row r="81" spans="3:7" x14ac:dyDescent="0.35">
      <c r="C81" s="25" t="s">
        <v>192</v>
      </c>
      <c r="D81" t="str">
        <f t="shared" si="2"/>
        <v>'Amulia 33/11 kv'</v>
      </c>
      <c r="G81" t="str">
        <f t="shared" si="3"/>
        <v>''</v>
      </c>
    </row>
    <row r="82" spans="3:7" x14ac:dyDescent="0.35">
      <c r="C82" s="25" t="s">
        <v>193</v>
      </c>
      <c r="D82" t="str">
        <f t="shared" si="2"/>
        <v>'New Fatullah 132/33 KV SS'</v>
      </c>
      <c r="G82" t="str">
        <f t="shared" si="3"/>
        <v>''</v>
      </c>
    </row>
    <row r="83" spans="3:7" x14ac:dyDescent="0.35">
      <c r="C83" s="25" t="s">
        <v>194</v>
      </c>
      <c r="D83" t="str">
        <f t="shared" si="2"/>
        <v>'New Fatullah 33/11 KV SS'</v>
      </c>
    </row>
    <row r="84" spans="3:7" x14ac:dyDescent="0.35">
      <c r="C84" s="25" t="s">
        <v>195</v>
      </c>
      <c r="D84" t="str">
        <f t="shared" si="2"/>
        <v>'P &amp; T 33/11 KV SS'</v>
      </c>
    </row>
    <row r="85" spans="3:7" x14ac:dyDescent="0.35">
      <c r="C85" s="25" t="s">
        <v>196</v>
      </c>
      <c r="D85" t="str">
        <f t="shared" si="2"/>
        <v>'Motijheel 132/33 KV SS'</v>
      </c>
    </row>
    <row r="86" spans="3:7" x14ac:dyDescent="0.35">
      <c r="C86" s="25" t="s">
        <v>197</v>
      </c>
      <c r="D86" t="str">
        <f t="shared" si="2"/>
        <v>'Motijheel 33/11 KV SS (new)'</v>
      </c>
    </row>
    <row r="87" spans="3:7" x14ac:dyDescent="0.35">
      <c r="C87" s="25" t="s">
        <v>198</v>
      </c>
      <c r="D87" t="str">
        <f t="shared" si="2"/>
        <v>'Kazla 132/133 KV SS'</v>
      </c>
    </row>
    <row r="88" spans="3:7" x14ac:dyDescent="0.35">
      <c r="C88" s="25" t="s">
        <v>199</v>
      </c>
      <c r="D88" t="str">
        <f t="shared" si="2"/>
        <v>'Kamalapur Railway 33/11 KV SS'</v>
      </c>
    </row>
    <row r="89" spans="3:7" x14ac:dyDescent="0.35">
      <c r="C89" s="25" t="s">
        <v>200</v>
      </c>
      <c r="D89" t="str">
        <f t="shared" si="2"/>
        <v>'Char Syedpur 132/33KV S/S'</v>
      </c>
    </row>
    <row r="90" spans="3:7" x14ac:dyDescent="0.35">
      <c r="C90" s="25" t="s">
        <v>201</v>
      </c>
      <c r="D90" t="str">
        <f t="shared" si="2"/>
        <v>'Char Syedpur 33/11 KV S/S New'</v>
      </c>
    </row>
    <row r="91" spans="3:7" x14ac:dyDescent="0.35">
      <c r="C91" s="25" t="s">
        <v>202</v>
      </c>
      <c r="D91" t="str">
        <f t="shared" si="2"/>
        <v>'Postogola 132/33 KV S/S'</v>
      </c>
    </row>
  </sheetData>
  <dataValidations disablePrompts="1"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PDB SUM AMR</vt:lpstr>
      <vt:lpstr>SOUTH-2</vt:lpstr>
      <vt:lpstr>SOUTH-1</vt:lpstr>
      <vt:lpstr>%Loss </vt:lpstr>
      <vt:lpstr>NORTH-1</vt:lpstr>
      <vt:lpstr>NORTH-2</vt:lpstr>
      <vt:lpstr>PDB Bill AMR</vt:lpstr>
      <vt:lpstr>Sheet3</vt:lpstr>
      <vt:lpstr>Linked_11KV</vt:lpstr>
      <vt:lpstr>Sheet2</vt:lpstr>
      <vt:lpstr>'PDB SUM AMR'!OLE_LINK2</vt:lpstr>
      <vt:lpstr>'PDB Bill AMR'!Print_Area</vt:lpstr>
      <vt:lpstr>'PDB SUM AMR'!Print_Area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2023-01-30T04:33:19Z</cp:lastPrinted>
  <dcterms:created xsi:type="dcterms:W3CDTF">2015-06-05T18:17:20Z</dcterms:created>
  <dcterms:modified xsi:type="dcterms:W3CDTF">2023-04-17T09:43:17Z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