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johnson1\Desktop\Stat Modeling 2 Project\"/>
    </mc:Choice>
  </mc:AlternateContent>
  <bookViews>
    <workbookView xWindow="0" yWindow="0" windowWidth="28800" windowHeight="12435" tabRatio="786" firstSheet="1" activeTab="4"/>
  </bookViews>
  <sheets>
    <sheet name="Team Salaries and Breakdown" sheetId="1" r:id="rId1"/>
    <sheet name="Team Wins 2015" sheetId="3" r:id="rId2"/>
    <sheet name="Group Salary range" sheetId="4" r:id="rId3"/>
    <sheet name="Data Set 2" sheetId="5" state="hidden" r:id="rId4"/>
    <sheet name="SalariesWins" sheetId="7" r:id="rId5"/>
    <sheet name="Group Emp Dist" sheetId="8" r:id="rId6"/>
    <sheet name="Individual Emp Dist" sheetId="9" r:id="rId7"/>
    <sheet name="Team Salary" sheetId="6" state="hidden" r:id="rId8"/>
    <sheet name="Resources" sheetId="2"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7" l="1"/>
  <c r="H6" i="7"/>
  <c r="H5" i="7"/>
  <c r="AA4" i="9" l="1"/>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2" i="9"/>
  <c r="AA3" i="9"/>
  <c r="AA1" i="9"/>
  <c r="Z3" i="9"/>
  <c r="Z4" i="9" s="1"/>
  <c r="Z2" i="9"/>
  <c r="U39" i="9"/>
  <c r="S24" i="8"/>
  <c r="S17" i="8"/>
  <c r="S18" i="8"/>
  <c r="S23" i="8" s="1"/>
  <c r="S19" i="8"/>
  <c r="S20" i="8"/>
  <c r="S21" i="8"/>
  <c r="S22" i="8"/>
  <c r="S16" i="8"/>
  <c r="P21" i="8"/>
  <c r="P24" i="8"/>
  <c r="Z5" i="9" l="1"/>
  <c r="M65" i="9"/>
  <c r="M64" i="9"/>
  <c r="P60" i="9"/>
  <c r="O60" i="9"/>
  <c r="P59" i="9"/>
  <c r="P58" i="9"/>
  <c r="P57" i="9"/>
  <c r="O59" i="9"/>
  <c r="O58" i="9"/>
  <c r="O57" i="9"/>
  <c r="N49" i="9"/>
  <c r="U48" i="9"/>
  <c r="N48"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4" i="9"/>
  <c r="Z6" i="9" l="1"/>
  <c r="W34" i="9"/>
  <c r="Z7" i="9" l="1"/>
  <c r="I44" i="9"/>
  <c r="I43" i="9"/>
  <c r="I42" i="9"/>
  <c r="I41" i="9"/>
  <c r="I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40" i="9"/>
  <c r="V27" i="9"/>
  <c r="U34" i="9"/>
  <c r="V5" i="9"/>
  <c r="V34" i="9" s="1"/>
  <c r="U40" i="9" s="1"/>
  <c r="U41" i="9" s="1"/>
  <c r="U42" i="9" s="1"/>
  <c r="V6" i="9"/>
  <c r="V7" i="9"/>
  <c r="V8" i="9"/>
  <c r="V9" i="9"/>
  <c r="V10" i="9"/>
  <c r="V11" i="9"/>
  <c r="V12" i="9"/>
  <c r="V13" i="9"/>
  <c r="V14" i="9"/>
  <c r="V15" i="9"/>
  <c r="V16" i="9"/>
  <c r="V17" i="9"/>
  <c r="V18" i="9"/>
  <c r="V19" i="9"/>
  <c r="V20" i="9"/>
  <c r="V21" i="9"/>
  <c r="V22" i="9"/>
  <c r="V23" i="9"/>
  <c r="V24" i="9"/>
  <c r="V25" i="9"/>
  <c r="V26" i="9"/>
  <c r="V28" i="9"/>
  <c r="V29" i="9"/>
  <c r="V30" i="9"/>
  <c r="V31" i="9"/>
  <c r="V32" i="9"/>
  <c r="V33" i="9"/>
  <c r="V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4" i="9"/>
  <c r="M4" i="9"/>
  <c r="N4" i="9" s="1"/>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4" i="9"/>
  <c r="H5" i="9"/>
  <c r="H6" i="9" s="1"/>
  <c r="H7" i="9" s="1"/>
  <c r="H8" i="9" s="1"/>
  <c r="H9" i="9" s="1"/>
  <c r="H10" i="9" s="1"/>
  <c r="H11" i="9" s="1"/>
  <c r="H12" i="9" s="1"/>
  <c r="H13" i="9" s="1"/>
  <c r="H14" i="9" s="1"/>
  <c r="H15" i="9" s="1"/>
  <c r="H16" i="9" s="1"/>
  <c r="H17" i="9" s="1"/>
  <c r="H18" i="9" s="1"/>
  <c r="H19" i="9" s="1"/>
  <c r="H20" i="9" s="1"/>
  <c r="H21" i="9" s="1"/>
  <c r="H22" i="9" s="1"/>
  <c r="H23" i="9" s="1"/>
  <c r="H24" i="9" s="1"/>
  <c r="H25" i="9" s="1"/>
  <c r="H26" i="9" s="1"/>
  <c r="H27" i="9" s="1"/>
  <c r="H28" i="9" s="1"/>
  <c r="H29" i="9" s="1"/>
  <c r="H30" i="9" s="1"/>
  <c r="H31" i="9" s="1"/>
  <c r="H32" i="9" s="1"/>
  <c r="H33" i="9" s="1"/>
  <c r="Z8" i="9" l="1"/>
  <c r="M5" i="9"/>
  <c r="O4" i="9"/>
  <c r="P17" i="8"/>
  <c r="P18" i="8"/>
  <c r="N22" i="8"/>
  <c r="P22" i="8" s="1"/>
  <c r="N21" i="8"/>
  <c r="N20" i="8"/>
  <c r="P20" i="8" s="1"/>
  <c r="N19" i="8"/>
  <c r="P19" i="8" s="1"/>
  <c r="N18" i="8"/>
  <c r="N17" i="8"/>
  <c r="N16" i="8"/>
  <c r="P16" i="8" s="1"/>
  <c r="T10" i="8"/>
  <c r="T9" i="8"/>
  <c r="T8" i="8"/>
  <c r="T7" i="8"/>
  <c r="T6" i="8"/>
  <c r="S4" i="8"/>
  <c r="T5" i="8"/>
  <c r="T4" i="8"/>
  <c r="Z9" i="9" l="1"/>
  <c r="P25" i="8"/>
  <c r="P26" i="8" s="1"/>
  <c r="P27" i="8" s="1"/>
  <c r="P23" i="8"/>
  <c r="O5" i="9"/>
  <c r="N5" i="9"/>
  <c r="M6" i="9"/>
  <c r="S10" i="8"/>
  <c r="S9" i="8"/>
  <c r="S8" i="8"/>
  <c r="S7" i="8"/>
  <c r="S6" i="8"/>
  <c r="S5" i="8"/>
  <c r="R4" i="8"/>
  <c r="R5" i="8" s="1"/>
  <c r="R6" i="8" s="1"/>
  <c r="R7" i="8" s="1"/>
  <c r="Q10" i="8"/>
  <c r="Q9" i="8"/>
  <c r="Q8" i="8"/>
  <c r="Q7" i="8"/>
  <c r="Q6" i="8"/>
  <c r="Q5" i="8"/>
  <c r="Q4" i="8"/>
  <c r="Z10" i="9" l="1"/>
  <c r="M7" i="9"/>
  <c r="O6" i="9"/>
  <c r="N6" i="9"/>
  <c r="R8" i="8"/>
  <c r="R9" i="8" s="1"/>
  <c r="R10" i="8" s="1"/>
  <c r="I22" i="8"/>
  <c r="I21" i="8"/>
  <c r="I20" i="8"/>
  <c r="I19" i="8"/>
  <c r="I18" i="8"/>
  <c r="I17" i="8"/>
  <c r="I16" i="8"/>
  <c r="H22" i="8"/>
  <c r="H21" i="8"/>
  <c r="H20" i="8"/>
  <c r="H19" i="8"/>
  <c r="H18" i="8"/>
  <c r="H17" i="8"/>
  <c r="H16" i="8"/>
  <c r="H15" i="8"/>
  <c r="I4" i="8"/>
  <c r="H4" i="8"/>
  <c r="H5" i="8"/>
  <c r="H6" i="8"/>
  <c r="H10" i="8"/>
  <c r="H9" i="8"/>
  <c r="H8" i="8"/>
  <c r="H7" i="8"/>
  <c r="I10" i="8"/>
  <c r="I9" i="8"/>
  <c r="I8" i="8"/>
  <c r="I7" i="8"/>
  <c r="I6" i="8"/>
  <c r="I5" i="8"/>
  <c r="Z11" i="9" l="1"/>
  <c r="M8" i="9"/>
  <c r="N7" i="9"/>
  <c r="O7" i="9"/>
  <c r="D12" i="5"/>
  <c r="D11" i="5"/>
  <c r="D10" i="5"/>
  <c r="D9" i="5"/>
  <c r="D8" i="5"/>
  <c r="D7" i="5"/>
  <c r="D6" i="5"/>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 i="1"/>
  <c r="Z12" i="9" l="1"/>
  <c r="M9" i="9"/>
  <c r="N8" i="9"/>
  <c r="O8" i="9"/>
  <c r="Z13" i="9" l="1"/>
  <c r="M10" i="9"/>
  <c r="N9" i="9"/>
  <c r="O9" i="9"/>
  <c r="Z14" i="9" l="1"/>
  <c r="M11" i="9"/>
  <c r="N10" i="9"/>
  <c r="O10" i="9"/>
  <c r="Z15" i="9" l="1"/>
  <c r="M12" i="9"/>
  <c r="O11" i="9"/>
  <c r="N11" i="9"/>
  <c r="Z16" i="9" l="1"/>
  <c r="M13" i="9"/>
  <c r="O12" i="9"/>
  <c r="N12" i="9"/>
  <c r="Z17" i="9" l="1"/>
  <c r="M14" i="9"/>
  <c r="O13" i="9"/>
  <c r="N13" i="9"/>
  <c r="Z18" i="9" l="1"/>
  <c r="M15" i="9"/>
  <c r="O14" i="9"/>
  <c r="N14" i="9"/>
  <c r="Z19" i="9" l="1"/>
  <c r="M16" i="9"/>
  <c r="N15" i="9"/>
  <c r="O15" i="9"/>
  <c r="Z20" i="9" l="1"/>
  <c r="M17" i="9"/>
  <c r="N16" i="9"/>
  <c r="O16" i="9"/>
  <c r="Z21" i="9" l="1"/>
  <c r="M18" i="9"/>
  <c r="N17" i="9"/>
  <c r="O17" i="9"/>
  <c r="Z22" i="9" l="1"/>
  <c r="M19" i="9"/>
  <c r="N18" i="9"/>
  <c r="O18" i="9"/>
  <c r="Z23" i="9" l="1"/>
  <c r="M20" i="9"/>
  <c r="O19" i="9"/>
  <c r="N19" i="9"/>
  <c r="Z24" i="9" l="1"/>
  <c r="M21" i="9"/>
  <c r="O20" i="9"/>
  <c r="N20" i="9"/>
  <c r="Z25" i="9" l="1"/>
  <c r="M22" i="9"/>
  <c r="O21" i="9"/>
  <c r="N21" i="9"/>
  <c r="Z26" i="9" l="1"/>
  <c r="M23" i="9"/>
  <c r="O22" i="9"/>
  <c r="N22" i="9"/>
  <c r="Z27" i="9" l="1"/>
  <c r="M24" i="9"/>
  <c r="N23" i="9"/>
  <c r="O23" i="9"/>
  <c r="Z28" i="9" l="1"/>
  <c r="M25" i="9"/>
  <c r="N24" i="9"/>
  <c r="O24" i="9"/>
  <c r="Z29" i="9" l="1"/>
  <c r="M26" i="9"/>
  <c r="N25" i="9"/>
  <c r="O25" i="9"/>
  <c r="Z30" i="9" l="1"/>
  <c r="M27" i="9"/>
  <c r="N26" i="9"/>
  <c r="O26" i="9"/>
  <c r="Z31" i="9" l="1"/>
  <c r="M28" i="9"/>
  <c r="O27" i="9"/>
  <c r="N27" i="9"/>
  <c r="Z32" i="9" l="1"/>
  <c r="M29" i="9"/>
  <c r="N28" i="9"/>
  <c r="O28" i="9"/>
  <c r="Z33" i="9" l="1"/>
  <c r="M30" i="9"/>
  <c r="O29" i="9"/>
  <c r="N29" i="9"/>
  <c r="Z34" i="9" l="1"/>
  <c r="M31" i="9"/>
  <c r="N30" i="9"/>
  <c r="O30" i="9"/>
  <c r="Z35" i="9" l="1"/>
  <c r="M32" i="9"/>
  <c r="N31" i="9"/>
  <c r="O31" i="9"/>
  <c r="Z36" i="9" l="1"/>
  <c r="M33" i="9"/>
  <c r="N32" i="9"/>
  <c r="O32" i="9"/>
  <c r="Z37" i="9" l="1"/>
  <c r="N33" i="9"/>
  <c r="O33" i="9"/>
  <c r="Z38" i="9" l="1"/>
</calcChain>
</file>

<file path=xl/sharedStrings.xml><?xml version="1.0" encoding="utf-8"?>
<sst xmlns="http://schemas.openxmlformats.org/spreadsheetml/2006/main" count="424" uniqueCount="201">
  <si>
    <t>Dodgers</t>
  </si>
  <si>
    <t>--</t>
  </si>
  <si>
    <t>Yankees</t>
  </si>
  <si>
    <t>Red Sox</t>
  </si>
  <si>
    <t>Tigers</t>
  </si>
  <si>
    <t>Giants</t>
  </si>
  <si>
    <t>Nationals</t>
  </si>
  <si>
    <t>Angels</t>
  </si>
  <si>
    <t>Rangers</t>
  </si>
  <si>
    <t>Phillies</t>
  </si>
  <si>
    <t>Padres</t>
  </si>
  <si>
    <t>Mariners</t>
  </si>
  <si>
    <t>Cardinals</t>
  </si>
  <si>
    <t>Orioles</t>
  </si>
  <si>
    <t>Reds</t>
  </si>
  <si>
    <t>Cubs</t>
  </si>
  <si>
    <t>Blue Jays</t>
  </si>
  <si>
    <t>Royals</t>
  </si>
  <si>
    <t>White Sox</t>
  </si>
  <si>
    <t>Twins</t>
  </si>
  <si>
    <t>Mets</t>
  </si>
  <si>
    <t>Brewers</t>
  </si>
  <si>
    <t>Rockies</t>
  </si>
  <si>
    <t>Braves</t>
  </si>
  <si>
    <t>Indians</t>
  </si>
  <si>
    <t>Pirates</t>
  </si>
  <si>
    <t>Marlins</t>
  </si>
  <si>
    <t>Athletics</t>
  </si>
  <si>
    <t>Rays</t>
  </si>
  <si>
    <t>Diamondbacks</t>
  </si>
  <si>
    <t>Astros</t>
  </si>
  <si>
    <t>Rank</t>
  </si>
  <si>
    <t>Team</t>
  </si>
  <si>
    <t>Opening Day</t>
  </si>
  <si>
    <t>Current</t>
  </si>
  <si>
    <t>diff</t>
  </si>
  <si>
    <t xml:space="preserve">Ave. Salary </t>
  </si>
  <si>
    <t>Median</t>
  </si>
  <si>
    <t>USA TODAY's baseball salaries database contains year-by-year listings of salaries for Major League Baseball players on opening day rosters and disabled lists, 1988 through the current season. Figures, compiled by USA TODAY, are based 
on documents obtained from the MLB Players Association, club officials and filed with Major League Baseball's central office. Deferred payments and incentive clauses are not included. Team payrolls do not include money paid or received in trades or for players who have been released. Average and median salaries reported by USA TODAY may differ from numbers that are reported elsewhere.</t>
  </si>
  <si>
    <t>http://www.usatoday.com/sports/mlb/salaries/2015/team/all/</t>
  </si>
  <si>
    <t>-</t>
  </si>
  <si>
    <t>55-26</t>
  </si>
  <si>
    <t>45-36</t>
  </si>
  <si>
    <t>L3</t>
  </si>
  <si>
    <t>53-28</t>
  </si>
  <si>
    <t>W1</t>
  </si>
  <si>
    <t>49-32</t>
  </si>
  <si>
    <t>48-33</t>
  </si>
  <si>
    <t>W8</t>
  </si>
  <si>
    <t>51-30</t>
  </si>
  <si>
    <t>44-37</t>
  </si>
  <si>
    <t>W5</t>
  </si>
  <si>
    <t>40-41</t>
  </si>
  <si>
    <t>L2</t>
  </si>
  <si>
    <t>37-44</t>
  </si>
  <si>
    <t>W4</t>
  </si>
  <si>
    <t>41-40</t>
  </si>
  <si>
    <t>43-38</t>
  </si>
  <si>
    <t>42-39</t>
  </si>
  <si>
    <t>33-48</t>
  </si>
  <si>
    <t>L1</t>
  </si>
  <si>
    <t>36-45</t>
  </si>
  <si>
    <t>47-34</t>
  </si>
  <si>
    <t>46-35</t>
  </si>
  <si>
    <t>39-41</t>
  </si>
  <si>
    <t>W3</t>
  </si>
  <si>
    <t>47-31</t>
  </si>
  <si>
    <t>34-50</t>
  </si>
  <si>
    <t>42-42</t>
  </si>
  <si>
    <t>38-40</t>
  </si>
  <si>
    <t>W2</t>
  </si>
  <si>
    <t>39-42</t>
  </si>
  <si>
    <t>35-46</t>
  </si>
  <si>
    <t>L4</t>
  </si>
  <si>
    <t>38-43</t>
  </si>
  <si>
    <t>36-44</t>
  </si>
  <si>
    <t>30-51</t>
  </si>
  <si>
    <t>32-49</t>
  </si>
  <si>
    <t>34-47</t>
  </si>
  <si>
    <t>25-56</t>
  </si>
  <si>
    <t>26-55</t>
  </si>
  <si>
    <t>GLOSSARY</t>
  </si>
  <si>
    <t>W: Wins</t>
  </si>
  <si>
    <t>L: Losses</t>
  </si>
  <si>
    <t>PCT: Winning Percentage</t>
  </si>
  <si>
    <t>GB: Games Back</t>
  </si>
  <si>
    <t>HOME: Home Record</t>
  </si>
  <si>
    <t>ROAD: Road Record</t>
  </si>
  <si>
    <t>RS: Runs scored</t>
  </si>
  <si>
    <t>RA: Runs allowed</t>
  </si>
  <si>
    <t>DIFF: Run Differential</t>
  </si>
  <si>
    <t>STRK: Current Streak</t>
  </si>
  <si>
    <t>L10: Record last 10 games</t>
  </si>
  <si>
    <t>Y: Clinched Wild Card</t>
  </si>
  <si>
    <t>X: Clinched Division</t>
  </si>
  <si>
    <t>*: Clinched Best League Record</t>
  </si>
  <si>
    <t>W</t>
  </si>
  <si>
    <t>L</t>
  </si>
  <si>
    <t>PCT</t>
  </si>
  <si>
    <t>GB</t>
  </si>
  <si>
    <t>HOME</t>
  </si>
  <si>
    <t>ROAD</t>
  </si>
  <si>
    <t>RS</t>
  </si>
  <si>
    <t>RA</t>
  </si>
  <si>
    <t>DIFF</t>
  </si>
  <si>
    <t>STRK</t>
  </si>
  <si>
    <t>http://espn.go.com/mlb/standings/_/season/2015/group/overall</t>
  </si>
  <si>
    <t xml:space="preserve">Salary range </t>
  </si>
  <si>
    <t># of teams in the range</t>
  </si>
  <si>
    <t xml:space="preserve">over </t>
  </si>
  <si>
    <t>Teams and Salaries</t>
  </si>
  <si>
    <t>Salaries and Wins</t>
  </si>
  <si>
    <t>Wins</t>
  </si>
  <si>
    <t>Average team wins</t>
  </si>
  <si>
    <t xml:space="preserve">Team </t>
  </si>
  <si>
    <t>Salary</t>
  </si>
  <si>
    <t xml:space="preserve">Team salary </t>
  </si>
  <si>
    <t>Team wins</t>
  </si>
  <si>
    <t>Individual Salary and Team Wins</t>
  </si>
  <si>
    <t xml:space="preserve">Team Salary </t>
  </si>
  <si>
    <t>Grouped salary and Team win averages</t>
  </si>
  <si>
    <t>Team Salary and amount of teams in the range</t>
  </si>
  <si>
    <t>Number of teams</t>
  </si>
  <si>
    <t>Salary Range</t>
  </si>
  <si>
    <t>$50,000,000-$75,000,000</t>
  </si>
  <si>
    <t>$75,000,001-$100,000,000</t>
  </si>
  <si>
    <t>$100,000,001-$125,000,000</t>
  </si>
  <si>
    <t>$125,000,001-$150,000,000</t>
  </si>
  <si>
    <t>$150,000,001-$175,000,000</t>
  </si>
  <si>
    <t>$175,000,001-$200,000,000</t>
  </si>
  <si>
    <t>Data values x</t>
  </si>
  <si>
    <t>Empirical Distribution  for Group Data</t>
  </si>
  <si>
    <r>
      <t>P</t>
    </r>
    <r>
      <rPr>
        <sz val="8"/>
        <color theme="1"/>
        <rFont val="Calibri"/>
        <family val="2"/>
        <scheme val="minor"/>
      </rPr>
      <t>30</t>
    </r>
    <r>
      <rPr>
        <sz val="12"/>
        <color theme="1"/>
        <rFont val="Calibri"/>
        <family val="2"/>
        <scheme val="minor"/>
      </rPr>
      <t>(</t>
    </r>
    <r>
      <rPr>
        <i/>
        <sz val="12"/>
        <color theme="1"/>
        <rFont val="Calibri"/>
        <family val="2"/>
        <scheme val="minor"/>
      </rPr>
      <t>x</t>
    </r>
    <r>
      <rPr>
        <sz val="12"/>
        <color theme="1"/>
        <rFont val="Calibri"/>
        <family val="2"/>
        <scheme val="minor"/>
      </rPr>
      <t>) =</t>
    </r>
  </si>
  <si>
    <t>x=0</t>
  </si>
  <si>
    <t>x=1</t>
  </si>
  <si>
    <t>x=2</t>
  </si>
  <si>
    <t>x=3</t>
  </si>
  <si>
    <t>x=4</t>
  </si>
  <si>
    <t>x=5</t>
  </si>
  <si>
    <t>x=6</t>
  </si>
  <si>
    <r>
      <t xml:space="preserve">0 ≤ </t>
    </r>
    <r>
      <rPr>
        <i/>
        <sz val="11"/>
        <color theme="1"/>
        <rFont val="Calibri"/>
        <family val="2"/>
      </rPr>
      <t>x</t>
    </r>
    <r>
      <rPr>
        <sz val="11"/>
        <color theme="1"/>
        <rFont val="Calibri"/>
        <family val="2"/>
      </rPr>
      <t xml:space="preserve"> &lt; 1</t>
    </r>
  </si>
  <si>
    <r>
      <t xml:space="preserve">x </t>
    </r>
    <r>
      <rPr>
        <sz val="11"/>
        <color theme="1"/>
        <rFont val="Calibri"/>
        <family val="2"/>
        <scheme val="minor"/>
      </rPr>
      <t>&lt; 0</t>
    </r>
  </si>
  <si>
    <r>
      <t xml:space="preserve">1 ≤ </t>
    </r>
    <r>
      <rPr>
        <i/>
        <sz val="11"/>
        <color theme="1"/>
        <rFont val="Calibri"/>
        <family val="2"/>
      </rPr>
      <t xml:space="preserve">x </t>
    </r>
    <r>
      <rPr>
        <sz val="11"/>
        <color theme="1"/>
        <rFont val="Calibri"/>
        <family val="2"/>
      </rPr>
      <t>&lt; 2</t>
    </r>
  </si>
  <si>
    <r>
      <t xml:space="preserve">2 ≤ </t>
    </r>
    <r>
      <rPr>
        <i/>
        <sz val="11"/>
        <color theme="1"/>
        <rFont val="Calibri"/>
        <family val="2"/>
      </rPr>
      <t>x</t>
    </r>
    <r>
      <rPr>
        <sz val="11"/>
        <color theme="1"/>
        <rFont val="Calibri"/>
        <family val="2"/>
      </rPr>
      <t xml:space="preserve"> &lt; 3</t>
    </r>
  </si>
  <si>
    <r>
      <t xml:space="preserve">3 ≤ </t>
    </r>
    <r>
      <rPr>
        <i/>
        <sz val="11"/>
        <color theme="1"/>
        <rFont val="Calibri"/>
        <family val="2"/>
      </rPr>
      <t>x</t>
    </r>
    <r>
      <rPr>
        <sz val="11"/>
        <color theme="1"/>
        <rFont val="Calibri"/>
        <family val="2"/>
      </rPr>
      <t xml:space="preserve"> &lt; 4</t>
    </r>
  </si>
  <si>
    <r>
      <t xml:space="preserve">4 ≤ </t>
    </r>
    <r>
      <rPr>
        <i/>
        <sz val="11"/>
        <color theme="1"/>
        <rFont val="Calibri"/>
        <family val="2"/>
      </rPr>
      <t>x</t>
    </r>
    <r>
      <rPr>
        <sz val="11"/>
        <color theme="1"/>
        <rFont val="Calibri"/>
        <family val="2"/>
      </rPr>
      <t xml:space="preserve"> &lt;5</t>
    </r>
  </si>
  <si>
    <r>
      <t xml:space="preserve">5 </t>
    </r>
    <r>
      <rPr>
        <sz val="11"/>
        <color theme="1"/>
        <rFont val="Calibri"/>
        <family val="2"/>
      </rPr>
      <t xml:space="preserve">≤ </t>
    </r>
    <r>
      <rPr>
        <i/>
        <sz val="11"/>
        <color theme="1"/>
        <rFont val="Calibri"/>
        <family val="2"/>
      </rPr>
      <t>x</t>
    </r>
    <r>
      <rPr>
        <sz val="11"/>
        <color theme="1"/>
        <rFont val="Calibri"/>
        <family val="2"/>
      </rPr>
      <t xml:space="preserve"> &lt;6</t>
    </r>
  </si>
  <si>
    <r>
      <t>x</t>
    </r>
    <r>
      <rPr>
        <sz val="11"/>
        <color theme="1"/>
        <rFont val="Calibri"/>
        <family val="2"/>
        <scheme val="minor"/>
      </rPr>
      <t xml:space="preserve"> &gt; 6</t>
    </r>
  </si>
  <si>
    <r>
      <t>F</t>
    </r>
    <r>
      <rPr>
        <sz val="8"/>
        <color theme="1"/>
        <rFont val="Calibri"/>
        <family val="2"/>
        <scheme val="minor"/>
      </rPr>
      <t>30</t>
    </r>
    <r>
      <rPr>
        <sz val="12"/>
        <color theme="1"/>
        <rFont val="Calibri"/>
        <family val="2"/>
        <scheme val="minor"/>
      </rPr>
      <t>(</t>
    </r>
    <r>
      <rPr>
        <i/>
        <sz val="12"/>
        <color theme="1"/>
        <rFont val="Calibri"/>
        <family val="2"/>
        <scheme val="minor"/>
      </rPr>
      <t>x</t>
    </r>
    <r>
      <rPr>
        <sz val="12"/>
        <color theme="1"/>
        <rFont val="Calibri"/>
        <family val="2"/>
        <scheme val="minor"/>
      </rPr>
      <t>) =</t>
    </r>
  </si>
  <si>
    <r>
      <t>Y</t>
    </r>
    <r>
      <rPr>
        <b/>
        <sz val="8"/>
        <color theme="1"/>
        <rFont val="Calibri"/>
        <family val="2"/>
        <scheme val="minor"/>
      </rPr>
      <t>j</t>
    </r>
  </si>
  <si>
    <r>
      <t>S</t>
    </r>
    <r>
      <rPr>
        <b/>
        <sz val="8"/>
        <color theme="1"/>
        <rFont val="Calibri"/>
        <family val="2"/>
        <scheme val="minor"/>
      </rPr>
      <t>j</t>
    </r>
  </si>
  <si>
    <r>
      <t>R</t>
    </r>
    <r>
      <rPr>
        <b/>
        <sz val="8"/>
        <color theme="1"/>
        <rFont val="Calibri"/>
        <family val="2"/>
        <scheme val="minor"/>
      </rPr>
      <t>j</t>
    </r>
  </si>
  <si>
    <t>Salaries</t>
  </si>
  <si>
    <t>j</t>
  </si>
  <si>
    <r>
      <t>H(</t>
    </r>
    <r>
      <rPr>
        <b/>
        <i/>
        <sz val="11"/>
        <color theme="1"/>
        <rFont val="Calibri"/>
        <family val="2"/>
        <scheme val="minor"/>
      </rPr>
      <t>x</t>
    </r>
    <r>
      <rPr>
        <b/>
        <sz val="11"/>
        <color theme="1"/>
        <rFont val="Calibri"/>
        <family val="2"/>
        <scheme val="minor"/>
      </rPr>
      <t>)</t>
    </r>
  </si>
  <si>
    <r>
      <t>F</t>
    </r>
    <r>
      <rPr>
        <b/>
        <sz val="8"/>
        <color theme="1"/>
        <rFont val="Calibri"/>
        <family val="2"/>
        <scheme val="minor"/>
      </rPr>
      <t>30</t>
    </r>
    <r>
      <rPr>
        <b/>
        <sz val="11"/>
        <color theme="1"/>
        <rFont val="Calibri"/>
        <family val="2"/>
        <scheme val="minor"/>
      </rPr>
      <t>(</t>
    </r>
    <r>
      <rPr>
        <b/>
        <i/>
        <sz val="11"/>
        <color theme="1"/>
        <rFont val="Calibri"/>
        <family val="2"/>
        <scheme val="minor"/>
      </rPr>
      <t>x</t>
    </r>
    <r>
      <rPr>
        <b/>
        <sz val="11"/>
        <color theme="1"/>
        <rFont val="Calibri"/>
        <family val="2"/>
        <scheme val="minor"/>
      </rPr>
      <t>)</t>
    </r>
  </si>
  <si>
    <r>
      <t>F(</t>
    </r>
    <r>
      <rPr>
        <b/>
        <i/>
        <sz val="11"/>
        <color theme="1"/>
        <rFont val="Calibri"/>
        <family val="2"/>
        <scheme val="minor"/>
      </rPr>
      <t>x</t>
    </r>
    <r>
      <rPr>
        <b/>
        <sz val="11"/>
        <color theme="1"/>
        <rFont val="Calibri"/>
        <family val="2"/>
        <scheme val="minor"/>
      </rPr>
      <t>)*</t>
    </r>
  </si>
  <si>
    <t>RANGE</t>
  </si>
  <si>
    <r>
      <t>S(</t>
    </r>
    <r>
      <rPr>
        <b/>
        <i/>
        <sz val="11"/>
        <color theme="1"/>
        <rFont val="Calibri"/>
        <family val="2"/>
        <scheme val="minor"/>
      </rPr>
      <t>x</t>
    </r>
    <r>
      <rPr>
        <b/>
        <sz val="11"/>
        <color theme="1"/>
        <rFont val="Calibri"/>
        <family val="2"/>
        <scheme val="minor"/>
      </rPr>
      <t>)*</t>
    </r>
  </si>
  <si>
    <t>$200,000,000-$225,000,000</t>
  </si>
  <si>
    <t>Salary Averages</t>
  </si>
  <si>
    <t># of Teams</t>
  </si>
  <si>
    <t>Sum of salaries</t>
  </si>
  <si>
    <t>Totals</t>
  </si>
  <si>
    <t>Group Salary Mean</t>
  </si>
  <si>
    <t>Group Salary Variance</t>
  </si>
  <si>
    <t>Group St. Dev.</t>
  </si>
  <si>
    <t>Coef. Of Var</t>
  </si>
  <si>
    <t>x</t>
  </si>
  <si>
    <t>P(x)</t>
  </si>
  <si>
    <t>xP(x)</t>
  </si>
  <si>
    <t>x^2P(x)</t>
  </si>
  <si>
    <t>Total</t>
  </si>
  <si>
    <t xml:space="preserve">Mean </t>
  </si>
  <si>
    <t>Variance</t>
  </si>
  <si>
    <t>St. Deviation</t>
  </si>
  <si>
    <t>Coef. Of Variation</t>
  </si>
  <si>
    <t>Ɵ^-1</t>
  </si>
  <si>
    <t>=</t>
  </si>
  <si>
    <t>Ɵ</t>
  </si>
  <si>
    <t>Loglikelihood</t>
  </si>
  <si>
    <r>
      <rPr>
        <b/>
        <sz val="11"/>
        <color theme="1"/>
        <rFont val="Calibri"/>
        <family val="2"/>
        <scheme val="minor"/>
      </rPr>
      <t>Ln(</t>
    </r>
    <r>
      <rPr>
        <b/>
        <i/>
        <sz val="11"/>
        <color theme="1"/>
        <rFont val="Calibri"/>
        <family val="2"/>
        <scheme val="minor"/>
      </rPr>
      <t>x</t>
    </r>
    <r>
      <rPr>
        <b/>
        <sz val="11"/>
        <color theme="1"/>
        <rFont val="Calibri"/>
        <family val="2"/>
        <scheme val="minor"/>
      </rPr>
      <t>)</t>
    </r>
  </si>
  <si>
    <t xml:space="preserve">f(x) </t>
  </si>
  <si>
    <t>x^2</t>
  </si>
  <si>
    <t>Method of Moment</t>
  </si>
  <si>
    <t>μ</t>
  </si>
  <si>
    <t>s</t>
  </si>
  <si>
    <t>Empirical Distribution</t>
  </si>
  <si>
    <t>Percentile Matching</t>
  </si>
  <si>
    <t>30th</t>
  </si>
  <si>
    <t>70th</t>
  </si>
  <si>
    <t>πg = (1-h)*Xj +h*Xj+1</t>
  </si>
  <si>
    <t>n</t>
  </si>
  <si>
    <t>(n+1)g</t>
  </si>
  <si>
    <t>j =[g]</t>
  </si>
  <si>
    <t>h=(n+1)g-j</t>
  </si>
  <si>
    <t>Solve two equations</t>
  </si>
  <si>
    <t>Average Wins</t>
  </si>
  <si>
    <t>all</t>
  </si>
  <si>
    <t>top 5</t>
  </si>
  <si>
    <t>bottom 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</si>
</sst>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44" formatCode="_(&quot;$&quot;* #,##0.00_);_(&quot;$&quot;* \(#,##0.00\);_(&quot;$&quot;* &quot;-&quot;??_);_(@_)"/>
    <numFmt numFmtId="43" formatCode="_(* #,##0.00_);_(* \(#,##0.00\);_(* &quot;-&quot;??_);_(@_)"/>
    <numFmt numFmtId="164" formatCode="0.000"/>
    <numFmt numFmtId="165" formatCode="_(* #,##0_);_(* \(#,##0\);_(* &quot;-&quot;??_);_(@_)"/>
    <numFmt numFmtId="166" formatCode="_(&quot;$&quot;* #,##0_);_(&quot;$&quot;* \(#,##0\);_(&quot;$&quot;* &quot;-&quot;??_);_(@_)"/>
    <numFmt numFmtId="167" formatCode="0.0000"/>
    <numFmt numFmtId="168" formatCode="&quot;$&quot;#,##0"/>
    <numFmt numFmtId="169" formatCode="0.00000"/>
    <numFmt numFmtId="170" formatCode="&quot;$&quot;#,##0.00"/>
    <numFmt numFmtId="171" formatCode="0.00000E+00"/>
    <numFmt numFmtId="172" formatCode="0.000%"/>
    <numFmt numFmtId="173" formatCode="0.0000000"/>
  </numFmts>
  <fonts count="30" x14ac:knownFonts="1">
    <font>
      <sz val="11"/>
      <color theme="1"/>
      <name val="Calibri"/>
      <family val="2"/>
      <scheme val="minor"/>
    </font>
    <font>
      <sz val="11"/>
      <color theme="1"/>
      <name val="Calibri"/>
      <family val="2"/>
      <scheme val="minor"/>
    </font>
    <font>
      <b/>
      <sz val="11"/>
      <color theme="1"/>
      <name val="Calibri"/>
      <family val="2"/>
      <scheme val="minor"/>
    </font>
    <font>
      <b/>
      <sz val="9"/>
      <color rgb="FF666666"/>
      <name val="Arial"/>
      <family val="2"/>
    </font>
    <font>
      <b/>
      <sz val="8"/>
      <color rgb="FF222222"/>
      <name val="Arial"/>
      <family val="2"/>
    </font>
    <font>
      <sz val="10"/>
      <color theme="1"/>
      <name val="Calibri"/>
      <family val="2"/>
      <scheme val="minor"/>
    </font>
    <font>
      <sz val="10"/>
      <color rgb="FF666666"/>
      <name val="Arial"/>
      <family val="2"/>
    </font>
    <font>
      <sz val="10"/>
      <color rgb="FF009444"/>
      <name val="Arial"/>
      <family val="2"/>
    </font>
    <font>
      <sz val="10"/>
      <color rgb="FFCC0000"/>
      <name val="Arial"/>
      <family val="2"/>
    </font>
    <font>
      <sz val="9"/>
      <color theme="1"/>
      <name val="Arial"/>
      <family val="2"/>
    </font>
    <font>
      <u/>
      <sz val="11"/>
      <color theme="10"/>
      <name val="Calibri"/>
      <family val="2"/>
      <scheme val="minor"/>
    </font>
    <font>
      <i/>
      <sz val="11"/>
      <color theme="1"/>
      <name val="Calibri"/>
      <family val="2"/>
      <scheme val="minor"/>
    </font>
    <font>
      <i/>
      <sz val="9"/>
      <color theme="1"/>
      <name val="Calibri"/>
      <family val="2"/>
      <scheme val="minor"/>
    </font>
    <font>
      <sz val="8"/>
      <color theme="1"/>
      <name val="Calibri"/>
      <family val="2"/>
      <scheme val="minor"/>
    </font>
    <font>
      <sz val="12"/>
      <color theme="1"/>
      <name val="Calibri"/>
      <family val="2"/>
      <scheme val="minor"/>
    </font>
    <font>
      <i/>
      <sz val="12"/>
      <color theme="1"/>
      <name val="Calibri"/>
      <family val="2"/>
      <scheme val="minor"/>
    </font>
    <font>
      <sz val="11"/>
      <color theme="1"/>
      <name val="Calibri"/>
      <family val="2"/>
    </font>
    <font>
      <i/>
      <sz val="11"/>
      <color theme="1"/>
      <name val="Calibri"/>
      <family val="2"/>
    </font>
    <font>
      <b/>
      <sz val="8"/>
      <color theme="1"/>
      <name val="Calibri"/>
      <family val="2"/>
      <scheme val="minor"/>
    </font>
    <font>
      <b/>
      <i/>
      <sz val="11"/>
      <color theme="1"/>
      <name val="Calibri"/>
      <family val="2"/>
      <scheme val="minor"/>
    </font>
    <font>
      <b/>
      <sz val="10"/>
      <color theme="1"/>
      <name val="Calibri"/>
      <family val="2"/>
      <scheme val="minor"/>
    </font>
    <font>
      <b/>
      <sz val="9"/>
      <color theme="1"/>
      <name val="Calibri"/>
      <family val="2"/>
      <scheme val="minor"/>
    </font>
    <font>
      <sz val="8"/>
      <color theme="0"/>
      <name val="Calibri"/>
      <family val="2"/>
      <scheme val="minor"/>
    </font>
    <font>
      <sz val="11"/>
      <color theme="0"/>
      <name val="Calibri"/>
      <family val="2"/>
    </font>
    <font>
      <sz val="11"/>
      <name val="Calibri"/>
      <family val="2"/>
      <scheme val="minor"/>
    </font>
    <font>
      <sz val="11"/>
      <color theme="0"/>
      <name val="Calibri"/>
      <family val="2"/>
      <scheme val="minor"/>
    </font>
    <font>
      <sz val="9"/>
      <color theme="1"/>
      <name val="Calibri"/>
      <family val="2"/>
      <scheme val="minor"/>
    </font>
    <font>
      <sz val="11"/>
      <color rgb="FF000000"/>
      <name val="Calibri"/>
      <family val="2"/>
      <scheme val="minor"/>
    </font>
    <font>
      <sz val="11"/>
      <color rgb="FF000000"/>
      <name val="Symbol"/>
      <family val="1"/>
      <charset val="2"/>
    </font>
    <font>
      <sz val="11"/>
      <color rgb="FFFF000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14E65A"/>
        <bgColor indexed="64"/>
      </patternFill>
    </fill>
    <fill>
      <patternFill patternType="solid">
        <fgColor rgb="FF99FF99"/>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cellStyleXfs>
  <cellXfs count="131">
    <xf numFmtId="0" fontId="0" fillId="0" borderId="0" xfId="0"/>
    <xf numFmtId="0" fontId="3" fillId="2" borderId="1" xfId="0" applyFont="1" applyFill="1" applyBorder="1" applyAlignment="1">
      <alignment horizontal="center" vertical="center" wrapText="1"/>
    </xf>
    <xf numFmtId="6"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6" fontId="3" fillId="2" borderId="4"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6" fontId="3" fillId="2" borderId="6" xfId="0" applyNumberFormat="1" applyFont="1" applyFill="1" applyBorder="1" applyAlignment="1">
      <alignment horizontal="center" vertical="center" wrapText="1"/>
    </xf>
    <xf numFmtId="6" fontId="3" fillId="2" borderId="7" xfId="0" applyNumberFormat="1"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6" fontId="3" fillId="2" borderId="12" xfId="0" applyNumberFormat="1" applyFont="1" applyFill="1" applyBorder="1" applyAlignment="1">
      <alignment horizontal="center" vertical="center" wrapText="1"/>
    </xf>
    <xf numFmtId="6" fontId="3" fillId="2" borderId="13" xfId="0" applyNumberFormat="1" applyFont="1" applyFill="1" applyBorder="1" applyAlignment="1">
      <alignment horizontal="center" vertical="center" wrapText="1"/>
    </xf>
    <xf numFmtId="0" fontId="0" fillId="0" borderId="1" xfId="0" applyBorder="1"/>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xf numFmtId="0" fontId="4" fillId="0" borderId="0" xfId="0" applyFont="1" applyAlignment="1">
      <alignment horizontal="center" vertical="center" wrapText="1"/>
    </xf>
    <xf numFmtId="0" fontId="4" fillId="0" borderId="0" xfId="0" applyFont="1"/>
    <xf numFmtId="0" fontId="5" fillId="0" borderId="1" xfId="0" applyFont="1" applyBorder="1"/>
    <xf numFmtId="0" fontId="0" fillId="0" borderId="1" xfId="0" applyBorder="1" applyAlignment="1">
      <alignment horizontal="center"/>
    </xf>
    <xf numFmtId="43" fontId="0" fillId="0" borderId="0" xfId="1" applyFont="1"/>
    <xf numFmtId="44" fontId="0" fillId="0" borderId="1" xfId="2" applyFont="1" applyBorder="1"/>
    <xf numFmtId="44" fontId="0" fillId="0" borderId="1" xfId="2" applyFont="1" applyBorder="1" applyAlignment="1">
      <alignment horizontal="right" vertical="center"/>
    </xf>
    <xf numFmtId="0" fontId="3" fillId="2" borderId="12"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6" xfId="0" applyFont="1" applyFill="1" applyBorder="1" applyAlignment="1">
      <alignment horizontal="left" vertical="center" wrapText="1"/>
    </xf>
    <xf numFmtId="0" fontId="9" fillId="2" borderId="1" xfId="0" applyFont="1" applyFill="1" applyBorder="1" applyAlignment="1">
      <alignment horizontal="left" vertical="center"/>
    </xf>
    <xf numFmtId="2" fontId="6" fillId="2" borderId="1" xfId="0" applyNumberFormat="1" applyFont="1" applyFill="1" applyBorder="1" applyAlignment="1">
      <alignment horizontal="right" vertical="center"/>
    </xf>
    <xf numFmtId="2" fontId="7" fillId="2" borderId="1" xfId="0" applyNumberFormat="1" applyFont="1" applyFill="1" applyBorder="1" applyAlignment="1">
      <alignment horizontal="right" vertical="center"/>
    </xf>
    <xf numFmtId="2" fontId="8" fillId="2" borderId="1" xfId="0" applyNumberFormat="1" applyFont="1" applyFill="1" applyBorder="1" applyAlignment="1">
      <alignment horizontal="right" vertical="center"/>
    </xf>
    <xf numFmtId="0" fontId="0" fillId="0" borderId="2" xfId="0" applyFill="1" applyBorder="1" applyAlignment="1">
      <alignment horizontal="center"/>
    </xf>
    <xf numFmtId="0" fontId="0" fillId="0" borderId="21"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164" fontId="0" fillId="0" borderId="1" xfId="0" applyNumberFormat="1" applyBorder="1" applyAlignment="1">
      <alignment horizontal="center"/>
    </xf>
    <xf numFmtId="0" fontId="0" fillId="3" borderId="1" xfId="0" applyFill="1" applyBorder="1"/>
    <xf numFmtId="0" fontId="2" fillId="3" borderId="1" xfId="0" applyFont="1" applyFill="1" applyBorder="1" applyAlignment="1">
      <alignment horizontal="center"/>
    </xf>
    <xf numFmtId="165" fontId="0" fillId="0" borderId="1" xfId="1" applyNumberFormat="1" applyFont="1" applyBorder="1" applyAlignment="1">
      <alignment horizontal="center"/>
    </xf>
    <xf numFmtId="166" fontId="0" fillId="0" borderId="1" xfId="2" applyNumberFormat="1" applyFont="1" applyBorder="1" applyAlignment="1">
      <alignment horizontal="center"/>
    </xf>
    <xf numFmtId="0" fontId="10" fillId="0" borderId="0" xfId="3"/>
    <xf numFmtId="0" fontId="2" fillId="0" borderId="1"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1" xfId="0" applyFont="1" applyBorder="1" applyAlignment="1">
      <alignment horizontal="center"/>
    </xf>
    <xf numFmtId="0" fontId="0" fillId="4" borderId="1" xfId="0" applyFill="1" applyBorder="1" applyAlignment="1">
      <alignment horizontal="center"/>
    </xf>
    <xf numFmtId="2" fontId="0" fillId="0" borderId="24" xfId="0" applyNumberFormat="1" applyBorder="1" applyAlignment="1">
      <alignment horizontal="center"/>
    </xf>
    <xf numFmtId="2" fontId="0" fillId="0" borderId="23" xfId="0" applyNumberFormat="1" applyBorder="1" applyAlignment="1">
      <alignment horizontal="center"/>
    </xf>
    <xf numFmtId="2" fontId="0" fillId="0" borderId="25" xfId="0" applyNumberFormat="1" applyBorder="1" applyAlignment="1">
      <alignment horizontal="center"/>
    </xf>
    <xf numFmtId="167" fontId="0" fillId="0" borderId="26" xfId="0" applyNumberFormat="1" applyBorder="1" applyAlignment="1">
      <alignment horizontal="center"/>
    </xf>
    <xf numFmtId="167" fontId="0" fillId="0" borderId="0" xfId="0" applyNumberFormat="1" applyBorder="1" applyAlignment="1">
      <alignment horizontal="center"/>
    </xf>
    <xf numFmtId="167" fontId="0" fillId="0" borderId="22" xfId="0" applyNumberFormat="1"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0" fillId="0" borderId="25" xfId="0" applyBorder="1" applyAlignment="1">
      <alignment horizontal="center"/>
    </xf>
    <xf numFmtId="167" fontId="0" fillId="0" borderId="0" xfId="0" applyNumberFormat="1" applyAlignment="1">
      <alignment horizontal="center"/>
    </xf>
    <xf numFmtId="168" fontId="0" fillId="0" borderId="1" xfId="2" applyNumberFormat="1" applyFont="1" applyBorder="1" applyAlignment="1">
      <alignment horizontal="center"/>
    </xf>
    <xf numFmtId="0" fontId="12" fillId="0" borderId="1" xfId="0" applyFont="1" applyBorder="1" applyAlignment="1">
      <alignment horizontal="center"/>
    </xf>
    <xf numFmtId="0" fontId="5" fillId="0" borderId="1" xfId="0" applyFont="1" applyBorder="1" applyAlignment="1">
      <alignment horizontal="center"/>
    </xf>
    <xf numFmtId="0" fontId="13" fillId="0" borderId="1" xfId="0" applyFont="1" applyBorder="1" applyAlignment="1">
      <alignment horizontal="center"/>
    </xf>
    <xf numFmtId="0" fontId="2" fillId="0" borderId="1" xfId="0" applyFont="1" applyFill="1" applyBorder="1" applyAlignment="1">
      <alignment horizontal="center"/>
    </xf>
    <xf numFmtId="167" fontId="0" fillId="0" borderId="1" xfId="0" applyNumberFormat="1" applyBorder="1" applyAlignment="1">
      <alignment horizontal="center"/>
    </xf>
    <xf numFmtId="169" fontId="0" fillId="0" borderId="1" xfId="0" applyNumberFormat="1" applyBorder="1" applyAlignment="1">
      <alignment horizontal="center"/>
    </xf>
    <xf numFmtId="0" fontId="16" fillId="0" borderId="1" xfId="0" applyFont="1" applyBorder="1" applyAlignment="1">
      <alignment horizontal="center"/>
    </xf>
    <xf numFmtId="0" fontId="11" fillId="0" borderId="1" xfId="0" applyFont="1" applyBorder="1" applyAlignment="1">
      <alignment horizontal="center"/>
    </xf>
    <xf numFmtId="0" fontId="0" fillId="0" borderId="0" xfId="0" applyBorder="1"/>
    <xf numFmtId="43" fontId="0" fillId="0" borderId="1" xfId="1" applyFont="1" applyBorder="1" applyAlignment="1">
      <alignment horizontal="center"/>
    </xf>
    <xf numFmtId="43" fontId="13" fillId="0" borderId="1" xfId="1" applyFont="1" applyBorder="1" applyAlignment="1">
      <alignment horizontal="center"/>
    </xf>
    <xf numFmtId="168" fontId="5" fillId="0" borderId="1" xfId="0" applyNumberFormat="1" applyFont="1" applyBorder="1" applyAlignment="1">
      <alignment horizontal="center"/>
    </xf>
    <xf numFmtId="0" fontId="2" fillId="4" borderId="1" xfId="0" applyFont="1" applyFill="1" applyBorder="1" applyAlignment="1">
      <alignment horizontal="center"/>
    </xf>
    <xf numFmtId="0" fontId="20" fillId="4" borderId="1" xfId="0" applyFont="1" applyFill="1" applyBorder="1" applyAlignment="1">
      <alignment horizontal="center"/>
    </xf>
    <xf numFmtId="168" fontId="22" fillId="0" borderId="0" xfId="0" applyNumberFormat="1" applyFont="1"/>
    <xf numFmtId="0" fontId="2" fillId="0" borderId="1" xfId="0" applyFont="1" applyBorder="1" applyAlignment="1">
      <alignment horizontal="right"/>
    </xf>
    <xf numFmtId="168" fontId="20" fillId="0" borderId="1" xfId="0" applyNumberFormat="1" applyFont="1" applyBorder="1" applyAlignment="1">
      <alignment horizontal="center"/>
    </xf>
    <xf numFmtId="0" fontId="20" fillId="4" borderId="1" xfId="0" applyFont="1" applyFill="1" applyBorder="1" applyAlignment="1">
      <alignment horizontal="center"/>
    </xf>
    <xf numFmtId="168" fontId="20" fillId="4" borderId="1" xfId="0" applyNumberFormat="1" applyFont="1" applyFill="1" applyBorder="1" applyAlignment="1">
      <alignment horizontal="center"/>
    </xf>
    <xf numFmtId="168" fontId="21" fillId="4" borderId="1" xfId="0" applyNumberFormat="1" applyFont="1" applyFill="1" applyBorder="1" applyAlignment="1">
      <alignment horizontal="center"/>
    </xf>
    <xf numFmtId="169" fontId="20" fillId="4" borderId="1" xfId="0" applyNumberFormat="1" applyFont="1" applyFill="1" applyBorder="1" applyAlignment="1">
      <alignment horizontal="center"/>
    </xf>
    <xf numFmtId="0" fontId="11" fillId="0" borderId="27" xfId="0" applyFont="1" applyBorder="1" applyAlignment="1">
      <alignment horizontal="center"/>
    </xf>
    <xf numFmtId="0" fontId="16" fillId="0" borderId="28" xfId="0" applyFont="1" applyBorder="1" applyAlignment="1">
      <alignment horizontal="center"/>
    </xf>
    <xf numFmtId="0" fontId="0" fillId="0" borderId="28" xfId="0" applyBorder="1" applyAlignment="1">
      <alignment horizontal="center"/>
    </xf>
    <xf numFmtId="0" fontId="11" fillId="0" borderId="29" xfId="0" applyFont="1" applyBorder="1" applyAlignment="1">
      <alignment horizontal="center"/>
    </xf>
    <xf numFmtId="0" fontId="11" fillId="0" borderId="28" xfId="0" applyFont="1" applyBorder="1" applyAlignment="1">
      <alignment horizontal="center"/>
    </xf>
    <xf numFmtId="0" fontId="11" fillId="0" borderId="28" xfId="0" applyFont="1" applyFill="1" applyBorder="1" applyAlignment="1">
      <alignment horizontal="center"/>
    </xf>
    <xf numFmtId="168" fontId="5" fillId="0" borderId="1" xfId="2" applyNumberFormat="1" applyFont="1" applyBorder="1" applyAlignment="1">
      <alignment horizontal="center"/>
    </xf>
    <xf numFmtId="170" fontId="0" fillId="0" borderId="1" xfId="0" applyNumberFormat="1" applyBorder="1"/>
    <xf numFmtId="170" fontId="0" fillId="0" borderId="1" xfId="0" applyNumberFormat="1" applyBorder="1" applyAlignment="1">
      <alignment horizontal="center"/>
    </xf>
    <xf numFmtId="170" fontId="5" fillId="0" borderId="1" xfId="0" applyNumberFormat="1" applyFont="1" applyBorder="1" applyAlignment="1">
      <alignment horizontal="center"/>
    </xf>
    <xf numFmtId="171" fontId="0" fillId="0" borderId="1" xfId="0" applyNumberFormat="1" applyBorder="1" applyAlignment="1">
      <alignment horizontal="center"/>
    </xf>
    <xf numFmtId="170" fontId="0" fillId="0" borderId="0" xfId="0" applyNumberFormat="1"/>
    <xf numFmtId="168" fontId="0" fillId="0" borderId="1" xfId="0" applyNumberFormat="1" applyBorder="1"/>
    <xf numFmtId="168" fontId="0" fillId="0" borderId="0" xfId="2" applyNumberFormat="1" applyFont="1" applyBorder="1" applyAlignment="1">
      <alignment horizontal="center"/>
    </xf>
    <xf numFmtId="0" fontId="0" fillId="5" borderId="0" xfId="0" applyFill="1" applyBorder="1" applyAlignment="1">
      <alignment horizontal="center"/>
    </xf>
    <xf numFmtId="0" fontId="23" fillId="0" borderId="0" xfId="0" applyFont="1"/>
    <xf numFmtId="43" fontId="24" fillId="0" borderId="1" xfId="1" applyFont="1" applyBorder="1" applyAlignment="1">
      <alignment horizontal="center"/>
    </xf>
    <xf numFmtId="43" fontId="1" fillId="0" borderId="1" xfId="1" applyFont="1" applyBorder="1" applyAlignment="1">
      <alignment horizontal="center"/>
    </xf>
    <xf numFmtId="0" fontId="0" fillId="0" borderId="28" xfId="0" applyBorder="1"/>
    <xf numFmtId="168" fontId="5" fillId="0" borderId="12" xfId="2" applyNumberFormat="1" applyFont="1" applyBorder="1" applyAlignment="1">
      <alignment horizontal="center"/>
    </xf>
    <xf numFmtId="0" fontId="16" fillId="0" borderId="12" xfId="0" applyFont="1" applyBorder="1" applyAlignment="1">
      <alignment horizontal="center"/>
    </xf>
    <xf numFmtId="0" fontId="0" fillId="0" borderId="12" xfId="0" applyBorder="1"/>
    <xf numFmtId="168" fontId="26" fillId="0" borderId="1" xfId="0" applyNumberFormat="1" applyFont="1" applyBorder="1"/>
    <xf numFmtId="0" fontId="27" fillId="0" borderId="1" xfId="0" applyFont="1" applyBorder="1" applyAlignment="1">
      <alignment horizontal="center"/>
    </xf>
    <xf numFmtId="0" fontId="28" fillId="0" borderId="1" xfId="0" applyFont="1" applyBorder="1" applyAlignment="1">
      <alignment horizontal="center"/>
    </xf>
    <xf numFmtId="0" fontId="2" fillId="4" borderId="0" xfId="0" applyFont="1" applyFill="1" applyBorder="1" applyAlignment="1">
      <alignment horizontal="center"/>
    </xf>
    <xf numFmtId="168" fontId="25" fillId="0" borderId="0" xfId="0" applyNumberFormat="1" applyFont="1"/>
    <xf numFmtId="0" fontId="29" fillId="0" borderId="0" xfId="0" applyFont="1"/>
    <xf numFmtId="0" fontId="25" fillId="0" borderId="0" xfId="0" applyFont="1"/>
    <xf numFmtId="3" fontId="0" fillId="0" borderId="0" xfId="0" applyNumberFormat="1"/>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0" fillId="3" borderId="1" xfId="0"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4" borderId="1" xfId="0" applyFill="1" applyBorder="1" applyAlignment="1">
      <alignment horizontal="center"/>
    </xf>
    <xf numFmtId="0" fontId="20" fillId="4" borderId="1" xfId="0" applyFont="1" applyFill="1" applyBorder="1" applyAlignment="1">
      <alignment horizontal="center"/>
    </xf>
    <xf numFmtId="0" fontId="21" fillId="4" borderId="1" xfId="0" applyFont="1" applyFill="1" applyBorder="1" applyAlignment="1">
      <alignment horizontal="center"/>
    </xf>
    <xf numFmtId="0" fontId="2" fillId="4" borderId="1" xfId="0" applyFont="1" applyFill="1" applyBorder="1" applyAlignment="1">
      <alignment horizontal="center"/>
    </xf>
    <xf numFmtId="172" fontId="0" fillId="0" borderId="1" xfId="4" applyNumberFormat="1" applyFont="1" applyBorder="1" applyAlignment="1">
      <alignment horizontal="center"/>
    </xf>
    <xf numFmtId="0" fontId="0" fillId="0" borderId="1" xfId="0" applyBorder="1" applyAlignment="1">
      <alignment horizontal="center"/>
    </xf>
    <xf numFmtId="0" fontId="0" fillId="0" borderId="30" xfId="0" applyBorder="1" applyAlignment="1">
      <alignment horizontal="center"/>
    </xf>
    <xf numFmtId="0" fontId="2" fillId="4" borderId="17" xfId="0" applyFont="1" applyFill="1" applyBorder="1" applyAlignment="1">
      <alignment horizontal="center"/>
    </xf>
    <xf numFmtId="0" fontId="2" fillId="4" borderId="30" xfId="0" applyFont="1" applyFill="1" applyBorder="1" applyAlignment="1">
      <alignment horizontal="center"/>
    </xf>
    <xf numFmtId="0" fontId="2" fillId="4" borderId="18" xfId="0" applyFont="1" applyFill="1" applyBorder="1" applyAlignment="1">
      <alignment horizontal="center"/>
    </xf>
    <xf numFmtId="0" fontId="0" fillId="0" borderId="1" xfId="0" applyFont="1" applyBorder="1" applyAlignment="1">
      <alignment horizontal="center"/>
    </xf>
    <xf numFmtId="173" fontId="0" fillId="0" borderId="1" xfId="0" applyNumberFormat="1" applyBorder="1" applyAlignment="1">
      <alignment horizontal="center"/>
    </xf>
    <xf numFmtId="0" fontId="2" fillId="3" borderId="1" xfId="0" applyFont="1" applyFill="1" applyBorder="1" applyAlignment="1">
      <alignment horizontal="center"/>
    </xf>
    <xf numFmtId="43" fontId="0" fillId="0" borderId="1" xfId="0" applyNumberFormat="1" applyBorder="1" applyAlignment="1"/>
    <xf numFmtId="165" fontId="0" fillId="0" borderId="1" xfId="0" applyNumberFormat="1" applyBorder="1"/>
    <xf numFmtId="43" fontId="0" fillId="0" borderId="1" xfId="0" applyNumberFormat="1" applyBorder="1"/>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colors>
    <mruColors>
      <color rgb="FF14E65A"/>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Group</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'Group Emp Dist'!$O$3</c:f>
              <c:strCache>
                <c:ptCount val="1"/>
                <c:pt idx="0">
                  <c:v>Sj</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'Group Emp Dist'!$M$4:$N$10</c:f>
              <c:multiLvlStrCache>
                <c:ptCount val="7"/>
                <c:lvl>
                  <c:pt idx="0">
                    <c:v>$50,000,000-$75,000,000</c:v>
                  </c:pt>
                  <c:pt idx="1">
                    <c:v>$75,000,001-$100,000,000</c:v>
                  </c:pt>
                  <c:pt idx="2">
                    <c:v>$100,000,001-$125,000,000</c:v>
                  </c:pt>
                  <c:pt idx="3">
                    <c:v>$125,000,001-$150,000,000</c:v>
                  </c:pt>
                  <c:pt idx="4">
                    <c:v>$150,000,001-$175,000,000</c:v>
                  </c:pt>
                  <c:pt idx="5">
                    <c:v>$175,000,001-$200,000,000</c:v>
                  </c:pt>
                  <c:pt idx="6">
                    <c:v>$200,000,000-$225,000,000</c:v>
                  </c:pt>
                </c:lvl>
                <c:lvl>
                  <c:pt idx="0">
                    <c:v>0</c:v>
                  </c:pt>
                  <c:pt idx="1">
                    <c:v>1</c:v>
                  </c:pt>
                  <c:pt idx="2">
                    <c:v>2</c:v>
                  </c:pt>
                  <c:pt idx="3">
                    <c:v>3</c:v>
                  </c:pt>
                  <c:pt idx="4">
                    <c:v>4</c:v>
                  </c:pt>
                  <c:pt idx="5">
                    <c:v>5</c:v>
                  </c:pt>
                  <c:pt idx="6">
                    <c:v>6</c:v>
                  </c:pt>
                </c:lvl>
              </c:multiLvlStrCache>
            </c:multiLvlStrRef>
          </c:cat>
          <c:val>
            <c:numRef>
              <c:f>'Group Emp Dist'!$O$4:$O$10</c:f>
              <c:numCache>
                <c:formatCode>General</c:formatCode>
                <c:ptCount val="7"/>
                <c:pt idx="0">
                  <c:v>3</c:v>
                </c:pt>
                <c:pt idx="1">
                  <c:v>7</c:v>
                </c:pt>
                <c:pt idx="2">
                  <c:v>10</c:v>
                </c:pt>
                <c:pt idx="3">
                  <c:v>4</c:v>
                </c:pt>
                <c:pt idx="4">
                  <c:v>3</c:v>
                </c:pt>
                <c:pt idx="5">
                  <c:v>1</c:v>
                </c:pt>
                <c:pt idx="6">
                  <c:v>2</c:v>
                </c:pt>
              </c:numCache>
            </c:numRef>
          </c:val>
          <c:smooth val="0"/>
        </c:ser>
        <c:ser>
          <c:idx val="1"/>
          <c:order val="1"/>
          <c:tx>
            <c:strRef>
              <c:f>'Group Emp Dist'!$P$3</c:f>
              <c:strCache>
                <c:ptCount val="1"/>
                <c:pt idx="0">
                  <c:v>Rj</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'Group Emp Dist'!$M$4:$N$10</c:f>
              <c:multiLvlStrCache>
                <c:ptCount val="7"/>
                <c:lvl>
                  <c:pt idx="0">
                    <c:v>$50,000,000-$75,000,000</c:v>
                  </c:pt>
                  <c:pt idx="1">
                    <c:v>$75,000,001-$100,000,000</c:v>
                  </c:pt>
                  <c:pt idx="2">
                    <c:v>$100,000,001-$125,000,000</c:v>
                  </c:pt>
                  <c:pt idx="3">
                    <c:v>$125,000,001-$150,000,000</c:v>
                  </c:pt>
                  <c:pt idx="4">
                    <c:v>$150,000,001-$175,000,000</c:v>
                  </c:pt>
                  <c:pt idx="5">
                    <c:v>$175,000,001-$200,000,000</c:v>
                  </c:pt>
                  <c:pt idx="6">
                    <c:v>$200,000,000-$225,000,000</c:v>
                  </c:pt>
                </c:lvl>
                <c:lvl>
                  <c:pt idx="0">
                    <c:v>0</c:v>
                  </c:pt>
                  <c:pt idx="1">
                    <c:v>1</c:v>
                  </c:pt>
                  <c:pt idx="2">
                    <c:v>2</c:v>
                  </c:pt>
                  <c:pt idx="3">
                    <c:v>3</c:v>
                  </c:pt>
                  <c:pt idx="4">
                    <c:v>4</c:v>
                  </c:pt>
                  <c:pt idx="5">
                    <c:v>5</c:v>
                  </c:pt>
                  <c:pt idx="6">
                    <c:v>6</c:v>
                  </c:pt>
                </c:lvl>
              </c:multiLvlStrCache>
            </c:multiLvlStrRef>
          </c:cat>
          <c:val>
            <c:numRef>
              <c:f>'Group Emp Dist'!$P$4:$P$10</c:f>
              <c:numCache>
                <c:formatCode>General</c:formatCode>
                <c:ptCount val="7"/>
                <c:pt idx="0">
                  <c:v>30</c:v>
                </c:pt>
                <c:pt idx="1">
                  <c:v>27</c:v>
                </c:pt>
                <c:pt idx="2">
                  <c:v>20</c:v>
                </c:pt>
                <c:pt idx="3">
                  <c:v>10</c:v>
                </c:pt>
                <c:pt idx="4">
                  <c:v>6</c:v>
                </c:pt>
                <c:pt idx="5">
                  <c:v>3</c:v>
                </c:pt>
                <c:pt idx="6">
                  <c:v>2</c:v>
                </c:pt>
              </c:numCache>
            </c:numRef>
          </c:val>
          <c:smooth val="0"/>
        </c:ser>
        <c:ser>
          <c:idx val="2"/>
          <c:order val="2"/>
          <c:tx>
            <c:strRef>
              <c:f>'Group Emp Dist'!$Q$3</c:f>
              <c:strCache>
                <c:ptCount val="1"/>
                <c:pt idx="0">
                  <c:v>F30(x)</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'Group Emp Dist'!$M$4:$N$10</c:f>
              <c:multiLvlStrCache>
                <c:ptCount val="7"/>
                <c:lvl>
                  <c:pt idx="0">
                    <c:v>$50,000,000-$75,000,000</c:v>
                  </c:pt>
                  <c:pt idx="1">
                    <c:v>$75,000,001-$100,000,000</c:v>
                  </c:pt>
                  <c:pt idx="2">
                    <c:v>$100,000,001-$125,000,000</c:v>
                  </c:pt>
                  <c:pt idx="3">
                    <c:v>$125,000,001-$150,000,000</c:v>
                  </c:pt>
                  <c:pt idx="4">
                    <c:v>$150,000,001-$175,000,000</c:v>
                  </c:pt>
                  <c:pt idx="5">
                    <c:v>$175,000,001-$200,000,000</c:v>
                  </c:pt>
                  <c:pt idx="6">
                    <c:v>$200,000,000-$225,000,000</c:v>
                  </c:pt>
                </c:lvl>
                <c:lvl>
                  <c:pt idx="0">
                    <c:v>0</c:v>
                  </c:pt>
                  <c:pt idx="1">
                    <c:v>1</c:v>
                  </c:pt>
                  <c:pt idx="2">
                    <c:v>2</c:v>
                  </c:pt>
                  <c:pt idx="3">
                    <c:v>3</c:v>
                  </c:pt>
                  <c:pt idx="4">
                    <c:v>4</c:v>
                  </c:pt>
                  <c:pt idx="5">
                    <c:v>5</c:v>
                  </c:pt>
                  <c:pt idx="6">
                    <c:v>6</c:v>
                  </c:pt>
                </c:lvl>
              </c:multiLvlStrCache>
            </c:multiLvlStrRef>
          </c:cat>
          <c:val>
            <c:numRef>
              <c:f>'Group Emp Dist'!$Q$4:$Q$10</c:f>
              <c:numCache>
                <c:formatCode>0.0000</c:formatCode>
                <c:ptCount val="7"/>
                <c:pt idx="0">
                  <c:v>9.9999999999999978E-2</c:v>
                </c:pt>
                <c:pt idx="1">
                  <c:v>0.33333333333333337</c:v>
                </c:pt>
                <c:pt idx="2">
                  <c:v>0.66666666666666674</c:v>
                </c:pt>
                <c:pt idx="3">
                  <c:v>0.8</c:v>
                </c:pt>
                <c:pt idx="4">
                  <c:v>0.9</c:v>
                </c:pt>
                <c:pt idx="5">
                  <c:v>0.93333333333333335</c:v>
                </c:pt>
                <c:pt idx="6">
                  <c:v>1</c:v>
                </c:pt>
              </c:numCache>
            </c:numRef>
          </c:val>
          <c:smooth val="0"/>
        </c:ser>
        <c:ser>
          <c:idx val="3"/>
          <c:order val="3"/>
          <c:tx>
            <c:strRef>
              <c:f>'Group Emp Dist'!$R$3</c:f>
              <c:strCache>
                <c:ptCount val="1"/>
                <c:pt idx="0">
                  <c:v>H(x)</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'Group Emp Dist'!$M$4:$N$10</c:f>
              <c:multiLvlStrCache>
                <c:ptCount val="7"/>
                <c:lvl>
                  <c:pt idx="0">
                    <c:v>$50,000,000-$75,000,000</c:v>
                  </c:pt>
                  <c:pt idx="1">
                    <c:v>$75,000,001-$100,000,000</c:v>
                  </c:pt>
                  <c:pt idx="2">
                    <c:v>$100,000,001-$125,000,000</c:v>
                  </c:pt>
                  <c:pt idx="3">
                    <c:v>$125,000,001-$150,000,000</c:v>
                  </c:pt>
                  <c:pt idx="4">
                    <c:v>$150,000,001-$175,000,000</c:v>
                  </c:pt>
                  <c:pt idx="5">
                    <c:v>$175,000,001-$200,000,000</c:v>
                  </c:pt>
                  <c:pt idx="6">
                    <c:v>$200,000,000-$225,000,000</c:v>
                  </c:pt>
                </c:lvl>
                <c:lvl>
                  <c:pt idx="0">
                    <c:v>0</c:v>
                  </c:pt>
                  <c:pt idx="1">
                    <c:v>1</c:v>
                  </c:pt>
                  <c:pt idx="2">
                    <c:v>2</c:v>
                  </c:pt>
                  <c:pt idx="3">
                    <c:v>3</c:v>
                  </c:pt>
                  <c:pt idx="4">
                    <c:v>4</c:v>
                  </c:pt>
                  <c:pt idx="5">
                    <c:v>5</c:v>
                  </c:pt>
                  <c:pt idx="6">
                    <c:v>6</c:v>
                  </c:pt>
                </c:lvl>
              </c:multiLvlStrCache>
            </c:multiLvlStrRef>
          </c:cat>
          <c:val>
            <c:numRef>
              <c:f>'Group Emp Dist'!$R$4:$R$10</c:f>
              <c:numCache>
                <c:formatCode>0.0000</c:formatCode>
                <c:ptCount val="7"/>
                <c:pt idx="0">
                  <c:v>0.1</c:v>
                </c:pt>
                <c:pt idx="1">
                  <c:v>0.35925925925925928</c:v>
                </c:pt>
                <c:pt idx="2">
                  <c:v>0.85925925925925928</c:v>
                </c:pt>
                <c:pt idx="3">
                  <c:v>1.2592592592592593</c:v>
                </c:pt>
                <c:pt idx="4">
                  <c:v>1.7592592592592593</c:v>
                </c:pt>
                <c:pt idx="5">
                  <c:v>2.0925925925925926</c:v>
                </c:pt>
                <c:pt idx="6">
                  <c:v>3.0925925925925926</c:v>
                </c:pt>
              </c:numCache>
            </c:numRef>
          </c:val>
          <c:smooth val="0"/>
        </c:ser>
        <c:ser>
          <c:idx val="4"/>
          <c:order val="4"/>
          <c:tx>
            <c:strRef>
              <c:f>'Group Emp Dist'!$S$3</c:f>
              <c:strCache>
                <c:ptCount val="1"/>
                <c:pt idx="0">
                  <c:v>F(x)*</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multiLvlStrRef>
              <c:f>'Group Emp Dist'!$M$4:$N$10</c:f>
              <c:multiLvlStrCache>
                <c:ptCount val="7"/>
                <c:lvl>
                  <c:pt idx="0">
                    <c:v>$50,000,000-$75,000,000</c:v>
                  </c:pt>
                  <c:pt idx="1">
                    <c:v>$75,000,001-$100,000,000</c:v>
                  </c:pt>
                  <c:pt idx="2">
                    <c:v>$100,000,001-$125,000,000</c:v>
                  </c:pt>
                  <c:pt idx="3">
                    <c:v>$125,000,001-$150,000,000</c:v>
                  </c:pt>
                  <c:pt idx="4">
                    <c:v>$150,000,001-$175,000,000</c:v>
                  </c:pt>
                  <c:pt idx="5">
                    <c:v>$175,000,001-$200,000,000</c:v>
                  </c:pt>
                  <c:pt idx="6">
                    <c:v>$200,000,000-$225,000,000</c:v>
                  </c:pt>
                </c:lvl>
                <c:lvl>
                  <c:pt idx="0">
                    <c:v>0</c:v>
                  </c:pt>
                  <c:pt idx="1">
                    <c:v>1</c:v>
                  </c:pt>
                  <c:pt idx="2">
                    <c:v>2</c:v>
                  </c:pt>
                  <c:pt idx="3">
                    <c:v>3</c:v>
                  </c:pt>
                  <c:pt idx="4">
                    <c:v>4</c:v>
                  </c:pt>
                  <c:pt idx="5">
                    <c:v>5</c:v>
                  </c:pt>
                  <c:pt idx="6">
                    <c:v>6</c:v>
                  </c:pt>
                </c:lvl>
              </c:multiLvlStrCache>
            </c:multiLvlStrRef>
          </c:cat>
          <c:val>
            <c:numRef>
              <c:f>'Group Emp Dist'!$S$4:$S$10</c:f>
              <c:numCache>
                <c:formatCode>0.00000</c:formatCode>
                <c:ptCount val="7"/>
                <c:pt idx="0">
                  <c:v>9.5162581964040482E-2</c:v>
                </c:pt>
                <c:pt idx="1">
                  <c:v>0.30183512953012848</c:v>
                </c:pt>
                <c:pt idx="2">
                  <c:v>0.57654160052572356</c:v>
                </c:pt>
                <c:pt idx="3">
                  <c:v>0.71614734617022491</c:v>
                </c:pt>
                <c:pt idx="4">
                  <c:v>0.82783466261144478</c:v>
                </c:pt>
                <c:pt idx="5">
                  <c:v>0.87663403303523701</c:v>
                </c:pt>
                <c:pt idx="6">
                  <c:v>0.95461619701342837</c:v>
                </c:pt>
              </c:numCache>
            </c:numRef>
          </c:val>
          <c:smooth val="0"/>
        </c:ser>
        <c:ser>
          <c:idx val="5"/>
          <c:order val="5"/>
          <c:tx>
            <c:strRef>
              <c:f>'Group Emp Dist'!$T$3</c:f>
              <c:strCache>
                <c:ptCount val="1"/>
                <c:pt idx="0">
                  <c:v>S(x)*</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'Group Emp Dist'!$M$4:$N$10</c:f>
              <c:multiLvlStrCache>
                <c:ptCount val="7"/>
                <c:lvl>
                  <c:pt idx="0">
                    <c:v>$50,000,000-$75,000,000</c:v>
                  </c:pt>
                  <c:pt idx="1">
                    <c:v>$75,000,001-$100,000,000</c:v>
                  </c:pt>
                  <c:pt idx="2">
                    <c:v>$100,000,001-$125,000,000</c:v>
                  </c:pt>
                  <c:pt idx="3">
                    <c:v>$125,000,001-$150,000,000</c:v>
                  </c:pt>
                  <c:pt idx="4">
                    <c:v>$150,000,001-$175,000,000</c:v>
                  </c:pt>
                  <c:pt idx="5">
                    <c:v>$175,000,001-$200,000,000</c:v>
                  </c:pt>
                  <c:pt idx="6">
                    <c:v>$200,000,000-$225,000,000</c:v>
                  </c:pt>
                </c:lvl>
                <c:lvl>
                  <c:pt idx="0">
                    <c:v>0</c:v>
                  </c:pt>
                  <c:pt idx="1">
                    <c:v>1</c:v>
                  </c:pt>
                  <c:pt idx="2">
                    <c:v>2</c:v>
                  </c:pt>
                  <c:pt idx="3">
                    <c:v>3</c:v>
                  </c:pt>
                  <c:pt idx="4">
                    <c:v>4</c:v>
                  </c:pt>
                  <c:pt idx="5">
                    <c:v>5</c:v>
                  </c:pt>
                  <c:pt idx="6">
                    <c:v>6</c:v>
                  </c:pt>
                </c:lvl>
              </c:multiLvlStrCache>
            </c:multiLvlStrRef>
          </c:cat>
          <c:val>
            <c:numRef>
              <c:f>'Group Emp Dist'!$T$4:$T$10</c:f>
              <c:numCache>
                <c:formatCode>0.00000</c:formatCode>
                <c:ptCount val="7"/>
                <c:pt idx="0">
                  <c:v>0.90483741803595952</c:v>
                </c:pt>
                <c:pt idx="1">
                  <c:v>0.69816487046987152</c:v>
                </c:pt>
                <c:pt idx="2">
                  <c:v>0.42345839947427644</c:v>
                </c:pt>
                <c:pt idx="3">
                  <c:v>0.28385265382977509</c:v>
                </c:pt>
                <c:pt idx="4">
                  <c:v>0.17216533738855525</c:v>
                </c:pt>
                <c:pt idx="5">
                  <c:v>0.12336596696476303</c:v>
                </c:pt>
                <c:pt idx="6">
                  <c:v>4.5383802986571638E-2</c:v>
                </c:pt>
              </c:numCache>
            </c:numRef>
          </c:val>
          <c:smooth val="0"/>
        </c:ser>
        <c:dLbls>
          <c:showLegendKey val="0"/>
          <c:showVal val="0"/>
          <c:showCatName val="0"/>
          <c:showSerName val="0"/>
          <c:showPercent val="0"/>
          <c:showBubbleSize val="0"/>
        </c:dLbls>
        <c:smooth val="0"/>
        <c:axId val="423470896"/>
        <c:axId val="423471288"/>
        <c:extLst>
          <c:ext xmlns:c15="http://schemas.microsoft.com/office/drawing/2012/chart" uri="{02D57815-91ED-43cb-92C2-25804820EDAC}">
            <c15:filteredLineSeries>
              <c15:ser>
                <c:idx val="6"/>
                <c:order val="6"/>
                <c:tx>
                  <c:strRef>
                    <c:extLst>
                      <c:ext uri="{02D57815-91ED-43cb-92C2-25804820EDAC}">
                        <c15:formulaRef>
                          <c15:sqref>'Group Emp Dist'!$U$3</c15:sqref>
                        </c15:formulaRef>
                      </c:ext>
                    </c:extLst>
                    <c:strCache>
                      <c:ptCount val="1"/>
                      <c:pt idx="0">
                        <c:v>RANGE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multiLvlStrRef>
                    <c:extLst>
                      <c:ext uri="{02D57815-91ED-43cb-92C2-25804820EDAC}">
                        <c15:formulaRef>
                          <c15:sqref>'Group Emp Dist'!$M$4:$N$10</c15:sqref>
                        </c15:formulaRef>
                      </c:ext>
                    </c:extLst>
                    <c:multiLvlStrCache>
                      <c:ptCount val="7"/>
                      <c:lvl>
                        <c:pt idx="0">
                          <c:v>$50,000,000-$75,000,000</c:v>
                        </c:pt>
                        <c:pt idx="1">
                          <c:v>$75,000,001-$100,000,000</c:v>
                        </c:pt>
                        <c:pt idx="2">
                          <c:v>$100,000,001-$125,000,000</c:v>
                        </c:pt>
                        <c:pt idx="3">
                          <c:v>$125,000,001-$150,000,000</c:v>
                        </c:pt>
                        <c:pt idx="4">
                          <c:v>$150,000,001-$175,000,000</c:v>
                        </c:pt>
                        <c:pt idx="5">
                          <c:v>$175,000,001-$200,000,000</c:v>
                        </c:pt>
                        <c:pt idx="6">
                          <c:v>$200,000,000-$225,000,000</c:v>
                        </c:pt>
                      </c:lvl>
                      <c:lvl>
                        <c:pt idx="0">
                          <c:v>0</c:v>
                        </c:pt>
                        <c:pt idx="1">
                          <c:v>1</c:v>
                        </c:pt>
                        <c:pt idx="2">
                          <c:v>2</c:v>
                        </c:pt>
                        <c:pt idx="3">
                          <c:v>3</c:v>
                        </c:pt>
                        <c:pt idx="4">
                          <c:v>4</c:v>
                        </c:pt>
                        <c:pt idx="5">
                          <c:v>5</c:v>
                        </c:pt>
                        <c:pt idx="6">
                          <c:v>6</c:v>
                        </c:pt>
                      </c:lvl>
                    </c:multiLvlStrCache>
                  </c:multiLvlStrRef>
                </c:cat>
                <c:val>
                  <c:numRef>
                    <c:extLst>
                      <c:ext uri="{02D57815-91ED-43cb-92C2-25804820EDAC}">
                        <c15:formulaRef>
                          <c15:sqref>'Group Emp Dist'!$U$4:$U$10</c15:sqref>
                        </c15:formulaRef>
                      </c:ext>
                    </c:extLst>
                    <c:numCache>
                      <c:formatCode>General</c:formatCode>
                      <c:ptCount val="7"/>
                      <c:pt idx="0">
                        <c:v>0</c:v>
                      </c:pt>
                      <c:pt idx="1">
                        <c:v>0</c:v>
                      </c:pt>
                      <c:pt idx="2">
                        <c:v>0</c:v>
                      </c:pt>
                      <c:pt idx="3">
                        <c:v>0</c:v>
                      </c:pt>
                      <c:pt idx="4">
                        <c:v>0</c:v>
                      </c:pt>
                      <c:pt idx="5">
                        <c:v>0</c:v>
                      </c:pt>
                      <c:pt idx="6">
                        <c:v>0</c:v>
                      </c:pt>
                    </c:numCache>
                  </c:numRef>
                </c:val>
                <c:smooth val="0"/>
              </c15:ser>
            </c15:filteredLineSeries>
          </c:ext>
        </c:extLst>
      </c:lineChart>
      <c:catAx>
        <c:axId val="423470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471288"/>
        <c:crosses val="autoZero"/>
        <c:auto val="1"/>
        <c:lblAlgn val="ctr"/>
        <c:lblOffset val="100"/>
        <c:noMultiLvlLbl val="0"/>
      </c:catAx>
      <c:valAx>
        <c:axId val="423471288"/>
        <c:scaling>
          <c:orientation val="minMax"/>
          <c:max val="3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3470896"/>
        <c:crosses val="autoZero"/>
        <c:crossBetween val="between"/>
        <c:majorUnit val="5"/>
        <c:minorUnit val="1.0000000000000002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'Individual Emp Dist'!$Z$1:$Z$38</c:f>
              <c:numCache>
                <c:formatCode>#,##0</c:formatCode>
                <c:ptCount val="38"/>
                <c:pt idx="0">
                  <c:v>45000000</c:v>
                </c:pt>
                <c:pt idx="1">
                  <c:v>50000000</c:v>
                </c:pt>
                <c:pt idx="2">
                  <c:v>55000000</c:v>
                </c:pt>
                <c:pt idx="3">
                  <c:v>60000000</c:v>
                </c:pt>
                <c:pt idx="4">
                  <c:v>65000000</c:v>
                </c:pt>
                <c:pt idx="5">
                  <c:v>70000000</c:v>
                </c:pt>
                <c:pt idx="6">
                  <c:v>75000000</c:v>
                </c:pt>
                <c:pt idx="7">
                  <c:v>80000000</c:v>
                </c:pt>
                <c:pt idx="8">
                  <c:v>85000000</c:v>
                </c:pt>
                <c:pt idx="9">
                  <c:v>90000000</c:v>
                </c:pt>
                <c:pt idx="10">
                  <c:v>95000000</c:v>
                </c:pt>
                <c:pt idx="11">
                  <c:v>100000000</c:v>
                </c:pt>
                <c:pt idx="12">
                  <c:v>105000000</c:v>
                </c:pt>
                <c:pt idx="13">
                  <c:v>110000000</c:v>
                </c:pt>
                <c:pt idx="14">
                  <c:v>115000000</c:v>
                </c:pt>
                <c:pt idx="15">
                  <c:v>120000000</c:v>
                </c:pt>
                <c:pt idx="16">
                  <c:v>125000000</c:v>
                </c:pt>
                <c:pt idx="17">
                  <c:v>130000000</c:v>
                </c:pt>
                <c:pt idx="18">
                  <c:v>135000000</c:v>
                </c:pt>
                <c:pt idx="19">
                  <c:v>140000000</c:v>
                </c:pt>
                <c:pt idx="20">
                  <c:v>145000000</c:v>
                </c:pt>
                <c:pt idx="21">
                  <c:v>150000000</c:v>
                </c:pt>
                <c:pt idx="22">
                  <c:v>155000000</c:v>
                </c:pt>
                <c:pt idx="23">
                  <c:v>160000000</c:v>
                </c:pt>
                <c:pt idx="24">
                  <c:v>165000000</c:v>
                </c:pt>
                <c:pt idx="25">
                  <c:v>170000000</c:v>
                </c:pt>
                <c:pt idx="26">
                  <c:v>175000000</c:v>
                </c:pt>
                <c:pt idx="27">
                  <c:v>180000000</c:v>
                </c:pt>
                <c:pt idx="28">
                  <c:v>185000000</c:v>
                </c:pt>
                <c:pt idx="29">
                  <c:v>190000000</c:v>
                </c:pt>
                <c:pt idx="30">
                  <c:v>195000000</c:v>
                </c:pt>
                <c:pt idx="31">
                  <c:v>200000000</c:v>
                </c:pt>
                <c:pt idx="32">
                  <c:v>205000000</c:v>
                </c:pt>
                <c:pt idx="33">
                  <c:v>210000000</c:v>
                </c:pt>
                <c:pt idx="34">
                  <c:v>215000000</c:v>
                </c:pt>
                <c:pt idx="35">
                  <c:v>220000000</c:v>
                </c:pt>
                <c:pt idx="36">
                  <c:v>225000000</c:v>
                </c:pt>
                <c:pt idx="37">
                  <c:v>230000000</c:v>
                </c:pt>
              </c:numCache>
            </c:numRef>
          </c:xVal>
          <c:yVal>
            <c:numRef>
              <c:f>'Individual Emp Dist'!$AA$1:$AA$38</c:f>
              <c:numCache>
                <c:formatCode>General</c:formatCode>
                <c:ptCount val="38"/>
                <c:pt idx="0">
                  <c:v>1.4770111115360579E-9</c:v>
                </c:pt>
                <c:pt idx="1">
                  <c:v>1.8814892399370824E-9</c:v>
                </c:pt>
                <c:pt idx="2">
                  <c:v>2.358165404579377E-9</c:v>
                </c:pt>
                <c:pt idx="3">
                  <c:v>2.9080464346586842E-9</c:v>
                </c:pt>
                <c:pt idx="4">
                  <c:v>3.5284418002618672E-9</c:v>
                </c:pt>
                <c:pt idx="5">
                  <c:v>4.2122983911176328E-9</c:v>
                </c:pt>
                <c:pt idx="6">
                  <c:v>4.9477739116551384E-9</c:v>
                </c:pt>
                <c:pt idx="7">
                  <c:v>5.7181443269807795E-9</c:v>
                </c:pt>
                <c:pt idx="8">
                  <c:v>6.5021192109188759E-9</c:v>
                </c:pt>
                <c:pt idx="9">
                  <c:v>7.2746028904476138E-9</c:v>
                </c:pt>
                <c:pt idx="10">
                  <c:v>8.0078919081817228E-9</c:v>
                </c:pt>
                <c:pt idx="11">
                  <c:v>8.6732459537410277E-9</c:v>
                </c:pt>
                <c:pt idx="12">
                  <c:v>9.2427173119324175E-9</c:v>
                </c:pt>
                <c:pt idx="13">
                  <c:v>9.6910810754486623E-9</c:v>
                </c:pt>
                <c:pt idx="14">
                  <c:v>9.9976822964924755E-9</c:v>
                </c:pt>
                <c:pt idx="15">
                  <c:v>1.0148012300215732E-8</c:v>
                </c:pt>
                <c:pt idx="16">
                  <c:v>1.0134846759810677E-8</c:v>
                </c:pt>
                <c:pt idx="17">
                  <c:v>9.9588212280126312E-9</c:v>
                </c:pt>
                <c:pt idx="18">
                  <c:v>9.6283802769640381E-9</c:v>
                </c:pt>
                <c:pt idx="19">
                  <c:v>9.1591059140936556E-9</c:v>
                </c:pt>
                <c:pt idx="20">
                  <c:v>8.572499649663303E-9</c:v>
                </c:pt>
                <c:pt idx="21">
                  <c:v>7.894350765648202E-9</c:v>
                </c:pt>
                <c:pt idx="22">
                  <c:v>7.1528630632076431E-9</c:v>
                </c:pt>
                <c:pt idx="23">
                  <c:v>6.3767288553127125E-9</c:v>
                </c:pt>
                <c:pt idx="24">
                  <c:v>5.5933312370716242E-9</c:v>
                </c:pt>
                <c:pt idx="25">
                  <c:v>4.8272264846261405E-9</c:v>
                </c:pt>
                <c:pt idx="26">
                  <c:v>4.0990136120331529E-9</c:v>
                </c:pt>
                <c:pt idx="27">
                  <c:v>3.4246452741302158E-9</c:v>
                </c:pt>
                <c:pt idx="28">
                  <c:v>2.8151813414191615E-9</c:v>
                </c:pt>
                <c:pt idx="29">
                  <c:v>2.2769406225443642E-9</c:v>
                </c:pt>
                <c:pt idx="30">
                  <c:v>1.8119724226189158E-9</c:v>
                </c:pt>
                <c:pt idx="31">
                  <c:v>1.4187504433560392E-9</c:v>
                </c:pt>
                <c:pt idx="32">
                  <c:v>1.0929869716574275E-9</c:v>
                </c:pt>
                <c:pt idx="33">
                  <c:v>8.2847328465833459E-10</c:v>
                </c:pt>
                <c:pt idx="34">
                  <c:v>6.1786924756514178E-10</c:v>
                </c:pt>
                <c:pt idx="35">
                  <c:v>4.5338714273418891E-10</c:v>
                </c:pt>
                <c:pt idx="36">
                  <c:v>3.2733795768362234E-10</c:v>
                </c:pt>
                <c:pt idx="37">
                  <c:v>2.3252951464146514E-10</c:v>
                </c:pt>
              </c:numCache>
            </c:numRef>
          </c:yVal>
          <c:smooth val="0"/>
        </c:ser>
        <c:dLbls>
          <c:showLegendKey val="0"/>
          <c:showVal val="0"/>
          <c:showCatName val="0"/>
          <c:showSerName val="0"/>
          <c:showPercent val="0"/>
          <c:showBubbleSize val="0"/>
        </c:dLbls>
        <c:axId val="423471680"/>
        <c:axId val="423468152"/>
      </c:scatterChart>
      <c:valAx>
        <c:axId val="423471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68152"/>
        <c:crosses val="autoZero"/>
        <c:crossBetween val="midCat"/>
      </c:valAx>
      <c:valAx>
        <c:axId val="423468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71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2.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17</xdr:col>
      <xdr:colOff>447675</xdr:colOff>
      <xdr:row>12</xdr:row>
      <xdr:rowOff>142875</xdr:rowOff>
    </xdr:from>
    <xdr:to>
      <xdr:col>30</xdr:col>
      <xdr:colOff>333375</xdr:colOff>
      <xdr:row>36</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46</xdr:row>
      <xdr:rowOff>190499</xdr:rowOff>
    </xdr:from>
    <xdr:to>
      <xdr:col>10</xdr:col>
      <xdr:colOff>571500</xdr:colOff>
      <xdr:row>52</xdr:row>
      <xdr:rowOff>152400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5591175" y="8762999"/>
          <a:ext cx="3114675" cy="1104901"/>
        </a:xfrm>
        <a:prstGeom prst="rect">
          <a:avLst/>
        </a:prstGeom>
      </xdr:spPr>
    </xdr:pic>
    <xdr:clientData/>
  </xdr:twoCellAnchor>
  <xdr:twoCellAnchor editAs="oneCell">
    <xdr:from>
      <xdr:col>16</xdr:col>
      <xdr:colOff>66675</xdr:colOff>
      <xdr:row>0</xdr:row>
      <xdr:rowOff>38101</xdr:rowOff>
    </xdr:from>
    <xdr:to>
      <xdr:col>16</xdr:col>
      <xdr:colOff>1733550</xdr:colOff>
      <xdr:row>4</xdr:row>
      <xdr:rowOff>38101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11858625" y="38101"/>
          <a:ext cx="1666875" cy="762000"/>
        </a:xfrm>
        <a:prstGeom prst="rect">
          <a:avLst/>
        </a:prstGeom>
      </xdr:spPr>
    </xdr:pic>
    <xdr:clientData/>
  </xdr:twoCellAnchor>
  <xdr:twoCellAnchor editAs="oneCell">
    <xdr:from>
      <xdr:col>8</xdr:col>
      <xdr:colOff>0</xdr:colOff>
      <xdr:row>61</xdr:row>
      <xdr:rowOff>0</xdr:rowOff>
    </xdr:from>
    <xdr:to>
      <xdr:col>10</xdr:col>
      <xdr:colOff>28575</xdr:colOff>
      <xdr:row>63</xdr:row>
      <xdr:rowOff>114300</xdr:rowOff>
    </xdr:to>
    <xdr:pic>
      <xdr:nvPicPr>
        <xdr:cNvPr id="6" name="Picture 5"/>
        <xdr:cNvPicPr>
          <a:picLocks noChangeAspect="1"/>
        </xdr:cNvPicPr>
      </xdr:nvPicPr>
      <xdr:blipFill>
        <a:blip xmlns:r="http://schemas.openxmlformats.org/officeDocument/2006/relationships" r:embed="rId3"/>
        <a:stretch>
          <a:fillRect/>
        </a:stretch>
      </xdr:blipFill>
      <xdr:spPr>
        <a:xfrm>
          <a:off x="4905375" y="11620500"/>
          <a:ext cx="2571750" cy="495300"/>
        </a:xfrm>
        <a:prstGeom prst="rect">
          <a:avLst/>
        </a:prstGeom>
      </xdr:spPr>
    </xdr:pic>
    <xdr:clientData/>
  </xdr:twoCellAnchor>
  <xdr:twoCellAnchor editAs="oneCell">
    <xdr:from>
      <xdr:col>7</xdr:col>
      <xdr:colOff>581025</xdr:colOff>
      <xdr:row>64</xdr:row>
      <xdr:rowOff>66675</xdr:rowOff>
    </xdr:from>
    <xdr:to>
      <xdr:col>10</xdr:col>
      <xdr:colOff>57150</xdr:colOff>
      <xdr:row>66</xdr:row>
      <xdr:rowOff>171450</xdr:rowOff>
    </xdr:to>
    <xdr:pic>
      <xdr:nvPicPr>
        <xdr:cNvPr id="7" name="Picture 6"/>
        <xdr:cNvPicPr>
          <a:picLocks noChangeAspect="1"/>
        </xdr:cNvPicPr>
      </xdr:nvPicPr>
      <xdr:blipFill>
        <a:blip xmlns:r="http://schemas.openxmlformats.org/officeDocument/2006/relationships" r:embed="rId4"/>
        <a:stretch>
          <a:fillRect/>
        </a:stretch>
      </xdr:blipFill>
      <xdr:spPr>
        <a:xfrm>
          <a:off x="4876800" y="12258675"/>
          <a:ext cx="2628900" cy="485775"/>
        </a:xfrm>
        <a:prstGeom prst="rect">
          <a:avLst/>
        </a:prstGeom>
      </xdr:spPr>
    </xdr:pic>
    <xdr:clientData/>
  </xdr:twoCellAnchor>
  <xdr:twoCellAnchor>
    <xdr:from>
      <xdr:col>17</xdr:col>
      <xdr:colOff>9525</xdr:colOff>
      <xdr:row>46</xdr:row>
      <xdr:rowOff>4762</xdr:rowOff>
    </xdr:from>
    <xdr:to>
      <xdr:col>22</xdr:col>
      <xdr:colOff>152400</xdr:colOff>
      <xdr:row>60</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hyperlink" Target="http://espn.go.com/mlb/standings/_/season/2015/group/overall" TargetMode="External"/><Relationship Id="rId1" Type="http://schemas.openxmlformats.org/officeDocument/2006/relationships/hyperlink" Target="http://www.usatoday.com/sports/mlb/salaries/2015/team/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7"/>
  <sheetViews>
    <sheetView workbookViewId="0">
      <selection activeCell="P19" sqref="P19"/>
    </sheetView>
  </sheetViews>
  <sheetFormatPr defaultRowHeight="15" x14ac:dyDescent="0.25"/>
  <cols>
    <col min="3" max="3" width="17.85546875" customWidth="1"/>
    <col min="4" max="5" width="15.7109375" customWidth="1"/>
    <col min="6" max="6" width="8" customWidth="1"/>
    <col min="7" max="8" width="15.7109375" customWidth="1"/>
    <col min="9" max="9" width="4.42578125" customWidth="1"/>
  </cols>
  <sheetData>
    <row r="1" spans="2:10" ht="15.75" thickBot="1" x14ac:dyDescent="0.3"/>
    <row r="2" spans="2:10" ht="15.75" thickBot="1" x14ac:dyDescent="0.3">
      <c r="B2" s="14" t="s">
        <v>31</v>
      </c>
      <c r="C2" s="15" t="s">
        <v>32</v>
      </c>
      <c r="D2" s="15" t="s">
        <v>33</v>
      </c>
      <c r="E2" s="15" t="s">
        <v>34</v>
      </c>
      <c r="F2" s="15" t="s">
        <v>35</v>
      </c>
      <c r="G2" s="15" t="s">
        <v>36</v>
      </c>
      <c r="H2" s="16" t="s">
        <v>37</v>
      </c>
      <c r="J2" s="32" t="s">
        <v>112</v>
      </c>
    </row>
    <row r="3" spans="2:10" ht="15.95" customHeight="1" x14ac:dyDescent="0.25">
      <c r="B3" s="9">
        <v>1</v>
      </c>
      <c r="C3" s="25" t="s">
        <v>0</v>
      </c>
      <c r="D3" s="11">
        <v>223352402</v>
      </c>
      <c r="E3" s="11">
        <v>223352402</v>
      </c>
      <c r="F3" s="10" t="s">
        <v>1</v>
      </c>
      <c r="G3" s="11">
        <v>7445080</v>
      </c>
      <c r="H3" s="12">
        <v>5166666</v>
      </c>
      <c r="J3" s="33">
        <f>VLOOKUP(C3,'Team Wins 2015'!$B$3:$C$32,2,FALSE)</f>
        <v>92</v>
      </c>
    </row>
    <row r="4" spans="2:10" ht="15.95" customHeight="1" x14ac:dyDescent="0.25">
      <c r="B4" s="3">
        <v>2</v>
      </c>
      <c r="C4" s="26" t="s">
        <v>2</v>
      </c>
      <c r="D4" s="2">
        <v>213472857</v>
      </c>
      <c r="E4" s="2">
        <v>213472857</v>
      </c>
      <c r="F4" s="1" t="s">
        <v>1</v>
      </c>
      <c r="G4" s="2">
        <v>7361133</v>
      </c>
      <c r="H4" s="4">
        <v>3300000</v>
      </c>
      <c r="J4" s="34">
        <f>VLOOKUP(C4,'Team Wins 2015'!$B$3:$C$32,2,FALSE)</f>
        <v>87</v>
      </c>
    </row>
    <row r="5" spans="2:10" ht="15.95" customHeight="1" x14ac:dyDescent="0.25">
      <c r="B5" s="3">
        <v>3</v>
      </c>
      <c r="C5" s="26" t="s">
        <v>3</v>
      </c>
      <c r="D5" s="2">
        <v>182161414</v>
      </c>
      <c r="E5" s="2">
        <v>182161414</v>
      </c>
      <c r="F5" s="1" t="s">
        <v>1</v>
      </c>
      <c r="G5" s="2">
        <v>6072047</v>
      </c>
      <c r="H5" s="4">
        <v>3500000</v>
      </c>
      <c r="J5" s="34">
        <f>VLOOKUP(C5,'Team Wins 2015'!$B$3:$C$32,2,FALSE)</f>
        <v>78</v>
      </c>
    </row>
    <row r="6" spans="2:10" ht="15.95" customHeight="1" x14ac:dyDescent="0.25">
      <c r="B6" s="3">
        <v>4</v>
      </c>
      <c r="C6" s="26" t="s">
        <v>4</v>
      </c>
      <c r="D6" s="2">
        <v>172792250</v>
      </c>
      <c r="E6" s="2">
        <v>172792250</v>
      </c>
      <c r="F6" s="1" t="s">
        <v>1</v>
      </c>
      <c r="G6" s="2">
        <v>6645856</v>
      </c>
      <c r="H6" s="4">
        <v>2362500</v>
      </c>
      <c r="J6" s="34">
        <f>VLOOKUP(C6,'Team Wins 2015'!$B$3:$C$32,2,FALSE)</f>
        <v>74</v>
      </c>
    </row>
    <row r="7" spans="2:10" ht="15.95" customHeight="1" x14ac:dyDescent="0.25">
      <c r="B7" s="3">
        <v>5</v>
      </c>
      <c r="C7" s="26" t="s">
        <v>5</v>
      </c>
      <c r="D7" s="2">
        <v>166495942</v>
      </c>
      <c r="E7" s="2">
        <v>166495942</v>
      </c>
      <c r="F7" s="1" t="s">
        <v>1</v>
      </c>
      <c r="G7" s="2">
        <v>5946284</v>
      </c>
      <c r="H7" s="4">
        <v>4000000</v>
      </c>
      <c r="J7" s="34">
        <f>VLOOKUP(C7,'Team Wins 2015'!$B$3:$C$32,2,FALSE)</f>
        <v>84</v>
      </c>
    </row>
    <row r="8" spans="2:10" ht="15.95" customHeight="1" x14ac:dyDescent="0.25">
      <c r="B8" s="3">
        <v>6</v>
      </c>
      <c r="C8" s="26" t="s">
        <v>6</v>
      </c>
      <c r="D8" s="2">
        <v>166010977</v>
      </c>
      <c r="E8" s="2">
        <v>166010977</v>
      </c>
      <c r="F8" s="1" t="s">
        <v>1</v>
      </c>
      <c r="G8" s="2">
        <v>5724516</v>
      </c>
      <c r="H8" s="4">
        <v>2500000</v>
      </c>
      <c r="J8" s="34">
        <f>VLOOKUP(C8,'Team Wins 2015'!$B$3:$C$32,2,FALSE)</f>
        <v>83</v>
      </c>
    </row>
    <row r="9" spans="2:10" ht="15.95" customHeight="1" x14ac:dyDescent="0.25">
      <c r="B9" s="3">
        <v>7</v>
      </c>
      <c r="C9" s="26" t="s">
        <v>7</v>
      </c>
      <c r="D9" s="2">
        <v>146449583</v>
      </c>
      <c r="E9" s="2">
        <v>146449583</v>
      </c>
      <c r="F9" s="1" t="s">
        <v>1</v>
      </c>
      <c r="G9" s="2">
        <v>5049986</v>
      </c>
      <c r="H9" s="4">
        <v>1312500</v>
      </c>
      <c r="J9" s="34">
        <f>VLOOKUP(C9,'Team Wins 2015'!$B$3:$C$32,2,FALSE)</f>
        <v>85</v>
      </c>
    </row>
    <row r="10" spans="2:10" ht="15.95" customHeight="1" x14ac:dyDescent="0.25">
      <c r="B10" s="3">
        <v>8</v>
      </c>
      <c r="C10" s="26" t="s">
        <v>8</v>
      </c>
      <c r="D10" s="2">
        <v>144816873</v>
      </c>
      <c r="E10" s="2">
        <v>144816873</v>
      </c>
      <c r="F10" s="1" t="s">
        <v>1</v>
      </c>
      <c r="G10" s="2">
        <v>4388390</v>
      </c>
      <c r="H10" s="4">
        <v>900000</v>
      </c>
      <c r="J10" s="34">
        <f>VLOOKUP(C10,'Team Wins 2015'!$B$3:$C$32,2,FALSE)</f>
        <v>88</v>
      </c>
    </row>
    <row r="11" spans="2:10" ht="15.95" customHeight="1" x14ac:dyDescent="0.25">
      <c r="B11" s="3">
        <v>9</v>
      </c>
      <c r="C11" s="26" t="s">
        <v>9</v>
      </c>
      <c r="D11" s="2">
        <v>133048000</v>
      </c>
      <c r="E11" s="2">
        <v>133048000</v>
      </c>
      <c r="F11" s="1" t="s">
        <v>1</v>
      </c>
      <c r="G11" s="2">
        <v>4434933</v>
      </c>
      <c r="H11" s="4">
        <v>700000</v>
      </c>
      <c r="J11" s="34">
        <f>VLOOKUP(C11,'Team Wins 2015'!$B$3:$C$32,2,FALSE)</f>
        <v>63</v>
      </c>
    </row>
    <row r="12" spans="2:10" ht="15.95" customHeight="1" x14ac:dyDescent="0.25">
      <c r="B12" s="3">
        <v>10</v>
      </c>
      <c r="C12" s="26" t="s">
        <v>10</v>
      </c>
      <c r="D12" s="2">
        <v>126369628</v>
      </c>
      <c r="E12" s="2">
        <v>126369628</v>
      </c>
      <c r="F12" s="1" t="s">
        <v>1</v>
      </c>
      <c r="G12" s="2">
        <v>4357573</v>
      </c>
      <c r="H12" s="4">
        <v>1650000</v>
      </c>
      <c r="J12" s="34">
        <f>VLOOKUP(C12,'Team Wins 2015'!$B$3:$C$32,2,FALSE)</f>
        <v>74</v>
      </c>
    </row>
    <row r="13" spans="2:10" ht="15.95" customHeight="1" x14ac:dyDescent="0.25">
      <c r="B13" s="3">
        <v>11</v>
      </c>
      <c r="C13" s="26" t="s">
        <v>11</v>
      </c>
      <c r="D13" s="2">
        <v>123225842</v>
      </c>
      <c r="E13" s="2">
        <v>123225842</v>
      </c>
      <c r="F13" s="1" t="s">
        <v>1</v>
      </c>
      <c r="G13" s="2">
        <v>4563920</v>
      </c>
      <c r="H13" s="4">
        <v>2000000</v>
      </c>
      <c r="J13" s="34">
        <f>VLOOKUP(C13,'Team Wins 2015'!$B$3:$C$32,2,FALSE)</f>
        <v>76</v>
      </c>
    </row>
    <row r="14" spans="2:10" ht="15.95" customHeight="1" x14ac:dyDescent="0.25">
      <c r="B14" s="3">
        <v>12</v>
      </c>
      <c r="C14" s="26" t="s">
        <v>12</v>
      </c>
      <c r="D14" s="2">
        <v>120301957</v>
      </c>
      <c r="E14" s="2">
        <v>120301957</v>
      </c>
      <c r="F14" s="1" t="s">
        <v>1</v>
      </c>
      <c r="G14" s="2">
        <v>4455628</v>
      </c>
      <c r="H14" s="4">
        <v>2000000</v>
      </c>
      <c r="J14" s="34">
        <f>VLOOKUP(C14,'Team Wins 2015'!$B$3:$C$32,2,FALSE)</f>
        <v>100</v>
      </c>
    </row>
    <row r="15" spans="2:10" ht="15.95" customHeight="1" x14ac:dyDescent="0.25">
      <c r="B15" s="3">
        <v>13</v>
      </c>
      <c r="C15" s="26" t="s">
        <v>13</v>
      </c>
      <c r="D15" s="2">
        <v>118862632</v>
      </c>
      <c r="E15" s="2">
        <v>118862632</v>
      </c>
      <c r="F15" s="1" t="s">
        <v>1</v>
      </c>
      <c r="G15" s="2">
        <v>3962088</v>
      </c>
      <c r="H15" s="4">
        <v>2975000</v>
      </c>
      <c r="J15" s="34">
        <f>VLOOKUP(C15,'Team Wins 2015'!$B$3:$C$32,2,FALSE)</f>
        <v>81</v>
      </c>
    </row>
    <row r="16" spans="2:10" ht="15.95" customHeight="1" x14ac:dyDescent="0.25">
      <c r="B16" s="3">
        <v>14</v>
      </c>
      <c r="C16" s="26" t="s">
        <v>14</v>
      </c>
      <c r="D16" s="2">
        <v>117732284</v>
      </c>
      <c r="E16" s="2">
        <v>117732284</v>
      </c>
      <c r="F16" s="1" t="s">
        <v>1</v>
      </c>
      <c r="G16" s="2">
        <v>4204724</v>
      </c>
      <c r="H16" s="4">
        <v>2032142</v>
      </c>
      <c r="J16" s="34">
        <f>VLOOKUP(C16,'Team Wins 2015'!$B$3:$C$32,2,FALSE)</f>
        <v>64</v>
      </c>
    </row>
    <row r="17" spans="2:15" ht="15.95" customHeight="1" x14ac:dyDescent="0.25">
      <c r="B17" s="3">
        <v>15</v>
      </c>
      <c r="C17" s="26" t="s">
        <v>15</v>
      </c>
      <c r="D17" s="2">
        <v>117164522</v>
      </c>
      <c r="E17" s="2">
        <v>117164522</v>
      </c>
      <c r="F17" s="1" t="s">
        <v>1</v>
      </c>
      <c r="G17" s="2">
        <v>4040156</v>
      </c>
      <c r="H17" s="4">
        <v>2505000</v>
      </c>
      <c r="J17" s="34">
        <f>VLOOKUP(C17,'Team Wins 2015'!$B$3:$C$32,2,FALSE)</f>
        <v>97</v>
      </c>
    </row>
    <row r="18" spans="2:15" ht="15.95" customHeight="1" x14ac:dyDescent="0.25">
      <c r="B18" s="3">
        <v>16</v>
      </c>
      <c r="C18" s="26" t="s">
        <v>16</v>
      </c>
      <c r="D18" s="2">
        <v>116415800</v>
      </c>
      <c r="E18" s="2">
        <v>116415800</v>
      </c>
      <c r="F18" s="1" t="s">
        <v>1</v>
      </c>
      <c r="G18" s="2">
        <v>4157707</v>
      </c>
      <c r="H18" s="4">
        <v>763500</v>
      </c>
      <c r="J18" s="34">
        <f>VLOOKUP(C18,'Team Wins 2015'!$B$3:$C$32,2,FALSE)</f>
        <v>93</v>
      </c>
    </row>
    <row r="19" spans="2:15" ht="15.95" customHeight="1" x14ac:dyDescent="0.25">
      <c r="B19" s="3">
        <v>17</v>
      </c>
      <c r="C19" s="26" t="s">
        <v>17</v>
      </c>
      <c r="D19" s="2">
        <v>112914525</v>
      </c>
      <c r="E19" s="2">
        <v>112914525</v>
      </c>
      <c r="F19" s="1" t="s">
        <v>1</v>
      </c>
      <c r="G19" s="2">
        <v>4032662</v>
      </c>
      <c r="H19" s="4">
        <v>2532500</v>
      </c>
      <c r="J19" s="34">
        <f>VLOOKUP(C19,'Team Wins 2015'!$B$3:$C$32,2,FALSE)</f>
        <v>95</v>
      </c>
    </row>
    <row r="20" spans="2:15" ht="15.95" customHeight="1" x14ac:dyDescent="0.25">
      <c r="B20" s="3">
        <v>18</v>
      </c>
      <c r="C20" s="26" t="s">
        <v>18</v>
      </c>
      <c r="D20" s="2">
        <v>110712867</v>
      </c>
      <c r="E20" s="2">
        <v>110712867</v>
      </c>
      <c r="F20" s="1" t="s">
        <v>1</v>
      </c>
      <c r="G20" s="2">
        <v>3817685</v>
      </c>
      <c r="H20" s="4">
        <v>1500000</v>
      </c>
      <c r="J20" s="34">
        <f>VLOOKUP(C20,'Team Wins 2015'!$B$3:$C$32,2,FALSE)</f>
        <v>76</v>
      </c>
    </row>
    <row r="21" spans="2:15" ht="15.95" customHeight="1" x14ac:dyDescent="0.25">
      <c r="B21" s="3">
        <v>19</v>
      </c>
      <c r="C21" s="26" t="s">
        <v>19</v>
      </c>
      <c r="D21" s="2">
        <v>108262000</v>
      </c>
      <c r="E21" s="2">
        <v>108262000</v>
      </c>
      <c r="F21" s="1" t="s">
        <v>1</v>
      </c>
      <c r="G21" s="2">
        <v>4163923</v>
      </c>
      <c r="H21" s="4">
        <v>1775000</v>
      </c>
      <c r="J21" s="34">
        <f>VLOOKUP(C21,'Team Wins 2015'!$B$3:$C$32,2,FALSE)</f>
        <v>83</v>
      </c>
    </row>
    <row r="22" spans="2:15" ht="15.95" customHeight="1" x14ac:dyDescent="0.25">
      <c r="B22" s="3">
        <v>20</v>
      </c>
      <c r="C22" s="26" t="s">
        <v>20</v>
      </c>
      <c r="D22" s="2">
        <v>100133953</v>
      </c>
      <c r="E22" s="2">
        <v>100133953</v>
      </c>
      <c r="F22" s="1" t="s">
        <v>1</v>
      </c>
      <c r="G22" s="2">
        <v>3452895</v>
      </c>
      <c r="H22" s="4">
        <v>614125</v>
      </c>
      <c r="J22" s="34">
        <f>VLOOKUP(C22,'Team Wins 2015'!$B$3:$C$32,2,FALSE)</f>
        <v>90</v>
      </c>
    </row>
    <row r="23" spans="2:15" ht="15.95" customHeight="1" x14ac:dyDescent="0.25">
      <c r="B23" s="3">
        <v>21</v>
      </c>
      <c r="C23" s="26" t="s">
        <v>21</v>
      </c>
      <c r="D23" s="2">
        <v>98683035</v>
      </c>
      <c r="E23" s="2">
        <v>98683035</v>
      </c>
      <c r="F23" s="1" t="s">
        <v>1</v>
      </c>
      <c r="G23" s="2">
        <v>3795501</v>
      </c>
      <c r="H23" s="4">
        <v>529750</v>
      </c>
      <c r="J23" s="34">
        <f>VLOOKUP(C23,'Team Wins 2015'!$B$3:$C$32,2,FALSE)</f>
        <v>68</v>
      </c>
      <c r="O23">
        <v>2</v>
      </c>
    </row>
    <row r="24" spans="2:15" ht="15.95" customHeight="1" x14ac:dyDescent="0.25">
      <c r="B24" s="3">
        <v>22</v>
      </c>
      <c r="C24" s="26" t="s">
        <v>22</v>
      </c>
      <c r="D24" s="2">
        <v>98261171</v>
      </c>
      <c r="E24" s="2">
        <v>98261171</v>
      </c>
      <c r="F24" s="1" t="s">
        <v>1</v>
      </c>
      <c r="G24" s="2">
        <v>3388316</v>
      </c>
      <c r="H24" s="4">
        <v>1087600</v>
      </c>
      <c r="J24" s="34">
        <f>VLOOKUP(C24,'Team Wins 2015'!$B$3:$C$32,2,FALSE)</f>
        <v>68</v>
      </c>
    </row>
    <row r="25" spans="2:15" ht="15.95" customHeight="1" x14ac:dyDescent="0.25">
      <c r="B25" s="3">
        <v>23</v>
      </c>
      <c r="C25" s="26" t="s">
        <v>23</v>
      </c>
      <c r="D25" s="2">
        <v>91622648</v>
      </c>
      <c r="E25" s="2">
        <v>91622648</v>
      </c>
      <c r="F25" s="1" t="s">
        <v>1</v>
      </c>
      <c r="G25" s="2">
        <v>2955569</v>
      </c>
      <c r="H25" s="4">
        <v>1500000</v>
      </c>
      <c r="J25" s="34">
        <f>VLOOKUP(C25,'Team Wins 2015'!$B$3:$C$32,2,FALSE)</f>
        <v>67</v>
      </c>
    </row>
    <row r="26" spans="2:15" ht="15.95" customHeight="1" x14ac:dyDescent="0.25">
      <c r="B26" s="3">
        <v>24</v>
      </c>
      <c r="C26" s="26" t="s">
        <v>24</v>
      </c>
      <c r="D26" s="2">
        <v>87746767</v>
      </c>
      <c r="E26" s="2">
        <v>87746767</v>
      </c>
      <c r="F26" s="1" t="s">
        <v>1</v>
      </c>
      <c r="G26" s="2">
        <v>3025751</v>
      </c>
      <c r="H26" s="4">
        <v>1550000</v>
      </c>
      <c r="J26" s="34">
        <f>VLOOKUP(C26,'Team Wins 2015'!$B$3:$C$32,2,FALSE)</f>
        <v>81</v>
      </c>
    </row>
    <row r="27" spans="2:15" ht="15.95" customHeight="1" x14ac:dyDescent="0.25">
      <c r="B27" s="3">
        <v>25</v>
      </c>
      <c r="C27" s="26" t="s">
        <v>25</v>
      </c>
      <c r="D27" s="2">
        <v>85885832</v>
      </c>
      <c r="E27" s="2">
        <v>85885832</v>
      </c>
      <c r="F27" s="1" t="s">
        <v>1</v>
      </c>
      <c r="G27" s="2">
        <v>2862861</v>
      </c>
      <c r="H27" s="4">
        <v>1279166</v>
      </c>
      <c r="J27" s="34">
        <f>VLOOKUP(C27,'Team Wins 2015'!$B$3:$C$32,2,FALSE)</f>
        <v>98</v>
      </c>
    </row>
    <row r="28" spans="2:15" ht="15.95" customHeight="1" x14ac:dyDescent="0.25">
      <c r="B28" s="3">
        <v>26</v>
      </c>
      <c r="C28" s="26" t="s">
        <v>26</v>
      </c>
      <c r="D28" s="2">
        <v>84637500</v>
      </c>
      <c r="E28" s="2">
        <v>84637500</v>
      </c>
      <c r="F28" s="1" t="s">
        <v>1</v>
      </c>
      <c r="G28" s="2">
        <v>3134722</v>
      </c>
      <c r="H28" s="4">
        <v>1925000</v>
      </c>
      <c r="J28" s="34">
        <f>VLOOKUP(C28,'Team Wins 2015'!$B$3:$C$32,2,FALSE)</f>
        <v>71</v>
      </c>
    </row>
    <row r="29" spans="2:15" ht="15.95" customHeight="1" x14ac:dyDescent="0.25">
      <c r="B29" s="3">
        <v>27</v>
      </c>
      <c r="C29" s="26" t="s">
        <v>27</v>
      </c>
      <c r="D29" s="2">
        <v>80786666</v>
      </c>
      <c r="E29" s="2">
        <v>80786666</v>
      </c>
      <c r="F29" s="1" t="s">
        <v>1</v>
      </c>
      <c r="G29" s="2">
        <v>2448081</v>
      </c>
      <c r="H29" s="4">
        <v>517500</v>
      </c>
      <c r="J29" s="34">
        <f>VLOOKUP(C29,'Team Wins 2015'!$B$3:$C$32,2,FALSE)</f>
        <v>68</v>
      </c>
    </row>
    <row r="30" spans="2:15" ht="15.95" customHeight="1" x14ac:dyDescent="0.25">
      <c r="B30" s="3">
        <v>28</v>
      </c>
      <c r="C30" s="26" t="s">
        <v>28</v>
      </c>
      <c r="D30" s="2">
        <v>74849584</v>
      </c>
      <c r="E30" s="2">
        <v>74849584</v>
      </c>
      <c r="F30" s="1" t="s">
        <v>1</v>
      </c>
      <c r="G30" s="2">
        <v>2414503</v>
      </c>
      <c r="H30" s="4">
        <v>800000</v>
      </c>
      <c r="J30" s="34">
        <f>VLOOKUP(C30,'Team Wins 2015'!$B$3:$C$32,2,FALSE)</f>
        <v>80</v>
      </c>
    </row>
    <row r="31" spans="2:15" ht="15.95" customHeight="1" x14ac:dyDescent="0.25">
      <c r="B31" s="3">
        <v>29</v>
      </c>
      <c r="C31" s="26" t="s">
        <v>29</v>
      </c>
      <c r="D31" s="2">
        <v>70762833</v>
      </c>
      <c r="E31" s="2">
        <v>70762833</v>
      </c>
      <c r="F31" s="1" t="s">
        <v>1</v>
      </c>
      <c r="G31" s="2">
        <v>2358761</v>
      </c>
      <c r="H31" s="4">
        <v>663000</v>
      </c>
      <c r="J31" s="34">
        <f>VLOOKUP(C31,'Team Wins 2015'!$B$3:$C$32,2,FALSE)</f>
        <v>79</v>
      </c>
    </row>
    <row r="32" spans="2:15" ht="15.95" customHeight="1" thickBot="1" x14ac:dyDescent="0.3">
      <c r="B32" s="5">
        <v>30</v>
      </c>
      <c r="C32" s="27" t="s">
        <v>30</v>
      </c>
      <c r="D32" s="7">
        <v>69064200</v>
      </c>
      <c r="E32" s="7">
        <v>69064200</v>
      </c>
      <c r="F32" s="6" t="s">
        <v>1</v>
      </c>
      <c r="G32" s="7">
        <v>2466579</v>
      </c>
      <c r="H32" s="8">
        <v>1031250</v>
      </c>
      <c r="J32" s="35">
        <f>VLOOKUP(C32,'Team Wins 2015'!$B$3:$C$32,2,FALSE)</f>
        <v>86</v>
      </c>
    </row>
    <row r="35" spans="2:8" x14ac:dyDescent="0.25">
      <c r="B35" s="18"/>
      <c r="C35" s="17"/>
      <c r="D35" s="17"/>
      <c r="E35" s="17"/>
      <c r="F35" s="17"/>
      <c r="G35" s="17"/>
      <c r="H35" s="17"/>
    </row>
    <row r="36" spans="2:8" ht="15.75" thickBot="1" x14ac:dyDescent="0.3">
      <c r="B36" s="19"/>
    </row>
    <row r="37" spans="2:8" ht="72" customHeight="1" thickBot="1" x14ac:dyDescent="0.3">
      <c r="B37" s="109" t="s">
        <v>38</v>
      </c>
      <c r="C37" s="110"/>
      <c r="D37" s="110"/>
      <c r="E37" s="110"/>
      <c r="F37" s="110"/>
      <c r="G37" s="110"/>
      <c r="H37" s="111"/>
    </row>
  </sheetData>
  <mergeCells count="1">
    <mergeCell ref="B37:H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B1" sqref="B1"/>
    </sheetView>
  </sheetViews>
  <sheetFormatPr defaultRowHeight="15" x14ac:dyDescent="0.25"/>
  <cols>
    <col min="1" max="1" width="4.140625" customWidth="1"/>
    <col min="2" max="2" width="28.140625" customWidth="1"/>
  </cols>
  <sheetData>
    <row r="2" spans="2:12" x14ac:dyDescent="0.25">
      <c r="B2" s="13"/>
      <c r="C2" s="21" t="s">
        <v>96</v>
      </c>
      <c r="D2" s="21" t="s">
        <v>97</v>
      </c>
      <c r="E2" s="21" t="s">
        <v>98</v>
      </c>
      <c r="F2" s="21" t="s">
        <v>99</v>
      </c>
      <c r="G2" s="21" t="s">
        <v>100</v>
      </c>
      <c r="H2" s="21" t="s">
        <v>101</v>
      </c>
      <c r="I2" s="21" t="s">
        <v>102</v>
      </c>
      <c r="J2" s="21" t="s">
        <v>103</v>
      </c>
      <c r="K2" s="21" t="s">
        <v>104</v>
      </c>
      <c r="L2" s="21" t="s">
        <v>105</v>
      </c>
    </row>
    <row r="3" spans="2:12" ht="15.95" customHeight="1" x14ac:dyDescent="0.25">
      <c r="B3" s="28" t="s">
        <v>12</v>
      </c>
      <c r="C3" s="29">
        <v>100</v>
      </c>
      <c r="D3" s="29">
        <v>62</v>
      </c>
      <c r="E3" s="29">
        <v>0.61699999999999999</v>
      </c>
      <c r="F3" s="29" t="s">
        <v>40</v>
      </c>
      <c r="G3" s="29" t="s">
        <v>41</v>
      </c>
      <c r="H3" s="29" t="s">
        <v>42</v>
      </c>
      <c r="I3" s="29">
        <v>647</v>
      </c>
      <c r="J3" s="29">
        <v>525</v>
      </c>
      <c r="K3" s="30">
        <v>122</v>
      </c>
      <c r="L3" s="29" t="s">
        <v>43</v>
      </c>
    </row>
    <row r="4" spans="2:12" ht="15.95" customHeight="1" x14ac:dyDescent="0.25">
      <c r="B4" s="28" t="s">
        <v>25</v>
      </c>
      <c r="C4" s="29">
        <v>98</v>
      </c>
      <c r="D4" s="29">
        <v>64</v>
      </c>
      <c r="E4" s="29">
        <v>0.60499999999999998</v>
      </c>
      <c r="F4" s="29">
        <v>2</v>
      </c>
      <c r="G4" s="29" t="s">
        <v>44</v>
      </c>
      <c r="H4" s="29" t="s">
        <v>42</v>
      </c>
      <c r="I4" s="29">
        <v>697</v>
      </c>
      <c r="J4" s="29">
        <v>596</v>
      </c>
      <c r="K4" s="30">
        <v>101</v>
      </c>
      <c r="L4" s="29" t="s">
        <v>45</v>
      </c>
    </row>
    <row r="5" spans="2:12" ht="15.95" customHeight="1" x14ac:dyDescent="0.25">
      <c r="B5" s="28" t="s">
        <v>15</v>
      </c>
      <c r="C5" s="29">
        <v>97</v>
      </c>
      <c r="D5" s="29">
        <v>65</v>
      </c>
      <c r="E5" s="29">
        <v>0.59899999999999998</v>
      </c>
      <c r="F5" s="29">
        <v>3</v>
      </c>
      <c r="G5" s="29" t="s">
        <v>46</v>
      </c>
      <c r="H5" s="29" t="s">
        <v>47</v>
      </c>
      <c r="I5" s="29">
        <v>689</v>
      </c>
      <c r="J5" s="29">
        <v>608</v>
      </c>
      <c r="K5" s="30">
        <v>81</v>
      </c>
      <c r="L5" s="29" t="s">
        <v>48</v>
      </c>
    </row>
    <row r="6" spans="2:12" ht="15.95" customHeight="1" x14ac:dyDescent="0.25">
      <c r="B6" s="28" t="s">
        <v>17</v>
      </c>
      <c r="C6" s="29">
        <v>95</v>
      </c>
      <c r="D6" s="29">
        <v>67</v>
      </c>
      <c r="E6" s="29">
        <v>0.58599999999999997</v>
      </c>
      <c r="F6" s="29">
        <v>5</v>
      </c>
      <c r="G6" s="29" t="s">
        <v>49</v>
      </c>
      <c r="H6" s="29" t="s">
        <v>50</v>
      </c>
      <c r="I6" s="29">
        <v>724</v>
      </c>
      <c r="J6" s="29">
        <v>641</v>
      </c>
      <c r="K6" s="30">
        <v>83</v>
      </c>
      <c r="L6" s="29" t="s">
        <v>51</v>
      </c>
    </row>
    <row r="7" spans="2:12" ht="15.95" customHeight="1" x14ac:dyDescent="0.25">
      <c r="B7" s="28" t="s">
        <v>16</v>
      </c>
      <c r="C7" s="29">
        <v>93</v>
      </c>
      <c r="D7" s="29">
        <v>69</v>
      </c>
      <c r="E7" s="29">
        <v>0.57399999999999995</v>
      </c>
      <c r="F7" s="29">
        <v>7</v>
      </c>
      <c r="G7" s="29" t="s">
        <v>44</v>
      </c>
      <c r="H7" s="29" t="s">
        <v>52</v>
      </c>
      <c r="I7" s="29">
        <v>891</v>
      </c>
      <c r="J7" s="29">
        <v>670</v>
      </c>
      <c r="K7" s="30">
        <v>221</v>
      </c>
      <c r="L7" s="29" t="s">
        <v>53</v>
      </c>
    </row>
    <row r="8" spans="2:12" ht="15.95" customHeight="1" x14ac:dyDescent="0.25">
      <c r="B8" s="28" t="s">
        <v>0</v>
      </c>
      <c r="C8" s="29">
        <v>92</v>
      </c>
      <c r="D8" s="29">
        <v>70</v>
      </c>
      <c r="E8" s="29">
        <v>0.56799999999999995</v>
      </c>
      <c r="F8" s="29">
        <v>8</v>
      </c>
      <c r="G8" s="29" t="s">
        <v>41</v>
      </c>
      <c r="H8" s="29" t="s">
        <v>54</v>
      </c>
      <c r="I8" s="29">
        <v>667</v>
      </c>
      <c r="J8" s="29">
        <v>595</v>
      </c>
      <c r="K8" s="30">
        <v>72</v>
      </c>
      <c r="L8" s="29" t="s">
        <v>55</v>
      </c>
    </row>
    <row r="9" spans="2:12" ht="15.95" customHeight="1" x14ac:dyDescent="0.25">
      <c r="B9" s="28" t="s">
        <v>20</v>
      </c>
      <c r="C9" s="29">
        <v>90</v>
      </c>
      <c r="D9" s="29">
        <v>72</v>
      </c>
      <c r="E9" s="29">
        <v>0.55600000000000005</v>
      </c>
      <c r="F9" s="29">
        <v>10</v>
      </c>
      <c r="G9" s="29" t="s">
        <v>46</v>
      </c>
      <c r="H9" s="29" t="s">
        <v>56</v>
      </c>
      <c r="I9" s="29">
        <v>683</v>
      </c>
      <c r="J9" s="29">
        <v>613</v>
      </c>
      <c r="K9" s="30">
        <v>70</v>
      </c>
      <c r="L9" s="29" t="s">
        <v>45</v>
      </c>
    </row>
    <row r="10" spans="2:12" ht="15.95" customHeight="1" x14ac:dyDescent="0.25">
      <c r="B10" s="28" t="s">
        <v>8</v>
      </c>
      <c r="C10" s="29">
        <v>88</v>
      </c>
      <c r="D10" s="29">
        <v>74</v>
      </c>
      <c r="E10" s="29">
        <v>0.54300000000000004</v>
      </c>
      <c r="F10" s="29">
        <v>12</v>
      </c>
      <c r="G10" s="29" t="s">
        <v>57</v>
      </c>
      <c r="H10" s="29" t="s">
        <v>42</v>
      </c>
      <c r="I10" s="29">
        <v>751</v>
      </c>
      <c r="J10" s="29">
        <v>733</v>
      </c>
      <c r="K10" s="30">
        <v>18</v>
      </c>
      <c r="L10" s="29" t="s">
        <v>45</v>
      </c>
    </row>
    <row r="11" spans="2:12" ht="15.95" customHeight="1" x14ac:dyDescent="0.25">
      <c r="B11" s="28" t="s">
        <v>2</v>
      </c>
      <c r="C11" s="29">
        <v>87</v>
      </c>
      <c r="D11" s="29">
        <v>75</v>
      </c>
      <c r="E11" s="29">
        <v>0.53700000000000003</v>
      </c>
      <c r="F11" s="29">
        <v>13</v>
      </c>
      <c r="G11" s="29" t="s">
        <v>42</v>
      </c>
      <c r="H11" s="29" t="s">
        <v>58</v>
      </c>
      <c r="I11" s="29">
        <v>764</v>
      </c>
      <c r="J11" s="29">
        <v>698</v>
      </c>
      <c r="K11" s="30">
        <v>66</v>
      </c>
      <c r="L11" s="29" t="s">
        <v>43</v>
      </c>
    </row>
    <row r="12" spans="2:12" ht="15.95" customHeight="1" x14ac:dyDescent="0.25">
      <c r="B12" s="28" t="s">
        <v>30</v>
      </c>
      <c r="C12" s="29">
        <v>86</v>
      </c>
      <c r="D12" s="29">
        <v>76</v>
      </c>
      <c r="E12" s="29">
        <v>0.53100000000000003</v>
      </c>
      <c r="F12" s="29">
        <v>14</v>
      </c>
      <c r="G12" s="29" t="s">
        <v>44</v>
      </c>
      <c r="H12" s="29" t="s">
        <v>59</v>
      </c>
      <c r="I12" s="29">
        <v>729</v>
      </c>
      <c r="J12" s="29">
        <v>618</v>
      </c>
      <c r="K12" s="30">
        <v>111</v>
      </c>
      <c r="L12" s="29" t="s">
        <v>60</v>
      </c>
    </row>
    <row r="13" spans="2:12" ht="15.95" customHeight="1" x14ac:dyDescent="0.25">
      <c r="B13" s="28" t="s">
        <v>7</v>
      </c>
      <c r="C13" s="29">
        <v>85</v>
      </c>
      <c r="D13" s="29">
        <v>77</v>
      </c>
      <c r="E13" s="29">
        <v>0.52500000000000002</v>
      </c>
      <c r="F13" s="29">
        <v>15</v>
      </c>
      <c r="G13" s="29" t="s">
        <v>46</v>
      </c>
      <c r="H13" s="29" t="s">
        <v>61</v>
      </c>
      <c r="I13" s="29">
        <v>661</v>
      </c>
      <c r="J13" s="29">
        <v>675</v>
      </c>
      <c r="K13" s="31">
        <v>-14</v>
      </c>
      <c r="L13" s="29" t="s">
        <v>60</v>
      </c>
    </row>
    <row r="14" spans="2:12" ht="15.95" customHeight="1" x14ac:dyDescent="0.25">
      <c r="B14" s="28" t="s">
        <v>5</v>
      </c>
      <c r="C14" s="29">
        <v>84</v>
      </c>
      <c r="D14" s="29">
        <v>78</v>
      </c>
      <c r="E14" s="29">
        <v>0.51900000000000002</v>
      </c>
      <c r="F14" s="29">
        <v>16</v>
      </c>
      <c r="G14" s="29" t="s">
        <v>62</v>
      </c>
      <c r="H14" s="29" t="s">
        <v>54</v>
      </c>
      <c r="I14" s="29">
        <v>696</v>
      </c>
      <c r="J14" s="29">
        <v>627</v>
      </c>
      <c r="K14" s="30">
        <v>69</v>
      </c>
      <c r="L14" s="29" t="s">
        <v>60</v>
      </c>
    </row>
    <row r="15" spans="2:12" ht="15.95" customHeight="1" x14ac:dyDescent="0.25">
      <c r="B15" s="28" t="s">
        <v>6</v>
      </c>
      <c r="C15" s="29">
        <v>83</v>
      </c>
      <c r="D15" s="29">
        <v>79</v>
      </c>
      <c r="E15" s="29">
        <v>0.51200000000000001</v>
      </c>
      <c r="F15" s="29">
        <v>17</v>
      </c>
      <c r="G15" s="29" t="s">
        <v>63</v>
      </c>
      <c r="H15" s="29" t="s">
        <v>54</v>
      </c>
      <c r="I15" s="29">
        <v>703</v>
      </c>
      <c r="J15" s="29">
        <v>635</v>
      </c>
      <c r="K15" s="30">
        <v>68</v>
      </c>
      <c r="L15" s="29" t="s">
        <v>60</v>
      </c>
    </row>
    <row r="16" spans="2:12" ht="15.95" customHeight="1" x14ac:dyDescent="0.25">
      <c r="B16" s="28" t="s">
        <v>19</v>
      </c>
      <c r="C16" s="29">
        <v>83</v>
      </c>
      <c r="D16" s="29">
        <v>79</v>
      </c>
      <c r="E16" s="29">
        <v>0.51200000000000001</v>
      </c>
      <c r="F16" s="29">
        <v>17</v>
      </c>
      <c r="G16" s="29" t="s">
        <v>63</v>
      </c>
      <c r="H16" s="29" t="s">
        <v>54</v>
      </c>
      <c r="I16" s="29">
        <v>696</v>
      </c>
      <c r="J16" s="29">
        <v>700</v>
      </c>
      <c r="K16" s="31">
        <v>-4</v>
      </c>
      <c r="L16" s="29" t="s">
        <v>43</v>
      </c>
    </row>
    <row r="17" spans="2:12" ht="15.95" customHeight="1" x14ac:dyDescent="0.25">
      <c r="B17" s="28" t="s">
        <v>24</v>
      </c>
      <c r="C17" s="29">
        <v>81</v>
      </c>
      <c r="D17" s="29">
        <v>80</v>
      </c>
      <c r="E17" s="29">
        <v>0.503</v>
      </c>
      <c r="F17" s="29">
        <v>18.5</v>
      </c>
      <c r="G17" s="29" t="s">
        <v>64</v>
      </c>
      <c r="H17" s="29" t="s">
        <v>58</v>
      </c>
      <c r="I17" s="29">
        <v>669</v>
      </c>
      <c r="J17" s="29">
        <v>640</v>
      </c>
      <c r="K17" s="30">
        <v>29</v>
      </c>
      <c r="L17" s="29" t="s">
        <v>65</v>
      </c>
    </row>
    <row r="18" spans="2:12" ht="15.95" customHeight="1" x14ac:dyDescent="0.25">
      <c r="B18" s="28" t="s">
        <v>13</v>
      </c>
      <c r="C18" s="29">
        <v>81</v>
      </c>
      <c r="D18" s="29">
        <v>81</v>
      </c>
      <c r="E18" s="29">
        <v>0.5</v>
      </c>
      <c r="F18" s="29">
        <v>19</v>
      </c>
      <c r="G18" s="29" t="s">
        <v>66</v>
      </c>
      <c r="H18" s="29" t="s">
        <v>67</v>
      </c>
      <c r="I18" s="29">
        <v>713</v>
      </c>
      <c r="J18" s="29">
        <v>693</v>
      </c>
      <c r="K18" s="30">
        <v>20</v>
      </c>
      <c r="L18" s="29" t="s">
        <v>51</v>
      </c>
    </row>
    <row r="19" spans="2:12" ht="15.95" customHeight="1" x14ac:dyDescent="0.25">
      <c r="B19" s="28" t="s">
        <v>28</v>
      </c>
      <c r="C19" s="29">
        <v>80</v>
      </c>
      <c r="D19" s="29">
        <v>82</v>
      </c>
      <c r="E19" s="29">
        <v>0.49399999999999999</v>
      </c>
      <c r="F19" s="29">
        <v>20</v>
      </c>
      <c r="G19" s="29" t="s">
        <v>68</v>
      </c>
      <c r="H19" s="29" t="s">
        <v>69</v>
      </c>
      <c r="I19" s="29">
        <v>644</v>
      </c>
      <c r="J19" s="29">
        <v>642</v>
      </c>
      <c r="K19" s="30">
        <v>2</v>
      </c>
      <c r="L19" s="29" t="s">
        <v>70</v>
      </c>
    </row>
    <row r="20" spans="2:12" ht="15.95" customHeight="1" x14ac:dyDescent="0.25">
      <c r="B20" s="28" t="s">
        <v>29</v>
      </c>
      <c r="C20" s="29">
        <v>79</v>
      </c>
      <c r="D20" s="29">
        <v>83</v>
      </c>
      <c r="E20" s="29">
        <v>0.48799999999999999</v>
      </c>
      <c r="F20" s="29">
        <v>21</v>
      </c>
      <c r="G20" s="29" t="s">
        <v>71</v>
      </c>
      <c r="H20" s="29" t="s">
        <v>52</v>
      </c>
      <c r="I20" s="29">
        <v>720</v>
      </c>
      <c r="J20" s="29">
        <v>713</v>
      </c>
      <c r="K20" s="30">
        <v>7</v>
      </c>
      <c r="L20" s="29" t="s">
        <v>45</v>
      </c>
    </row>
    <row r="21" spans="2:12" ht="15.95" customHeight="1" x14ac:dyDescent="0.25">
      <c r="B21" s="28" t="s">
        <v>3</v>
      </c>
      <c r="C21" s="29">
        <v>78</v>
      </c>
      <c r="D21" s="29">
        <v>84</v>
      </c>
      <c r="E21" s="29">
        <v>0.48099999999999998</v>
      </c>
      <c r="F21" s="29">
        <v>22</v>
      </c>
      <c r="G21" s="29" t="s">
        <v>57</v>
      </c>
      <c r="H21" s="29" t="s">
        <v>72</v>
      </c>
      <c r="I21" s="29">
        <v>748</v>
      </c>
      <c r="J21" s="29">
        <v>753</v>
      </c>
      <c r="K21" s="31">
        <v>-5</v>
      </c>
      <c r="L21" s="29" t="s">
        <v>73</v>
      </c>
    </row>
    <row r="22" spans="2:12" ht="15.95" customHeight="1" x14ac:dyDescent="0.25">
      <c r="B22" s="28" t="s">
        <v>18</v>
      </c>
      <c r="C22" s="29">
        <v>76</v>
      </c>
      <c r="D22" s="29">
        <v>86</v>
      </c>
      <c r="E22" s="29">
        <v>0.46899999999999997</v>
      </c>
      <c r="F22" s="29">
        <v>24</v>
      </c>
      <c r="G22" s="29" t="s">
        <v>52</v>
      </c>
      <c r="H22" s="29" t="s">
        <v>61</v>
      </c>
      <c r="I22" s="29">
        <v>622</v>
      </c>
      <c r="J22" s="29">
        <v>701</v>
      </c>
      <c r="K22" s="31">
        <v>-79</v>
      </c>
      <c r="L22" s="29" t="s">
        <v>60</v>
      </c>
    </row>
    <row r="23" spans="2:12" ht="15.95" customHeight="1" x14ac:dyDescent="0.25">
      <c r="B23" s="28" t="s">
        <v>11</v>
      </c>
      <c r="C23" s="29">
        <v>76</v>
      </c>
      <c r="D23" s="29">
        <v>86</v>
      </c>
      <c r="E23" s="29">
        <v>0.46899999999999997</v>
      </c>
      <c r="F23" s="29">
        <v>24</v>
      </c>
      <c r="G23" s="29" t="s">
        <v>61</v>
      </c>
      <c r="H23" s="29" t="s">
        <v>52</v>
      </c>
      <c r="I23" s="29">
        <v>656</v>
      </c>
      <c r="J23" s="29">
        <v>726</v>
      </c>
      <c r="K23" s="31">
        <v>-70</v>
      </c>
      <c r="L23" s="29" t="s">
        <v>45</v>
      </c>
    </row>
    <row r="24" spans="2:12" ht="15.95" customHeight="1" x14ac:dyDescent="0.25">
      <c r="B24" s="28" t="s">
        <v>4</v>
      </c>
      <c r="C24" s="29">
        <v>74</v>
      </c>
      <c r="D24" s="29">
        <v>87</v>
      </c>
      <c r="E24" s="29">
        <v>0.46</v>
      </c>
      <c r="F24" s="29">
        <v>25.5</v>
      </c>
      <c r="G24" s="29" t="s">
        <v>74</v>
      </c>
      <c r="H24" s="29" t="s">
        <v>75</v>
      </c>
      <c r="I24" s="29">
        <v>689</v>
      </c>
      <c r="J24" s="29">
        <v>803</v>
      </c>
      <c r="K24" s="31">
        <v>-114</v>
      </c>
      <c r="L24" s="29" t="s">
        <v>45</v>
      </c>
    </row>
    <row r="25" spans="2:12" ht="15.95" customHeight="1" x14ac:dyDescent="0.25">
      <c r="B25" s="28" t="s">
        <v>10</v>
      </c>
      <c r="C25" s="29">
        <v>74</v>
      </c>
      <c r="D25" s="29">
        <v>88</v>
      </c>
      <c r="E25" s="29">
        <v>0.45700000000000002</v>
      </c>
      <c r="F25" s="29">
        <v>26</v>
      </c>
      <c r="G25" s="29" t="s">
        <v>71</v>
      </c>
      <c r="H25" s="29" t="s">
        <v>72</v>
      </c>
      <c r="I25" s="29">
        <v>650</v>
      </c>
      <c r="J25" s="29">
        <v>731</v>
      </c>
      <c r="K25" s="31">
        <v>-81</v>
      </c>
      <c r="L25" s="29" t="s">
        <v>43</v>
      </c>
    </row>
    <row r="26" spans="2:12" ht="15.95" customHeight="1" x14ac:dyDescent="0.25">
      <c r="B26" s="28" t="s">
        <v>26</v>
      </c>
      <c r="C26" s="29">
        <v>71</v>
      </c>
      <c r="D26" s="29">
        <v>91</v>
      </c>
      <c r="E26" s="29">
        <v>0.438</v>
      </c>
      <c r="F26" s="29">
        <v>29</v>
      </c>
      <c r="G26" s="29" t="s">
        <v>56</v>
      </c>
      <c r="H26" s="29" t="s">
        <v>76</v>
      </c>
      <c r="I26" s="29">
        <v>613</v>
      </c>
      <c r="J26" s="29">
        <v>678</v>
      </c>
      <c r="K26" s="31">
        <v>-65</v>
      </c>
      <c r="L26" s="29" t="s">
        <v>60</v>
      </c>
    </row>
    <row r="27" spans="2:12" ht="15.95" customHeight="1" x14ac:dyDescent="0.25">
      <c r="B27" s="28" t="s">
        <v>22</v>
      </c>
      <c r="C27" s="29">
        <v>68</v>
      </c>
      <c r="D27" s="29">
        <v>94</v>
      </c>
      <c r="E27" s="29">
        <v>0.42</v>
      </c>
      <c r="F27" s="29">
        <v>32</v>
      </c>
      <c r="G27" s="29" t="s">
        <v>61</v>
      </c>
      <c r="H27" s="29" t="s">
        <v>77</v>
      </c>
      <c r="I27" s="29">
        <v>737</v>
      </c>
      <c r="J27" s="29">
        <v>844</v>
      </c>
      <c r="K27" s="31">
        <v>-107</v>
      </c>
      <c r="L27" s="29" t="s">
        <v>45</v>
      </c>
    </row>
    <row r="28" spans="2:12" ht="15.95" customHeight="1" x14ac:dyDescent="0.25">
      <c r="B28" s="28" t="s">
        <v>21</v>
      </c>
      <c r="C28" s="29">
        <v>68</v>
      </c>
      <c r="D28" s="29">
        <v>94</v>
      </c>
      <c r="E28" s="29">
        <v>0.42</v>
      </c>
      <c r="F28" s="29">
        <v>32</v>
      </c>
      <c r="G28" s="29" t="s">
        <v>78</v>
      </c>
      <c r="H28" s="29" t="s">
        <v>78</v>
      </c>
      <c r="I28" s="29">
        <v>655</v>
      </c>
      <c r="J28" s="29">
        <v>737</v>
      </c>
      <c r="K28" s="31">
        <v>-82</v>
      </c>
      <c r="L28" s="29" t="s">
        <v>73</v>
      </c>
    </row>
    <row r="29" spans="2:12" ht="15.95" customHeight="1" x14ac:dyDescent="0.25">
      <c r="B29" s="28" t="s">
        <v>27</v>
      </c>
      <c r="C29" s="29">
        <v>68</v>
      </c>
      <c r="D29" s="29">
        <v>94</v>
      </c>
      <c r="E29" s="29">
        <v>0.42</v>
      </c>
      <c r="F29" s="29">
        <v>32</v>
      </c>
      <c r="G29" s="29" t="s">
        <v>78</v>
      </c>
      <c r="H29" s="29" t="s">
        <v>78</v>
      </c>
      <c r="I29" s="29">
        <v>694</v>
      </c>
      <c r="J29" s="29">
        <v>729</v>
      </c>
      <c r="K29" s="31">
        <v>-35</v>
      </c>
      <c r="L29" s="29" t="s">
        <v>60</v>
      </c>
    </row>
    <row r="30" spans="2:12" ht="15.95" customHeight="1" x14ac:dyDescent="0.25">
      <c r="B30" s="28" t="s">
        <v>23</v>
      </c>
      <c r="C30" s="29">
        <v>67</v>
      </c>
      <c r="D30" s="29">
        <v>95</v>
      </c>
      <c r="E30" s="29">
        <v>0.41399999999999998</v>
      </c>
      <c r="F30" s="29">
        <v>33</v>
      </c>
      <c r="G30" s="29" t="s">
        <v>58</v>
      </c>
      <c r="H30" s="29" t="s">
        <v>79</v>
      </c>
      <c r="I30" s="29">
        <v>573</v>
      </c>
      <c r="J30" s="29">
        <v>760</v>
      </c>
      <c r="K30" s="31">
        <v>-187</v>
      </c>
      <c r="L30" s="29" t="s">
        <v>65</v>
      </c>
    </row>
    <row r="31" spans="2:12" ht="15.95" customHeight="1" x14ac:dyDescent="0.25">
      <c r="B31" s="28" t="s">
        <v>14</v>
      </c>
      <c r="C31" s="29">
        <v>64</v>
      </c>
      <c r="D31" s="29">
        <v>98</v>
      </c>
      <c r="E31" s="29">
        <v>0.39500000000000002</v>
      </c>
      <c r="F31" s="29">
        <v>36</v>
      </c>
      <c r="G31" s="29" t="s">
        <v>78</v>
      </c>
      <c r="H31" s="29" t="s">
        <v>76</v>
      </c>
      <c r="I31" s="29">
        <v>640</v>
      </c>
      <c r="J31" s="29">
        <v>754</v>
      </c>
      <c r="K31" s="31">
        <v>-114</v>
      </c>
      <c r="L31" s="29" t="s">
        <v>60</v>
      </c>
    </row>
    <row r="32" spans="2:12" ht="15.95" customHeight="1" x14ac:dyDescent="0.25">
      <c r="B32" s="28" t="s">
        <v>9</v>
      </c>
      <c r="C32" s="29">
        <v>63</v>
      </c>
      <c r="D32" s="29">
        <v>99</v>
      </c>
      <c r="E32" s="29">
        <v>0.38900000000000001</v>
      </c>
      <c r="F32" s="29">
        <v>37</v>
      </c>
      <c r="G32" s="29" t="s">
        <v>54</v>
      </c>
      <c r="H32" s="29" t="s">
        <v>80</v>
      </c>
      <c r="I32" s="29">
        <v>626</v>
      </c>
      <c r="J32" s="29">
        <v>809</v>
      </c>
      <c r="K32" s="31">
        <v>-183</v>
      </c>
      <c r="L32" s="29" t="s">
        <v>45</v>
      </c>
    </row>
    <row r="36" spans="2:2" x14ac:dyDescent="0.25">
      <c r="B36" s="13" t="s">
        <v>81</v>
      </c>
    </row>
    <row r="37" spans="2:2" x14ac:dyDescent="0.25">
      <c r="B37" s="20" t="s">
        <v>82</v>
      </c>
    </row>
    <row r="38" spans="2:2" x14ac:dyDescent="0.25">
      <c r="B38" s="20" t="s">
        <v>83</v>
      </c>
    </row>
    <row r="39" spans="2:2" x14ac:dyDescent="0.25">
      <c r="B39" s="20" t="s">
        <v>84</v>
      </c>
    </row>
    <row r="40" spans="2:2" x14ac:dyDescent="0.25">
      <c r="B40" s="20" t="s">
        <v>85</v>
      </c>
    </row>
    <row r="41" spans="2:2" x14ac:dyDescent="0.25">
      <c r="B41" s="20" t="s">
        <v>86</v>
      </c>
    </row>
    <row r="42" spans="2:2" x14ac:dyDescent="0.25">
      <c r="B42" s="20" t="s">
        <v>87</v>
      </c>
    </row>
    <row r="43" spans="2:2" x14ac:dyDescent="0.25">
      <c r="B43" s="20" t="s">
        <v>88</v>
      </c>
    </row>
    <row r="44" spans="2:2" x14ac:dyDescent="0.25">
      <c r="B44" s="20" t="s">
        <v>89</v>
      </c>
    </row>
    <row r="45" spans="2:2" x14ac:dyDescent="0.25">
      <c r="B45" s="20" t="s">
        <v>90</v>
      </c>
    </row>
    <row r="46" spans="2:2" x14ac:dyDescent="0.25">
      <c r="B46" s="20" t="s">
        <v>91</v>
      </c>
    </row>
    <row r="47" spans="2:2" x14ac:dyDescent="0.25">
      <c r="B47" s="20" t="s">
        <v>92</v>
      </c>
    </row>
    <row r="48" spans="2:2" x14ac:dyDescent="0.25">
      <c r="B48" s="20" t="s">
        <v>93</v>
      </c>
    </row>
    <row r="49" spans="2:2" x14ac:dyDescent="0.25">
      <c r="B49" s="20" t="s">
        <v>94</v>
      </c>
    </row>
    <row r="50" spans="2:2" x14ac:dyDescent="0.25">
      <c r="B50" s="20"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topLeftCell="A4" workbookViewId="0">
      <selection activeCell="H40" sqref="H40"/>
    </sheetView>
  </sheetViews>
  <sheetFormatPr defaultRowHeight="15" x14ac:dyDescent="0.25"/>
  <cols>
    <col min="1" max="1" width="3.5703125" customWidth="1"/>
    <col min="2" max="4" width="22.7109375" customWidth="1"/>
  </cols>
  <sheetData>
    <row r="2" spans="2:4" x14ac:dyDescent="0.25">
      <c r="B2" s="112" t="s">
        <v>121</v>
      </c>
      <c r="C2" s="112"/>
      <c r="D2" s="112"/>
    </row>
    <row r="4" spans="2:4" x14ac:dyDescent="0.25">
      <c r="B4" s="112" t="s">
        <v>110</v>
      </c>
      <c r="C4" s="112"/>
      <c r="D4" s="112"/>
    </row>
    <row r="5" spans="2:4" x14ac:dyDescent="0.25">
      <c r="B5" s="113" t="s">
        <v>107</v>
      </c>
      <c r="C5" s="114"/>
      <c r="D5" s="21" t="s">
        <v>108</v>
      </c>
    </row>
    <row r="6" spans="2:4" x14ac:dyDescent="0.25">
      <c r="B6" s="23">
        <v>50000000</v>
      </c>
      <c r="C6" s="23">
        <v>75000000</v>
      </c>
      <c r="D6" s="21">
        <v>3</v>
      </c>
    </row>
    <row r="7" spans="2:4" x14ac:dyDescent="0.25">
      <c r="B7" s="23">
        <v>75000001</v>
      </c>
      <c r="C7" s="23">
        <v>100000000</v>
      </c>
      <c r="D7" s="21">
        <v>7</v>
      </c>
    </row>
    <row r="8" spans="2:4" x14ac:dyDescent="0.25">
      <c r="B8" s="23">
        <v>100000001</v>
      </c>
      <c r="C8" s="23">
        <v>125000000</v>
      </c>
      <c r="D8" s="21">
        <v>10</v>
      </c>
    </row>
    <row r="9" spans="2:4" x14ac:dyDescent="0.25">
      <c r="B9" s="23">
        <v>125000001</v>
      </c>
      <c r="C9" s="23">
        <v>150000000</v>
      </c>
      <c r="D9" s="21">
        <v>4</v>
      </c>
    </row>
    <row r="10" spans="2:4" x14ac:dyDescent="0.25">
      <c r="B10" s="23">
        <v>150000001</v>
      </c>
      <c r="C10" s="23">
        <v>175000000</v>
      </c>
      <c r="D10" s="21">
        <v>3</v>
      </c>
    </row>
    <row r="11" spans="2:4" x14ac:dyDescent="0.25">
      <c r="B11" s="23">
        <v>175000001</v>
      </c>
      <c r="C11" s="23">
        <v>200000000</v>
      </c>
      <c r="D11" s="21">
        <v>1</v>
      </c>
    </row>
    <row r="12" spans="2:4" x14ac:dyDescent="0.25">
      <c r="B12" s="23">
        <v>200000001</v>
      </c>
      <c r="C12" s="24" t="s">
        <v>109</v>
      </c>
      <c r="D12" s="21">
        <v>2</v>
      </c>
    </row>
    <row r="13" spans="2:4" x14ac:dyDescent="0.25">
      <c r="B13" s="22"/>
    </row>
    <row r="14" spans="2:4" x14ac:dyDescent="0.25">
      <c r="B14" s="22"/>
    </row>
    <row r="15" spans="2:4" x14ac:dyDescent="0.25">
      <c r="B15" s="22"/>
    </row>
  </sheetData>
  <mergeCells count="3">
    <mergeCell ref="B4:D4"/>
    <mergeCell ref="B5:C5"/>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
  <sheetViews>
    <sheetView workbookViewId="0">
      <selection activeCell="H25" sqref="H25"/>
    </sheetView>
  </sheetViews>
  <sheetFormatPr defaultRowHeight="15" x14ac:dyDescent="0.25"/>
  <cols>
    <col min="1" max="1" width="2.7109375" customWidth="1"/>
    <col min="2" max="4" width="22.7109375" customWidth="1"/>
  </cols>
  <sheetData>
    <row r="2" spans="2:4" x14ac:dyDescent="0.25">
      <c r="B2" s="112" t="s">
        <v>120</v>
      </c>
      <c r="C2" s="112"/>
      <c r="D2" s="112"/>
    </row>
    <row r="4" spans="2:4" x14ac:dyDescent="0.25">
      <c r="B4" s="112" t="s">
        <v>111</v>
      </c>
      <c r="C4" s="112"/>
      <c r="D4" s="112"/>
    </row>
    <row r="5" spans="2:4" x14ac:dyDescent="0.25">
      <c r="B5" s="113" t="s">
        <v>107</v>
      </c>
      <c r="C5" s="114"/>
      <c r="D5" s="13" t="s">
        <v>113</v>
      </c>
    </row>
    <row r="6" spans="2:4" x14ac:dyDescent="0.25">
      <c r="B6" s="23">
        <v>50000000</v>
      </c>
      <c r="C6" s="23">
        <v>75000000</v>
      </c>
      <c r="D6" s="36">
        <f>SUM('Team Salaries and Breakdown'!J30:J32)/COUNT('Team Salaries and Breakdown'!J30:J32)</f>
        <v>81.666666666666671</v>
      </c>
    </row>
    <row r="7" spans="2:4" x14ac:dyDescent="0.25">
      <c r="B7" s="23">
        <v>75000001</v>
      </c>
      <c r="C7" s="23">
        <v>100000000</v>
      </c>
      <c r="D7" s="36">
        <f>SUM('Team Salaries and Breakdown'!J23:J29)/COUNT('Team Salaries and Breakdown'!J23:J29)</f>
        <v>74.428571428571431</v>
      </c>
    </row>
    <row r="8" spans="2:4" x14ac:dyDescent="0.25">
      <c r="B8" s="23">
        <v>100000001</v>
      </c>
      <c r="C8" s="23">
        <v>125000000</v>
      </c>
      <c r="D8" s="36">
        <f>SUM('Team Salaries and Breakdown'!J13:J22)/COUNT('Team Salaries and Breakdown'!J13:J22)</f>
        <v>85.5</v>
      </c>
    </row>
    <row r="9" spans="2:4" x14ac:dyDescent="0.25">
      <c r="B9" s="23">
        <v>125000001</v>
      </c>
      <c r="C9" s="23">
        <v>150000000</v>
      </c>
      <c r="D9" s="36">
        <f>SUM('Team Salaries and Breakdown'!J9:J12)/COUNT('Team Salaries and Breakdown'!J9:J12)</f>
        <v>77.5</v>
      </c>
    </row>
    <row r="10" spans="2:4" x14ac:dyDescent="0.25">
      <c r="B10" s="23">
        <v>150000001</v>
      </c>
      <c r="C10" s="23">
        <v>175000000</v>
      </c>
      <c r="D10" s="36">
        <f>SUM('Team Salaries and Breakdown'!J6:J8)/COUNT('Team Salaries and Breakdown'!J6:J8)</f>
        <v>80.333333333333329</v>
      </c>
    </row>
    <row r="11" spans="2:4" x14ac:dyDescent="0.25">
      <c r="B11" s="23">
        <v>175000001</v>
      </c>
      <c r="C11" s="23">
        <v>200000000</v>
      </c>
      <c r="D11" s="36">
        <f>SUM('Team Salaries and Breakdown'!J5)/COUNT('Team Salaries and Breakdown'!J5)</f>
        <v>78</v>
      </c>
    </row>
    <row r="12" spans="2:4" x14ac:dyDescent="0.25">
      <c r="B12" s="23">
        <v>200000001</v>
      </c>
      <c r="C12" s="24" t="s">
        <v>109</v>
      </c>
      <c r="D12" s="36">
        <f>SUM('Team Salaries and Breakdown'!J3:J4)/COUNT('Team Salaries and Breakdown'!J3:J4)</f>
        <v>89.5</v>
      </c>
    </row>
  </sheetData>
  <mergeCells count="3">
    <mergeCell ref="B4:D4"/>
    <mergeCell ref="B5:C5"/>
    <mergeCell ref="B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4"/>
  <sheetViews>
    <sheetView tabSelected="1" zoomScaleNormal="100" workbookViewId="0">
      <selection activeCell="J5" sqref="J5"/>
    </sheetView>
  </sheetViews>
  <sheetFormatPr defaultRowHeight="15" x14ac:dyDescent="0.25"/>
  <cols>
    <col min="1" max="1" width="1.140625" customWidth="1"/>
    <col min="3" max="3" width="18.28515625" customWidth="1"/>
    <col min="4" max="4" width="14.28515625" customWidth="1"/>
    <col min="8" max="8" width="9.5703125" bestFit="1" customWidth="1"/>
  </cols>
  <sheetData>
    <row r="2" spans="2:8" x14ac:dyDescent="0.25">
      <c r="B2" s="127" t="s">
        <v>118</v>
      </c>
      <c r="C2" s="127"/>
      <c r="D2" s="127"/>
      <c r="E2" s="127"/>
      <c r="F2" s="127"/>
      <c r="G2" s="127"/>
    </row>
    <row r="4" spans="2:8" x14ac:dyDescent="0.25">
      <c r="C4" s="38" t="s">
        <v>116</v>
      </c>
      <c r="D4" s="38" t="s">
        <v>117</v>
      </c>
      <c r="G4" s="127" t="s">
        <v>197</v>
      </c>
      <c r="H4" s="127"/>
    </row>
    <row r="5" spans="2:8" x14ac:dyDescent="0.25">
      <c r="C5" s="40">
        <v>223352402</v>
      </c>
      <c r="D5" s="39">
        <v>92</v>
      </c>
      <c r="G5" s="128" t="s">
        <v>198</v>
      </c>
      <c r="H5" s="128">
        <f>SUM(D5:D34)/30</f>
        <v>80.966666666666669</v>
      </c>
    </row>
    <row r="6" spans="2:8" x14ac:dyDescent="0.25">
      <c r="C6" s="40">
        <v>213472857</v>
      </c>
      <c r="D6" s="39">
        <v>87</v>
      </c>
      <c r="G6" s="13" t="s">
        <v>199</v>
      </c>
      <c r="H6" s="129">
        <f>SUM(D5:D9)/5</f>
        <v>83</v>
      </c>
    </row>
    <row r="7" spans="2:8" x14ac:dyDescent="0.25">
      <c r="C7" s="40">
        <v>182161414</v>
      </c>
      <c r="D7" s="39">
        <v>78</v>
      </c>
      <c r="G7" s="13" t="s">
        <v>200</v>
      </c>
      <c r="H7" s="130">
        <f>SUM(D30:D34)/5</f>
        <v>76.8</v>
      </c>
    </row>
    <row r="8" spans="2:8" x14ac:dyDescent="0.25">
      <c r="C8" s="40">
        <v>172792250</v>
      </c>
      <c r="D8" s="39">
        <v>74</v>
      </c>
    </row>
    <row r="9" spans="2:8" x14ac:dyDescent="0.25">
      <c r="C9" s="40">
        <v>166495942</v>
      </c>
      <c r="D9" s="39">
        <v>84</v>
      </c>
    </row>
    <row r="10" spans="2:8" x14ac:dyDescent="0.25">
      <c r="C10" s="40">
        <v>166010977</v>
      </c>
      <c r="D10" s="39">
        <v>83</v>
      </c>
    </row>
    <row r="11" spans="2:8" x14ac:dyDescent="0.25">
      <c r="C11" s="40">
        <v>146449583</v>
      </c>
      <c r="D11" s="39">
        <v>85</v>
      </c>
    </row>
    <row r="12" spans="2:8" x14ac:dyDescent="0.25">
      <c r="C12" s="40">
        <v>144816873</v>
      </c>
      <c r="D12" s="39">
        <v>88</v>
      </c>
    </row>
    <row r="13" spans="2:8" x14ac:dyDescent="0.25">
      <c r="C13" s="40">
        <v>133048000</v>
      </c>
      <c r="D13" s="39">
        <v>63</v>
      </c>
    </row>
    <row r="14" spans="2:8" x14ac:dyDescent="0.25">
      <c r="C14" s="40">
        <v>126369628</v>
      </c>
      <c r="D14" s="39">
        <v>74</v>
      </c>
    </row>
    <row r="15" spans="2:8" x14ac:dyDescent="0.25">
      <c r="C15" s="40">
        <v>123225842</v>
      </c>
      <c r="D15" s="39">
        <v>76</v>
      </c>
    </row>
    <row r="16" spans="2:8" x14ac:dyDescent="0.25">
      <c r="C16" s="40">
        <v>120301957</v>
      </c>
      <c r="D16" s="39">
        <v>100</v>
      </c>
    </row>
    <row r="17" spans="3:4" x14ac:dyDescent="0.25">
      <c r="C17" s="40">
        <v>118862632</v>
      </c>
      <c r="D17" s="39">
        <v>81</v>
      </c>
    </row>
    <row r="18" spans="3:4" x14ac:dyDescent="0.25">
      <c r="C18" s="40">
        <v>117732284</v>
      </c>
      <c r="D18" s="39">
        <v>64</v>
      </c>
    </row>
    <row r="19" spans="3:4" x14ac:dyDescent="0.25">
      <c r="C19" s="40">
        <v>117164522</v>
      </c>
      <c r="D19" s="39">
        <v>97</v>
      </c>
    </row>
    <row r="20" spans="3:4" x14ac:dyDescent="0.25">
      <c r="C20" s="40">
        <v>116415800</v>
      </c>
      <c r="D20" s="39">
        <v>93</v>
      </c>
    </row>
    <row r="21" spans="3:4" x14ac:dyDescent="0.25">
      <c r="C21" s="40">
        <v>112914525</v>
      </c>
      <c r="D21" s="39">
        <v>95</v>
      </c>
    </row>
    <row r="22" spans="3:4" x14ac:dyDescent="0.25">
      <c r="C22" s="40">
        <v>110712867</v>
      </c>
      <c r="D22" s="39">
        <v>76</v>
      </c>
    </row>
    <row r="23" spans="3:4" x14ac:dyDescent="0.25">
      <c r="C23" s="40">
        <v>108262000</v>
      </c>
      <c r="D23" s="39">
        <v>83</v>
      </c>
    </row>
    <row r="24" spans="3:4" x14ac:dyDescent="0.25">
      <c r="C24" s="40">
        <v>100133953</v>
      </c>
      <c r="D24" s="39">
        <v>90</v>
      </c>
    </row>
    <row r="25" spans="3:4" x14ac:dyDescent="0.25">
      <c r="C25" s="40">
        <v>98683035</v>
      </c>
      <c r="D25" s="39">
        <v>68</v>
      </c>
    </row>
    <row r="26" spans="3:4" x14ac:dyDescent="0.25">
      <c r="C26" s="40">
        <v>98261171</v>
      </c>
      <c r="D26" s="39">
        <v>68</v>
      </c>
    </row>
    <row r="27" spans="3:4" x14ac:dyDescent="0.25">
      <c r="C27" s="40">
        <v>91622648</v>
      </c>
      <c r="D27" s="39">
        <v>67</v>
      </c>
    </row>
    <row r="28" spans="3:4" x14ac:dyDescent="0.25">
      <c r="C28" s="40">
        <v>87746767</v>
      </c>
      <c r="D28" s="39">
        <v>81</v>
      </c>
    </row>
    <row r="29" spans="3:4" x14ac:dyDescent="0.25">
      <c r="C29" s="40">
        <v>85885832</v>
      </c>
      <c r="D29" s="39">
        <v>98</v>
      </c>
    </row>
    <row r="30" spans="3:4" x14ac:dyDescent="0.25">
      <c r="C30" s="40">
        <v>84637500</v>
      </c>
      <c r="D30" s="39">
        <v>71</v>
      </c>
    </row>
    <row r="31" spans="3:4" x14ac:dyDescent="0.25">
      <c r="C31" s="40">
        <v>80786666</v>
      </c>
      <c r="D31" s="39">
        <v>68</v>
      </c>
    </row>
    <row r="32" spans="3:4" x14ac:dyDescent="0.25">
      <c r="C32" s="40">
        <v>74849584</v>
      </c>
      <c r="D32" s="39">
        <v>80</v>
      </c>
    </row>
    <row r="33" spans="3:4" x14ac:dyDescent="0.25">
      <c r="C33" s="40">
        <v>70762833</v>
      </c>
      <c r="D33" s="39">
        <v>79</v>
      </c>
    </row>
    <row r="34" spans="3:4" x14ac:dyDescent="0.25">
      <c r="C34" s="40">
        <v>69064200</v>
      </c>
      <c r="D34" s="39">
        <v>86</v>
      </c>
    </row>
  </sheetData>
  <mergeCells count="2">
    <mergeCell ref="B2:G2"/>
    <mergeCell ref="G4:H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9"/>
  <sheetViews>
    <sheetView topLeftCell="K1" workbookViewId="0">
      <selection activeCell="P35" sqref="P35"/>
    </sheetView>
  </sheetViews>
  <sheetFormatPr defaultRowHeight="15" x14ac:dyDescent="0.25"/>
  <cols>
    <col min="1" max="1" width="6.42578125" customWidth="1"/>
    <col min="2" max="2" width="10.5703125" customWidth="1"/>
    <col min="3" max="3" width="26.28515625" customWidth="1"/>
    <col min="4" max="4" width="20.85546875" customWidth="1"/>
    <col min="5" max="5" width="2.7109375" customWidth="1"/>
    <col min="6" max="6" width="2" customWidth="1"/>
    <col min="9" max="9" width="7.5703125" customWidth="1"/>
    <col min="11" max="12" width="2.7109375" customWidth="1"/>
    <col min="14" max="14" width="21.5703125" customWidth="1"/>
    <col min="16" max="16" width="23.28515625" bestFit="1" customWidth="1"/>
    <col min="19" max="19" width="10.5703125" customWidth="1"/>
    <col min="20" max="20" width="9.140625" customWidth="1"/>
  </cols>
  <sheetData>
    <row r="2" spans="2:21" x14ac:dyDescent="0.25">
      <c r="B2" s="115" t="s">
        <v>131</v>
      </c>
      <c r="C2" s="115"/>
      <c r="D2" s="115"/>
    </row>
    <row r="3" spans="2:21" x14ac:dyDescent="0.25">
      <c r="B3" s="58" t="s">
        <v>130</v>
      </c>
      <c r="C3" s="42" t="s">
        <v>123</v>
      </c>
      <c r="D3" s="42" t="s">
        <v>122</v>
      </c>
      <c r="I3" s="44"/>
      <c r="M3" s="75" t="s">
        <v>153</v>
      </c>
      <c r="N3" s="70" t="s">
        <v>149</v>
      </c>
      <c r="O3" s="70" t="s">
        <v>150</v>
      </c>
      <c r="P3" s="70" t="s">
        <v>151</v>
      </c>
      <c r="Q3" s="70" t="s">
        <v>155</v>
      </c>
      <c r="R3" s="70" t="s">
        <v>154</v>
      </c>
      <c r="S3" s="70" t="s">
        <v>156</v>
      </c>
      <c r="T3" s="70" t="s">
        <v>158</v>
      </c>
      <c r="U3" s="70" t="s">
        <v>157</v>
      </c>
    </row>
    <row r="4" spans="2:21" x14ac:dyDescent="0.25">
      <c r="B4" s="59">
        <v>0</v>
      </c>
      <c r="C4" s="45" t="s">
        <v>124</v>
      </c>
      <c r="D4" s="21">
        <v>3</v>
      </c>
      <c r="H4" s="47" t="str">
        <f>"3/30 ="</f>
        <v>3/30 =</v>
      </c>
      <c r="I4" s="50">
        <f>3/30</f>
        <v>0.1</v>
      </c>
      <c r="J4" s="79" t="s">
        <v>133</v>
      </c>
      <c r="M4" s="21">
        <v>0</v>
      </c>
      <c r="N4" s="60" t="s">
        <v>124</v>
      </c>
      <c r="O4" s="21">
        <v>3</v>
      </c>
      <c r="P4" s="21">
        <v>30</v>
      </c>
      <c r="Q4" s="62">
        <f>1-(27/30)</f>
        <v>9.9999999999999978E-2</v>
      </c>
      <c r="R4" s="62">
        <f>3/30</f>
        <v>0.1</v>
      </c>
      <c r="S4" s="63">
        <f>1-(EXP(-0.1))</f>
        <v>9.5162581964040482E-2</v>
      </c>
      <c r="T4" s="63">
        <f>EXP(-0.1)</f>
        <v>0.90483741803595952</v>
      </c>
      <c r="U4" s="64" t="s">
        <v>140</v>
      </c>
    </row>
    <row r="5" spans="2:21" x14ac:dyDescent="0.25">
      <c r="B5" s="59">
        <v>1</v>
      </c>
      <c r="C5" s="45" t="s">
        <v>125</v>
      </c>
      <c r="D5" s="21">
        <v>7</v>
      </c>
      <c r="H5" s="48" t="str">
        <f>"7/30 ="</f>
        <v>7/30 =</v>
      </c>
      <c r="I5" s="51">
        <f>(7)/30</f>
        <v>0.23333333333333334</v>
      </c>
      <c r="J5" s="83" t="s">
        <v>134</v>
      </c>
      <c r="M5" s="21">
        <v>1</v>
      </c>
      <c r="N5" s="60" t="s">
        <v>125</v>
      </c>
      <c r="O5" s="21">
        <v>7</v>
      </c>
      <c r="P5" s="21">
        <v>27</v>
      </c>
      <c r="Q5" s="62">
        <f>1-(20/30)</f>
        <v>0.33333333333333337</v>
      </c>
      <c r="R5" s="62">
        <f t="shared" ref="R5:R10" si="0">R4+(O5/P5)</f>
        <v>0.35925925925925928</v>
      </c>
      <c r="S5" s="63">
        <f>1-(EXP(-0.3593))</f>
        <v>0.30183512953012848</v>
      </c>
      <c r="T5" s="63">
        <f>EXP(-0.3593)</f>
        <v>0.69816487046987152</v>
      </c>
      <c r="U5" s="64" t="s">
        <v>142</v>
      </c>
    </row>
    <row r="6" spans="2:21" x14ac:dyDescent="0.25">
      <c r="B6" s="59">
        <v>2</v>
      </c>
      <c r="C6" s="45" t="s">
        <v>126</v>
      </c>
      <c r="D6" s="21">
        <v>10</v>
      </c>
      <c r="H6" s="48" t="str">
        <f>"10/30 ="</f>
        <v>10/30 =</v>
      </c>
      <c r="I6" s="51">
        <f>(10)/30</f>
        <v>0.33333333333333331</v>
      </c>
      <c r="J6" s="83" t="s">
        <v>135</v>
      </c>
      <c r="M6" s="21">
        <v>2</v>
      </c>
      <c r="N6" s="60" t="s">
        <v>126</v>
      </c>
      <c r="O6" s="21">
        <v>10</v>
      </c>
      <c r="P6" s="21">
        <v>20</v>
      </c>
      <c r="Q6" s="62">
        <f>1-(10/30)</f>
        <v>0.66666666666666674</v>
      </c>
      <c r="R6" s="62">
        <f t="shared" si="0"/>
        <v>0.85925925925925928</v>
      </c>
      <c r="S6" s="63">
        <f>1-EXP(-0.8593)</f>
        <v>0.57654160052572356</v>
      </c>
      <c r="T6" s="63">
        <f>EXP(-0.8593)</f>
        <v>0.42345839947427644</v>
      </c>
      <c r="U6" s="64" t="s">
        <v>143</v>
      </c>
    </row>
    <row r="7" spans="2:21" ht="15.75" x14ac:dyDescent="0.25">
      <c r="B7" s="59">
        <v>3</v>
      </c>
      <c r="C7" s="45" t="s">
        <v>127</v>
      </c>
      <c r="D7" s="21">
        <v>4</v>
      </c>
      <c r="G7" s="44" t="s">
        <v>132</v>
      </c>
      <c r="H7" s="48" t="str">
        <f>"4/30 ="</f>
        <v>4/30 =</v>
      </c>
      <c r="I7" s="51">
        <f>(4)/30</f>
        <v>0.13333333333333333</v>
      </c>
      <c r="J7" s="84" t="s">
        <v>136</v>
      </c>
      <c r="M7" s="21">
        <v>3</v>
      </c>
      <c r="N7" s="60" t="s">
        <v>127</v>
      </c>
      <c r="O7" s="21">
        <v>4</v>
      </c>
      <c r="P7" s="21">
        <v>10</v>
      </c>
      <c r="Q7" s="62">
        <f>1-(6/30)</f>
        <v>0.8</v>
      </c>
      <c r="R7" s="62">
        <f t="shared" si="0"/>
        <v>1.2592592592592593</v>
      </c>
      <c r="S7" s="63">
        <f>1-EXP(-1.2593)</f>
        <v>0.71614734617022491</v>
      </c>
      <c r="T7" s="63">
        <f>EXP(-1.2593)</f>
        <v>0.28385265382977509</v>
      </c>
      <c r="U7" s="64" t="s">
        <v>144</v>
      </c>
    </row>
    <row r="8" spans="2:21" x14ac:dyDescent="0.25">
      <c r="B8" s="59">
        <v>4</v>
      </c>
      <c r="C8" s="45" t="s">
        <v>128</v>
      </c>
      <c r="D8" s="21">
        <v>3</v>
      </c>
      <c r="H8" s="48" t="str">
        <f>"3/30 ="</f>
        <v>3/30 =</v>
      </c>
      <c r="I8" s="51">
        <f>(3)/30</f>
        <v>0.1</v>
      </c>
      <c r="J8" s="84" t="s">
        <v>137</v>
      </c>
      <c r="M8" s="21">
        <v>4</v>
      </c>
      <c r="N8" s="60" t="s">
        <v>128</v>
      </c>
      <c r="O8" s="21">
        <v>3</v>
      </c>
      <c r="P8" s="21">
        <v>6</v>
      </c>
      <c r="Q8" s="62">
        <f>1-(3/30)</f>
        <v>0.9</v>
      </c>
      <c r="R8" s="62">
        <f t="shared" si="0"/>
        <v>1.7592592592592593</v>
      </c>
      <c r="S8" s="63">
        <f>1-EXP(-1.7593)</f>
        <v>0.82783466261144478</v>
      </c>
      <c r="T8" s="63">
        <f>EXP(-1.7593)</f>
        <v>0.17216533738855525</v>
      </c>
      <c r="U8" s="64" t="s">
        <v>145</v>
      </c>
    </row>
    <row r="9" spans="2:21" x14ac:dyDescent="0.25">
      <c r="B9" s="59">
        <v>5</v>
      </c>
      <c r="C9" s="45" t="s">
        <v>129</v>
      </c>
      <c r="D9" s="21">
        <v>1</v>
      </c>
      <c r="H9" s="48" t="str">
        <f>"1/30 ="</f>
        <v>1/30 =</v>
      </c>
      <c r="I9" s="51">
        <f>(1)/30</f>
        <v>3.3333333333333333E-2</v>
      </c>
      <c r="J9" s="84" t="s">
        <v>138</v>
      </c>
      <c r="M9" s="21">
        <v>5</v>
      </c>
      <c r="N9" s="60" t="s">
        <v>129</v>
      </c>
      <c r="O9" s="21">
        <v>1</v>
      </c>
      <c r="P9" s="21">
        <v>3</v>
      </c>
      <c r="Q9" s="62">
        <f>1-(2/30)</f>
        <v>0.93333333333333335</v>
      </c>
      <c r="R9" s="62">
        <f t="shared" si="0"/>
        <v>2.0925925925925926</v>
      </c>
      <c r="S9" s="63">
        <f>1-EXP(-2.0926)</f>
        <v>0.87663403303523701</v>
      </c>
      <c r="T9" s="63">
        <f>EXP(-2.0926)</f>
        <v>0.12336596696476303</v>
      </c>
      <c r="U9" s="21" t="s">
        <v>146</v>
      </c>
    </row>
    <row r="10" spans="2:21" x14ac:dyDescent="0.25">
      <c r="B10" s="59">
        <v>6</v>
      </c>
      <c r="C10" s="67" t="s">
        <v>159</v>
      </c>
      <c r="D10" s="21">
        <v>2</v>
      </c>
      <c r="H10" s="49" t="str">
        <f>"2/30 ="</f>
        <v>2/30 =</v>
      </c>
      <c r="I10" s="52">
        <f>(2)/30</f>
        <v>6.6666666666666666E-2</v>
      </c>
      <c r="J10" s="82" t="s">
        <v>139</v>
      </c>
      <c r="M10" s="21">
        <v>6</v>
      </c>
      <c r="N10" s="68" t="s">
        <v>159</v>
      </c>
      <c r="O10" s="21">
        <v>2</v>
      </c>
      <c r="P10" s="21">
        <v>2</v>
      </c>
      <c r="Q10" s="62">
        <f>1-(0/30)</f>
        <v>1</v>
      </c>
      <c r="R10" s="62">
        <f t="shared" si="0"/>
        <v>3.0925925925925926</v>
      </c>
      <c r="S10" s="63">
        <f>1-EXP(-3.0926)</f>
        <v>0.95461619701342837</v>
      </c>
      <c r="T10" s="63">
        <f>EXP(-3.0926)</f>
        <v>4.5383802986571638E-2</v>
      </c>
      <c r="U10" s="65" t="s">
        <v>147</v>
      </c>
    </row>
    <row r="11" spans="2:21" x14ac:dyDescent="0.25">
      <c r="C11" s="43"/>
    </row>
    <row r="14" spans="2:21" x14ac:dyDescent="0.25">
      <c r="R14" s="107"/>
      <c r="S14" s="107"/>
      <c r="T14" s="107"/>
    </row>
    <row r="15" spans="2:21" x14ac:dyDescent="0.25">
      <c r="H15" s="53" t="str">
        <f>"0/30 ="</f>
        <v>0/30 =</v>
      </c>
      <c r="I15" s="50">
        <v>0</v>
      </c>
      <c r="J15" s="79" t="s">
        <v>141</v>
      </c>
      <c r="N15" s="70" t="s">
        <v>160</v>
      </c>
      <c r="O15" s="71" t="s">
        <v>161</v>
      </c>
      <c r="P15" s="71" t="s">
        <v>162</v>
      </c>
      <c r="R15" s="107"/>
      <c r="S15" s="107"/>
      <c r="T15" s="107"/>
    </row>
    <row r="16" spans="2:21" x14ac:dyDescent="0.25">
      <c r="H16" s="54" t="str">
        <f>"3/30 ="</f>
        <v>3/30 =</v>
      </c>
      <c r="I16" s="56">
        <f>3/30</f>
        <v>0.1</v>
      </c>
      <c r="J16" s="80" t="s">
        <v>140</v>
      </c>
      <c r="N16" s="57">
        <f>(75000000+50000000)/2</f>
        <v>62500000</v>
      </c>
      <c r="O16" s="21">
        <v>3</v>
      </c>
      <c r="P16" s="69">
        <f>O16*N16</f>
        <v>187500000</v>
      </c>
      <c r="R16" s="107"/>
      <c r="S16" s="72">
        <f>(N16^2)*O16</f>
        <v>1.171875E+16</v>
      </c>
      <c r="T16" s="107"/>
    </row>
    <row r="17" spans="7:21" x14ac:dyDescent="0.25">
      <c r="H17" s="54" t="str">
        <f>"10/30 ="</f>
        <v>10/30 =</v>
      </c>
      <c r="I17" s="56">
        <f>(3+7)/30</f>
        <v>0.33333333333333331</v>
      </c>
      <c r="J17" s="80" t="s">
        <v>142</v>
      </c>
      <c r="N17" s="57">
        <f>(100000000+75000000)/2</f>
        <v>87500000</v>
      </c>
      <c r="O17" s="21">
        <v>7</v>
      </c>
      <c r="P17" s="69">
        <f t="shared" ref="P17:P22" si="1">O17*N17</f>
        <v>612500000</v>
      </c>
      <c r="R17" s="107"/>
      <c r="S17" s="72">
        <f t="shared" ref="S17:S22" si="2">(N17^2)*O17</f>
        <v>5.359375E+16</v>
      </c>
      <c r="T17" s="107"/>
    </row>
    <row r="18" spans="7:21" ht="15.75" x14ac:dyDescent="0.25">
      <c r="G18" s="44" t="s">
        <v>148</v>
      </c>
      <c r="H18" s="54" t="str">
        <f>"20/30 ="</f>
        <v>20/30 =</v>
      </c>
      <c r="I18" s="56">
        <f>(3+7+10)/30</f>
        <v>0.66666666666666663</v>
      </c>
      <c r="J18" s="80" t="s">
        <v>143</v>
      </c>
      <c r="N18" s="57">
        <f>(125000000+100000000)/2</f>
        <v>112500000</v>
      </c>
      <c r="O18" s="21">
        <v>10</v>
      </c>
      <c r="P18" s="69">
        <f t="shared" si="1"/>
        <v>1125000000</v>
      </c>
      <c r="R18" s="107"/>
      <c r="S18" s="72">
        <f t="shared" si="2"/>
        <v>1.265625E+17</v>
      </c>
      <c r="T18" s="107"/>
      <c r="U18" s="106"/>
    </row>
    <row r="19" spans="7:21" x14ac:dyDescent="0.25">
      <c r="H19" s="54" t="str">
        <f>"24/30 ="</f>
        <v>24/30 =</v>
      </c>
      <c r="I19" s="56">
        <f>(3+7+10+4)/30</f>
        <v>0.8</v>
      </c>
      <c r="J19" s="80" t="s">
        <v>144</v>
      </c>
      <c r="N19" s="57">
        <f>(150000000+125000000)/2</f>
        <v>137500000</v>
      </c>
      <c r="O19" s="21">
        <v>4</v>
      </c>
      <c r="P19" s="69">
        <f t="shared" si="1"/>
        <v>550000000</v>
      </c>
      <c r="R19" s="107"/>
      <c r="S19" s="72">
        <f t="shared" si="2"/>
        <v>7.5625E+16</v>
      </c>
      <c r="T19" s="107"/>
      <c r="U19" s="106"/>
    </row>
    <row r="20" spans="7:21" x14ac:dyDescent="0.25">
      <c r="H20" s="54" t="str">
        <f>"27/30 ="</f>
        <v>27/30 =</v>
      </c>
      <c r="I20" s="56">
        <f>(3+7+10+4+3)/30</f>
        <v>0.9</v>
      </c>
      <c r="J20" s="80" t="s">
        <v>145</v>
      </c>
      <c r="N20" s="57">
        <f>(175000000+150000000)/2</f>
        <v>162500000</v>
      </c>
      <c r="O20" s="21">
        <v>3</v>
      </c>
      <c r="P20" s="69">
        <f t="shared" si="1"/>
        <v>487500000</v>
      </c>
      <c r="R20" s="107"/>
      <c r="S20" s="72">
        <f t="shared" si="2"/>
        <v>7.921875E+16</v>
      </c>
      <c r="T20" s="107"/>
      <c r="U20" s="106"/>
    </row>
    <row r="21" spans="7:21" x14ac:dyDescent="0.25">
      <c r="H21" s="54" t="str">
        <f>"28/30 ="</f>
        <v>28/30 =</v>
      </c>
      <c r="I21" s="51">
        <f>(3+7+10+4+3+1)/30</f>
        <v>0.93333333333333335</v>
      </c>
      <c r="J21" s="81" t="s">
        <v>146</v>
      </c>
      <c r="N21" s="57">
        <f>(200000000+175000000)/2</f>
        <v>187500000</v>
      </c>
      <c r="O21" s="21">
        <v>1</v>
      </c>
      <c r="P21" s="69">
        <f>O21*N21</f>
        <v>187500000</v>
      </c>
      <c r="R21" s="107"/>
      <c r="S21" s="72">
        <f t="shared" si="2"/>
        <v>3.515625E+16</v>
      </c>
      <c r="T21" s="107"/>
      <c r="U21" s="106"/>
    </row>
    <row r="22" spans="7:21" x14ac:dyDescent="0.25">
      <c r="H22" s="55" t="str">
        <f>"30/30 ="</f>
        <v>30/30 =</v>
      </c>
      <c r="I22" s="52">
        <f>(3+7+10+4+3+1+2)/30</f>
        <v>1</v>
      </c>
      <c r="J22" s="82" t="s">
        <v>147</v>
      </c>
      <c r="N22" s="57">
        <f>(225000000+200000000)/2</f>
        <v>212500000</v>
      </c>
      <c r="O22" s="21">
        <v>2</v>
      </c>
      <c r="P22" s="69">
        <f t="shared" si="1"/>
        <v>425000000</v>
      </c>
      <c r="R22" s="107"/>
      <c r="S22" s="72">
        <f t="shared" si="2"/>
        <v>9.03125E+16</v>
      </c>
      <c r="T22" s="107"/>
      <c r="U22" s="106"/>
    </row>
    <row r="23" spans="7:21" x14ac:dyDescent="0.25">
      <c r="N23" s="73" t="s">
        <v>163</v>
      </c>
      <c r="O23" s="61">
        <v>30</v>
      </c>
      <c r="P23" s="74">
        <f>SUM(P16:P22)</f>
        <v>3575000000</v>
      </c>
      <c r="R23" s="107"/>
      <c r="S23" s="72">
        <f>SUM(S16:S22)</f>
        <v>4.721875E+17</v>
      </c>
      <c r="T23" s="107"/>
      <c r="U23" s="106"/>
    </row>
    <row r="24" spans="7:21" x14ac:dyDescent="0.25">
      <c r="N24" s="116" t="s">
        <v>164</v>
      </c>
      <c r="O24" s="116"/>
      <c r="P24" s="76">
        <f>P23/30</f>
        <v>119166666.66666667</v>
      </c>
      <c r="R24" s="107"/>
      <c r="S24" s="72">
        <f>S23/30</f>
        <v>1.5739583333333334E+16</v>
      </c>
      <c r="T24" s="107"/>
      <c r="U24" s="106"/>
    </row>
    <row r="25" spans="7:21" x14ac:dyDescent="0.25">
      <c r="N25" s="116" t="s">
        <v>165</v>
      </c>
      <c r="O25" s="116"/>
      <c r="P25" s="77">
        <f>(S24)-(P24^2)</f>
        <v>1538888888888888</v>
      </c>
      <c r="R25" s="107"/>
      <c r="S25" s="107"/>
      <c r="T25" s="107"/>
      <c r="U25" s="106"/>
    </row>
    <row r="26" spans="7:21" x14ac:dyDescent="0.25">
      <c r="N26" s="117" t="s">
        <v>166</v>
      </c>
      <c r="O26" s="117"/>
      <c r="P26" s="77">
        <f>P25^0.5</f>
        <v>39228674.319799386</v>
      </c>
      <c r="R26" s="107"/>
      <c r="S26" s="107"/>
      <c r="T26" s="107"/>
      <c r="U26" s="106"/>
    </row>
    <row r="27" spans="7:21" x14ac:dyDescent="0.25">
      <c r="N27" s="116" t="s">
        <v>167</v>
      </c>
      <c r="O27" s="116"/>
      <c r="P27" s="78">
        <f>P26/P24</f>
        <v>0.32919167261370114</v>
      </c>
      <c r="R27" s="107"/>
      <c r="S27" s="107"/>
      <c r="T27" s="107"/>
      <c r="U27" s="106"/>
    </row>
    <row r="28" spans="7:21" x14ac:dyDescent="0.25">
      <c r="R28" s="107"/>
      <c r="S28" s="107"/>
      <c r="T28" s="107"/>
    </row>
    <row r="29" spans="7:21" x14ac:dyDescent="0.25">
      <c r="P29" s="66"/>
    </row>
  </sheetData>
  <mergeCells count="5">
    <mergeCell ref="B2:D2"/>
    <mergeCell ref="N24:O24"/>
    <mergeCell ref="N25:O25"/>
    <mergeCell ref="N26:O26"/>
    <mergeCell ref="N27:O2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69"/>
  <sheetViews>
    <sheetView topLeftCell="H43" workbookViewId="0">
      <selection activeCell="Y46" sqref="Y46"/>
    </sheetView>
  </sheetViews>
  <sheetFormatPr defaultRowHeight="15" x14ac:dyDescent="0.25"/>
  <cols>
    <col min="2" max="2" width="16.85546875" customWidth="1"/>
    <col min="3" max="3" width="4" customWidth="1"/>
    <col min="5" max="5" width="15.28515625" customWidth="1"/>
    <col min="7" max="7" width="0.85546875" customWidth="1"/>
    <col min="9" max="9" width="29.42578125" customWidth="1"/>
    <col min="10" max="14" width="8.7109375" customWidth="1"/>
    <col min="15" max="15" width="13.85546875" bestFit="1" customWidth="1"/>
    <col min="16" max="16" width="16.42578125" bestFit="1" customWidth="1"/>
    <col min="17" max="17" width="29.7109375" customWidth="1"/>
    <col min="18" max="18" width="4.140625" customWidth="1"/>
    <col min="19" max="19" width="13.42578125" customWidth="1"/>
    <col min="21" max="21" width="24.7109375" customWidth="1"/>
    <col min="22" max="22" width="15" customWidth="1"/>
    <col min="23" max="23" width="21.5703125" bestFit="1" customWidth="1"/>
    <col min="25" max="25" width="14.85546875" bestFit="1" customWidth="1"/>
    <col min="26" max="26" width="16.28515625" customWidth="1"/>
    <col min="27" max="27" width="20.85546875" customWidth="1"/>
  </cols>
  <sheetData>
    <row r="1" spans="2:27" x14ac:dyDescent="0.25">
      <c r="Z1" s="108">
        <v>45000000</v>
      </c>
      <c r="AA1">
        <f>_xlfn.NORM.DIST(Z1,$U$39,$U$41,FALSE)</f>
        <v>1.4770111115360579E-9</v>
      </c>
    </row>
    <row r="2" spans="2:27" x14ac:dyDescent="0.25">
      <c r="Z2" s="108">
        <f>Z1+5000000</f>
        <v>50000000</v>
      </c>
      <c r="AA2">
        <f t="shared" ref="AA2:AA38" si="0">_xlfn.NORM.DIST(Z2,$U$39,$U$41,FALSE)</f>
        <v>1.8814892399370824E-9</v>
      </c>
    </row>
    <row r="3" spans="2:27" x14ac:dyDescent="0.25">
      <c r="B3" s="46" t="s">
        <v>152</v>
      </c>
      <c r="C3" s="93"/>
      <c r="D3" s="115" t="s">
        <v>187</v>
      </c>
      <c r="E3" s="115"/>
      <c r="F3" s="43"/>
      <c r="H3" s="75" t="s">
        <v>153</v>
      </c>
      <c r="I3" s="70" t="s">
        <v>149</v>
      </c>
      <c r="J3" s="70" t="s">
        <v>150</v>
      </c>
      <c r="K3" s="70" t="s">
        <v>151</v>
      </c>
      <c r="L3" s="70" t="s">
        <v>155</v>
      </c>
      <c r="M3" s="70" t="s">
        <v>154</v>
      </c>
      <c r="N3" s="70" t="s">
        <v>156</v>
      </c>
      <c r="O3" s="70" t="s">
        <v>158</v>
      </c>
      <c r="P3" s="70" t="s">
        <v>181</v>
      </c>
      <c r="Q3" s="104"/>
      <c r="S3" s="70" t="s">
        <v>168</v>
      </c>
      <c r="T3" s="70" t="s">
        <v>169</v>
      </c>
      <c r="U3" s="70" t="s">
        <v>170</v>
      </c>
      <c r="V3" s="70" t="s">
        <v>171</v>
      </c>
      <c r="W3" s="70" t="s">
        <v>183</v>
      </c>
      <c r="Z3" s="108">
        <f t="shared" ref="Z3:Z38" si="1">Z2+5000000</f>
        <v>55000000</v>
      </c>
      <c r="AA3">
        <f t="shared" si="0"/>
        <v>2.358165404579377E-9</v>
      </c>
    </row>
    <row r="4" spans="2:27" x14ac:dyDescent="0.25">
      <c r="B4" s="57">
        <v>223352402</v>
      </c>
      <c r="C4" s="92"/>
      <c r="D4" s="119">
        <f>1/30</f>
        <v>3.3333333333333333E-2</v>
      </c>
      <c r="E4" s="119"/>
      <c r="H4" s="21">
        <v>1</v>
      </c>
      <c r="I4" s="85">
        <v>69064200</v>
      </c>
      <c r="J4" s="21">
        <v>1</v>
      </c>
      <c r="K4" s="21">
        <v>30</v>
      </c>
      <c r="L4" s="63">
        <f>1-(K5/30)</f>
        <v>3.3333333333333326E-2</v>
      </c>
      <c r="M4" s="62">
        <f>L4</f>
        <v>3.3333333333333326E-2</v>
      </c>
      <c r="N4" s="62">
        <f>1-(EXP(-M4))</f>
        <v>3.2783899517994097E-2</v>
      </c>
      <c r="O4" s="63">
        <f>EXP(-M4)</f>
        <v>0.9672161004820059</v>
      </c>
      <c r="P4" s="63">
        <f>LN(I4)</f>
        <v>18.050547064758007</v>
      </c>
      <c r="Q4" s="63">
        <f>(P4-SUM($P$4:$P$33)/30)^2</f>
        <v>0.27240631129052723</v>
      </c>
      <c r="S4" s="85">
        <v>69064200</v>
      </c>
      <c r="T4" s="63">
        <f>1/30</f>
        <v>3.3333333333333333E-2</v>
      </c>
      <c r="U4" s="88">
        <f>S4*T4</f>
        <v>2302140</v>
      </c>
      <c r="V4" s="89">
        <f>(S4^2)*(T4)</f>
        <v>158995457388000</v>
      </c>
      <c r="W4" s="101">
        <f>S4^2</f>
        <v>4769863721640000</v>
      </c>
      <c r="Z4" s="108">
        <f t="shared" si="1"/>
        <v>60000000</v>
      </c>
      <c r="AA4">
        <f t="shared" si="0"/>
        <v>2.9080464346586842E-9</v>
      </c>
    </row>
    <row r="5" spans="2:27" x14ac:dyDescent="0.25">
      <c r="B5" s="57">
        <v>213472857</v>
      </c>
      <c r="C5" s="92"/>
      <c r="D5" s="119">
        <f t="shared" ref="D5:D33" si="2">1/30</f>
        <v>3.3333333333333333E-2</v>
      </c>
      <c r="E5" s="119"/>
      <c r="H5" s="21">
        <f>1+H4</f>
        <v>2</v>
      </c>
      <c r="I5" s="85">
        <v>70762833</v>
      </c>
      <c r="J5" s="21">
        <v>1</v>
      </c>
      <c r="K5" s="21">
        <v>29</v>
      </c>
      <c r="L5" s="63">
        <f t="shared" ref="L5:L33" si="3">1-(K6/30)</f>
        <v>6.6666666666666652E-2</v>
      </c>
      <c r="M5" s="62">
        <f>M4+(J5/K5)</f>
        <v>6.7816091954022981E-2</v>
      </c>
      <c r="N5" s="62">
        <f t="shared" ref="N5:N33" si="4">1-(EXP(-M5))</f>
        <v>6.5567692604330707E-2</v>
      </c>
      <c r="O5" s="63">
        <f t="shared" ref="O5:O33" si="5">EXP(-M5)</f>
        <v>0.93443230739566929</v>
      </c>
      <c r="P5" s="63">
        <f t="shared" ref="P5:P33" si="6">LN(I5)</f>
        <v>18.074844463198332</v>
      </c>
      <c r="Q5" s="63">
        <f t="shared" ref="Q5:Q33" si="7">(P5-SUM($P$4:$P$33)/30)^2</f>
        <v>0.24763380730377046</v>
      </c>
      <c r="S5" s="85">
        <v>70762833</v>
      </c>
      <c r="T5" s="63">
        <f t="shared" ref="T5:T33" si="8">1/30</f>
        <v>3.3333333333333333E-2</v>
      </c>
      <c r="U5" s="88">
        <f t="shared" ref="U5:U33" si="9">S5*T5</f>
        <v>2358761.1</v>
      </c>
      <c r="V5" s="89">
        <f t="shared" ref="V5:V33" si="10">(S5^2)*(T5)</f>
        <v>166912617806196.31</v>
      </c>
      <c r="W5" s="101">
        <f t="shared" ref="W5:W33" si="11">S5^2</f>
        <v>5007378534185889</v>
      </c>
      <c r="Z5" s="108">
        <f t="shared" si="1"/>
        <v>65000000</v>
      </c>
      <c r="AA5">
        <f t="shared" si="0"/>
        <v>3.5284418002618672E-9</v>
      </c>
    </row>
    <row r="6" spans="2:27" x14ac:dyDescent="0.25">
      <c r="B6" s="57">
        <v>182161414</v>
      </c>
      <c r="C6" s="92"/>
      <c r="D6" s="119">
        <f t="shared" si="2"/>
        <v>3.3333333333333333E-2</v>
      </c>
      <c r="E6" s="119"/>
      <c r="H6" s="21">
        <f t="shared" ref="H6:H33" si="12">1+H5</f>
        <v>3</v>
      </c>
      <c r="I6" s="85">
        <v>74849584</v>
      </c>
      <c r="J6" s="21">
        <v>1</v>
      </c>
      <c r="K6" s="21">
        <v>28</v>
      </c>
      <c r="L6" s="63">
        <f t="shared" si="3"/>
        <v>9.9999999999999978E-2</v>
      </c>
      <c r="M6" s="62">
        <f t="shared" ref="M6:M33" si="13">M5+(J6/K6)</f>
        <v>0.10353037766830869</v>
      </c>
      <c r="N6" s="62">
        <f t="shared" si="4"/>
        <v>9.835136765725494E-2</v>
      </c>
      <c r="O6" s="63">
        <f t="shared" si="5"/>
        <v>0.90164863234274506</v>
      </c>
      <c r="P6" s="63">
        <f t="shared" si="6"/>
        <v>18.130991111032237</v>
      </c>
      <c r="Q6" s="63">
        <f t="shared" si="7"/>
        <v>0.19490594481726106</v>
      </c>
      <c r="S6" s="85">
        <v>74849584</v>
      </c>
      <c r="T6" s="63">
        <f t="shared" si="8"/>
        <v>3.3333333333333333E-2</v>
      </c>
      <c r="U6" s="88">
        <f t="shared" si="9"/>
        <v>2494986.1333333333</v>
      </c>
      <c r="V6" s="89">
        <f t="shared" si="10"/>
        <v>186748674165768.53</v>
      </c>
      <c r="W6" s="101">
        <f t="shared" si="11"/>
        <v>5602460224973056</v>
      </c>
      <c r="Z6" s="108">
        <f t="shared" si="1"/>
        <v>70000000</v>
      </c>
      <c r="AA6">
        <f t="shared" si="0"/>
        <v>4.2122983911176328E-9</v>
      </c>
    </row>
    <row r="7" spans="2:27" x14ac:dyDescent="0.25">
      <c r="B7" s="57">
        <v>172792250</v>
      </c>
      <c r="C7" s="92"/>
      <c r="D7" s="119">
        <f t="shared" si="2"/>
        <v>3.3333333333333333E-2</v>
      </c>
      <c r="E7" s="119"/>
      <c r="H7" s="21">
        <f t="shared" si="12"/>
        <v>4</v>
      </c>
      <c r="I7" s="85">
        <v>80786666</v>
      </c>
      <c r="J7" s="21">
        <v>1</v>
      </c>
      <c r="K7" s="21">
        <v>27</v>
      </c>
      <c r="L7" s="63">
        <f t="shared" si="3"/>
        <v>0.1333333333333333</v>
      </c>
      <c r="M7" s="62">
        <f t="shared" si="13"/>
        <v>0.14056741470534573</v>
      </c>
      <c r="N7" s="62">
        <f t="shared" si="4"/>
        <v>0.13113491132559008</v>
      </c>
      <c r="O7" s="63">
        <f t="shared" si="5"/>
        <v>0.86886508867440992</v>
      </c>
      <c r="P7" s="63">
        <f t="shared" si="6"/>
        <v>18.207322485120766</v>
      </c>
      <c r="Q7" s="63">
        <f t="shared" si="7"/>
        <v>0.13333463924554792</v>
      </c>
      <c r="S7" s="85">
        <v>80786666</v>
      </c>
      <c r="T7" s="63">
        <f t="shared" si="8"/>
        <v>3.3333333333333333E-2</v>
      </c>
      <c r="U7" s="88">
        <f t="shared" si="9"/>
        <v>2692888.8666666667</v>
      </c>
      <c r="V7" s="89">
        <f t="shared" si="10"/>
        <v>217549513446518.53</v>
      </c>
      <c r="W7" s="101">
        <f t="shared" si="11"/>
        <v>6526485403395556</v>
      </c>
      <c r="Z7" s="108">
        <f t="shared" si="1"/>
        <v>75000000</v>
      </c>
      <c r="AA7">
        <f t="shared" si="0"/>
        <v>4.9477739116551384E-9</v>
      </c>
    </row>
    <row r="8" spans="2:27" x14ac:dyDescent="0.25">
      <c r="B8" s="57">
        <v>166495942</v>
      </c>
      <c r="C8" s="92"/>
      <c r="D8" s="119">
        <f t="shared" si="2"/>
        <v>3.3333333333333333E-2</v>
      </c>
      <c r="E8" s="119"/>
      <c r="H8" s="21">
        <f t="shared" si="12"/>
        <v>5</v>
      </c>
      <c r="I8" s="85">
        <v>84637500</v>
      </c>
      <c r="J8" s="21">
        <v>1</v>
      </c>
      <c r="K8" s="21">
        <v>26</v>
      </c>
      <c r="L8" s="63">
        <f t="shared" si="3"/>
        <v>0.16666666666666663</v>
      </c>
      <c r="M8" s="62">
        <f t="shared" si="13"/>
        <v>0.17902895316688419</v>
      </c>
      <c r="N8" s="62">
        <f t="shared" si="4"/>
        <v>0.16391830816615804</v>
      </c>
      <c r="O8" s="63">
        <f t="shared" si="5"/>
        <v>0.83608169183384196</v>
      </c>
      <c r="P8" s="63">
        <f t="shared" si="6"/>
        <v>18.253887988776039</v>
      </c>
      <c r="Q8" s="63">
        <f t="shared" si="7"/>
        <v>0.10149618316887837</v>
      </c>
      <c r="S8" s="85">
        <v>84637500</v>
      </c>
      <c r="T8" s="63">
        <f t="shared" si="8"/>
        <v>3.3333333333333333E-2</v>
      </c>
      <c r="U8" s="88">
        <f t="shared" si="9"/>
        <v>2821250</v>
      </c>
      <c r="V8" s="89">
        <f t="shared" si="10"/>
        <v>238783546875000</v>
      </c>
      <c r="W8" s="101">
        <f t="shared" si="11"/>
        <v>7163506406250000</v>
      </c>
      <c r="Z8" s="108">
        <f t="shared" si="1"/>
        <v>80000000</v>
      </c>
      <c r="AA8">
        <f t="shared" si="0"/>
        <v>5.7181443269807795E-9</v>
      </c>
    </row>
    <row r="9" spans="2:27" x14ac:dyDescent="0.25">
      <c r="B9" s="57">
        <v>166010977</v>
      </c>
      <c r="C9" s="92"/>
      <c r="D9" s="119">
        <f t="shared" si="2"/>
        <v>3.3333333333333333E-2</v>
      </c>
      <c r="E9" s="119"/>
      <c r="H9" s="21">
        <f t="shared" si="12"/>
        <v>6</v>
      </c>
      <c r="I9" s="85">
        <v>85885832</v>
      </c>
      <c r="J9" s="21">
        <v>1</v>
      </c>
      <c r="K9" s="21">
        <v>25</v>
      </c>
      <c r="L9" s="63">
        <f t="shared" si="3"/>
        <v>0.19999999999999996</v>
      </c>
      <c r="M9" s="62">
        <f t="shared" si="13"/>
        <v>0.2190289531668842</v>
      </c>
      <c r="N9" s="62">
        <f t="shared" si="4"/>
        <v>0.19670154021743746</v>
      </c>
      <c r="O9" s="63">
        <f t="shared" si="5"/>
        <v>0.80329845978256254</v>
      </c>
      <c r="P9" s="63">
        <f t="shared" si="6"/>
        <v>18.268529437378991</v>
      </c>
      <c r="Q9" s="63">
        <f t="shared" si="7"/>
        <v>9.2381473447059811E-2</v>
      </c>
      <c r="S9" s="85">
        <v>85885832</v>
      </c>
      <c r="T9" s="63">
        <f t="shared" si="8"/>
        <v>3.3333333333333333E-2</v>
      </c>
      <c r="U9" s="88">
        <f t="shared" si="9"/>
        <v>2862861.0666666664</v>
      </c>
      <c r="V9" s="89">
        <f t="shared" si="10"/>
        <v>245879204611074.12</v>
      </c>
      <c r="W9" s="101">
        <f t="shared" si="11"/>
        <v>7376376138332224</v>
      </c>
      <c r="Z9" s="108">
        <f t="shared" si="1"/>
        <v>85000000</v>
      </c>
      <c r="AA9">
        <f t="shared" si="0"/>
        <v>6.5021192109188759E-9</v>
      </c>
    </row>
    <row r="10" spans="2:27" x14ac:dyDescent="0.25">
      <c r="B10" s="57">
        <v>146449583</v>
      </c>
      <c r="C10" s="92"/>
      <c r="D10" s="119">
        <f t="shared" si="2"/>
        <v>3.3333333333333333E-2</v>
      </c>
      <c r="E10" s="119"/>
      <c r="H10" s="21">
        <f t="shared" si="12"/>
        <v>7</v>
      </c>
      <c r="I10" s="85">
        <v>87746767</v>
      </c>
      <c r="J10" s="21">
        <v>1</v>
      </c>
      <c r="K10" s="21">
        <v>24</v>
      </c>
      <c r="L10" s="63">
        <f t="shared" si="3"/>
        <v>0.23333333333333328</v>
      </c>
      <c r="M10" s="62">
        <f t="shared" si="13"/>
        <v>0.26069561983355088</v>
      </c>
      <c r="N10" s="62">
        <f t="shared" si="4"/>
        <v>0.22948458646455705</v>
      </c>
      <c r="O10" s="63">
        <f t="shared" si="5"/>
        <v>0.77051541353544295</v>
      </c>
      <c r="P10" s="63">
        <f t="shared" si="6"/>
        <v>18.289965576326676</v>
      </c>
      <c r="Q10" s="63">
        <f t="shared" si="7"/>
        <v>7.9810243839344694E-2</v>
      </c>
      <c r="S10" s="85">
        <v>87746767</v>
      </c>
      <c r="T10" s="63">
        <f t="shared" si="8"/>
        <v>3.3333333333333333E-2</v>
      </c>
      <c r="U10" s="88">
        <f t="shared" si="9"/>
        <v>2924892.2333333334</v>
      </c>
      <c r="V10" s="89">
        <f t="shared" si="10"/>
        <v>256649837298409.62</v>
      </c>
      <c r="W10" s="101">
        <f t="shared" si="11"/>
        <v>7699495118952289</v>
      </c>
      <c r="Z10" s="108">
        <f t="shared" si="1"/>
        <v>90000000</v>
      </c>
      <c r="AA10">
        <f t="shared" si="0"/>
        <v>7.2746028904476138E-9</v>
      </c>
    </row>
    <row r="11" spans="2:27" x14ac:dyDescent="0.25">
      <c r="B11" s="57">
        <v>144816873</v>
      </c>
      <c r="C11" s="92"/>
      <c r="D11" s="119">
        <f t="shared" si="2"/>
        <v>3.3333333333333333E-2</v>
      </c>
      <c r="E11" s="119"/>
      <c r="H11" s="21">
        <f t="shared" si="12"/>
        <v>8</v>
      </c>
      <c r="I11" s="85">
        <v>91622648</v>
      </c>
      <c r="J11" s="21">
        <v>1</v>
      </c>
      <c r="K11" s="21">
        <v>23</v>
      </c>
      <c r="L11" s="63">
        <f t="shared" si="3"/>
        <v>0.26666666666666672</v>
      </c>
      <c r="M11" s="62">
        <f t="shared" si="13"/>
        <v>0.30417388070311613</v>
      </c>
      <c r="N11" s="62">
        <f t="shared" si="4"/>
        <v>0.26226742216188881</v>
      </c>
      <c r="O11" s="63">
        <f t="shared" si="5"/>
        <v>0.73773257783811119</v>
      </c>
      <c r="P11" s="63">
        <f t="shared" si="6"/>
        <v>18.333189047991681</v>
      </c>
      <c r="Q11" s="63">
        <f t="shared" si="7"/>
        <v>5.7256639787880648E-2</v>
      </c>
      <c r="S11" s="85">
        <v>91622648</v>
      </c>
      <c r="T11" s="63">
        <f t="shared" si="8"/>
        <v>3.3333333333333333E-2</v>
      </c>
      <c r="U11" s="88">
        <f t="shared" si="9"/>
        <v>3054088.2666666666</v>
      </c>
      <c r="V11" s="89">
        <f t="shared" si="10"/>
        <v>279823654217730.12</v>
      </c>
      <c r="W11" s="101">
        <f t="shared" si="11"/>
        <v>8394709626531904</v>
      </c>
      <c r="Z11" s="108">
        <f t="shared" si="1"/>
        <v>95000000</v>
      </c>
      <c r="AA11">
        <f t="shared" si="0"/>
        <v>8.0078919081817228E-9</v>
      </c>
    </row>
    <row r="12" spans="2:27" x14ac:dyDescent="0.25">
      <c r="B12" s="57">
        <v>133048000</v>
      </c>
      <c r="C12" s="92"/>
      <c r="D12" s="119">
        <f t="shared" si="2"/>
        <v>3.3333333333333333E-2</v>
      </c>
      <c r="E12" s="119"/>
      <c r="H12" s="21">
        <f t="shared" si="12"/>
        <v>9</v>
      </c>
      <c r="I12" s="85">
        <v>98261171</v>
      </c>
      <c r="J12" s="21">
        <v>1</v>
      </c>
      <c r="K12" s="21">
        <v>22</v>
      </c>
      <c r="L12" s="63">
        <f t="shared" si="3"/>
        <v>0.30000000000000004</v>
      </c>
      <c r="M12" s="62">
        <f t="shared" si="13"/>
        <v>0.3496284261576616</v>
      </c>
      <c r="N12" s="62">
        <f t="shared" si="4"/>
        <v>0.29505001796698616</v>
      </c>
      <c r="O12" s="63">
        <f t="shared" si="5"/>
        <v>0.70494998203301384</v>
      </c>
      <c r="P12" s="63">
        <f t="shared" si="6"/>
        <v>18.403139501995867</v>
      </c>
      <c r="Q12" s="63">
        <f t="shared" si="7"/>
        <v>2.8673713313035205E-2</v>
      </c>
      <c r="S12" s="85">
        <v>98261171</v>
      </c>
      <c r="T12" s="63">
        <f t="shared" si="8"/>
        <v>3.3333333333333333E-2</v>
      </c>
      <c r="U12" s="88">
        <f t="shared" si="9"/>
        <v>3275372.3666666667</v>
      </c>
      <c r="V12" s="89">
        <f t="shared" si="10"/>
        <v>321841924209708</v>
      </c>
      <c r="W12" s="101">
        <f t="shared" si="11"/>
        <v>9655257726291240</v>
      </c>
      <c r="Z12" s="108">
        <f t="shared" si="1"/>
        <v>100000000</v>
      </c>
      <c r="AA12">
        <f t="shared" si="0"/>
        <v>8.6732459537410277E-9</v>
      </c>
    </row>
    <row r="13" spans="2:27" x14ac:dyDescent="0.25">
      <c r="B13" s="57">
        <v>126369628</v>
      </c>
      <c r="C13" s="92"/>
      <c r="D13" s="119">
        <f t="shared" si="2"/>
        <v>3.3333333333333333E-2</v>
      </c>
      <c r="E13" s="119"/>
      <c r="H13" s="21">
        <f t="shared" si="12"/>
        <v>10</v>
      </c>
      <c r="I13" s="85">
        <v>98683035</v>
      </c>
      <c r="J13" s="21">
        <v>1</v>
      </c>
      <c r="K13" s="21">
        <v>21</v>
      </c>
      <c r="L13" s="63">
        <f t="shared" si="3"/>
        <v>0.33333333333333337</v>
      </c>
      <c r="M13" s="62">
        <f t="shared" si="13"/>
        <v>0.39724747377670921</v>
      </c>
      <c r="N13" s="62">
        <f t="shared" si="4"/>
        <v>0.32783233882160723</v>
      </c>
      <c r="O13" s="63">
        <f t="shared" si="5"/>
        <v>0.67216766117839277</v>
      </c>
      <c r="P13" s="63">
        <f t="shared" si="6"/>
        <v>18.407423605131395</v>
      </c>
      <c r="Q13" s="63">
        <f t="shared" si="7"/>
        <v>2.724118555509273E-2</v>
      </c>
      <c r="S13" s="85">
        <v>98683035</v>
      </c>
      <c r="T13" s="63">
        <f t="shared" si="8"/>
        <v>3.3333333333333333E-2</v>
      </c>
      <c r="U13" s="88">
        <f t="shared" si="9"/>
        <v>3289434.5</v>
      </c>
      <c r="V13" s="89">
        <f t="shared" si="10"/>
        <v>324611379893707.44</v>
      </c>
      <c r="W13" s="101">
        <f t="shared" si="11"/>
        <v>9738341396811224</v>
      </c>
      <c r="Z13" s="108">
        <f t="shared" si="1"/>
        <v>105000000</v>
      </c>
      <c r="AA13">
        <f t="shared" si="0"/>
        <v>9.2427173119324175E-9</v>
      </c>
    </row>
    <row r="14" spans="2:27" x14ac:dyDescent="0.25">
      <c r="B14" s="57">
        <v>123225842</v>
      </c>
      <c r="C14" s="92"/>
      <c r="D14" s="119">
        <f t="shared" si="2"/>
        <v>3.3333333333333333E-2</v>
      </c>
      <c r="E14" s="119"/>
      <c r="H14" s="21">
        <f t="shared" si="12"/>
        <v>11</v>
      </c>
      <c r="I14" s="85">
        <v>100133953</v>
      </c>
      <c r="J14" s="21">
        <v>1</v>
      </c>
      <c r="K14" s="21">
        <v>20</v>
      </c>
      <c r="L14" s="63">
        <f t="shared" si="3"/>
        <v>0.3666666666666667</v>
      </c>
      <c r="M14" s="62">
        <f t="shared" si="13"/>
        <v>0.4472474737767092</v>
      </c>
      <c r="N14" s="62">
        <f t="shared" si="4"/>
        <v>0.36061434248928648</v>
      </c>
      <c r="O14" s="63">
        <f t="shared" si="5"/>
        <v>0.63938565751071352</v>
      </c>
      <c r="P14" s="63">
        <f t="shared" si="6"/>
        <v>18.422019377582441</v>
      </c>
      <c r="Q14" s="63">
        <f t="shared" si="7"/>
        <v>2.2636185670734998E-2</v>
      </c>
      <c r="S14" s="85">
        <v>100133953</v>
      </c>
      <c r="T14" s="63">
        <f t="shared" si="8"/>
        <v>3.3333333333333333E-2</v>
      </c>
      <c r="U14" s="88">
        <f t="shared" si="9"/>
        <v>3337798.4333333331</v>
      </c>
      <c r="V14" s="89">
        <f t="shared" si="10"/>
        <v>334226951446873.62</v>
      </c>
      <c r="W14" s="101">
        <f t="shared" si="11"/>
        <v>1.0026808543406208E+16</v>
      </c>
      <c r="Z14" s="108">
        <f t="shared" si="1"/>
        <v>110000000</v>
      </c>
      <c r="AA14">
        <f t="shared" si="0"/>
        <v>9.6910810754486623E-9</v>
      </c>
    </row>
    <row r="15" spans="2:27" x14ac:dyDescent="0.25">
      <c r="B15" s="57">
        <v>120301957</v>
      </c>
      <c r="C15" s="92"/>
      <c r="D15" s="119">
        <f t="shared" si="2"/>
        <v>3.3333333333333333E-2</v>
      </c>
      <c r="E15" s="119"/>
      <c r="H15" s="21">
        <f t="shared" si="12"/>
        <v>12</v>
      </c>
      <c r="I15" s="85">
        <v>108262000</v>
      </c>
      <c r="J15" s="21">
        <v>1</v>
      </c>
      <c r="K15" s="21">
        <v>19</v>
      </c>
      <c r="L15" s="63">
        <f t="shared" si="3"/>
        <v>0.4</v>
      </c>
      <c r="M15" s="62">
        <f t="shared" si="13"/>
        <v>0.49987905272407762</v>
      </c>
      <c r="N15" s="62">
        <f t="shared" si="4"/>
        <v>0.39339597761989298</v>
      </c>
      <c r="O15" s="63">
        <f t="shared" si="5"/>
        <v>0.60660402238010702</v>
      </c>
      <c r="P15" s="63">
        <f t="shared" si="6"/>
        <v>18.500064773206432</v>
      </c>
      <c r="Q15" s="63">
        <f t="shared" si="7"/>
        <v>5.242899894841664E-3</v>
      </c>
      <c r="S15" s="85">
        <v>108262000</v>
      </c>
      <c r="T15" s="63">
        <f t="shared" si="8"/>
        <v>3.3333333333333333E-2</v>
      </c>
      <c r="U15" s="88">
        <f t="shared" si="9"/>
        <v>3608733.3333333335</v>
      </c>
      <c r="V15" s="89">
        <f t="shared" si="10"/>
        <v>390688688133333.31</v>
      </c>
      <c r="W15" s="101">
        <f t="shared" si="11"/>
        <v>1.1720660644E+16</v>
      </c>
      <c r="Z15" s="108">
        <f t="shared" si="1"/>
        <v>115000000</v>
      </c>
      <c r="AA15">
        <f t="shared" si="0"/>
        <v>9.9976822964924755E-9</v>
      </c>
    </row>
    <row r="16" spans="2:27" x14ac:dyDescent="0.25">
      <c r="B16" s="57">
        <v>118862632</v>
      </c>
      <c r="C16" s="92"/>
      <c r="D16" s="119">
        <f t="shared" si="2"/>
        <v>3.3333333333333333E-2</v>
      </c>
      <c r="E16" s="119"/>
      <c r="H16" s="21">
        <f t="shared" si="12"/>
        <v>13</v>
      </c>
      <c r="I16" s="85">
        <v>110712867</v>
      </c>
      <c r="J16" s="21">
        <v>1</v>
      </c>
      <c r="K16" s="21">
        <v>18</v>
      </c>
      <c r="L16" s="63">
        <f t="shared" si="3"/>
        <v>0.43333333333333335</v>
      </c>
      <c r="M16" s="62">
        <f t="shared" si="13"/>
        <v>0.5554346082796332</v>
      </c>
      <c r="N16" s="62">
        <f t="shared" si="4"/>
        <v>0.42617718115260628</v>
      </c>
      <c r="O16" s="63">
        <f t="shared" si="5"/>
        <v>0.57382281884739372</v>
      </c>
      <c r="P16" s="63">
        <f t="shared" si="6"/>
        <v>18.522450623986657</v>
      </c>
      <c r="Q16" s="63">
        <f t="shared" si="7"/>
        <v>2.5022025843028173E-3</v>
      </c>
      <c r="S16" s="85">
        <v>110712867</v>
      </c>
      <c r="T16" s="63">
        <f t="shared" si="8"/>
        <v>3.3333333333333333E-2</v>
      </c>
      <c r="U16" s="88">
        <f t="shared" si="9"/>
        <v>3690428.9</v>
      </c>
      <c r="V16" s="89">
        <f t="shared" si="10"/>
        <v>408577963978656.25</v>
      </c>
      <c r="W16" s="101">
        <f t="shared" si="11"/>
        <v>1.2257338919359688E+16</v>
      </c>
      <c r="Z16" s="108">
        <f t="shared" si="1"/>
        <v>120000000</v>
      </c>
      <c r="AA16">
        <f t="shared" si="0"/>
        <v>1.0148012300215732E-8</v>
      </c>
    </row>
    <row r="17" spans="2:27" x14ac:dyDescent="0.25">
      <c r="B17" s="57">
        <v>117732284</v>
      </c>
      <c r="C17" s="92"/>
      <c r="D17" s="119">
        <f t="shared" si="2"/>
        <v>3.3333333333333333E-2</v>
      </c>
      <c r="E17" s="119"/>
      <c r="H17" s="21">
        <f t="shared" si="12"/>
        <v>14</v>
      </c>
      <c r="I17" s="85">
        <v>112914525</v>
      </c>
      <c r="J17" s="21">
        <v>1</v>
      </c>
      <c r="K17" s="21">
        <v>17</v>
      </c>
      <c r="L17" s="63">
        <f t="shared" si="3"/>
        <v>0.46666666666666667</v>
      </c>
      <c r="M17" s="62">
        <f t="shared" si="13"/>
        <v>0.61425813769139792</v>
      </c>
      <c r="N17" s="62">
        <f t="shared" si="4"/>
        <v>0.45895787477769157</v>
      </c>
      <c r="O17" s="63">
        <f t="shared" si="5"/>
        <v>0.54104212522230843</v>
      </c>
      <c r="P17" s="63">
        <f t="shared" si="6"/>
        <v>18.542141674520536</v>
      </c>
      <c r="Q17" s="63">
        <f t="shared" si="7"/>
        <v>9.1996776903976877E-4</v>
      </c>
      <c r="S17" s="85">
        <v>112914525</v>
      </c>
      <c r="T17" s="63">
        <f t="shared" si="8"/>
        <v>3.3333333333333333E-2</v>
      </c>
      <c r="U17" s="88">
        <f t="shared" si="9"/>
        <v>3763817.5</v>
      </c>
      <c r="V17" s="89">
        <f t="shared" si="10"/>
        <v>424989665199187.44</v>
      </c>
      <c r="W17" s="101">
        <f t="shared" si="11"/>
        <v>1.2749689955975624E+16</v>
      </c>
      <c r="Z17" s="108">
        <f t="shared" si="1"/>
        <v>125000000</v>
      </c>
      <c r="AA17">
        <f t="shared" si="0"/>
        <v>1.0134846759810677E-8</v>
      </c>
    </row>
    <row r="18" spans="2:27" x14ac:dyDescent="0.25">
      <c r="B18" s="57">
        <v>117164522</v>
      </c>
      <c r="C18" s="92"/>
      <c r="D18" s="119">
        <f t="shared" si="2"/>
        <v>3.3333333333333333E-2</v>
      </c>
      <c r="E18" s="119"/>
      <c r="H18" s="21">
        <f t="shared" si="12"/>
        <v>15</v>
      </c>
      <c r="I18" s="85">
        <v>116415800</v>
      </c>
      <c r="J18" s="21">
        <v>1</v>
      </c>
      <c r="K18" s="21">
        <v>16</v>
      </c>
      <c r="L18" s="63">
        <f t="shared" si="3"/>
        <v>0.5</v>
      </c>
      <c r="M18" s="62">
        <f t="shared" si="13"/>
        <v>0.67675813769139792</v>
      </c>
      <c r="N18" s="62">
        <f t="shared" si="4"/>
        <v>0.4917379600337991</v>
      </c>
      <c r="O18" s="63">
        <f t="shared" si="5"/>
        <v>0.5082620399662009</v>
      </c>
      <c r="P18" s="63">
        <f t="shared" si="6"/>
        <v>18.572678822881546</v>
      </c>
      <c r="Q18" s="63">
        <f t="shared" si="7"/>
        <v>4.2509326902917824E-8</v>
      </c>
      <c r="S18" s="85">
        <v>116415800</v>
      </c>
      <c r="T18" s="63">
        <f t="shared" si="8"/>
        <v>3.3333333333333333E-2</v>
      </c>
      <c r="U18" s="88">
        <f t="shared" si="9"/>
        <v>3880526.6666666665</v>
      </c>
      <c r="V18" s="89">
        <f t="shared" si="10"/>
        <v>451754616321333.31</v>
      </c>
      <c r="W18" s="101">
        <f t="shared" si="11"/>
        <v>1.355263848964E+16</v>
      </c>
      <c r="Z18" s="108">
        <f t="shared" si="1"/>
        <v>130000000</v>
      </c>
      <c r="AA18">
        <f t="shared" si="0"/>
        <v>9.9588212280126312E-9</v>
      </c>
    </row>
    <row r="19" spans="2:27" x14ac:dyDescent="0.25">
      <c r="B19" s="57">
        <v>116415800</v>
      </c>
      <c r="C19" s="92"/>
      <c r="D19" s="119">
        <f t="shared" si="2"/>
        <v>3.3333333333333333E-2</v>
      </c>
      <c r="E19" s="119"/>
      <c r="H19" s="21">
        <f t="shared" si="12"/>
        <v>16</v>
      </c>
      <c r="I19" s="85">
        <v>117164522</v>
      </c>
      <c r="J19" s="21">
        <v>1</v>
      </c>
      <c r="K19" s="21">
        <v>15</v>
      </c>
      <c r="L19" s="63">
        <f t="shared" si="3"/>
        <v>0.53333333333333333</v>
      </c>
      <c r="M19" s="62">
        <f t="shared" si="13"/>
        <v>0.74342480435806457</v>
      </c>
      <c r="N19" s="62">
        <f t="shared" si="4"/>
        <v>0.52451731138519975</v>
      </c>
      <c r="O19" s="63">
        <f t="shared" si="5"/>
        <v>0.4754826886148002</v>
      </c>
      <c r="P19" s="63">
        <f t="shared" si="6"/>
        <v>18.579089675969684</v>
      </c>
      <c r="Q19" s="63">
        <f t="shared" si="7"/>
        <v>4.3785099112561645E-5</v>
      </c>
      <c r="S19" s="85">
        <v>117164522</v>
      </c>
      <c r="T19" s="63">
        <f t="shared" si="8"/>
        <v>3.3333333333333333E-2</v>
      </c>
      <c r="U19" s="88">
        <f t="shared" si="9"/>
        <v>3905484.0666666664</v>
      </c>
      <c r="V19" s="89">
        <f t="shared" si="10"/>
        <v>457584173849616.12</v>
      </c>
      <c r="W19" s="101">
        <f t="shared" si="11"/>
        <v>1.3727525215488484E+16</v>
      </c>
      <c r="Z19" s="108">
        <f t="shared" si="1"/>
        <v>135000000</v>
      </c>
      <c r="AA19">
        <f t="shared" si="0"/>
        <v>9.6283802769640381E-9</v>
      </c>
    </row>
    <row r="20" spans="2:27" x14ac:dyDescent="0.25">
      <c r="B20" s="57">
        <v>112914525</v>
      </c>
      <c r="C20" s="92"/>
      <c r="D20" s="119">
        <f t="shared" si="2"/>
        <v>3.3333333333333333E-2</v>
      </c>
      <c r="E20" s="119"/>
      <c r="H20" s="21">
        <f t="shared" si="12"/>
        <v>17</v>
      </c>
      <c r="I20" s="85">
        <v>117732284</v>
      </c>
      <c r="J20" s="21">
        <v>1</v>
      </c>
      <c r="K20" s="21">
        <v>14</v>
      </c>
      <c r="L20" s="63">
        <f t="shared" si="3"/>
        <v>0.56666666666666665</v>
      </c>
      <c r="M20" s="62">
        <f t="shared" si="13"/>
        <v>0.81485337578663597</v>
      </c>
      <c r="N20" s="62">
        <f t="shared" si="4"/>
        <v>0.55729576623716182</v>
      </c>
      <c r="O20" s="63">
        <f t="shared" si="5"/>
        <v>0.44270423376283818</v>
      </c>
      <c r="P20" s="63">
        <f t="shared" si="6"/>
        <v>18.583923825188968</v>
      </c>
      <c r="Q20" s="63">
        <f t="shared" si="7"/>
        <v>1.3112952816810659E-4</v>
      </c>
      <c r="S20" s="85">
        <v>117732284</v>
      </c>
      <c r="T20" s="63">
        <f t="shared" si="8"/>
        <v>3.3333333333333333E-2</v>
      </c>
      <c r="U20" s="88">
        <f t="shared" si="9"/>
        <v>3924409.4666666668</v>
      </c>
      <c r="V20" s="89">
        <f t="shared" si="10"/>
        <v>462029689861888.5</v>
      </c>
      <c r="W20" s="101">
        <f t="shared" si="11"/>
        <v>1.3860890695856656E+16</v>
      </c>
      <c r="Z20" s="108">
        <f t="shared" si="1"/>
        <v>140000000</v>
      </c>
      <c r="AA20">
        <f t="shared" si="0"/>
        <v>9.1591059140936556E-9</v>
      </c>
    </row>
    <row r="21" spans="2:27" x14ac:dyDescent="0.25">
      <c r="B21" s="57">
        <v>110712867</v>
      </c>
      <c r="C21" s="92"/>
      <c r="D21" s="119">
        <f t="shared" si="2"/>
        <v>3.3333333333333333E-2</v>
      </c>
      <c r="E21" s="119"/>
      <c r="H21" s="21">
        <f t="shared" si="12"/>
        <v>18</v>
      </c>
      <c r="I21" s="85">
        <v>118862632</v>
      </c>
      <c r="J21" s="21">
        <v>1</v>
      </c>
      <c r="K21" s="21">
        <v>13</v>
      </c>
      <c r="L21" s="63">
        <f t="shared" si="3"/>
        <v>0.6</v>
      </c>
      <c r="M21" s="62">
        <f t="shared" si="13"/>
        <v>0.89177645270971295</v>
      </c>
      <c r="N21" s="62">
        <f t="shared" si="4"/>
        <v>0.5900731101854424</v>
      </c>
      <c r="O21" s="63">
        <f t="shared" si="5"/>
        <v>0.4099268898145576</v>
      </c>
      <c r="P21" s="63">
        <f t="shared" si="6"/>
        <v>18.59347903135609</v>
      </c>
      <c r="Q21" s="63">
        <f t="shared" si="7"/>
        <v>4.41268268562926E-4</v>
      </c>
      <c r="S21" s="85">
        <v>118862632</v>
      </c>
      <c r="T21" s="63">
        <f t="shared" si="8"/>
        <v>3.3333333333333333E-2</v>
      </c>
      <c r="U21" s="88">
        <f t="shared" si="9"/>
        <v>3962087.7333333334</v>
      </c>
      <c r="V21" s="89">
        <f t="shared" si="10"/>
        <v>470944176198914.12</v>
      </c>
      <c r="W21" s="101">
        <f t="shared" si="11"/>
        <v>1.4128325285967424E+16</v>
      </c>
      <c r="Z21" s="108">
        <f t="shared" si="1"/>
        <v>145000000</v>
      </c>
      <c r="AA21">
        <f t="shared" si="0"/>
        <v>8.572499649663303E-9</v>
      </c>
    </row>
    <row r="22" spans="2:27" x14ac:dyDescent="0.25">
      <c r="B22" s="57">
        <v>108262000</v>
      </c>
      <c r="C22" s="92"/>
      <c r="D22" s="119">
        <f t="shared" si="2"/>
        <v>3.3333333333333333E-2</v>
      </c>
      <c r="E22" s="119"/>
      <c r="H22" s="21">
        <f t="shared" si="12"/>
        <v>19</v>
      </c>
      <c r="I22" s="85">
        <v>120301957</v>
      </c>
      <c r="J22" s="21">
        <v>1</v>
      </c>
      <c r="K22" s="21">
        <v>12</v>
      </c>
      <c r="L22" s="63">
        <f t="shared" si="3"/>
        <v>0.6333333333333333</v>
      </c>
      <c r="M22" s="62">
        <f t="shared" si="13"/>
        <v>0.97510978604304632</v>
      </c>
      <c r="N22" s="62">
        <f t="shared" si="4"/>
        <v>0.62284905461974627</v>
      </c>
      <c r="O22" s="63">
        <f t="shared" si="5"/>
        <v>0.37715094538025373</v>
      </c>
      <c r="P22" s="63">
        <f t="shared" si="6"/>
        <v>18.605515448476762</v>
      </c>
      <c r="Q22" s="63">
        <f t="shared" si="7"/>
        <v>1.0918268628963106E-3</v>
      </c>
      <c r="S22" s="85">
        <v>120301957</v>
      </c>
      <c r="T22" s="63">
        <f t="shared" si="8"/>
        <v>3.3333333333333333E-2</v>
      </c>
      <c r="U22" s="88">
        <f t="shared" si="9"/>
        <v>4010065.2333333334</v>
      </c>
      <c r="V22" s="89">
        <f t="shared" si="10"/>
        <v>482418695267661.56</v>
      </c>
      <c r="W22" s="101">
        <f t="shared" si="11"/>
        <v>1.4472560858029848E+16</v>
      </c>
      <c r="Z22" s="108">
        <f t="shared" si="1"/>
        <v>150000000</v>
      </c>
      <c r="AA22">
        <f t="shared" si="0"/>
        <v>7.894350765648202E-9</v>
      </c>
    </row>
    <row r="23" spans="2:27" x14ac:dyDescent="0.25">
      <c r="B23" s="57">
        <v>100133953</v>
      </c>
      <c r="C23" s="92"/>
      <c r="D23" s="119">
        <f t="shared" si="2"/>
        <v>3.3333333333333333E-2</v>
      </c>
      <c r="E23" s="119"/>
      <c r="H23" s="21">
        <f t="shared" si="12"/>
        <v>20</v>
      </c>
      <c r="I23" s="85">
        <v>123225842</v>
      </c>
      <c r="J23" s="21">
        <v>1</v>
      </c>
      <c r="K23" s="21">
        <v>11</v>
      </c>
      <c r="L23" s="63">
        <f t="shared" si="3"/>
        <v>0.66666666666666674</v>
      </c>
      <c r="M23" s="62">
        <f t="shared" si="13"/>
        <v>1.0660188769521373</v>
      </c>
      <c r="N23" s="62">
        <f t="shared" si="4"/>
        <v>0.65562320162675791</v>
      </c>
      <c r="O23" s="63">
        <f t="shared" si="5"/>
        <v>0.34437679837324209</v>
      </c>
      <c r="P23" s="63">
        <f t="shared" si="6"/>
        <v>18.629529343561384</v>
      </c>
      <c r="Q23" s="63">
        <f t="shared" si="7"/>
        <v>3.2554668529562385E-3</v>
      </c>
      <c r="S23" s="85">
        <v>123225842</v>
      </c>
      <c r="T23" s="63">
        <f t="shared" si="8"/>
        <v>3.3333333333333333E-2</v>
      </c>
      <c r="U23" s="88">
        <f t="shared" si="9"/>
        <v>4107528.0666666664</v>
      </c>
      <c r="V23" s="89">
        <f t="shared" si="10"/>
        <v>506153604553632.12</v>
      </c>
      <c r="W23" s="101">
        <f t="shared" si="11"/>
        <v>1.5184608136608964E+16</v>
      </c>
      <c r="Z23" s="108">
        <f t="shared" si="1"/>
        <v>155000000</v>
      </c>
      <c r="AA23">
        <f t="shared" si="0"/>
        <v>7.1528630632076431E-9</v>
      </c>
    </row>
    <row r="24" spans="2:27" x14ac:dyDescent="0.25">
      <c r="B24" s="57">
        <v>98683035</v>
      </c>
      <c r="C24" s="92"/>
      <c r="D24" s="119">
        <f t="shared" si="2"/>
        <v>3.3333333333333333E-2</v>
      </c>
      <c r="E24" s="119"/>
      <c r="H24" s="21">
        <f t="shared" si="12"/>
        <v>21</v>
      </c>
      <c r="I24" s="85">
        <v>126369628</v>
      </c>
      <c r="J24" s="21">
        <v>1</v>
      </c>
      <c r="K24" s="21">
        <v>10</v>
      </c>
      <c r="L24" s="63">
        <f t="shared" si="3"/>
        <v>0.7</v>
      </c>
      <c r="M24" s="62">
        <f t="shared" si="13"/>
        <v>1.1660188769521374</v>
      </c>
      <c r="N24" s="62">
        <f t="shared" si="4"/>
        <v>0.68839498692846535</v>
      </c>
      <c r="O24" s="63">
        <f t="shared" si="5"/>
        <v>0.3116050130715346</v>
      </c>
      <c r="P24" s="63">
        <f t="shared" si="6"/>
        <v>18.654721725993884</v>
      </c>
      <c r="Q24" s="63">
        <f t="shared" si="7"/>
        <v>6.7649113275554847E-3</v>
      </c>
      <c r="S24" s="85">
        <v>126369628</v>
      </c>
      <c r="T24" s="63">
        <f t="shared" si="8"/>
        <v>3.3333333333333333E-2</v>
      </c>
      <c r="U24" s="88">
        <f t="shared" si="9"/>
        <v>4212320.9333333336</v>
      </c>
      <c r="V24" s="89">
        <f t="shared" si="10"/>
        <v>532309429361946.12</v>
      </c>
      <c r="W24" s="101">
        <f t="shared" si="11"/>
        <v>1.5969282880858384E+16</v>
      </c>
      <c r="Y24" s="90"/>
      <c r="Z24" s="108">
        <f t="shared" si="1"/>
        <v>160000000</v>
      </c>
      <c r="AA24">
        <f t="shared" si="0"/>
        <v>6.3767288553127125E-9</v>
      </c>
    </row>
    <row r="25" spans="2:27" x14ac:dyDescent="0.25">
      <c r="B25" s="57">
        <v>98261171</v>
      </c>
      <c r="C25" s="92"/>
      <c r="D25" s="119">
        <f t="shared" si="2"/>
        <v>3.3333333333333333E-2</v>
      </c>
      <c r="E25" s="119"/>
      <c r="H25" s="21">
        <f t="shared" si="12"/>
        <v>22</v>
      </c>
      <c r="I25" s="85">
        <v>133048000</v>
      </c>
      <c r="J25" s="21">
        <v>1</v>
      </c>
      <c r="K25" s="21">
        <v>9</v>
      </c>
      <c r="L25" s="63">
        <f t="shared" si="3"/>
        <v>0.73333333333333339</v>
      </c>
      <c r="M25" s="62">
        <f t="shared" si="13"/>
        <v>1.2771299880632485</v>
      </c>
      <c r="N25" s="62">
        <f t="shared" si="4"/>
        <v>0.72116358298713523</v>
      </c>
      <c r="O25" s="63">
        <f t="shared" si="5"/>
        <v>0.27883641701286477</v>
      </c>
      <c r="P25" s="63">
        <f t="shared" si="6"/>
        <v>18.706220523332114</v>
      </c>
      <c r="Q25" s="63">
        <f t="shared" si="7"/>
        <v>1.788849496357315E-2</v>
      </c>
      <c r="S25" s="85">
        <v>133048000</v>
      </c>
      <c r="T25" s="63">
        <f t="shared" si="8"/>
        <v>3.3333333333333333E-2</v>
      </c>
      <c r="U25" s="88">
        <f t="shared" si="9"/>
        <v>4434933.333333333</v>
      </c>
      <c r="V25" s="89">
        <f t="shared" si="10"/>
        <v>590059010133333.37</v>
      </c>
      <c r="W25" s="101">
        <f t="shared" si="11"/>
        <v>1.7701770304E+16</v>
      </c>
      <c r="Y25" s="90"/>
      <c r="Z25" s="108">
        <f t="shared" si="1"/>
        <v>165000000</v>
      </c>
      <c r="AA25">
        <f t="shared" si="0"/>
        <v>5.5933312370716242E-9</v>
      </c>
    </row>
    <row r="26" spans="2:27" x14ac:dyDescent="0.25">
      <c r="B26" s="57">
        <v>91622648</v>
      </c>
      <c r="C26" s="92"/>
      <c r="D26" s="119">
        <f t="shared" si="2"/>
        <v>3.3333333333333333E-2</v>
      </c>
      <c r="E26" s="119"/>
      <c r="H26" s="21">
        <f t="shared" si="12"/>
        <v>23</v>
      </c>
      <c r="I26" s="85">
        <v>144816873</v>
      </c>
      <c r="J26" s="21">
        <v>1</v>
      </c>
      <c r="K26" s="21">
        <v>8</v>
      </c>
      <c r="L26" s="63">
        <f t="shared" si="3"/>
        <v>0.76666666666666661</v>
      </c>
      <c r="M26" s="62">
        <f t="shared" si="13"/>
        <v>1.4021299880632485</v>
      </c>
      <c r="N26" s="62">
        <f t="shared" si="4"/>
        <v>0.7539277256583603</v>
      </c>
      <c r="O26" s="63">
        <f t="shared" si="5"/>
        <v>0.24607227434163972</v>
      </c>
      <c r="P26" s="63">
        <f t="shared" si="6"/>
        <v>18.790980557370329</v>
      </c>
      <c r="Q26" s="63">
        <f t="shared" si="7"/>
        <v>4.7745707776985752E-2</v>
      </c>
      <c r="S26" s="85">
        <v>144816873</v>
      </c>
      <c r="T26" s="63">
        <f t="shared" si="8"/>
        <v>3.3333333333333333E-2</v>
      </c>
      <c r="U26" s="88">
        <f t="shared" si="9"/>
        <v>4827229.0999999996</v>
      </c>
      <c r="V26" s="89">
        <f t="shared" si="10"/>
        <v>699064223516604.25</v>
      </c>
      <c r="W26" s="101">
        <f t="shared" si="11"/>
        <v>2.0971926705498128E+16</v>
      </c>
      <c r="Z26" s="108">
        <f t="shared" si="1"/>
        <v>170000000</v>
      </c>
      <c r="AA26">
        <f t="shared" si="0"/>
        <v>4.8272264846261405E-9</v>
      </c>
    </row>
    <row r="27" spans="2:27" x14ac:dyDescent="0.25">
      <c r="B27" s="57">
        <v>87746767</v>
      </c>
      <c r="C27" s="92"/>
      <c r="D27" s="119">
        <f t="shared" si="2"/>
        <v>3.3333333333333333E-2</v>
      </c>
      <c r="E27" s="119"/>
      <c r="H27" s="21">
        <f t="shared" si="12"/>
        <v>24</v>
      </c>
      <c r="I27" s="85">
        <v>146449583</v>
      </c>
      <c r="J27" s="21">
        <v>1</v>
      </c>
      <c r="K27" s="21">
        <v>7</v>
      </c>
      <c r="L27" s="63">
        <f t="shared" si="3"/>
        <v>0.8</v>
      </c>
      <c r="M27" s="62">
        <f t="shared" si="13"/>
        <v>1.5449871309203913</v>
      </c>
      <c r="N27" s="62">
        <f t="shared" si="4"/>
        <v>0.78668538363196883</v>
      </c>
      <c r="O27" s="63">
        <f t="shared" si="5"/>
        <v>0.21331461636803117</v>
      </c>
      <c r="P27" s="63">
        <f t="shared" si="6"/>
        <v>18.802191783845775</v>
      </c>
      <c r="Q27" s="63">
        <f t="shared" si="7"/>
        <v>5.2770882761029238E-2</v>
      </c>
      <c r="S27" s="85">
        <v>146449583</v>
      </c>
      <c r="T27" s="63">
        <f t="shared" si="8"/>
        <v>3.3333333333333333E-2</v>
      </c>
      <c r="U27" s="88">
        <f t="shared" si="9"/>
        <v>4881652.7666666666</v>
      </c>
      <c r="V27" s="89">
        <f>(S27^2)*(T27)</f>
        <v>714916012029129.62</v>
      </c>
      <c r="W27" s="101">
        <f t="shared" si="11"/>
        <v>2.1447480360873888E+16</v>
      </c>
      <c r="Z27" s="108">
        <f t="shared" si="1"/>
        <v>175000000</v>
      </c>
      <c r="AA27">
        <f t="shared" si="0"/>
        <v>4.0990136120331529E-9</v>
      </c>
    </row>
    <row r="28" spans="2:27" x14ac:dyDescent="0.25">
      <c r="B28" s="57">
        <v>85885832</v>
      </c>
      <c r="C28" s="92"/>
      <c r="D28" s="119">
        <f t="shared" si="2"/>
        <v>3.3333333333333333E-2</v>
      </c>
      <c r="E28" s="119"/>
      <c r="H28" s="21">
        <f t="shared" si="12"/>
        <v>25</v>
      </c>
      <c r="I28" s="85">
        <v>166010977</v>
      </c>
      <c r="J28" s="21">
        <v>1</v>
      </c>
      <c r="K28" s="21">
        <v>6</v>
      </c>
      <c r="L28" s="63">
        <f t="shared" si="3"/>
        <v>0.83333333333333337</v>
      </c>
      <c r="M28" s="62">
        <f t="shared" si="13"/>
        <v>1.711653797587058</v>
      </c>
      <c r="N28" s="62">
        <f t="shared" si="4"/>
        <v>0.8194330755924093</v>
      </c>
      <c r="O28" s="63">
        <f t="shared" si="5"/>
        <v>0.18056692440759065</v>
      </c>
      <c r="P28" s="63">
        <f t="shared" si="6"/>
        <v>18.927564470640579</v>
      </c>
      <c r="Q28" s="63">
        <f t="shared" si="7"/>
        <v>0.12609020465064816</v>
      </c>
      <c r="S28" s="85">
        <v>166010977</v>
      </c>
      <c r="T28" s="63">
        <f t="shared" si="8"/>
        <v>3.3333333333333333E-2</v>
      </c>
      <c r="U28" s="88">
        <f t="shared" si="9"/>
        <v>5533699.2333333334</v>
      </c>
      <c r="V28" s="89">
        <f t="shared" si="10"/>
        <v>918654816149817.62</v>
      </c>
      <c r="W28" s="101">
        <f t="shared" si="11"/>
        <v>2.7559644484494528E+16</v>
      </c>
      <c r="Z28" s="108">
        <f t="shared" si="1"/>
        <v>180000000</v>
      </c>
      <c r="AA28">
        <f t="shared" si="0"/>
        <v>3.4246452741302158E-9</v>
      </c>
    </row>
    <row r="29" spans="2:27" x14ac:dyDescent="0.25">
      <c r="B29" s="57">
        <v>84637500</v>
      </c>
      <c r="C29" s="92"/>
      <c r="D29" s="119">
        <f t="shared" si="2"/>
        <v>3.3333333333333333E-2</v>
      </c>
      <c r="E29" s="119"/>
      <c r="H29" s="21">
        <f t="shared" si="12"/>
        <v>26</v>
      </c>
      <c r="I29" s="85">
        <v>166495942</v>
      </c>
      <c r="J29" s="21">
        <v>1</v>
      </c>
      <c r="K29" s="21">
        <v>5</v>
      </c>
      <c r="L29" s="63">
        <f t="shared" si="3"/>
        <v>0.8666666666666667</v>
      </c>
      <c r="M29" s="62">
        <f t="shared" si="13"/>
        <v>1.911653797587058</v>
      </c>
      <c r="N29" s="62">
        <f t="shared" si="4"/>
        <v>0.85216430599879833</v>
      </c>
      <c r="O29" s="63">
        <f t="shared" si="5"/>
        <v>0.1478356940012017</v>
      </c>
      <c r="P29" s="63">
        <f t="shared" si="6"/>
        <v>18.930481494715391</v>
      </c>
      <c r="Q29" s="63">
        <f t="shared" si="7"/>
        <v>0.12817033648853998</v>
      </c>
      <c r="S29" s="85">
        <v>166495942</v>
      </c>
      <c r="T29" s="63">
        <f t="shared" si="8"/>
        <v>3.3333333333333333E-2</v>
      </c>
      <c r="U29" s="88">
        <f t="shared" si="9"/>
        <v>5549864.7333333334</v>
      </c>
      <c r="V29" s="89">
        <f t="shared" si="10"/>
        <v>924029956748912.12</v>
      </c>
      <c r="W29" s="101">
        <f t="shared" si="11"/>
        <v>2.7720898702467364E+16</v>
      </c>
      <c r="Z29" s="108">
        <f t="shared" si="1"/>
        <v>185000000</v>
      </c>
      <c r="AA29">
        <f t="shared" si="0"/>
        <v>2.8151813414191615E-9</v>
      </c>
    </row>
    <row r="30" spans="2:27" x14ac:dyDescent="0.25">
      <c r="B30" s="57">
        <v>80786666</v>
      </c>
      <c r="C30" s="92"/>
      <c r="D30" s="119">
        <f t="shared" si="2"/>
        <v>3.3333333333333333E-2</v>
      </c>
      <c r="E30" s="119"/>
      <c r="H30" s="21">
        <f t="shared" si="12"/>
        <v>27</v>
      </c>
      <c r="I30" s="85">
        <v>172792250</v>
      </c>
      <c r="J30" s="21">
        <v>1</v>
      </c>
      <c r="K30" s="21">
        <v>4</v>
      </c>
      <c r="L30" s="63">
        <f t="shared" si="3"/>
        <v>0.9</v>
      </c>
      <c r="M30" s="62">
        <f t="shared" si="13"/>
        <v>2.161653797587058</v>
      </c>
      <c r="N30" s="62">
        <f t="shared" si="4"/>
        <v>0.88486544574595949</v>
      </c>
      <c r="O30" s="63">
        <f t="shared" si="5"/>
        <v>0.11513455425404048</v>
      </c>
      <c r="P30" s="63">
        <f t="shared" si="6"/>
        <v>18.967600563791422</v>
      </c>
      <c r="Q30" s="63">
        <f t="shared" si="7"/>
        <v>0.1561260722238948</v>
      </c>
      <c r="S30" s="85">
        <v>172792250</v>
      </c>
      <c r="T30" s="63">
        <f t="shared" si="8"/>
        <v>3.3333333333333333E-2</v>
      </c>
      <c r="U30" s="88">
        <f t="shared" si="9"/>
        <v>5759741.666666667</v>
      </c>
      <c r="V30" s="89">
        <f t="shared" si="10"/>
        <v>995238722002083.37</v>
      </c>
      <c r="W30" s="101">
        <f t="shared" si="11"/>
        <v>2.98571616600625E+16</v>
      </c>
      <c r="Z30" s="108">
        <f t="shared" si="1"/>
        <v>190000000</v>
      </c>
      <c r="AA30">
        <f t="shared" si="0"/>
        <v>2.2769406225443642E-9</v>
      </c>
    </row>
    <row r="31" spans="2:27" x14ac:dyDescent="0.25">
      <c r="B31" s="57">
        <v>74849584</v>
      </c>
      <c r="C31" s="92"/>
      <c r="D31" s="119">
        <f t="shared" si="2"/>
        <v>3.3333333333333333E-2</v>
      </c>
      <c r="E31" s="119"/>
      <c r="H31" s="21">
        <f t="shared" si="12"/>
        <v>28</v>
      </c>
      <c r="I31" s="85">
        <v>182161414</v>
      </c>
      <c r="J31" s="21">
        <v>1</v>
      </c>
      <c r="K31" s="21">
        <v>3</v>
      </c>
      <c r="L31" s="63">
        <f t="shared" si="3"/>
        <v>0.93333333333333335</v>
      </c>
      <c r="M31" s="62">
        <f t="shared" si="13"/>
        <v>2.4949871309203915</v>
      </c>
      <c r="N31" s="62">
        <f t="shared" si="4"/>
        <v>0.91750248694802339</v>
      </c>
      <c r="O31" s="63">
        <f t="shared" si="5"/>
        <v>8.2497513051976654E-2</v>
      </c>
      <c r="P31" s="63">
        <f t="shared" si="6"/>
        <v>19.020403742096306</v>
      </c>
      <c r="Q31" s="63">
        <f t="shared" si="7"/>
        <v>0.20064226776342028</v>
      </c>
      <c r="S31" s="85">
        <v>182161414</v>
      </c>
      <c r="T31" s="63">
        <f t="shared" si="8"/>
        <v>3.3333333333333333E-2</v>
      </c>
      <c r="U31" s="88">
        <f t="shared" si="9"/>
        <v>6072047.1333333328</v>
      </c>
      <c r="V31" s="89">
        <f t="shared" si="10"/>
        <v>1106092691682646.5</v>
      </c>
      <c r="W31" s="101">
        <f t="shared" si="11"/>
        <v>3.3182780750479396E+16</v>
      </c>
      <c r="Z31" s="108">
        <f t="shared" si="1"/>
        <v>195000000</v>
      </c>
      <c r="AA31">
        <f t="shared" si="0"/>
        <v>1.8119724226189158E-9</v>
      </c>
    </row>
    <row r="32" spans="2:27" x14ac:dyDescent="0.25">
      <c r="B32" s="57">
        <v>70762833</v>
      </c>
      <c r="C32" s="92"/>
      <c r="D32" s="119">
        <f t="shared" si="2"/>
        <v>3.3333333333333333E-2</v>
      </c>
      <c r="E32" s="119"/>
      <c r="H32" s="21">
        <f t="shared" si="12"/>
        <v>29</v>
      </c>
      <c r="I32" s="85">
        <v>213472857</v>
      </c>
      <c r="J32" s="21">
        <v>1</v>
      </c>
      <c r="K32" s="21">
        <v>2</v>
      </c>
      <c r="L32" s="63">
        <f t="shared" si="3"/>
        <v>0.96666666666666667</v>
      </c>
      <c r="M32" s="62">
        <f t="shared" si="13"/>
        <v>2.9949871309203915</v>
      </c>
      <c r="N32" s="62">
        <f t="shared" si="4"/>
        <v>0.94996272898393297</v>
      </c>
      <c r="O32" s="63">
        <f t="shared" si="5"/>
        <v>5.0037271016066989E-2</v>
      </c>
      <c r="P32" s="63">
        <f t="shared" si="6"/>
        <v>19.179020249061345</v>
      </c>
      <c r="Q32" s="63">
        <f t="shared" si="7"/>
        <v>0.36789999601628226</v>
      </c>
      <c r="S32" s="85">
        <v>213472857</v>
      </c>
      <c r="T32" s="63">
        <f t="shared" si="8"/>
        <v>3.3333333333333333E-2</v>
      </c>
      <c r="U32" s="88">
        <f t="shared" si="9"/>
        <v>7115761.8999999994</v>
      </c>
      <c r="V32" s="89">
        <f t="shared" si="10"/>
        <v>1519022022524748.2</v>
      </c>
      <c r="W32" s="101">
        <f t="shared" si="11"/>
        <v>4.5570660675742448E+16</v>
      </c>
      <c r="Z32" s="108">
        <f t="shared" si="1"/>
        <v>200000000</v>
      </c>
      <c r="AA32">
        <f t="shared" si="0"/>
        <v>1.4187504433560392E-9</v>
      </c>
    </row>
    <row r="33" spans="2:27" x14ac:dyDescent="0.25">
      <c r="B33" s="57">
        <v>69064200</v>
      </c>
      <c r="C33" s="92"/>
      <c r="D33" s="119">
        <f t="shared" si="2"/>
        <v>3.3333333333333333E-2</v>
      </c>
      <c r="E33" s="119"/>
      <c r="H33" s="21">
        <f t="shared" si="12"/>
        <v>30</v>
      </c>
      <c r="I33" s="85">
        <v>223352402</v>
      </c>
      <c r="J33" s="21">
        <v>1</v>
      </c>
      <c r="K33" s="21">
        <v>1</v>
      </c>
      <c r="L33" s="63">
        <f t="shared" si="3"/>
        <v>1</v>
      </c>
      <c r="M33" s="62">
        <f t="shared" si="13"/>
        <v>3.9949871309203915</v>
      </c>
      <c r="N33" s="62">
        <f t="shared" si="4"/>
        <v>0.98159231670086522</v>
      </c>
      <c r="O33" s="63">
        <f t="shared" si="5"/>
        <v>1.8407683299134732E-2</v>
      </c>
      <c r="P33" s="63">
        <f t="shared" si="6"/>
        <v>19.224261360125887</v>
      </c>
      <c r="Q33" s="63">
        <f t="shared" si="7"/>
        <v>0.4248285291909476</v>
      </c>
      <c r="S33" s="85">
        <v>223352402</v>
      </c>
      <c r="T33" s="63">
        <f t="shared" si="8"/>
        <v>3.3333333333333333E-2</v>
      </c>
      <c r="U33" s="88">
        <f t="shared" si="9"/>
        <v>7445080.0666666664</v>
      </c>
      <c r="V33" s="89">
        <f t="shared" si="10"/>
        <v>1662876515972320</v>
      </c>
      <c r="W33" s="101">
        <f t="shared" si="11"/>
        <v>4.98862954791696E+16</v>
      </c>
      <c r="Z33" s="108">
        <f t="shared" si="1"/>
        <v>205000000</v>
      </c>
      <c r="AA33">
        <f t="shared" si="0"/>
        <v>1.0929869716574275E-9</v>
      </c>
    </row>
    <row r="34" spans="2:27" x14ac:dyDescent="0.25">
      <c r="S34" s="115" t="s">
        <v>172</v>
      </c>
      <c r="T34" s="115"/>
      <c r="U34" s="87">
        <f>SUM(U4:U33)</f>
        <v>122099884.79999998</v>
      </c>
      <c r="V34" s="89">
        <f>SUM(V4:V33)</f>
        <v>1.644942743484475E+16</v>
      </c>
      <c r="W34" s="101">
        <f>SUM(W4:W33)</f>
        <v>4.9348282304534259E+17</v>
      </c>
      <c r="Z34" s="108">
        <f t="shared" si="1"/>
        <v>210000000</v>
      </c>
      <c r="AA34">
        <f t="shared" si="0"/>
        <v>8.2847328465833459E-10</v>
      </c>
    </row>
    <row r="35" spans="2:27" x14ac:dyDescent="0.25">
      <c r="Z35" s="108">
        <f t="shared" si="1"/>
        <v>215000000</v>
      </c>
      <c r="AA35">
        <f t="shared" si="0"/>
        <v>6.1786924756514178E-10</v>
      </c>
    </row>
    <row r="36" spans="2:27" x14ac:dyDescent="0.25">
      <c r="Z36" s="108">
        <f t="shared" si="1"/>
        <v>220000000</v>
      </c>
      <c r="AA36">
        <f t="shared" si="0"/>
        <v>4.5338714273418891E-10</v>
      </c>
    </row>
    <row r="37" spans="2:27" x14ac:dyDescent="0.25">
      <c r="G37" s="94" t="s">
        <v>179</v>
      </c>
      <c r="Z37" s="108">
        <f t="shared" si="1"/>
        <v>225000000</v>
      </c>
      <c r="AA37">
        <f t="shared" si="0"/>
        <v>3.2733795768362234E-10</v>
      </c>
    </row>
    <row r="38" spans="2:27" x14ac:dyDescent="0.25">
      <c r="Z38" s="108">
        <f t="shared" si="1"/>
        <v>230000000</v>
      </c>
      <c r="AA38">
        <f t="shared" si="0"/>
        <v>2.3252951464146514E-10</v>
      </c>
    </row>
    <row r="39" spans="2:27" x14ac:dyDescent="0.25">
      <c r="B39" s="122" t="s">
        <v>182</v>
      </c>
      <c r="C39" s="123"/>
      <c r="D39" s="123"/>
      <c r="E39" s="124"/>
      <c r="I39" s="70" t="s">
        <v>180</v>
      </c>
      <c r="S39" s="118" t="s">
        <v>173</v>
      </c>
      <c r="T39" s="118"/>
      <c r="U39" s="86">
        <f>U34</f>
        <v>122099884.79999998</v>
      </c>
    </row>
    <row r="40" spans="2:27" x14ac:dyDescent="0.25">
      <c r="B40" s="98" t="str">
        <f>"f("&amp;I4&amp;")"</f>
        <v>f(69064200)</v>
      </c>
      <c r="C40" s="98" t="s">
        <v>178</v>
      </c>
      <c r="D40" s="99" t="s">
        <v>177</v>
      </c>
      <c r="E40" s="100" t="str">
        <f>"e^-"&amp;I4&amp;"/"&amp;$G$37</f>
        <v>e^-69064200/Ɵ</v>
      </c>
      <c r="I40" s="95" t="str">
        <f>"L(Ɵ)=Ɵ^-30e^-"&amp;U48&amp;"/"&amp;G37</f>
        <v>L(Ɵ)=Ɵ^-30e^-3662996544/Ɵ</v>
      </c>
      <c r="S40" s="118" t="s">
        <v>174</v>
      </c>
      <c r="T40" s="118"/>
      <c r="U40" s="91">
        <f>V34-((U34)^2)</f>
        <v>1541045566671484</v>
      </c>
    </row>
    <row r="41" spans="2:27" x14ac:dyDescent="0.25">
      <c r="B41" s="85" t="str">
        <f t="shared" ref="B41:B69" si="14">"f("&amp;I5&amp;")"</f>
        <v>f(70762833)</v>
      </c>
      <c r="C41" s="85" t="s">
        <v>178</v>
      </c>
      <c r="D41" s="64" t="s">
        <v>177</v>
      </c>
      <c r="E41" s="13" t="str">
        <f t="shared" ref="E41:E69" si="15">"e^-"&amp;I5&amp;"/"&amp;$G$37</f>
        <v>e^-70762833/Ɵ</v>
      </c>
      <c r="H41" s="97"/>
      <c r="I41" s="96" t="str">
        <f>"l(Ɵ)=-30 ln Ɵ -"&amp;U48&amp;G37&amp;"^-1"</f>
        <v>l(Ɵ)=-30 ln Ɵ -3662996544Ɵ^-1</v>
      </c>
      <c r="S41" s="118" t="s">
        <v>175</v>
      </c>
      <c r="T41" s="118"/>
      <c r="U41" s="86">
        <f>U40^0.5</f>
        <v>39256153.23323828</v>
      </c>
    </row>
    <row r="42" spans="2:27" x14ac:dyDescent="0.25">
      <c r="B42" s="85" t="str">
        <f t="shared" si="14"/>
        <v>f(74849584)</v>
      </c>
      <c r="C42" s="85" t="s">
        <v>178</v>
      </c>
      <c r="D42" s="64" t="s">
        <v>177</v>
      </c>
      <c r="E42" s="13" t="str">
        <f t="shared" si="15"/>
        <v>e^-74849584/Ɵ</v>
      </c>
      <c r="I42" s="21" t="str">
        <f>"l'(Ɵ)=-30Ɵ^-1+"&amp;U48&amp;G37&amp;"^-2"</f>
        <v>l'(Ɵ)=-30Ɵ^-1+3662996544Ɵ^-2</v>
      </c>
      <c r="S42" s="118" t="s">
        <v>176</v>
      </c>
      <c r="T42" s="118"/>
      <c r="U42" s="13">
        <f>U41/U39</f>
        <v>0.32150851982817175</v>
      </c>
    </row>
    <row r="43" spans="2:27" x14ac:dyDescent="0.25">
      <c r="B43" s="85" t="str">
        <f t="shared" si="14"/>
        <v>f(80786666)</v>
      </c>
      <c r="C43" s="85" t="s">
        <v>178</v>
      </c>
      <c r="D43" s="64" t="s">
        <v>177</v>
      </c>
      <c r="E43" s="13" t="str">
        <f t="shared" si="15"/>
        <v>e^-80786666/Ɵ</v>
      </c>
      <c r="I43" s="21" t="str">
        <f>G37&amp;"="&amp;U48&amp;"/30"</f>
        <v>Ɵ=3662996544/30</v>
      </c>
    </row>
    <row r="44" spans="2:27" x14ac:dyDescent="0.25">
      <c r="B44" s="85" t="str">
        <f t="shared" si="14"/>
        <v>f(84637500)</v>
      </c>
      <c r="C44" s="85" t="s">
        <v>178</v>
      </c>
      <c r="D44" s="64" t="s">
        <v>177</v>
      </c>
      <c r="E44" s="13" t="str">
        <f t="shared" si="15"/>
        <v>e^-84637500/Ɵ</v>
      </c>
      <c r="I44" s="21" t="str">
        <f>G37&amp;"="&amp;U48/30</f>
        <v>Ɵ=122099884.8</v>
      </c>
    </row>
    <row r="45" spans="2:27" x14ac:dyDescent="0.25">
      <c r="B45" s="85" t="str">
        <f t="shared" si="14"/>
        <v>f(85885832)</v>
      </c>
      <c r="C45" s="85" t="s">
        <v>178</v>
      </c>
      <c r="D45" s="64" t="s">
        <v>177</v>
      </c>
      <c r="E45" s="13" t="str">
        <f t="shared" si="15"/>
        <v>e^-85885832/Ɵ</v>
      </c>
      <c r="I45" s="13"/>
    </row>
    <row r="46" spans="2:27" x14ac:dyDescent="0.25">
      <c r="B46" s="85" t="str">
        <f t="shared" si="14"/>
        <v>f(87746767)</v>
      </c>
      <c r="C46" s="85" t="s">
        <v>178</v>
      </c>
      <c r="D46" s="64" t="s">
        <v>177</v>
      </c>
      <c r="E46" s="13" t="str">
        <f t="shared" si="15"/>
        <v>e^-87746767/Ɵ</v>
      </c>
    </row>
    <row r="47" spans="2:27" x14ac:dyDescent="0.25">
      <c r="B47" s="85" t="str">
        <f t="shared" si="14"/>
        <v>f(91622648)</v>
      </c>
      <c r="C47" s="85" t="s">
        <v>178</v>
      </c>
      <c r="D47" s="64" t="s">
        <v>177</v>
      </c>
      <c r="E47" s="13" t="str">
        <f t="shared" si="15"/>
        <v>e^-91622648/Ɵ</v>
      </c>
      <c r="M47" s="118" t="s">
        <v>184</v>
      </c>
      <c r="N47" s="118"/>
      <c r="O47" s="118"/>
    </row>
    <row r="48" spans="2:27" x14ac:dyDescent="0.25">
      <c r="B48" s="85" t="str">
        <f t="shared" si="14"/>
        <v>f(98261171)</v>
      </c>
      <c r="C48" s="85" t="s">
        <v>178</v>
      </c>
      <c r="D48" s="64" t="s">
        <v>177</v>
      </c>
      <c r="E48" s="13" t="str">
        <f t="shared" si="15"/>
        <v>e^-98261171/Ɵ</v>
      </c>
      <c r="M48" s="102" t="s">
        <v>185</v>
      </c>
      <c r="N48" s="120">
        <f>LN((SUM($W$4:$W$33)/2)+2*(LN(SUM($S$4:$S$33))-(3/2)*LN(30)))</f>
        <v>40.047117266226103</v>
      </c>
      <c r="O48" s="120"/>
      <c r="U48" s="105">
        <f>SUM(I4:I33)</f>
        <v>3662996544</v>
      </c>
    </row>
    <row r="49" spans="2:16" x14ac:dyDescent="0.25">
      <c r="B49" s="85" t="str">
        <f t="shared" si="14"/>
        <v>f(98683035)</v>
      </c>
      <c r="C49" s="85" t="s">
        <v>178</v>
      </c>
      <c r="D49" s="64" t="s">
        <v>177</v>
      </c>
      <c r="E49" s="13" t="str">
        <f t="shared" si="15"/>
        <v>e^-98683035/Ɵ</v>
      </c>
      <c r="M49" s="103" t="s">
        <v>186</v>
      </c>
      <c r="N49" s="125">
        <f>SQRT(LN(SUM(W4:W33))-2*LN(SUM(S4:S33))+LN(30))</f>
        <v>0.31363525621461097</v>
      </c>
      <c r="O49" s="125"/>
    </row>
    <row r="50" spans="2:16" x14ac:dyDescent="0.25">
      <c r="B50" s="85" t="str">
        <f t="shared" si="14"/>
        <v>f(100133953)</v>
      </c>
      <c r="C50" s="85" t="s">
        <v>178</v>
      </c>
      <c r="D50" s="64" t="s">
        <v>177</v>
      </c>
      <c r="E50" s="13" t="str">
        <f t="shared" si="15"/>
        <v>e^-100133953/Ɵ</v>
      </c>
    </row>
    <row r="51" spans="2:16" x14ac:dyDescent="0.25">
      <c r="B51" s="85" t="str">
        <f t="shared" si="14"/>
        <v>f(108262000)</v>
      </c>
      <c r="C51" s="85" t="s">
        <v>178</v>
      </c>
      <c r="D51" s="64" t="s">
        <v>177</v>
      </c>
      <c r="E51" s="13" t="str">
        <f t="shared" si="15"/>
        <v>e^-108262000/Ɵ</v>
      </c>
    </row>
    <row r="52" spans="2:16" x14ac:dyDescent="0.25">
      <c r="B52" s="85" t="str">
        <f t="shared" si="14"/>
        <v>f(110712867)</v>
      </c>
      <c r="C52" s="85" t="s">
        <v>178</v>
      </c>
      <c r="D52" s="64" t="s">
        <v>177</v>
      </c>
      <c r="E52" s="13" t="str">
        <f t="shared" si="15"/>
        <v>e^-110712867/Ɵ</v>
      </c>
    </row>
    <row r="53" spans="2:16" x14ac:dyDescent="0.25">
      <c r="B53" s="85" t="str">
        <f t="shared" si="14"/>
        <v>f(112914525)</v>
      </c>
      <c r="C53" s="85" t="s">
        <v>178</v>
      </c>
      <c r="D53" s="64" t="s">
        <v>177</v>
      </c>
      <c r="E53" s="13" t="str">
        <f t="shared" si="15"/>
        <v>e^-112914525/Ɵ</v>
      </c>
    </row>
    <row r="54" spans="2:16" x14ac:dyDescent="0.25">
      <c r="B54" s="85" t="str">
        <f t="shared" si="14"/>
        <v>f(116415800)</v>
      </c>
      <c r="C54" s="85" t="s">
        <v>178</v>
      </c>
      <c r="D54" s="64" t="s">
        <v>177</v>
      </c>
      <c r="E54" s="13" t="str">
        <f t="shared" si="15"/>
        <v>e^-116415800/Ɵ</v>
      </c>
    </row>
    <row r="55" spans="2:16" x14ac:dyDescent="0.25">
      <c r="B55" s="85" t="str">
        <f t="shared" si="14"/>
        <v>f(117164522)</v>
      </c>
      <c r="C55" s="85" t="s">
        <v>178</v>
      </c>
      <c r="D55" s="64" t="s">
        <v>177</v>
      </c>
      <c r="E55" s="13" t="str">
        <f t="shared" si="15"/>
        <v>e^-117164522/Ɵ</v>
      </c>
      <c r="L55" s="118" t="s">
        <v>188</v>
      </c>
      <c r="M55" s="118"/>
      <c r="N55" s="118"/>
      <c r="O55" s="70" t="s">
        <v>189</v>
      </c>
      <c r="P55" s="70" t="s">
        <v>190</v>
      </c>
    </row>
    <row r="56" spans="2:16" x14ac:dyDescent="0.25">
      <c r="B56" s="85" t="str">
        <f t="shared" si="14"/>
        <v>f(117732284)</v>
      </c>
      <c r="C56" s="85" t="s">
        <v>178</v>
      </c>
      <c r="D56" s="64" t="s">
        <v>177</v>
      </c>
      <c r="E56" s="13" t="str">
        <f t="shared" si="15"/>
        <v>e^-117732284/Ɵ</v>
      </c>
      <c r="L56" s="120" t="s">
        <v>192</v>
      </c>
      <c r="M56" s="120"/>
      <c r="N56" s="120"/>
      <c r="O56" s="21">
        <v>30</v>
      </c>
      <c r="P56" s="21">
        <v>30</v>
      </c>
    </row>
    <row r="57" spans="2:16" x14ac:dyDescent="0.25">
      <c r="B57" s="85" t="str">
        <f t="shared" si="14"/>
        <v>f(118862632)</v>
      </c>
      <c r="C57" s="85" t="s">
        <v>178</v>
      </c>
      <c r="D57" s="64" t="s">
        <v>177</v>
      </c>
      <c r="E57" s="13" t="str">
        <f t="shared" si="15"/>
        <v>e^-118862632/Ɵ</v>
      </c>
      <c r="L57" s="113" t="s">
        <v>193</v>
      </c>
      <c r="M57" s="121"/>
      <c r="N57" s="114"/>
      <c r="O57" s="21">
        <f>(O56+1)*0.3</f>
        <v>9.2999999999999989</v>
      </c>
      <c r="P57" s="21">
        <f>(P56+1)*0.7</f>
        <v>21.7</v>
      </c>
    </row>
    <row r="58" spans="2:16" x14ac:dyDescent="0.25">
      <c r="B58" s="85" t="str">
        <f t="shared" si="14"/>
        <v>f(120301957)</v>
      </c>
      <c r="C58" s="85" t="s">
        <v>178</v>
      </c>
      <c r="D58" s="64" t="s">
        <v>177</v>
      </c>
      <c r="E58" s="13" t="str">
        <f t="shared" si="15"/>
        <v>e^-120301957/Ɵ</v>
      </c>
      <c r="L58" s="113" t="s">
        <v>194</v>
      </c>
      <c r="M58" s="121"/>
      <c r="N58" s="114"/>
      <c r="O58" s="21">
        <f>ROUNDDOWN(O57,)</f>
        <v>9</v>
      </c>
      <c r="P58" s="21">
        <f>ROUNDDOWN(P57,)</f>
        <v>21</v>
      </c>
    </row>
    <row r="59" spans="2:16" x14ac:dyDescent="0.25">
      <c r="B59" s="85" t="str">
        <f t="shared" si="14"/>
        <v>f(123225842)</v>
      </c>
      <c r="C59" s="85" t="s">
        <v>178</v>
      </c>
      <c r="D59" s="64" t="s">
        <v>177</v>
      </c>
      <c r="E59" s="13" t="str">
        <f t="shared" si="15"/>
        <v>e^-123225842/Ɵ</v>
      </c>
      <c r="L59" s="113" t="s">
        <v>195</v>
      </c>
      <c r="M59" s="121"/>
      <c r="N59" s="114"/>
      <c r="O59" s="21">
        <f>O57-O58</f>
        <v>0.29999999999999893</v>
      </c>
      <c r="P59" s="21">
        <f>P57-P58</f>
        <v>0.69999999999999929</v>
      </c>
    </row>
    <row r="60" spans="2:16" x14ac:dyDescent="0.25">
      <c r="B60" s="85" t="str">
        <f t="shared" si="14"/>
        <v>f(126369628)</v>
      </c>
      <c r="C60" s="85" t="s">
        <v>178</v>
      </c>
      <c r="D60" s="64" t="s">
        <v>177</v>
      </c>
      <c r="E60" s="13" t="str">
        <f t="shared" si="15"/>
        <v>e^-126369628/Ɵ</v>
      </c>
      <c r="L60" s="120" t="s">
        <v>191</v>
      </c>
      <c r="M60" s="120"/>
      <c r="N60" s="120"/>
      <c r="O60" s="88">
        <f>(1-O59)*I13+(O59*I12)</f>
        <v>98556475.799999997</v>
      </c>
      <c r="P60" s="88">
        <f>((1-P59)*I24)+(P59*I25)</f>
        <v>131044488.40000001</v>
      </c>
    </row>
    <row r="61" spans="2:16" x14ac:dyDescent="0.25">
      <c r="B61" s="85" t="str">
        <f t="shared" si="14"/>
        <v>f(133048000)</v>
      </c>
      <c r="C61" s="85" t="s">
        <v>178</v>
      </c>
      <c r="D61" s="64" t="s">
        <v>177</v>
      </c>
      <c r="E61" s="13" t="str">
        <f t="shared" si="15"/>
        <v>e^-133048000/Ɵ</v>
      </c>
    </row>
    <row r="62" spans="2:16" x14ac:dyDescent="0.25">
      <c r="B62" s="85" t="str">
        <f t="shared" si="14"/>
        <v>f(144816873)</v>
      </c>
      <c r="C62" s="85" t="s">
        <v>178</v>
      </c>
      <c r="D62" s="64" t="s">
        <v>177</v>
      </c>
      <c r="E62" s="13" t="str">
        <f t="shared" si="15"/>
        <v>e^-144816873/Ɵ</v>
      </c>
    </row>
    <row r="63" spans="2:16" x14ac:dyDescent="0.25">
      <c r="B63" s="85" t="str">
        <f t="shared" si="14"/>
        <v>f(146449583)</v>
      </c>
      <c r="C63" s="85" t="s">
        <v>178</v>
      </c>
      <c r="D63" s="64" t="s">
        <v>177</v>
      </c>
      <c r="E63" s="13" t="str">
        <f t="shared" si="15"/>
        <v>e^-146449583/Ɵ</v>
      </c>
      <c r="L63" s="118" t="s">
        <v>196</v>
      </c>
      <c r="M63" s="118"/>
      <c r="N63" s="118"/>
    </row>
    <row r="64" spans="2:16" x14ac:dyDescent="0.25">
      <c r="B64" s="85" t="str">
        <f t="shared" si="14"/>
        <v>f(166010977)</v>
      </c>
      <c r="C64" s="85" t="s">
        <v>178</v>
      </c>
      <c r="D64" s="64" t="s">
        <v>177</v>
      </c>
      <c r="E64" s="13" t="str">
        <f t="shared" si="15"/>
        <v>e^-166010977/Ɵ</v>
      </c>
      <c r="L64" s="102" t="s">
        <v>185</v>
      </c>
      <c r="M64" s="126">
        <f>(LN(O60)+LN(P60))/2</f>
        <v>18.548593864915016</v>
      </c>
      <c r="N64" s="126"/>
    </row>
    <row r="65" spans="2:14" x14ac:dyDescent="0.25">
      <c r="B65" s="85" t="str">
        <f t="shared" si="14"/>
        <v>f(166495942)</v>
      </c>
      <c r="C65" s="85" t="s">
        <v>178</v>
      </c>
      <c r="D65" s="64" t="s">
        <v>177</v>
      </c>
      <c r="E65" s="13" t="str">
        <f t="shared" si="15"/>
        <v>e^-166495942/Ɵ</v>
      </c>
      <c r="L65" s="103" t="s">
        <v>186</v>
      </c>
      <c r="M65" s="126">
        <f>(LN(O60)+LN(P60))/(2*0.52)</f>
        <v>35.670372817144262</v>
      </c>
      <c r="N65" s="126"/>
    </row>
    <row r="66" spans="2:14" x14ac:dyDescent="0.25">
      <c r="B66" s="85" t="str">
        <f t="shared" si="14"/>
        <v>f(172792250)</v>
      </c>
      <c r="C66" s="85" t="s">
        <v>178</v>
      </c>
      <c r="D66" s="64" t="s">
        <v>177</v>
      </c>
      <c r="E66" s="13" t="str">
        <f t="shared" si="15"/>
        <v>e^-172792250/Ɵ</v>
      </c>
    </row>
    <row r="67" spans="2:14" x14ac:dyDescent="0.25">
      <c r="B67" s="85" t="str">
        <f t="shared" si="14"/>
        <v>f(182161414)</v>
      </c>
      <c r="C67" s="85" t="s">
        <v>178</v>
      </c>
      <c r="D67" s="64" t="s">
        <v>177</v>
      </c>
      <c r="E67" s="13" t="str">
        <f t="shared" si="15"/>
        <v>e^-182161414/Ɵ</v>
      </c>
    </row>
    <row r="68" spans="2:14" x14ac:dyDescent="0.25">
      <c r="B68" s="85" t="str">
        <f t="shared" si="14"/>
        <v>f(213472857)</v>
      </c>
      <c r="C68" s="85" t="s">
        <v>178</v>
      </c>
      <c r="D68" s="64" t="s">
        <v>177</v>
      </c>
      <c r="E68" s="13" t="str">
        <f t="shared" si="15"/>
        <v>e^-213472857/Ɵ</v>
      </c>
    </row>
    <row r="69" spans="2:14" x14ac:dyDescent="0.25">
      <c r="B69" s="85" t="str">
        <f t="shared" si="14"/>
        <v>f(223352402)</v>
      </c>
      <c r="C69" s="85" t="s">
        <v>178</v>
      </c>
      <c r="D69" s="64" t="s">
        <v>177</v>
      </c>
      <c r="E69" s="13" t="str">
        <f t="shared" si="15"/>
        <v>e^-223352402/Ɵ</v>
      </c>
    </row>
  </sheetData>
  <sortState ref="I3:I32">
    <sortCondition ref="I3"/>
  </sortState>
  <mergeCells count="49">
    <mergeCell ref="M65:N65"/>
    <mergeCell ref="L58:N58"/>
    <mergeCell ref="L59:N59"/>
    <mergeCell ref="L60:N60"/>
    <mergeCell ref="L63:N63"/>
    <mergeCell ref="M64:N64"/>
    <mergeCell ref="D33:E33"/>
    <mergeCell ref="L55:N55"/>
    <mergeCell ref="L56:N56"/>
    <mergeCell ref="L57:N57"/>
    <mergeCell ref="D28:E28"/>
    <mergeCell ref="D29:E29"/>
    <mergeCell ref="D30:E30"/>
    <mergeCell ref="D31:E31"/>
    <mergeCell ref="D32:E32"/>
    <mergeCell ref="B39:E39"/>
    <mergeCell ref="M47:O47"/>
    <mergeCell ref="N48:O48"/>
    <mergeCell ref="N49:O49"/>
    <mergeCell ref="D23:E23"/>
    <mergeCell ref="D24:E24"/>
    <mergeCell ref="D25:E25"/>
    <mergeCell ref="D26:E26"/>
    <mergeCell ref="D27:E27"/>
    <mergeCell ref="D18:E18"/>
    <mergeCell ref="D19:E19"/>
    <mergeCell ref="D20:E20"/>
    <mergeCell ref="D21:E21"/>
    <mergeCell ref="D22:E22"/>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S34:T34"/>
    <mergeCell ref="S39:T39"/>
    <mergeCell ref="S40:T40"/>
    <mergeCell ref="S41:T41"/>
    <mergeCell ref="S42:T4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4"/>
  <sheetViews>
    <sheetView workbookViewId="0">
      <selection activeCell="H29" sqref="H29"/>
    </sheetView>
  </sheetViews>
  <sheetFormatPr defaultRowHeight="15" x14ac:dyDescent="0.25"/>
  <cols>
    <col min="1" max="1" width="4.7109375" customWidth="1"/>
    <col min="2" max="2" width="16.5703125" customWidth="1"/>
    <col min="3" max="3" width="14.28515625" customWidth="1"/>
  </cols>
  <sheetData>
    <row r="2" spans="2:6" x14ac:dyDescent="0.25">
      <c r="B2" s="112" t="s">
        <v>119</v>
      </c>
      <c r="C2" s="112"/>
      <c r="D2" s="112"/>
      <c r="E2" s="112"/>
      <c r="F2" s="112"/>
    </row>
    <row r="4" spans="2:6" x14ac:dyDescent="0.25">
      <c r="B4" s="37" t="s">
        <v>115</v>
      </c>
      <c r="C4" s="37" t="s">
        <v>114</v>
      </c>
    </row>
    <row r="5" spans="2:6" ht="15" customHeight="1" x14ac:dyDescent="0.25">
      <c r="B5" s="2">
        <v>223352402</v>
      </c>
      <c r="C5" s="26" t="s">
        <v>0</v>
      </c>
    </row>
    <row r="6" spans="2:6" ht="15" customHeight="1" x14ac:dyDescent="0.25">
      <c r="B6" s="2">
        <v>213472857</v>
      </c>
      <c r="C6" s="26" t="s">
        <v>2</v>
      </c>
    </row>
    <row r="7" spans="2:6" ht="15" customHeight="1" x14ac:dyDescent="0.25">
      <c r="B7" s="2">
        <v>182161414</v>
      </c>
      <c r="C7" s="26" t="s">
        <v>3</v>
      </c>
    </row>
    <row r="8" spans="2:6" ht="15" customHeight="1" x14ac:dyDescent="0.25">
      <c r="B8" s="2">
        <v>172792250</v>
      </c>
      <c r="C8" s="26" t="s">
        <v>4</v>
      </c>
    </row>
    <row r="9" spans="2:6" ht="15" customHeight="1" x14ac:dyDescent="0.25">
      <c r="B9" s="2">
        <v>166495942</v>
      </c>
      <c r="C9" s="26" t="s">
        <v>5</v>
      </c>
    </row>
    <row r="10" spans="2:6" ht="15" customHeight="1" x14ac:dyDescent="0.25">
      <c r="B10" s="2">
        <v>166010977</v>
      </c>
      <c r="C10" s="26" t="s">
        <v>6</v>
      </c>
    </row>
    <row r="11" spans="2:6" ht="15" customHeight="1" x14ac:dyDescent="0.25">
      <c r="B11" s="2">
        <v>146449583</v>
      </c>
      <c r="C11" s="26" t="s">
        <v>7</v>
      </c>
    </row>
    <row r="12" spans="2:6" ht="15" customHeight="1" x14ac:dyDescent="0.25">
      <c r="B12" s="2">
        <v>144816873</v>
      </c>
      <c r="C12" s="26" t="s">
        <v>8</v>
      </c>
    </row>
    <row r="13" spans="2:6" ht="15" customHeight="1" x14ac:dyDescent="0.25">
      <c r="B13" s="2">
        <v>133048000</v>
      </c>
      <c r="C13" s="26" t="s">
        <v>9</v>
      </c>
    </row>
    <row r="14" spans="2:6" ht="15" customHeight="1" x14ac:dyDescent="0.25">
      <c r="B14" s="2">
        <v>126369628</v>
      </c>
      <c r="C14" s="26" t="s">
        <v>10</v>
      </c>
    </row>
    <row r="15" spans="2:6" ht="15" customHeight="1" x14ac:dyDescent="0.25">
      <c r="B15" s="2">
        <v>123225842</v>
      </c>
      <c r="C15" s="26" t="s">
        <v>11</v>
      </c>
    </row>
    <row r="16" spans="2:6" ht="15" customHeight="1" x14ac:dyDescent="0.25">
      <c r="B16" s="2">
        <v>120301957</v>
      </c>
      <c r="C16" s="26" t="s">
        <v>12</v>
      </c>
    </row>
    <row r="17" spans="2:3" ht="15" customHeight="1" x14ac:dyDescent="0.25">
      <c r="B17" s="2">
        <v>118862632</v>
      </c>
      <c r="C17" s="26" t="s">
        <v>13</v>
      </c>
    </row>
    <row r="18" spans="2:3" ht="15" customHeight="1" x14ac:dyDescent="0.25">
      <c r="B18" s="2">
        <v>117732284</v>
      </c>
      <c r="C18" s="26" t="s">
        <v>14</v>
      </c>
    </row>
    <row r="19" spans="2:3" ht="15" customHeight="1" x14ac:dyDescent="0.25">
      <c r="B19" s="2">
        <v>117164522</v>
      </c>
      <c r="C19" s="26" t="s">
        <v>15</v>
      </c>
    </row>
    <row r="20" spans="2:3" ht="15" customHeight="1" x14ac:dyDescent="0.25">
      <c r="B20" s="2">
        <v>116415800</v>
      </c>
      <c r="C20" s="26" t="s">
        <v>16</v>
      </c>
    </row>
    <row r="21" spans="2:3" ht="15" customHeight="1" x14ac:dyDescent="0.25">
      <c r="B21" s="2">
        <v>112914525</v>
      </c>
      <c r="C21" s="26" t="s">
        <v>17</v>
      </c>
    </row>
    <row r="22" spans="2:3" ht="15" customHeight="1" x14ac:dyDescent="0.25">
      <c r="B22" s="2">
        <v>110712867</v>
      </c>
      <c r="C22" s="26" t="s">
        <v>18</v>
      </c>
    </row>
    <row r="23" spans="2:3" ht="15" customHeight="1" x14ac:dyDescent="0.25">
      <c r="B23" s="2">
        <v>108262000</v>
      </c>
      <c r="C23" s="26" t="s">
        <v>19</v>
      </c>
    </row>
    <row r="24" spans="2:3" ht="15" customHeight="1" x14ac:dyDescent="0.25">
      <c r="B24" s="2">
        <v>100133953</v>
      </c>
      <c r="C24" s="26" t="s">
        <v>20</v>
      </c>
    </row>
    <row r="25" spans="2:3" ht="15" customHeight="1" x14ac:dyDescent="0.25">
      <c r="B25" s="2">
        <v>98683035</v>
      </c>
      <c r="C25" s="26" t="s">
        <v>21</v>
      </c>
    </row>
    <row r="26" spans="2:3" ht="15" customHeight="1" x14ac:dyDescent="0.25">
      <c r="B26" s="2">
        <v>98261171</v>
      </c>
      <c r="C26" s="26" t="s">
        <v>22</v>
      </c>
    </row>
    <row r="27" spans="2:3" ht="15" customHeight="1" x14ac:dyDescent="0.25">
      <c r="B27" s="2">
        <v>91622648</v>
      </c>
      <c r="C27" s="26" t="s">
        <v>23</v>
      </c>
    </row>
    <row r="28" spans="2:3" ht="15" customHeight="1" x14ac:dyDescent="0.25">
      <c r="B28" s="2">
        <v>87746767</v>
      </c>
      <c r="C28" s="26" t="s">
        <v>24</v>
      </c>
    </row>
    <row r="29" spans="2:3" ht="15" customHeight="1" x14ac:dyDescent="0.25">
      <c r="B29" s="2">
        <v>85885832</v>
      </c>
      <c r="C29" s="26" t="s">
        <v>25</v>
      </c>
    </row>
    <row r="30" spans="2:3" ht="15" customHeight="1" x14ac:dyDescent="0.25">
      <c r="B30" s="2">
        <v>84637500</v>
      </c>
      <c r="C30" s="26" t="s">
        <v>26</v>
      </c>
    </row>
    <row r="31" spans="2:3" ht="15" customHeight="1" x14ac:dyDescent="0.25">
      <c r="B31" s="2">
        <v>80786666</v>
      </c>
      <c r="C31" s="26" t="s">
        <v>27</v>
      </c>
    </row>
    <row r="32" spans="2:3" ht="15" customHeight="1" x14ac:dyDescent="0.25">
      <c r="B32" s="2">
        <v>74849584</v>
      </c>
      <c r="C32" s="26" t="s">
        <v>28</v>
      </c>
    </row>
    <row r="33" spans="2:3" ht="15" customHeight="1" x14ac:dyDescent="0.25">
      <c r="B33" s="2">
        <v>70762833</v>
      </c>
      <c r="C33" s="26" t="s">
        <v>29</v>
      </c>
    </row>
    <row r="34" spans="2:3" ht="15" customHeight="1" thickBot="1" x14ac:dyDescent="0.3">
      <c r="B34" s="7">
        <v>69064200</v>
      </c>
      <c r="C34" s="27" t="s">
        <v>30</v>
      </c>
    </row>
  </sheetData>
  <mergeCells count="1">
    <mergeCell ref="B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H40" sqref="H40"/>
    </sheetView>
  </sheetViews>
  <sheetFormatPr defaultRowHeight="15" x14ac:dyDescent="0.25"/>
  <cols>
    <col min="1" max="1" width="5" customWidth="1"/>
  </cols>
  <sheetData>
    <row r="2" spans="2:2" x14ac:dyDescent="0.25">
      <c r="B2" s="41" t="s">
        <v>39</v>
      </c>
    </row>
    <row r="3" spans="2:2" x14ac:dyDescent="0.25">
      <c r="B3" s="41" t="s">
        <v>106</v>
      </c>
    </row>
  </sheetData>
  <hyperlinks>
    <hyperlink ref="B2" r:id="rId1"/>
    <hyperlink ref="B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Salaries and Breakdown</vt:lpstr>
      <vt:lpstr>Team Wins 2015</vt:lpstr>
      <vt:lpstr>Group Salary range</vt:lpstr>
      <vt:lpstr>Data Set 2</vt:lpstr>
      <vt:lpstr>SalariesWins</vt:lpstr>
      <vt:lpstr>Group Emp Dist</vt:lpstr>
      <vt:lpstr>Individual Emp Dist</vt:lpstr>
      <vt:lpstr>Team Salary</vt:lpstr>
      <vt:lpstr>Resources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njohnson1</dc:creator>
  <cp:lastModifiedBy>njohnson1</cp:lastModifiedBy>
  <dcterms:created xsi:type="dcterms:W3CDTF">2016-04-04T17:15:16Z</dcterms:created>
  <dcterms:modified xsi:type="dcterms:W3CDTF">2016-05-04T20:47:38Z</dcterms:modified>
</cp:coreProperties>
</file>