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480" windowHeight="11640" firstSheet="1" activeTab="1"/>
  </bookViews>
  <sheets>
    <sheet name="余额" sheetId="1" r:id="rId1"/>
    <sheet name="分录" sheetId="2" r:id="rId2"/>
    <sheet name="表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" i="2" l="1"/>
  <c r="F104" i="2"/>
  <c r="J3" i="2" l="1"/>
  <c r="L7" i="2" l="1"/>
  <c r="J6" i="2"/>
  <c r="B6" i="3" s="1"/>
  <c r="L4" i="2"/>
  <c r="D4" i="3" s="1"/>
  <c r="L11" i="2"/>
  <c r="D12" i="3" s="1"/>
  <c r="J13" i="2"/>
  <c r="B14" i="3" s="1"/>
  <c r="J12" i="2"/>
  <c r="L10" i="2"/>
  <c r="D10" i="3" s="1"/>
  <c r="J28" i="2"/>
  <c r="D90" i="2" s="1"/>
  <c r="J36" i="2"/>
  <c r="D100" i="2" s="1"/>
  <c r="J35" i="2"/>
  <c r="D99" i="2" s="1"/>
  <c r="J34" i="2"/>
  <c r="D98" i="2" s="1"/>
  <c r="J31" i="2"/>
  <c r="D95" i="2" s="1"/>
  <c r="J29" i="2"/>
  <c r="D27" i="3" s="1"/>
  <c r="F84" i="2"/>
  <c r="D85" i="2" s="1"/>
  <c r="D81" i="2"/>
  <c r="D82" i="2" s="1"/>
  <c r="D76" i="2"/>
  <c r="L3" i="2" s="1"/>
  <c r="D73" i="2"/>
  <c r="L6" i="2" s="1"/>
  <c r="D6" i="3" s="1"/>
  <c r="D65" i="2"/>
  <c r="D64" i="2" s="1"/>
  <c r="J33" i="2" s="1"/>
  <c r="D57" i="2"/>
  <c r="D53" i="2"/>
  <c r="J30" i="2" l="1"/>
  <c r="D94" i="2" s="1"/>
  <c r="D91" i="2"/>
  <c r="B30" i="3"/>
  <c r="B26" i="3"/>
  <c r="D28" i="3"/>
  <c r="B13" i="3"/>
  <c r="B15" i="3" s="1"/>
  <c r="B29" i="3"/>
  <c r="D97" i="2"/>
  <c r="D84" i="2"/>
  <c r="D83" i="2" s="1"/>
  <c r="D52" i="2"/>
  <c r="J27" i="2"/>
  <c r="D89" i="2" s="1"/>
  <c r="B28" i="3"/>
  <c r="D25" i="3"/>
  <c r="D44" i="2"/>
  <c r="D41" i="2" s="1"/>
  <c r="D78" i="2" s="1"/>
  <c r="D77" i="2" s="1"/>
  <c r="D43" i="2"/>
  <c r="D42" i="2"/>
  <c r="D38" i="2"/>
  <c r="D37" i="2" s="1"/>
  <c r="J5" i="2" s="1"/>
  <c r="B5" i="3" s="1"/>
  <c r="D36" i="2"/>
  <c r="D34" i="2"/>
  <c r="D21" i="2"/>
  <c r="D23" i="2" s="1"/>
  <c r="D19" i="2"/>
  <c r="D7" i="2"/>
  <c r="D4" i="2"/>
  <c r="D3" i="2"/>
  <c r="D2" i="2" s="1"/>
  <c r="D23" i="1"/>
  <c r="D20" i="1"/>
  <c r="J9" i="2" s="1"/>
  <c r="D19" i="1"/>
  <c r="J8" i="2" s="1"/>
  <c r="D18" i="1"/>
  <c r="B27" i="3" l="1"/>
  <c r="D96" i="2"/>
  <c r="D93" i="2" s="1"/>
  <c r="J32" i="2"/>
  <c r="D18" i="2"/>
  <c r="J4" i="2" s="1"/>
  <c r="J26" i="2"/>
  <c r="L5" i="2"/>
  <c r="D5" i="3" s="1"/>
  <c r="D21" i="1"/>
  <c r="J7" i="2"/>
  <c r="J10" i="2" s="1"/>
  <c r="D40" i="2"/>
  <c r="D80" i="2" l="1"/>
  <c r="D79" i="2" s="1"/>
  <c r="J11" i="2" s="1"/>
  <c r="J15" i="2" s="1"/>
  <c r="B4" i="3"/>
  <c r="B25" i="3"/>
  <c r="D26" i="3" s="1"/>
  <c r="D29" i="3" s="1"/>
  <c r="D30" i="3" s="1"/>
  <c r="D31" i="3" s="1"/>
  <c r="D88" i="2"/>
  <c r="D92" i="2" s="1"/>
  <c r="F93" i="2" s="1"/>
  <c r="B7" i="3"/>
  <c r="D102" i="2" l="1"/>
  <c r="B8" i="3"/>
  <c r="B16" i="3" s="1"/>
  <c r="L8" i="2" l="1"/>
  <c r="D101" i="2"/>
  <c r="D7" i="3" l="1"/>
  <c r="D104" i="2"/>
  <c r="D103" i="2"/>
  <c r="D105" i="2" s="1"/>
  <c r="D106" i="2" s="1"/>
  <c r="D109" i="2" l="1"/>
  <c r="D108" i="2"/>
  <c r="D107" i="2" l="1"/>
  <c r="L12" i="2"/>
  <c r="D13" i="3" s="1"/>
  <c r="D113" i="2"/>
  <c r="D110" i="2"/>
  <c r="L9" i="2" s="1"/>
  <c r="D8" i="3" l="1"/>
  <c r="D9" i="3" s="1"/>
  <c r="D112" i="2"/>
  <c r="D111" i="2" s="1"/>
  <c r="F107" i="2" s="1"/>
  <c r="L14" i="2"/>
  <c r="D14" i="3" s="1"/>
  <c r="D15" i="3" s="1"/>
  <c r="L15" i="2" l="1"/>
  <c r="D16" i="3"/>
</calcChain>
</file>

<file path=xl/sharedStrings.xml><?xml version="1.0" encoding="utf-8"?>
<sst xmlns="http://schemas.openxmlformats.org/spreadsheetml/2006/main" count="332" uniqueCount="156">
  <si>
    <t>单价</t>
    <phoneticPr fontId="1" type="noConversion"/>
  </si>
  <si>
    <t>账户名称</t>
  </si>
  <si>
    <t>借方余额</t>
  </si>
  <si>
    <t>贷方余额</t>
  </si>
  <si>
    <t>库存现金</t>
  </si>
  <si>
    <t>累计折旧</t>
  </si>
  <si>
    <t>银行存款</t>
  </si>
  <si>
    <t>短期借款</t>
  </si>
  <si>
    <t>应收账款</t>
  </si>
  <si>
    <t>应付账款</t>
  </si>
  <si>
    <t>其他应收款</t>
  </si>
  <si>
    <t>应付职工薪酬</t>
  </si>
  <si>
    <t>原材料</t>
  </si>
  <si>
    <t>应付利息</t>
  </si>
  <si>
    <t>库存商品</t>
  </si>
  <si>
    <t>应交税费</t>
  </si>
  <si>
    <t>固定资产</t>
  </si>
  <si>
    <t>股本</t>
  </si>
  <si>
    <t>无形资产</t>
  </si>
  <si>
    <t>盈余公积</t>
  </si>
  <si>
    <t>本年利润</t>
  </si>
  <si>
    <t>利润分配</t>
  </si>
  <si>
    <t>合计</t>
  </si>
  <si>
    <t>应收账款-宝成工厂</t>
    <phoneticPr fontId="1" type="noConversion"/>
  </si>
  <si>
    <t>应付账款-速达工厂</t>
    <phoneticPr fontId="1" type="noConversion"/>
  </si>
  <si>
    <t>原材料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</si>
  <si>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</si>
  <si>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</si>
  <si>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</si>
  <si>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数量</t>
    <phoneticPr fontId="1" type="noConversion"/>
  </si>
  <si>
    <t>金额</t>
    <phoneticPr fontId="1" type="noConversion"/>
  </si>
  <si>
    <t>单价</t>
    <phoneticPr fontId="1" type="noConversion"/>
  </si>
  <si>
    <t>合计</t>
    <phoneticPr fontId="1" type="noConversion"/>
  </si>
  <si>
    <t>库存商品-甲</t>
    <phoneticPr fontId="1" type="noConversion"/>
  </si>
  <si>
    <t xml:space="preserve">  贷：</t>
    <phoneticPr fontId="1" type="noConversion"/>
  </si>
  <si>
    <t xml:space="preserve">      -B</t>
    <phoneticPr fontId="1" type="noConversion"/>
  </si>
  <si>
    <t>现金</t>
    <phoneticPr fontId="1" type="noConversion"/>
  </si>
  <si>
    <t>管理费用</t>
    <phoneticPr fontId="1" type="noConversion"/>
  </si>
  <si>
    <t>应交税费-增-进</t>
    <phoneticPr fontId="1" type="noConversion"/>
  </si>
  <si>
    <t>固定资产</t>
    <phoneticPr fontId="1" type="noConversion"/>
  </si>
  <si>
    <t>短期借款</t>
    <phoneticPr fontId="1" type="noConversion"/>
  </si>
  <si>
    <t>投资收益</t>
    <phoneticPr fontId="1" type="noConversion"/>
  </si>
  <si>
    <t>财务费用</t>
    <phoneticPr fontId="1" type="noConversion"/>
  </si>
  <si>
    <t>结转</t>
    <phoneticPr fontId="1" type="noConversion"/>
  </si>
  <si>
    <t>本年利润</t>
    <phoneticPr fontId="1" type="noConversion"/>
  </si>
  <si>
    <t>原材料-B</t>
    <phoneticPr fontId="1" type="noConversion"/>
  </si>
  <si>
    <t>管理费用=</t>
    <phoneticPr fontId="1" type="noConversion"/>
  </si>
  <si>
    <t>营业费用=</t>
    <phoneticPr fontId="1" type="noConversion"/>
  </si>
  <si>
    <t>其他业务成本=</t>
    <phoneticPr fontId="1" type="noConversion"/>
  </si>
  <si>
    <t>主营业务收入=</t>
    <phoneticPr fontId="1" type="noConversion"/>
  </si>
  <si>
    <t>资产</t>
  </si>
  <si>
    <t xml:space="preserve"> </t>
  </si>
  <si>
    <t>负债和所有者权益</t>
  </si>
  <si>
    <t>流动资产：</t>
  </si>
  <si>
    <t>流动负债：</t>
  </si>
  <si>
    <t xml:space="preserve">  货币资金</t>
  </si>
  <si>
    <t xml:space="preserve">  短期借款</t>
  </si>
  <si>
    <t xml:space="preserve">  应收账款</t>
  </si>
  <si>
    <t xml:space="preserve">  应付帐款</t>
  </si>
  <si>
    <t xml:space="preserve">  应付职工薪酬</t>
  </si>
  <si>
    <t>流动资产合计</t>
  </si>
  <si>
    <t xml:space="preserve">  应交税费</t>
  </si>
  <si>
    <t>流动负债合计</t>
  </si>
  <si>
    <t>非流动资产：</t>
  </si>
  <si>
    <t>所有者权益</t>
  </si>
  <si>
    <t xml:space="preserve">  固定资产</t>
  </si>
  <si>
    <t xml:space="preserve">  盈余公积</t>
  </si>
  <si>
    <t xml:space="preserve">  未分配利润</t>
  </si>
  <si>
    <t>非流动资产合计</t>
  </si>
  <si>
    <t>所有者权益合计</t>
  </si>
  <si>
    <t>资产总计</t>
  </si>
  <si>
    <t>负债和所有者权益合计</t>
  </si>
  <si>
    <t>利润表</t>
  </si>
  <si>
    <t>项目</t>
  </si>
  <si>
    <t>一、营业收入</t>
  </si>
  <si>
    <t>加：投资收益</t>
  </si>
  <si>
    <t>减：营业成本</t>
  </si>
  <si>
    <t>二、营业利润</t>
  </si>
  <si>
    <t xml:space="preserve">    营业税金及附加</t>
  </si>
  <si>
    <t>加：营业外收入</t>
  </si>
  <si>
    <t xml:space="preserve">减：营业外支出   </t>
  </si>
  <si>
    <t xml:space="preserve">    管理费用</t>
  </si>
  <si>
    <t>三、利润总额</t>
  </si>
  <si>
    <t xml:space="preserve">    财务费用</t>
  </si>
  <si>
    <t>减：所得税费用</t>
  </si>
  <si>
    <t>四、净利润</t>
  </si>
  <si>
    <t>营业外收入=</t>
    <phoneticPr fontId="1" type="noConversion"/>
  </si>
  <si>
    <t>营业外支出=</t>
    <phoneticPr fontId="1" type="noConversion"/>
  </si>
  <si>
    <t>投资收益=</t>
    <phoneticPr fontId="1" type="noConversion"/>
  </si>
  <si>
    <t>营业外收入</t>
    <phoneticPr fontId="1" type="noConversion"/>
  </si>
  <si>
    <t>主营业务税金及附加=</t>
    <phoneticPr fontId="1" type="noConversion"/>
  </si>
  <si>
    <t>所得税费用</t>
    <phoneticPr fontId="1" type="noConversion"/>
  </si>
  <si>
    <t>利润分配—未分配利润</t>
    <phoneticPr fontId="1" type="noConversion"/>
  </si>
  <si>
    <t>盈余公积</t>
    <phoneticPr fontId="1" type="noConversion"/>
  </si>
  <si>
    <t>备注</t>
    <phoneticPr fontId="1" type="noConversion"/>
  </si>
  <si>
    <t>借：</t>
    <phoneticPr fontId="1" type="noConversion"/>
  </si>
  <si>
    <t>生产成本-甲</t>
    <phoneticPr fontId="1" type="noConversion"/>
  </si>
  <si>
    <t>原材料-A</t>
    <phoneticPr fontId="1" type="noConversion"/>
  </si>
  <si>
    <t>其他应收款—张平</t>
    <phoneticPr fontId="1" type="noConversion"/>
  </si>
  <si>
    <t>银行存款</t>
    <phoneticPr fontId="1" type="noConversion"/>
  </si>
  <si>
    <t>应收账款-宝成工厂</t>
    <phoneticPr fontId="1" type="noConversion"/>
  </si>
  <si>
    <t>应付职工薪酬</t>
    <phoneticPr fontId="1" type="noConversion"/>
  </si>
  <si>
    <t>制造费用</t>
    <phoneticPr fontId="1" type="noConversion"/>
  </si>
  <si>
    <t>主营业务收入</t>
    <phoneticPr fontId="1" type="noConversion"/>
  </si>
  <si>
    <t>甲产品</t>
    <phoneticPr fontId="1" type="noConversion"/>
  </si>
  <si>
    <t>应交税费-增-销</t>
    <phoneticPr fontId="1" type="noConversion"/>
  </si>
  <si>
    <t>包括运杂费</t>
    <phoneticPr fontId="1" type="noConversion"/>
  </si>
  <si>
    <t>应付账款-西华</t>
    <phoneticPr fontId="1" type="noConversion"/>
  </si>
  <si>
    <t>长期借款</t>
    <phoneticPr fontId="1" type="noConversion"/>
  </si>
  <si>
    <t>无形资产-专利权</t>
    <phoneticPr fontId="1" type="noConversion"/>
  </si>
  <si>
    <t>应收账款-胜利工厂</t>
    <phoneticPr fontId="1" type="noConversion"/>
  </si>
  <si>
    <t xml:space="preserve">      -C</t>
    <phoneticPr fontId="1" type="noConversion"/>
  </si>
  <si>
    <t>其他业务收入</t>
    <phoneticPr fontId="1" type="noConversion"/>
  </si>
  <si>
    <t>A材料</t>
    <phoneticPr fontId="1" type="noConversion"/>
  </si>
  <si>
    <t>营业外支出</t>
    <phoneticPr fontId="1" type="noConversion"/>
  </si>
  <si>
    <t>应付账款-速达</t>
    <phoneticPr fontId="1" type="noConversion"/>
  </si>
  <si>
    <t>原材料-C</t>
    <phoneticPr fontId="1" type="noConversion"/>
  </si>
  <si>
    <t>应付利息</t>
    <phoneticPr fontId="1" type="noConversion"/>
  </si>
  <si>
    <t>累计折旧</t>
    <phoneticPr fontId="1" type="noConversion"/>
  </si>
  <si>
    <t>结转账户余额</t>
    <phoneticPr fontId="1" type="noConversion"/>
  </si>
  <si>
    <t>主营业务成本</t>
    <phoneticPr fontId="1" type="noConversion"/>
  </si>
  <si>
    <t>应交税费-城市维护建设税</t>
    <phoneticPr fontId="1" type="noConversion"/>
  </si>
  <si>
    <t xml:space="preserve">       -教育附加</t>
    <phoneticPr fontId="1" type="noConversion"/>
  </si>
  <si>
    <t>其他业务成本</t>
    <phoneticPr fontId="1" type="noConversion"/>
  </si>
  <si>
    <t>主营业务成本=</t>
    <phoneticPr fontId="1" type="noConversion"/>
  </si>
  <si>
    <t>财务费用=</t>
    <phoneticPr fontId="1" type="noConversion"/>
  </si>
  <si>
    <t>应交税费-所得税</t>
    <phoneticPr fontId="1" type="noConversion"/>
  </si>
  <si>
    <t>其他应收款</t>
    <phoneticPr fontId="1" type="noConversion"/>
  </si>
  <si>
    <t>其他业务收入=</t>
    <phoneticPr fontId="1" type="noConversion"/>
  </si>
  <si>
    <t>股本-B</t>
    <phoneticPr fontId="1" type="noConversion"/>
  </si>
  <si>
    <t>股本-A</t>
    <phoneticPr fontId="1" type="noConversion"/>
  </si>
  <si>
    <t>股本--国家</t>
    <phoneticPr fontId="1" type="noConversion"/>
  </si>
  <si>
    <t>应付账款-卫国</t>
    <phoneticPr fontId="1" type="noConversion"/>
  </si>
  <si>
    <t>原材料</t>
    <phoneticPr fontId="1" type="noConversion"/>
  </si>
  <si>
    <t>应付股利</t>
    <phoneticPr fontId="1" type="noConversion"/>
  </si>
  <si>
    <t>应付股利</t>
    <phoneticPr fontId="1" type="noConversion"/>
  </si>
  <si>
    <t>利润分配—提取盈余公积</t>
    <phoneticPr fontId="1" type="noConversion"/>
  </si>
  <si>
    <t>利润分配—提取应付股利</t>
    <phoneticPr fontId="1" type="noConversion"/>
  </si>
  <si>
    <t xml:space="preserve">  其他应收款</t>
    <phoneticPr fontId="1" type="noConversion"/>
  </si>
  <si>
    <t xml:space="preserve">  存货</t>
    <phoneticPr fontId="1" type="noConversion"/>
  </si>
  <si>
    <t xml:space="preserve">  应付股利</t>
    <phoneticPr fontId="1" type="noConversion"/>
  </si>
  <si>
    <t xml:space="preserve">  长期借款</t>
    <phoneticPr fontId="1" type="noConversion"/>
  </si>
  <si>
    <t xml:space="preserve">  股本</t>
    <phoneticPr fontId="1" type="noConversion"/>
  </si>
  <si>
    <r>
      <rPr>
        <sz val="11"/>
        <color theme="1"/>
        <rFont val="宋体"/>
        <family val="3"/>
        <charset val="134"/>
      </rPr>
      <t>库存商品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甲</t>
    </r>
    <phoneticPr fontId="1" type="noConversion"/>
  </si>
  <si>
    <t>销售费用</t>
    <phoneticPr fontId="1" type="noConversion"/>
  </si>
  <si>
    <t>税金及附加</t>
    <phoneticPr fontId="1" type="noConversion"/>
  </si>
  <si>
    <t>主营业务成</t>
    <phoneticPr fontId="1" type="noConversion"/>
  </si>
  <si>
    <t>其他业务成本</t>
    <phoneticPr fontId="1" type="noConversion"/>
  </si>
  <si>
    <t>管理费用</t>
    <phoneticPr fontId="1" type="noConversion"/>
  </si>
  <si>
    <t>财务费用</t>
    <phoneticPr fontId="1" type="noConversion"/>
  </si>
  <si>
    <t>营业外支出</t>
    <phoneticPr fontId="1" type="noConversion"/>
  </si>
  <si>
    <t xml:space="preserve">    销售费用</t>
    <phoneticPr fontId="1" type="noConversion"/>
  </si>
  <si>
    <t>税金及附加</t>
    <phoneticPr fontId="1" type="noConversion"/>
  </si>
  <si>
    <t>月初</t>
    <phoneticPr fontId="1" type="noConversion"/>
  </si>
  <si>
    <t>本月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</si>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</sst>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#,##0.00_ "/>
    <numFmt numFmtId="178" formatCode="#,##0.00_);[Red]\(#,##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8" fontId="3" fillId="0" borderId="1" xfId="0" applyNumberFormat="1" applyFont="1" applyBorder="1" applyAlignment="1">
      <alignment horizontal="right" vertical="top" wrapText="1"/>
    </xf>
    <xf numFmtId="178" fontId="5" fillId="0" borderId="1" xfId="0" applyNumberFormat="1" applyFont="1" applyFill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left" vertical="top" wrapText="1"/>
    </xf>
    <xf numFmtId="178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4" fontId="3" fillId="0" borderId="1" xfId="0" applyNumberFormat="1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justify"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3" fontId="0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4" fontId="5" fillId="0" borderId="1" xfId="0" applyNumberFormat="1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4" fontId="6" fillId="0" borderId="1" xfId="0" applyNumberFormat="1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177" fontId="4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4" fontId="0" fillId="0" borderId="1" xfId="0" applyNumberFormat="1" applyFont="1" applyBorder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4" fontId="0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9" workbookViewId="0">
      <selection activeCell="F18" sqref="F18"/>
    </sheetView>
  </sheetViews>
  <sheetFormatPr defaultRowHeight="21.75" customHeight="1" x14ac:dyDescent="0.15"/>
  <cols>
    <col min="1" max="1" width="17.75" style="22" customWidth="1"/>
    <col min="2" max="2" width="9.625" style="2" customWidth="1"/>
    <col min="3" max="3" width="18.375" style="32" customWidth="1"/>
    <col min="4" max="4" width="12.875" style="2" customWidth="1"/>
    <col min="5" max="16384" width="9" style="2"/>
  </cols>
  <sheetData>
    <row r="1" spans="1:4" ht="21.75" customHeight="1" thickBot="1" x14ac:dyDescent="0.2">
      <c r="A1" s="33" t="s">
        <v>1</v>
      </c>
      <c r="B1" s="34" t="s">
        <v>2</v>
      </c>
      <c r="C1" s="35" t="s">
        <v>1</v>
      </c>
      <c r="D1" s="34" t="s">
        <v>3</v>
      </c>
    </row>
    <row r="2" spans="1:4" s="31" customFormat="1" ht="21.75" customHeight="1" thickBot="1" x14ac:dyDescent="0.2">
      <c r="A2" s="36" t="s">
        <v>4</v>
      </c>
      <c r="B2" s="37">
        <v>5100</v>
      </c>
      <c r="C2" s="38" t="s">
        <v>5</v>
      </c>
      <c r="D2" s="37">
        <v>509600</v>
      </c>
    </row>
    <row r="3" spans="1:4" s="31" customFormat="1" ht="21.75" customHeight="1" thickBot="1" x14ac:dyDescent="0.2">
      <c r="A3" s="36" t="s">
        <v>6</v>
      </c>
      <c r="B3" s="37">
        <v>75000</v>
      </c>
      <c r="C3" s="38" t="s">
        <v>7</v>
      </c>
      <c r="D3" s="37">
        <v>50000</v>
      </c>
    </row>
    <row r="4" spans="1:4" ht="21.75" customHeight="1" thickBot="1" x14ac:dyDescent="0.2">
      <c r="A4" s="36" t="s">
        <v>8</v>
      </c>
      <c r="B4" s="37">
        <v>46800</v>
      </c>
      <c r="C4" s="38" t="s">
        <v>9</v>
      </c>
      <c r="D4" s="37">
        <v>58500</v>
      </c>
    </row>
    <row r="5" spans="1:4" ht="21.75" customHeight="1" thickBot="1" x14ac:dyDescent="0.2">
      <c r="A5" s="36" t="s">
        <v>10</v>
      </c>
      <c r="B5" s="37">
        <v>1500</v>
      </c>
      <c r="C5" s="38" t="s">
        <v>11</v>
      </c>
      <c r="D5" s="37">
        <v>20000</v>
      </c>
    </row>
    <row r="6" spans="1:4" ht="21.75" customHeight="1" thickBot="1" x14ac:dyDescent="0.2">
      <c r="A6" s="36" t="s">
        <v>12</v>
      </c>
      <c r="B6" s="37">
        <v>54000</v>
      </c>
      <c r="C6" s="38" t="s">
        <v>13</v>
      </c>
      <c r="D6" s="37">
        <v>1200</v>
      </c>
    </row>
    <row r="7" spans="1:4" ht="21.75" customHeight="1" thickBot="1" x14ac:dyDescent="0.2">
      <c r="A7" s="36" t="s">
        <v>14</v>
      </c>
      <c r="B7" s="37">
        <v>20000</v>
      </c>
      <c r="C7" s="38" t="s">
        <v>15</v>
      </c>
      <c r="D7" s="37">
        <v>22600</v>
      </c>
    </row>
    <row r="8" spans="1:4" ht="21.75" customHeight="1" thickBot="1" x14ac:dyDescent="0.2">
      <c r="A8" s="36" t="s">
        <v>16</v>
      </c>
      <c r="B8" s="37">
        <v>3000000</v>
      </c>
      <c r="C8" s="38" t="s">
        <v>17</v>
      </c>
      <c r="D8" s="37">
        <v>1500000</v>
      </c>
    </row>
    <row r="9" spans="1:4" ht="21.75" customHeight="1" thickBot="1" x14ac:dyDescent="0.2">
      <c r="A9" s="36" t="s">
        <v>18</v>
      </c>
      <c r="B9" s="37">
        <v>100000</v>
      </c>
      <c r="C9" s="38" t="s">
        <v>19</v>
      </c>
      <c r="D9" s="37">
        <v>180000</v>
      </c>
    </row>
    <row r="10" spans="1:4" ht="21.75" customHeight="1" thickBot="1" x14ac:dyDescent="0.2">
      <c r="A10" s="36"/>
      <c r="B10" s="37"/>
      <c r="C10" s="38" t="s">
        <v>20</v>
      </c>
      <c r="D10" s="37">
        <v>850000</v>
      </c>
    </row>
    <row r="11" spans="1:4" ht="21.75" customHeight="1" thickBot="1" x14ac:dyDescent="0.2">
      <c r="A11" s="36"/>
      <c r="B11" s="37"/>
      <c r="C11" s="38" t="s">
        <v>21</v>
      </c>
      <c r="D11" s="37">
        <v>110500</v>
      </c>
    </row>
    <row r="12" spans="1:4" s="31" customFormat="1" ht="21.75" customHeight="1" thickBot="1" x14ac:dyDescent="0.2">
      <c r="A12" s="39" t="s">
        <v>22</v>
      </c>
      <c r="B12" s="37">
        <v>3302400</v>
      </c>
      <c r="C12" s="40" t="s">
        <v>22</v>
      </c>
      <c r="D12" s="37">
        <v>3302400</v>
      </c>
    </row>
    <row r="13" spans="1:4" s="31" customFormat="1" ht="21.75" customHeight="1" x14ac:dyDescent="0.15">
      <c r="A13" s="22"/>
      <c r="B13" s="2"/>
      <c r="C13" s="32"/>
      <c r="D13" s="1"/>
    </row>
    <row r="14" spans="1:4" ht="21.75" customHeight="1" x14ac:dyDescent="0.15">
      <c r="A14" s="22" t="s">
        <v>23</v>
      </c>
      <c r="B14" s="2">
        <v>468000</v>
      </c>
    </row>
    <row r="15" spans="1:4" ht="21.75" customHeight="1" x14ac:dyDescent="0.15">
      <c r="A15" s="22" t="s">
        <v>24</v>
      </c>
      <c r="B15" s="2">
        <v>585000</v>
      </c>
    </row>
    <row r="17" spans="1:7" ht="21.75" customHeight="1" x14ac:dyDescent="0.15">
      <c r="A17" s="22" t="s">
        <v>25</v>
      </c>
      <c r="B17" s="2" t="s">
        <v>29</v>
      </c>
      <c r="C17" s="32" t="s">
        <v>31</v>
      </c>
      <c r="D17" s="2" t="s">
        <v>30</v>
      </c>
    </row>
    <row r="18" spans="1:7" ht="21.75" customHeight="1" x14ac:dyDescent="0.15">
      <c r="A18" s="22" t="s">
        <v>26</v>
      </c>
      <c r="B18" s="2">
        <v>1000</v>
      </c>
      <c r="C18" s="32">
        <v>25</v>
      </c>
      <c r="D18" s="2">
        <f>B18*C18</f>
        <v>25000</v>
      </c>
    </row>
    <row r="19" spans="1:7" ht="21.75" customHeight="1" x14ac:dyDescent="0.15">
      <c r="A19" s="22" t="s">
        <v>27</v>
      </c>
      <c r="B19" s="2">
        <v>500</v>
      </c>
      <c r="C19" s="32">
        <v>18</v>
      </c>
      <c r="D19" s="2">
        <f>B19*C19</f>
        <v>9000</v>
      </c>
    </row>
    <row r="20" spans="1:7" ht="21.75" customHeight="1" x14ac:dyDescent="0.15">
      <c r="A20" s="22" t="s">
        <v>28</v>
      </c>
      <c r="B20" s="2">
        <v>2000</v>
      </c>
      <c r="C20" s="32">
        <v>10</v>
      </c>
      <c r="D20" s="2">
        <f>B20*C20</f>
        <v>20000</v>
      </c>
    </row>
    <row r="21" spans="1:7" ht="21.75" customHeight="1" x14ac:dyDescent="0.15">
      <c r="A21" s="22" t="s">
        <v>32</v>
      </c>
      <c r="D21" s="2">
        <f>D18+D19+D20</f>
        <v>54000</v>
      </c>
    </row>
    <row r="22" spans="1:7" ht="21.75" customHeight="1" x14ac:dyDescent="0.15">
      <c r="E22" s="31"/>
      <c r="F22" s="31"/>
      <c r="G22" s="31"/>
    </row>
    <row r="23" spans="1:7" ht="21.75" customHeight="1" x14ac:dyDescent="0.15">
      <c r="A23" s="22" t="s">
        <v>33</v>
      </c>
      <c r="B23" s="2">
        <v>100</v>
      </c>
      <c r="C23" s="32">
        <v>200</v>
      </c>
      <c r="D23" s="2">
        <f>B23*C23</f>
        <v>20000</v>
      </c>
    </row>
    <row r="28" spans="1:7" ht="21.75" customHeight="1" x14ac:dyDescent="0.15">
      <c r="E28" s="1"/>
      <c r="F28" s="1"/>
      <c r="G28" s="1"/>
    </row>
    <row r="32" spans="1:7" s="1" customFormat="1" ht="21.75" customHeight="1" x14ac:dyDescent="0.15"/>
    <row r="33" spans="5:7" ht="21.75" customHeight="1" x14ac:dyDescent="0.15">
      <c r="E33" s="41"/>
      <c r="F33" s="41"/>
      <c r="G33" s="41"/>
    </row>
    <row r="34" spans="5:7" ht="21.75" customHeight="1" x14ac:dyDescent="0.15">
      <c r="E34" s="31"/>
      <c r="F34" s="31"/>
      <c r="G34" s="31"/>
    </row>
    <row r="35" spans="5:7" ht="21.75" customHeight="1" x14ac:dyDescent="0.15">
      <c r="G35" s="1"/>
    </row>
  </sheetData>
  <mergeCells count="1">
    <mergeCell ref="E33:G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88" workbookViewId="0">
      <selection activeCell="A111" sqref="A111"/>
    </sheetView>
  </sheetViews>
  <sheetFormatPr defaultRowHeight="31.5" customHeight="1" x14ac:dyDescent="0.15"/>
  <cols>
    <col min="1" max="1" width="4.5" style="13" customWidth="1"/>
    <col min="2" max="2" width="6.625" style="14" customWidth="1"/>
    <col min="3" max="3" width="23.5" style="15" customWidth="1"/>
    <col min="4" max="4" width="11.5" style="16" customWidth="1"/>
    <col min="5" max="5" width="7.625" style="14" customWidth="1"/>
    <col min="6" max="6" width="13.375" style="14" customWidth="1"/>
    <col min="7" max="7" width="7.125" style="14" customWidth="1"/>
    <col min="8" max="8" width="9" style="14"/>
    <col min="9" max="9" width="19" style="14" customWidth="1"/>
    <col min="10" max="10" width="12.375" style="27" customWidth="1"/>
    <col min="11" max="11" width="13.875" style="14" customWidth="1"/>
    <col min="12" max="12" width="13.625" style="14" customWidth="1"/>
    <col min="13" max="16384" width="9" style="14"/>
  </cols>
  <sheetData>
    <row r="1" spans="1:12" ht="31.5" customHeight="1" thickBot="1" x14ac:dyDescent="0.2">
      <c r="E1" s="14" t="s">
        <v>29</v>
      </c>
      <c r="F1" s="14" t="s">
        <v>0</v>
      </c>
      <c r="G1" s="14" t="s">
        <v>94</v>
      </c>
    </row>
    <row r="2" spans="1:12" ht="31.5" customHeight="1" thickBot="1" x14ac:dyDescent="0.2">
      <c r="A2" s="13">
        <v>1</v>
      </c>
      <c r="B2" s="14" t="s">
        <v>95</v>
      </c>
      <c r="C2" s="15" t="s">
        <v>96</v>
      </c>
      <c r="D2" s="16">
        <f>D3+D4</f>
        <v>45200</v>
      </c>
      <c r="I2" s="17" t="s">
        <v>1</v>
      </c>
      <c r="J2" s="18" t="s">
        <v>2</v>
      </c>
      <c r="K2" s="17" t="s">
        <v>1</v>
      </c>
      <c r="L2" s="18" t="s">
        <v>3</v>
      </c>
    </row>
    <row r="3" spans="1:12" ht="31.5" customHeight="1" thickBot="1" x14ac:dyDescent="0.2">
      <c r="B3" s="14" t="s">
        <v>34</v>
      </c>
      <c r="C3" s="15" t="s">
        <v>97</v>
      </c>
      <c r="D3" s="16">
        <f>E3*F3</f>
        <v>20000</v>
      </c>
      <c r="E3" s="14">
        <v>800</v>
      </c>
      <c r="F3" s="14">
        <v>25</v>
      </c>
      <c r="I3" s="17" t="s">
        <v>4</v>
      </c>
      <c r="J3" s="19">
        <f>5100-D6+D11-D14-D17+D48+D50</f>
        <v>3100</v>
      </c>
      <c r="K3" s="17" t="s">
        <v>5</v>
      </c>
      <c r="L3" s="19">
        <f>509600+D76</f>
        <v>530620</v>
      </c>
    </row>
    <row r="4" spans="1:12" ht="31.5" customHeight="1" thickBot="1" x14ac:dyDescent="0.2">
      <c r="C4" s="15" t="s">
        <v>35</v>
      </c>
      <c r="D4" s="16">
        <f>E4*F4</f>
        <v>25200</v>
      </c>
      <c r="E4" s="14">
        <v>1400</v>
      </c>
      <c r="F4" s="14">
        <v>18</v>
      </c>
      <c r="I4" s="17" t="s">
        <v>6</v>
      </c>
      <c r="J4" s="19">
        <f>75000+D7-D10-D12+D24+D30-D36-D46-D51-D57-D59+D60-D69+D18+D52</f>
        <v>481862.7</v>
      </c>
      <c r="K4" s="17" t="s">
        <v>7</v>
      </c>
      <c r="L4" s="19">
        <f>50000-D45</f>
        <v>30000</v>
      </c>
    </row>
    <row r="5" spans="1:12" ht="31.5" customHeight="1" thickBot="1" x14ac:dyDescent="0.2">
      <c r="A5" s="13">
        <v>2</v>
      </c>
      <c r="B5" s="14" t="s">
        <v>95</v>
      </c>
      <c r="C5" s="15" t="s">
        <v>98</v>
      </c>
      <c r="D5" s="16">
        <v>3000</v>
      </c>
      <c r="I5" s="17" t="s">
        <v>8</v>
      </c>
      <c r="J5" s="19">
        <f>46800-D8+D37</f>
        <v>175500</v>
      </c>
      <c r="K5" s="17" t="s">
        <v>9</v>
      </c>
      <c r="L5" s="19">
        <f>58500+D23+D34-D35-D62</f>
        <v>6318</v>
      </c>
    </row>
    <row r="6" spans="1:12" ht="31.5" customHeight="1" thickBot="1" x14ac:dyDescent="0.2">
      <c r="B6" s="14" t="s">
        <v>34</v>
      </c>
      <c r="C6" s="15" t="s">
        <v>36</v>
      </c>
      <c r="D6" s="16">
        <v>3000</v>
      </c>
      <c r="I6" s="20" t="s">
        <v>127</v>
      </c>
      <c r="J6" s="28">
        <f>1500+D5-D49</f>
        <v>1500</v>
      </c>
      <c r="K6" s="17" t="s">
        <v>11</v>
      </c>
      <c r="L6" s="19">
        <f>20000-D13+D73</f>
        <v>20000</v>
      </c>
    </row>
    <row r="7" spans="1:12" ht="31.5" customHeight="1" thickBot="1" x14ac:dyDescent="0.2">
      <c r="A7" s="13">
        <v>3</v>
      </c>
      <c r="B7" s="14" t="s">
        <v>95</v>
      </c>
      <c r="C7" s="15" t="s">
        <v>99</v>
      </c>
      <c r="D7" s="16">
        <f>D8</f>
        <v>46800</v>
      </c>
      <c r="I7" s="17" t="s">
        <v>97</v>
      </c>
      <c r="J7" s="19">
        <f>余额!D18-D3+D21-D42-D87</f>
        <v>5000</v>
      </c>
      <c r="K7" s="17" t="s">
        <v>13</v>
      </c>
      <c r="L7" s="19">
        <f>1200+D67-D68</f>
        <v>0</v>
      </c>
    </row>
    <row r="8" spans="1:12" ht="31.5" customHeight="1" thickBot="1" x14ac:dyDescent="0.2">
      <c r="B8" s="14" t="s">
        <v>34</v>
      </c>
      <c r="C8" s="22" t="s">
        <v>100</v>
      </c>
      <c r="D8" s="16">
        <v>46800</v>
      </c>
      <c r="I8" s="17" t="s">
        <v>45</v>
      </c>
      <c r="J8" s="28">
        <f>余额!D19-D4+D32-D43</f>
        <v>-14400</v>
      </c>
      <c r="K8" s="17" t="s">
        <v>15</v>
      </c>
      <c r="L8" s="19">
        <f>22600+D20-D22-D33+D39+D54+D83+D102</f>
        <v>109624.7</v>
      </c>
    </row>
    <row r="9" spans="1:12" ht="31.5" customHeight="1" thickBot="1" x14ac:dyDescent="0.2">
      <c r="A9" s="13">
        <v>4</v>
      </c>
      <c r="B9" s="14" t="s">
        <v>95</v>
      </c>
      <c r="C9" s="15" t="s">
        <v>144</v>
      </c>
      <c r="D9" s="16">
        <v>6032.3</v>
      </c>
      <c r="I9" s="17" t="s">
        <v>116</v>
      </c>
      <c r="J9" s="28">
        <f>余额!D20-D44-D65</f>
        <v>18000</v>
      </c>
      <c r="K9" s="21" t="s">
        <v>135</v>
      </c>
      <c r="L9" s="21">
        <f>D110</f>
        <v>48875</v>
      </c>
    </row>
    <row r="10" spans="1:12" ht="31.5" customHeight="1" thickBot="1" x14ac:dyDescent="0.2">
      <c r="B10" s="14" t="s">
        <v>34</v>
      </c>
      <c r="C10" s="15" t="s">
        <v>99</v>
      </c>
      <c r="D10" s="16">
        <v>6032.3</v>
      </c>
      <c r="I10" s="17" t="s">
        <v>133</v>
      </c>
      <c r="J10" s="28">
        <f>J7+J8+J9</f>
        <v>8600</v>
      </c>
      <c r="K10" s="20" t="s">
        <v>108</v>
      </c>
      <c r="L10" s="21">
        <f>D25</f>
        <v>150000</v>
      </c>
    </row>
    <row r="11" spans="1:12" ht="31.5" customHeight="1" thickBot="1" x14ac:dyDescent="0.2">
      <c r="A11" s="13">
        <v>5</v>
      </c>
      <c r="B11" s="14" t="s">
        <v>95</v>
      </c>
      <c r="C11" s="15" t="s">
        <v>36</v>
      </c>
      <c r="D11" s="16">
        <v>50000</v>
      </c>
      <c r="I11" s="23" t="s">
        <v>143</v>
      </c>
      <c r="J11" s="19">
        <f>20000+D79-D82</f>
        <v>44000</v>
      </c>
      <c r="K11" s="17" t="s">
        <v>17</v>
      </c>
      <c r="L11" s="19">
        <f>1500000+D27+D29+D31</f>
        <v>1870000</v>
      </c>
    </row>
    <row r="12" spans="1:12" ht="31.5" customHeight="1" thickBot="1" x14ac:dyDescent="0.2">
      <c r="B12" s="14" t="s">
        <v>34</v>
      </c>
      <c r="C12" s="15" t="s">
        <v>99</v>
      </c>
      <c r="D12" s="16">
        <v>50000</v>
      </c>
      <c r="I12" s="17" t="s">
        <v>16</v>
      </c>
      <c r="J12" s="19">
        <f>3000000+D26</f>
        <v>3050000</v>
      </c>
      <c r="K12" s="17" t="s">
        <v>19</v>
      </c>
      <c r="L12" s="19">
        <f>180000+D108</f>
        <v>277750</v>
      </c>
    </row>
    <row r="13" spans="1:12" ht="31.5" customHeight="1" thickBot="1" x14ac:dyDescent="0.2">
      <c r="A13" s="13">
        <v>6</v>
      </c>
      <c r="B13" s="14" t="s">
        <v>95</v>
      </c>
      <c r="C13" s="15" t="s">
        <v>101</v>
      </c>
      <c r="D13" s="16">
        <v>50000</v>
      </c>
      <c r="I13" s="17" t="s">
        <v>18</v>
      </c>
      <c r="J13" s="19">
        <f>100000+D28</f>
        <v>220000</v>
      </c>
      <c r="K13" s="17" t="s">
        <v>20</v>
      </c>
      <c r="L13" s="19"/>
    </row>
    <row r="14" spans="1:12" ht="31.5" customHeight="1" thickBot="1" x14ac:dyDescent="0.2">
      <c r="B14" s="14" t="s">
        <v>34</v>
      </c>
      <c r="C14" s="15" t="s">
        <v>36</v>
      </c>
      <c r="D14" s="16">
        <v>50000</v>
      </c>
      <c r="I14" s="21"/>
      <c r="J14" s="28"/>
      <c r="K14" s="17" t="s">
        <v>21</v>
      </c>
      <c r="L14" s="19">
        <f>110500+D106-D107-D109</f>
        <v>941375</v>
      </c>
    </row>
    <row r="15" spans="1:12" ht="31.5" customHeight="1" thickBot="1" x14ac:dyDescent="0.2">
      <c r="A15" s="13">
        <v>7</v>
      </c>
      <c r="B15" s="14" t="s">
        <v>95</v>
      </c>
      <c r="C15" s="15" t="s">
        <v>102</v>
      </c>
      <c r="D15" s="16">
        <v>180</v>
      </c>
      <c r="I15" s="24" t="s">
        <v>22</v>
      </c>
      <c r="J15" s="19">
        <f>J3+J4+J5+J6+J10+J11+J12+J13</f>
        <v>3984562.7</v>
      </c>
      <c r="K15" s="24" t="s">
        <v>22</v>
      </c>
      <c r="L15" s="19">
        <f>SUM(L3:L14)</f>
        <v>3984562.7</v>
      </c>
    </row>
    <row r="16" spans="1:12" ht="31.5" customHeight="1" x14ac:dyDescent="0.15">
      <c r="C16" s="15" t="s">
        <v>37</v>
      </c>
      <c r="D16" s="16">
        <v>220</v>
      </c>
      <c r="I16" s="25"/>
    </row>
    <row r="17" spans="1:10" ht="31.5" customHeight="1" x14ac:dyDescent="0.15">
      <c r="B17" s="14" t="s">
        <v>34</v>
      </c>
      <c r="C17" s="15" t="s">
        <v>36</v>
      </c>
      <c r="D17" s="16">
        <v>400</v>
      </c>
    </row>
    <row r="18" spans="1:10" ht="31.5" customHeight="1" x14ac:dyDescent="0.15">
      <c r="A18" s="13">
        <v>8</v>
      </c>
      <c r="B18" s="14" t="s">
        <v>95</v>
      </c>
      <c r="C18" s="15" t="s">
        <v>99</v>
      </c>
      <c r="D18" s="16">
        <f>D19+D20</f>
        <v>117000</v>
      </c>
    </row>
    <row r="19" spans="1:10" ht="31.5" customHeight="1" x14ac:dyDescent="0.15">
      <c r="B19" s="14" t="s">
        <v>34</v>
      </c>
      <c r="C19" s="15" t="s">
        <v>103</v>
      </c>
      <c r="D19" s="16">
        <f>E19*F19</f>
        <v>100000</v>
      </c>
      <c r="E19" s="14">
        <v>200</v>
      </c>
      <c r="F19" s="14">
        <v>500</v>
      </c>
      <c r="G19" s="14" t="s">
        <v>104</v>
      </c>
    </row>
    <row r="20" spans="1:10" ht="31.5" customHeight="1" x14ac:dyDescent="0.15">
      <c r="C20" s="15" t="s">
        <v>105</v>
      </c>
      <c r="D20" s="16">
        <v>17000</v>
      </c>
    </row>
    <row r="21" spans="1:10" ht="31.5" customHeight="1" x14ac:dyDescent="0.15">
      <c r="A21" s="13">
        <v>9</v>
      </c>
      <c r="B21" s="14" t="s">
        <v>95</v>
      </c>
      <c r="C21" s="15" t="s">
        <v>97</v>
      </c>
      <c r="D21" s="16">
        <f>14500+500</f>
        <v>15000</v>
      </c>
      <c r="E21" s="14">
        <v>500</v>
      </c>
      <c r="G21" s="14" t="s">
        <v>106</v>
      </c>
    </row>
    <row r="22" spans="1:10" ht="31.5" customHeight="1" x14ac:dyDescent="0.15">
      <c r="C22" s="15" t="s">
        <v>38</v>
      </c>
      <c r="D22" s="16">
        <v>2465</v>
      </c>
    </row>
    <row r="23" spans="1:10" ht="31.5" customHeight="1" x14ac:dyDescent="0.15">
      <c r="B23" s="14" t="s">
        <v>34</v>
      </c>
      <c r="C23" s="15" t="s">
        <v>107</v>
      </c>
      <c r="D23" s="16">
        <f>D21+D22</f>
        <v>17465</v>
      </c>
    </row>
    <row r="24" spans="1:10" ht="31.5" customHeight="1" x14ac:dyDescent="0.15">
      <c r="A24" s="13">
        <v>10</v>
      </c>
      <c r="B24" s="14" t="s">
        <v>95</v>
      </c>
      <c r="C24" s="15" t="s">
        <v>99</v>
      </c>
      <c r="D24" s="16">
        <v>150000</v>
      </c>
    </row>
    <row r="25" spans="1:10" ht="31.5" customHeight="1" x14ac:dyDescent="0.15">
      <c r="B25" s="14" t="s">
        <v>34</v>
      </c>
      <c r="C25" s="15" t="s">
        <v>108</v>
      </c>
      <c r="D25" s="16">
        <v>150000</v>
      </c>
    </row>
    <row r="26" spans="1:10" ht="31.5" customHeight="1" x14ac:dyDescent="0.15">
      <c r="A26" s="13">
        <v>11</v>
      </c>
      <c r="B26" s="14" t="s">
        <v>95</v>
      </c>
      <c r="C26" s="15" t="s">
        <v>39</v>
      </c>
      <c r="D26" s="16">
        <v>50000</v>
      </c>
      <c r="I26" s="14" t="s">
        <v>49</v>
      </c>
      <c r="J26" s="29">
        <f>D19+D38</f>
        <v>250000</v>
      </c>
    </row>
    <row r="27" spans="1:10" ht="31.5" customHeight="1" x14ac:dyDescent="0.15">
      <c r="B27" s="14" t="s">
        <v>34</v>
      </c>
      <c r="C27" s="15" t="s">
        <v>130</v>
      </c>
      <c r="D27" s="16">
        <v>50000</v>
      </c>
      <c r="I27" s="14" t="s">
        <v>128</v>
      </c>
      <c r="J27" s="30">
        <f>D53</f>
        <v>8000</v>
      </c>
    </row>
    <row r="28" spans="1:10" ht="31.5" customHeight="1" x14ac:dyDescent="0.15">
      <c r="A28" s="13">
        <v>12</v>
      </c>
      <c r="B28" s="14" t="s">
        <v>95</v>
      </c>
      <c r="C28" s="15" t="s">
        <v>109</v>
      </c>
      <c r="D28" s="16">
        <v>120000</v>
      </c>
      <c r="I28" s="14" t="s">
        <v>88</v>
      </c>
      <c r="J28" s="30">
        <f>D61</f>
        <v>30000</v>
      </c>
    </row>
    <row r="29" spans="1:10" ht="31.5" customHeight="1" x14ac:dyDescent="0.15">
      <c r="B29" s="14" t="s">
        <v>34</v>
      </c>
      <c r="C29" s="15" t="s">
        <v>129</v>
      </c>
      <c r="D29" s="16">
        <v>120000</v>
      </c>
      <c r="I29" s="14" t="s">
        <v>86</v>
      </c>
      <c r="J29" s="30">
        <f>D63</f>
        <v>58500</v>
      </c>
    </row>
    <row r="30" spans="1:10" ht="31.5" customHeight="1" x14ac:dyDescent="0.15">
      <c r="A30" s="13">
        <v>13</v>
      </c>
      <c r="B30" s="14" t="s">
        <v>95</v>
      </c>
      <c r="C30" s="15" t="s">
        <v>99</v>
      </c>
      <c r="D30" s="16">
        <v>200000</v>
      </c>
      <c r="I30" s="14" t="s">
        <v>124</v>
      </c>
      <c r="J30" s="30">
        <f>D81</f>
        <v>110000</v>
      </c>
    </row>
    <row r="31" spans="1:10" ht="31.5" customHeight="1" x14ac:dyDescent="0.15">
      <c r="B31" s="14" t="s">
        <v>34</v>
      </c>
      <c r="C31" s="15" t="s">
        <v>131</v>
      </c>
      <c r="D31" s="16">
        <v>200000</v>
      </c>
      <c r="I31" s="14" t="s">
        <v>48</v>
      </c>
      <c r="J31" s="30">
        <f>D86</f>
        <v>5000</v>
      </c>
    </row>
    <row r="32" spans="1:10" ht="31.5" customHeight="1" x14ac:dyDescent="0.15">
      <c r="A32" s="13">
        <v>14</v>
      </c>
      <c r="B32" s="14" t="s">
        <v>95</v>
      </c>
      <c r="C32" s="15" t="s">
        <v>45</v>
      </c>
      <c r="D32" s="16">
        <v>5400</v>
      </c>
      <c r="E32" s="14">
        <v>300</v>
      </c>
      <c r="I32" s="14" t="s">
        <v>90</v>
      </c>
      <c r="J32" s="30">
        <f>D83</f>
        <v>4047.7000000000003</v>
      </c>
    </row>
    <row r="33" spans="1:10" ht="31.5" customHeight="1" x14ac:dyDescent="0.15">
      <c r="C33" s="15" t="s">
        <v>38</v>
      </c>
      <c r="D33" s="16">
        <v>918</v>
      </c>
      <c r="I33" s="14" t="s">
        <v>46</v>
      </c>
      <c r="J33" s="29">
        <f>D16+D47+D56+D64+D72+D75</f>
        <v>30820</v>
      </c>
    </row>
    <row r="34" spans="1:10" ht="31.5" customHeight="1" x14ac:dyDescent="0.15">
      <c r="B34" s="14" t="s">
        <v>34</v>
      </c>
      <c r="C34" s="15" t="s">
        <v>132</v>
      </c>
      <c r="D34" s="16">
        <f>D32+D33</f>
        <v>6318</v>
      </c>
      <c r="I34" s="14" t="s">
        <v>47</v>
      </c>
      <c r="J34" s="30">
        <f>D9</f>
        <v>6032.3</v>
      </c>
    </row>
    <row r="35" spans="1:10" ht="31.5" customHeight="1" x14ac:dyDescent="0.15">
      <c r="A35" s="13">
        <v>15</v>
      </c>
      <c r="B35" s="14" t="s">
        <v>95</v>
      </c>
      <c r="C35" s="15" t="s">
        <v>107</v>
      </c>
      <c r="D35" s="16">
        <v>17465</v>
      </c>
      <c r="I35" s="14" t="s">
        <v>125</v>
      </c>
      <c r="J35" s="30">
        <f>D66</f>
        <v>600</v>
      </c>
    </row>
    <row r="36" spans="1:10" ht="31.5" customHeight="1" x14ac:dyDescent="0.15">
      <c r="B36" s="14" t="s">
        <v>34</v>
      </c>
      <c r="C36" s="15" t="s">
        <v>99</v>
      </c>
      <c r="D36" s="16">
        <f>D35</f>
        <v>17465</v>
      </c>
      <c r="I36" s="14" t="s">
        <v>87</v>
      </c>
      <c r="J36" s="30">
        <f>D58</f>
        <v>20000</v>
      </c>
    </row>
    <row r="37" spans="1:10" ht="31.5" customHeight="1" x14ac:dyDescent="0.15">
      <c r="A37" s="13">
        <v>16</v>
      </c>
      <c r="B37" s="14" t="s">
        <v>95</v>
      </c>
      <c r="C37" s="15" t="s">
        <v>110</v>
      </c>
      <c r="D37" s="16">
        <f>D38+D39</f>
        <v>175500</v>
      </c>
    </row>
    <row r="38" spans="1:10" ht="31.5" customHeight="1" x14ac:dyDescent="0.15">
      <c r="B38" s="14" t="s">
        <v>34</v>
      </c>
      <c r="C38" s="15" t="s">
        <v>103</v>
      </c>
      <c r="D38" s="16">
        <f>E38*F38</f>
        <v>150000</v>
      </c>
      <c r="E38" s="14">
        <v>300</v>
      </c>
      <c r="F38" s="14">
        <v>500</v>
      </c>
      <c r="G38" s="14" t="s">
        <v>104</v>
      </c>
    </row>
    <row r="39" spans="1:10" ht="31.5" customHeight="1" x14ac:dyDescent="0.15">
      <c r="C39" s="15" t="s">
        <v>105</v>
      </c>
      <c r="D39" s="16">
        <v>25500</v>
      </c>
    </row>
    <row r="40" spans="1:10" ht="31.5" customHeight="1" x14ac:dyDescent="0.15">
      <c r="A40" s="13">
        <v>17</v>
      </c>
      <c r="B40" s="14" t="s">
        <v>95</v>
      </c>
      <c r="C40" s="15" t="s">
        <v>96</v>
      </c>
      <c r="D40" s="16">
        <f>D42+D43</f>
        <v>13600</v>
      </c>
    </row>
    <row r="41" spans="1:10" ht="31.5" customHeight="1" x14ac:dyDescent="0.15">
      <c r="C41" s="15" t="s">
        <v>102</v>
      </c>
      <c r="D41" s="16">
        <f>D44</f>
        <v>1000</v>
      </c>
    </row>
    <row r="42" spans="1:10" ht="31.5" customHeight="1" x14ac:dyDescent="0.15">
      <c r="B42" s="14" t="s">
        <v>34</v>
      </c>
      <c r="C42" s="15" t="s">
        <v>97</v>
      </c>
      <c r="D42" s="16">
        <f>E42*F42</f>
        <v>10000</v>
      </c>
      <c r="E42" s="14">
        <v>400</v>
      </c>
      <c r="F42" s="14">
        <v>25</v>
      </c>
    </row>
    <row r="43" spans="1:10" ht="31.5" customHeight="1" x14ac:dyDescent="0.15">
      <c r="C43" s="15" t="s">
        <v>35</v>
      </c>
      <c r="D43" s="16">
        <f>E43*F43</f>
        <v>3600</v>
      </c>
      <c r="E43" s="14">
        <v>200</v>
      </c>
      <c r="F43" s="14">
        <v>18</v>
      </c>
    </row>
    <row r="44" spans="1:10" ht="31.5" customHeight="1" x14ac:dyDescent="0.15">
      <c r="C44" s="15" t="s">
        <v>111</v>
      </c>
      <c r="D44" s="16">
        <f>E44*F44</f>
        <v>1000</v>
      </c>
      <c r="E44" s="14">
        <v>100</v>
      </c>
      <c r="F44" s="14">
        <v>10</v>
      </c>
    </row>
    <row r="45" spans="1:10" ht="31.5" customHeight="1" x14ac:dyDescent="0.15">
      <c r="A45" s="13">
        <v>18</v>
      </c>
      <c r="B45" s="14" t="s">
        <v>95</v>
      </c>
      <c r="C45" s="15" t="s">
        <v>40</v>
      </c>
      <c r="D45" s="16">
        <v>20000</v>
      </c>
    </row>
    <row r="46" spans="1:10" ht="31.5" customHeight="1" x14ac:dyDescent="0.15">
      <c r="B46" s="14" t="s">
        <v>34</v>
      </c>
      <c r="C46" s="15" t="s">
        <v>99</v>
      </c>
      <c r="D46" s="16">
        <v>20000</v>
      </c>
    </row>
    <row r="47" spans="1:10" ht="31.5" customHeight="1" x14ac:dyDescent="0.15">
      <c r="A47" s="13">
        <v>19</v>
      </c>
      <c r="B47" s="14" t="s">
        <v>95</v>
      </c>
      <c r="C47" s="15" t="s">
        <v>37</v>
      </c>
      <c r="D47" s="16">
        <v>2600</v>
      </c>
    </row>
    <row r="48" spans="1:10" ht="31.5" customHeight="1" x14ac:dyDescent="0.15">
      <c r="C48" s="15" t="s">
        <v>36</v>
      </c>
      <c r="D48" s="16">
        <v>400</v>
      </c>
    </row>
    <row r="49" spans="1:7" ht="31.5" customHeight="1" x14ac:dyDescent="0.15">
      <c r="B49" s="14" t="s">
        <v>34</v>
      </c>
      <c r="C49" s="15" t="s">
        <v>98</v>
      </c>
      <c r="D49" s="16">
        <v>3000</v>
      </c>
    </row>
    <row r="50" spans="1:7" ht="31.5" customHeight="1" x14ac:dyDescent="0.15">
      <c r="A50" s="13">
        <v>20</v>
      </c>
      <c r="B50" s="14" t="s">
        <v>95</v>
      </c>
      <c r="C50" s="15" t="s">
        <v>36</v>
      </c>
      <c r="D50" s="16">
        <v>1000</v>
      </c>
    </row>
    <row r="51" spans="1:7" ht="31.5" customHeight="1" x14ac:dyDescent="0.15">
      <c r="B51" s="14" t="s">
        <v>34</v>
      </c>
      <c r="C51" s="15" t="s">
        <v>99</v>
      </c>
      <c r="D51" s="16">
        <v>1000</v>
      </c>
    </row>
    <row r="52" spans="1:7" ht="31.5" customHeight="1" x14ac:dyDescent="0.15">
      <c r="A52" s="13">
        <v>21</v>
      </c>
      <c r="B52" s="14" t="s">
        <v>95</v>
      </c>
      <c r="C52" s="15" t="s">
        <v>99</v>
      </c>
      <c r="D52" s="16">
        <f>D53+D54</f>
        <v>9360</v>
      </c>
    </row>
    <row r="53" spans="1:7" ht="31.5" customHeight="1" x14ac:dyDescent="0.15">
      <c r="B53" s="14" t="s">
        <v>34</v>
      </c>
      <c r="C53" s="15" t="s">
        <v>112</v>
      </c>
      <c r="D53" s="16">
        <f>E53*F53</f>
        <v>8000</v>
      </c>
      <c r="E53" s="14">
        <v>200</v>
      </c>
      <c r="F53" s="14">
        <v>40</v>
      </c>
      <c r="G53" s="14" t="s">
        <v>113</v>
      </c>
    </row>
    <row r="54" spans="1:7" ht="31.5" customHeight="1" x14ac:dyDescent="0.15">
      <c r="C54" s="15" t="s">
        <v>105</v>
      </c>
      <c r="D54" s="16">
        <v>1360</v>
      </c>
    </row>
    <row r="55" spans="1:7" ht="31.5" customHeight="1" x14ac:dyDescent="0.15">
      <c r="A55" s="13">
        <v>22</v>
      </c>
      <c r="B55" s="14" t="s">
        <v>95</v>
      </c>
      <c r="C55" s="15" t="s">
        <v>102</v>
      </c>
      <c r="D55" s="16">
        <v>20000</v>
      </c>
    </row>
    <row r="56" spans="1:7" ht="31.5" customHeight="1" x14ac:dyDescent="0.15">
      <c r="C56" s="15" t="s">
        <v>37</v>
      </c>
      <c r="D56" s="16">
        <v>10000</v>
      </c>
    </row>
    <row r="57" spans="1:7" ht="31.5" customHeight="1" x14ac:dyDescent="0.15">
      <c r="B57" s="14" t="s">
        <v>34</v>
      </c>
      <c r="C57" s="15" t="s">
        <v>99</v>
      </c>
      <c r="D57" s="16">
        <f>D55+D56</f>
        <v>30000</v>
      </c>
    </row>
    <row r="58" spans="1:7" ht="31.5" customHeight="1" x14ac:dyDescent="0.15">
      <c r="A58" s="13">
        <v>23</v>
      </c>
      <c r="B58" s="14" t="s">
        <v>95</v>
      </c>
      <c r="C58" s="15" t="s">
        <v>114</v>
      </c>
      <c r="D58" s="16">
        <v>20000</v>
      </c>
    </row>
    <row r="59" spans="1:7" ht="31.5" customHeight="1" x14ac:dyDescent="0.15">
      <c r="B59" s="14" t="s">
        <v>34</v>
      </c>
      <c r="C59" s="15" t="s">
        <v>99</v>
      </c>
      <c r="D59" s="16">
        <v>20000</v>
      </c>
    </row>
    <row r="60" spans="1:7" ht="31.5" customHeight="1" x14ac:dyDescent="0.15">
      <c r="A60" s="13">
        <v>24</v>
      </c>
      <c r="B60" s="14" t="s">
        <v>95</v>
      </c>
      <c r="C60" s="15" t="s">
        <v>99</v>
      </c>
      <c r="D60" s="16">
        <v>30000</v>
      </c>
    </row>
    <row r="61" spans="1:7" ht="31.5" customHeight="1" x14ac:dyDescent="0.15">
      <c r="B61" s="14" t="s">
        <v>34</v>
      </c>
      <c r="C61" s="15" t="s">
        <v>41</v>
      </c>
      <c r="D61" s="16">
        <v>30000</v>
      </c>
    </row>
    <row r="62" spans="1:7" ht="31.5" customHeight="1" x14ac:dyDescent="0.15">
      <c r="A62" s="13">
        <v>25</v>
      </c>
      <c r="B62" s="14" t="s">
        <v>95</v>
      </c>
      <c r="C62" s="15" t="s">
        <v>115</v>
      </c>
      <c r="D62" s="16">
        <v>58500</v>
      </c>
    </row>
    <row r="63" spans="1:7" ht="31.5" customHeight="1" x14ac:dyDescent="0.15">
      <c r="B63" s="14" t="s">
        <v>34</v>
      </c>
      <c r="C63" s="15" t="s">
        <v>89</v>
      </c>
      <c r="D63" s="16">
        <v>58500</v>
      </c>
    </row>
    <row r="64" spans="1:7" ht="31.5" customHeight="1" x14ac:dyDescent="0.15">
      <c r="A64" s="13">
        <v>26</v>
      </c>
      <c r="B64" s="14" t="s">
        <v>95</v>
      </c>
      <c r="C64" s="15" t="s">
        <v>37</v>
      </c>
      <c r="D64" s="16">
        <f>D65</f>
        <v>1000</v>
      </c>
    </row>
    <row r="65" spans="1:7" ht="31.5" customHeight="1" x14ac:dyDescent="0.15">
      <c r="B65" s="14" t="s">
        <v>34</v>
      </c>
      <c r="C65" s="15" t="s">
        <v>116</v>
      </c>
      <c r="D65" s="16">
        <f>E65*F65</f>
        <v>1000</v>
      </c>
      <c r="E65" s="14">
        <v>100</v>
      </c>
      <c r="F65" s="14">
        <v>10</v>
      </c>
    </row>
    <row r="66" spans="1:7" ht="31.5" customHeight="1" x14ac:dyDescent="0.15">
      <c r="A66" s="13">
        <v>27</v>
      </c>
      <c r="B66" s="14" t="s">
        <v>95</v>
      </c>
      <c r="C66" s="15" t="s">
        <v>42</v>
      </c>
      <c r="D66" s="16">
        <v>600</v>
      </c>
    </row>
    <row r="67" spans="1:7" ht="31.5" customHeight="1" x14ac:dyDescent="0.15">
      <c r="B67" s="14" t="s">
        <v>34</v>
      </c>
      <c r="C67" s="15" t="s">
        <v>117</v>
      </c>
      <c r="D67" s="16">
        <v>600</v>
      </c>
    </row>
    <row r="68" spans="1:7" ht="31.5" customHeight="1" x14ac:dyDescent="0.15">
      <c r="A68" s="13">
        <v>28</v>
      </c>
      <c r="B68" s="14" t="s">
        <v>95</v>
      </c>
      <c r="C68" s="15" t="s">
        <v>117</v>
      </c>
      <c r="D68" s="16">
        <v>1800</v>
      </c>
    </row>
    <row r="69" spans="1:7" ht="31.5" customHeight="1" x14ac:dyDescent="0.15">
      <c r="B69" s="14" t="s">
        <v>34</v>
      </c>
      <c r="C69" s="15" t="s">
        <v>99</v>
      </c>
      <c r="D69" s="16">
        <v>1800</v>
      </c>
    </row>
    <row r="70" spans="1:7" ht="31.5" customHeight="1" x14ac:dyDescent="0.15">
      <c r="A70" s="13">
        <v>29</v>
      </c>
      <c r="B70" s="14" t="s">
        <v>95</v>
      </c>
      <c r="C70" s="15" t="s">
        <v>96</v>
      </c>
      <c r="D70" s="16">
        <v>30000</v>
      </c>
    </row>
    <row r="71" spans="1:7" ht="31.5" customHeight="1" x14ac:dyDescent="0.15">
      <c r="C71" s="15" t="s">
        <v>102</v>
      </c>
      <c r="D71" s="16">
        <v>8000</v>
      </c>
    </row>
    <row r="72" spans="1:7" ht="31.5" customHeight="1" x14ac:dyDescent="0.15">
      <c r="C72" s="15" t="s">
        <v>37</v>
      </c>
      <c r="D72" s="16">
        <v>12000</v>
      </c>
    </row>
    <row r="73" spans="1:7" ht="31.5" customHeight="1" x14ac:dyDescent="0.15">
      <c r="B73" s="14" t="s">
        <v>34</v>
      </c>
      <c r="C73" s="15" t="s">
        <v>101</v>
      </c>
      <c r="D73" s="16">
        <f>D70+D71+D72</f>
        <v>50000</v>
      </c>
    </row>
    <row r="74" spans="1:7" ht="31.5" customHeight="1" x14ac:dyDescent="0.15">
      <c r="A74" s="13">
        <v>30</v>
      </c>
      <c r="B74" s="14" t="s">
        <v>95</v>
      </c>
      <c r="C74" s="15" t="s">
        <v>102</v>
      </c>
      <c r="D74" s="16">
        <v>16020</v>
      </c>
    </row>
    <row r="75" spans="1:7" ht="31.5" customHeight="1" x14ac:dyDescent="0.15">
      <c r="C75" s="15" t="s">
        <v>37</v>
      </c>
      <c r="D75" s="16">
        <v>5000</v>
      </c>
    </row>
    <row r="76" spans="1:7" ht="31.5" customHeight="1" x14ac:dyDescent="0.15">
      <c r="B76" s="14" t="s">
        <v>34</v>
      </c>
      <c r="C76" s="15" t="s">
        <v>118</v>
      </c>
      <c r="D76" s="16">
        <f>D74+D75</f>
        <v>21020</v>
      </c>
    </row>
    <row r="77" spans="1:7" ht="31.5" customHeight="1" x14ac:dyDescent="0.15">
      <c r="A77" s="13">
        <v>31</v>
      </c>
      <c r="B77" s="14" t="s">
        <v>95</v>
      </c>
      <c r="C77" s="15" t="s">
        <v>96</v>
      </c>
      <c r="D77" s="16">
        <f>D78</f>
        <v>45200</v>
      </c>
    </row>
    <row r="78" spans="1:7" ht="31.5" customHeight="1" x14ac:dyDescent="0.15">
      <c r="B78" s="14" t="s">
        <v>34</v>
      </c>
      <c r="C78" s="15" t="s">
        <v>102</v>
      </c>
      <c r="D78" s="16">
        <f>D15+D41+D55+D71+D74</f>
        <v>45200</v>
      </c>
      <c r="G78" s="14" t="s">
        <v>119</v>
      </c>
    </row>
    <row r="79" spans="1:7" ht="31.5" customHeight="1" x14ac:dyDescent="0.15">
      <c r="A79" s="13">
        <v>32</v>
      </c>
      <c r="B79" s="14" t="s">
        <v>95</v>
      </c>
      <c r="C79" s="15" t="s">
        <v>33</v>
      </c>
      <c r="D79" s="16">
        <f>D80</f>
        <v>134000</v>
      </c>
    </row>
    <row r="80" spans="1:7" ht="31.5" customHeight="1" x14ac:dyDescent="0.15">
      <c r="B80" s="14" t="s">
        <v>34</v>
      </c>
      <c r="C80" s="15" t="s">
        <v>96</v>
      </c>
      <c r="D80" s="16">
        <f>D2+D40+D70+D77</f>
        <v>134000</v>
      </c>
      <c r="G80" s="14" t="s">
        <v>119</v>
      </c>
    </row>
    <row r="81" spans="1:7" ht="31.5" customHeight="1" x14ac:dyDescent="0.15">
      <c r="A81" s="13">
        <v>33</v>
      </c>
      <c r="B81" s="14" t="s">
        <v>95</v>
      </c>
      <c r="C81" s="15" t="s">
        <v>120</v>
      </c>
      <c r="D81" s="16">
        <f>E81*F81</f>
        <v>110000</v>
      </c>
      <c r="E81" s="14">
        <v>500</v>
      </c>
      <c r="F81" s="14">
        <v>220</v>
      </c>
      <c r="G81" s="14" t="s">
        <v>43</v>
      </c>
    </row>
    <row r="82" spans="1:7" ht="31.5" customHeight="1" x14ac:dyDescent="0.15">
      <c r="B82" s="14" t="s">
        <v>34</v>
      </c>
      <c r="C82" s="15" t="s">
        <v>33</v>
      </c>
      <c r="D82" s="16">
        <f>D81</f>
        <v>110000</v>
      </c>
    </row>
    <row r="83" spans="1:7" ht="31.5" customHeight="1" x14ac:dyDescent="0.15">
      <c r="A83" s="13">
        <v>34</v>
      </c>
      <c r="B83" s="14" t="s">
        <v>95</v>
      </c>
      <c r="C83" s="15" t="s">
        <v>145</v>
      </c>
      <c r="D83" s="16">
        <f>D84+D85</f>
        <v>4047.7000000000003</v>
      </c>
    </row>
    <row r="84" spans="1:7" ht="31.5" customHeight="1" x14ac:dyDescent="0.15">
      <c r="B84" s="14" t="s">
        <v>34</v>
      </c>
      <c r="C84" s="15" t="s">
        <v>121</v>
      </c>
      <c r="D84" s="16">
        <f>F84*0.07</f>
        <v>2833.3900000000003</v>
      </c>
      <c r="F84" s="26">
        <f>D20-D22-D33+D39+D54</f>
        <v>40477</v>
      </c>
    </row>
    <row r="85" spans="1:7" ht="31.5" customHeight="1" x14ac:dyDescent="0.15">
      <c r="C85" s="15" t="s">
        <v>122</v>
      </c>
      <c r="D85" s="16">
        <f>F84*0.03</f>
        <v>1214.31</v>
      </c>
    </row>
    <row r="86" spans="1:7" ht="31.5" customHeight="1" x14ac:dyDescent="0.15">
      <c r="A86" s="13">
        <v>35</v>
      </c>
      <c r="B86" s="14" t="s">
        <v>95</v>
      </c>
      <c r="C86" s="15" t="s">
        <v>123</v>
      </c>
      <c r="D86" s="16">
        <v>5000</v>
      </c>
      <c r="G86" s="14" t="s">
        <v>43</v>
      </c>
    </row>
    <row r="87" spans="1:7" ht="31.5" customHeight="1" x14ac:dyDescent="0.15">
      <c r="B87" s="14" t="s">
        <v>34</v>
      </c>
      <c r="C87" s="15" t="s">
        <v>97</v>
      </c>
      <c r="D87" s="16">
        <v>5000</v>
      </c>
      <c r="E87" s="14">
        <v>200</v>
      </c>
    </row>
    <row r="88" spans="1:7" ht="31.5" customHeight="1" x14ac:dyDescent="0.15">
      <c r="A88" s="13">
        <v>36</v>
      </c>
      <c r="B88" s="14" t="s">
        <v>95</v>
      </c>
      <c r="C88" s="15" t="s">
        <v>103</v>
      </c>
      <c r="D88" s="16">
        <f>J26</f>
        <v>250000</v>
      </c>
    </row>
    <row r="89" spans="1:7" ht="31.5" customHeight="1" x14ac:dyDescent="0.15">
      <c r="C89" s="15" t="s">
        <v>112</v>
      </c>
      <c r="D89" s="16">
        <f>J27</f>
        <v>8000</v>
      </c>
    </row>
    <row r="90" spans="1:7" ht="31.5" customHeight="1" x14ac:dyDescent="0.15">
      <c r="C90" s="15" t="s">
        <v>41</v>
      </c>
      <c r="D90" s="16">
        <f>J28</f>
        <v>30000</v>
      </c>
    </row>
    <row r="91" spans="1:7" ht="31.5" customHeight="1" x14ac:dyDescent="0.15">
      <c r="C91" s="15" t="s">
        <v>89</v>
      </c>
      <c r="D91" s="16">
        <f>J29</f>
        <v>58500</v>
      </c>
    </row>
    <row r="92" spans="1:7" ht="31.5" customHeight="1" x14ac:dyDescent="0.15">
      <c r="B92" s="14" t="s">
        <v>34</v>
      </c>
      <c r="C92" s="15" t="s">
        <v>44</v>
      </c>
      <c r="D92" s="16">
        <f>D88+D89+D90+D91</f>
        <v>346500</v>
      </c>
    </row>
    <row r="93" spans="1:7" ht="31.5" customHeight="1" x14ac:dyDescent="0.15">
      <c r="B93" s="14" t="s">
        <v>95</v>
      </c>
      <c r="C93" s="15" t="s">
        <v>44</v>
      </c>
      <c r="D93" s="16">
        <f>D94+D95+D97+D98+D99+D100+D96</f>
        <v>176500</v>
      </c>
      <c r="F93" s="26">
        <f>D92-D93</f>
        <v>170000</v>
      </c>
    </row>
    <row r="94" spans="1:7" ht="31.5" customHeight="1" x14ac:dyDescent="0.15">
      <c r="B94" s="14" t="s">
        <v>34</v>
      </c>
      <c r="C94" s="14" t="s">
        <v>146</v>
      </c>
      <c r="D94" s="16">
        <f>J30</f>
        <v>110000</v>
      </c>
    </row>
    <row r="95" spans="1:7" ht="31.5" customHeight="1" x14ac:dyDescent="0.15">
      <c r="C95" s="14" t="s">
        <v>147</v>
      </c>
      <c r="D95" s="16">
        <f>J31</f>
        <v>5000</v>
      </c>
    </row>
    <row r="96" spans="1:7" ht="31.5" customHeight="1" x14ac:dyDescent="0.15">
      <c r="C96" s="15" t="s">
        <v>152</v>
      </c>
      <c r="D96" s="16">
        <f>D83</f>
        <v>4047.7000000000003</v>
      </c>
    </row>
    <row r="97" spans="1:7" ht="31.5" customHeight="1" x14ac:dyDescent="0.15">
      <c r="C97" s="14" t="s">
        <v>148</v>
      </c>
      <c r="D97" s="16">
        <f>J33</f>
        <v>30820</v>
      </c>
    </row>
    <row r="98" spans="1:7" ht="31.5" customHeight="1" x14ac:dyDescent="0.15">
      <c r="C98" s="14" t="s">
        <v>144</v>
      </c>
      <c r="D98" s="16">
        <f>J34</f>
        <v>6032.3</v>
      </c>
    </row>
    <row r="99" spans="1:7" ht="31.5" customHeight="1" x14ac:dyDescent="0.15">
      <c r="C99" s="14" t="s">
        <v>149</v>
      </c>
      <c r="D99" s="16">
        <f>J35</f>
        <v>600</v>
      </c>
    </row>
    <row r="100" spans="1:7" ht="31.5" customHeight="1" x14ac:dyDescent="0.15">
      <c r="C100" s="14" t="s">
        <v>150</v>
      </c>
      <c r="D100" s="16">
        <f>J36</f>
        <v>20000</v>
      </c>
    </row>
    <row r="101" spans="1:7" ht="31.5" customHeight="1" x14ac:dyDescent="0.15">
      <c r="A101" s="13">
        <v>37</v>
      </c>
      <c r="B101" s="14" t="s">
        <v>95</v>
      </c>
      <c r="C101" s="15" t="s">
        <v>91</v>
      </c>
      <c r="D101" s="16">
        <f>D102</f>
        <v>42500</v>
      </c>
    </row>
    <row r="102" spans="1:7" ht="31.5" customHeight="1" x14ac:dyDescent="0.15">
      <c r="B102" s="14" t="s">
        <v>34</v>
      </c>
      <c r="C102" s="15" t="s">
        <v>126</v>
      </c>
      <c r="D102" s="16">
        <f>F93*0.25</f>
        <v>42500</v>
      </c>
    </row>
    <row r="103" spans="1:7" ht="31.5" customHeight="1" x14ac:dyDescent="0.15">
      <c r="B103" s="14" t="s">
        <v>95</v>
      </c>
      <c r="C103" s="15" t="s">
        <v>44</v>
      </c>
      <c r="D103" s="16">
        <f>D101</f>
        <v>42500</v>
      </c>
      <c r="F103" s="14">
        <v>850000</v>
      </c>
      <c r="G103" s="14" t="s">
        <v>153</v>
      </c>
    </row>
    <row r="104" spans="1:7" ht="31.5" customHeight="1" x14ac:dyDescent="0.15">
      <c r="B104" s="14" t="s">
        <v>34</v>
      </c>
      <c r="C104" s="15" t="s">
        <v>91</v>
      </c>
      <c r="D104" s="16">
        <f>D101</f>
        <v>42500</v>
      </c>
      <c r="F104" s="14">
        <f>170000*0.75</f>
        <v>127500</v>
      </c>
      <c r="G104" s="14" t="s">
        <v>154</v>
      </c>
    </row>
    <row r="105" spans="1:7" ht="31.5" customHeight="1" x14ac:dyDescent="0.15">
      <c r="A105" s="13">
        <v>38</v>
      </c>
      <c r="B105" s="14" t="s">
        <v>95</v>
      </c>
      <c r="C105" s="15" t="s">
        <v>44</v>
      </c>
      <c r="D105" s="16">
        <f>F93-D103+850000</f>
        <v>977500</v>
      </c>
      <c r="F105" s="14">
        <f>F103+F104</f>
        <v>977500</v>
      </c>
      <c r="G105" s="14" t="s">
        <v>155</v>
      </c>
    </row>
    <row r="106" spans="1:7" ht="31.5" customHeight="1" x14ac:dyDescent="0.15">
      <c r="B106" s="14" t="s">
        <v>34</v>
      </c>
      <c r="C106" s="15" t="s">
        <v>92</v>
      </c>
      <c r="D106" s="16">
        <f>D105</f>
        <v>977500</v>
      </c>
    </row>
    <row r="107" spans="1:7" ht="31.5" customHeight="1" x14ac:dyDescent="0.15">
      <c r="A107" s="13">
        <v>39</v>
      </c>
      <c r="B107" s="14" t="s">
        <v>95</v>
      </c>
      <c r="C107" s="15" t="s">
        <v>136</v>
      </c>
      <c r="D107" s="16">
        <f>D108</f>
        <v>97750</v>
      </c>
      <c r="F107" s="16">
        <f>D106-D111</f>
        <v>830875</v>
      </c>
    </row>
    <row r="108" spans="1:7" ht="31.5" customHeight="1" x14ac:dyDescent="0.15">
      <c r="B108" s="14" t="s">
        <v>34</v>
      </c>
      <c r="C108" s="15" t="s">
        <v>93</v>
      </c>
      <c r="D108" s="16">
        <f>D106*0.1</f>
        <v>97750</v>
      </c>
    </row>
    <row r="109" spans="1:7" ht="31.5" customHeight="1" x14ac:dyDescent="0.15">
      <c r="B109" s="14" t="s">
        <v>95</v>
      </c>
      <c r="C109" s="15" t="s">
        <v>137</v>
      </c>
      <c r="D109" s="16">
        <f>D106*0.05</f>
        <v>48875</v>
      </c>
    </row>
    <row r="110" spans="1:7" ht="31.5" customHeight="1" x14ac:dyDescent="0.15">
      <c r="B110" s="14" t="s">
        <v>34</v>
      </c>
      <c r="C110" s="15" t="s">
        <v>134</v>
      </c>
      <c r="D110" s="16">
        <f>D109</f>
        <v>48875</v>
      </c>
    </row>
    <row r="111" spans="1:7" ht="31.5" customHeight="1" x14ac:dyDescent="0.15">
      <c r="A111" s="13">
        <v>40</v>
      </c>
      <c r="B111" s="14" t="s">
        <v>95</v>
      </c>
      <c r="C111" s="15" t="s">
        <v>92</v>
      </c>
      <c r="D111" s="16">
        <f>D112+D113</f>
        <v>146625</v>
      </c>
    </row>
    <row r="112" spans="1:7" ht="31.5" customHeight="1" x14ac:dyDescent="0.15">
      <c r="B112" s="14" t="s">
        <v>34</v>
      </c>
      <c r="C112" s="15" t="s">
        <v>136</v>
      </c>
      <c r="D112" s="16">
        <f>D107</f>
        <v>97750</v>
      </c>
    </row>
    <row r="113" spans="3:4" ht="31.5" customHeight="1" x14ac:dyDescent="0.15">
      <c r="C113" s="15" t="s">
        <v>137</v>
      </c>
      <c r="D113" s="16">
        <f>D109</f>
        <v>48875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4" workbookViewId="0">
      <selection activeCell="D14" sqref="D14"/>
    </sheetView>
  </sheetViews>
  <sheetFormatPr defaultColWidth="25.75" defaultRowHeight="13.5" x14ac:dyDescent="0.15"/>
  <cols>
    <col min="1" max="1" width="15.875" style="2" customWidth="1"/>
    <col min="2" max="2" width="13.75" style="9" customWidth="1"/>
    <col min="3" max="3" width="21.125" style="2" customWidth="1"/>
    <col min="4" max="4" width="16.5" style="9" customWidth="1"/>
    <col min="5" max="16384" width="25.75" style="2"/>
  </cols>
  <sheetData>
    <row r="1" spans="1:4" ht="14.25" thickBot="1" x14ac:dyDescent="0.2">
      <c r="A1" s="42"/>
      <c r="B1" s="42"/>
      <c r="C1" s="42"/>
      <c r="D1" s="42"/>
    </row>
    <row r="2" spans="1:4" ht="14.25" thickBot="1" x14ac:dyDescent="0.2">
      <c r="A2" s="7" t="s">
        <v>50</v>
      </c>
      <c r="B2" s="3" t="s">
        <v>51</v>
      </c>
      <c r="C2" s="7" t="s">
        <v>52</v>
      </c>
      <c r="D2" s="3" t="s">
        <v>51</v>
      </c>
    </row>
    <row r="3" spans="1:4" ht="14.25" thickBot="1" x14ac:dyDescent="0.2">
      <c r="A3" s="7" t="s">
        <v>53</v>
      </c>
      <c r="B3" s="6"/>
      <c r="C3" s="7" t="s">
        <v>54</v>
      </c>
      <c r="D3" s="3"/>
    </row>
    <row r="4" spans="1:4" ht="14.25" thickBot="1" x14ac:dyDescent="0.2">
      <c r="A4" s="7" t="s">
        <v>55</v>
      </c>
      <c r="B4" s="3">
        <f>分录!J3+分录!J4</f>
        <v>484962.7</v>
      </c>
      <c r="C4" s="7" t="s">
        <v>56</v>
      </c>
      <c r="D4" s="3">
        <f>分录!L4</f>
        <v>30000</v>
      </c>
    </row>
    <row r="5" spans="1:4" ht="14.25" thickBot="1" x14ac:dyDescent="0.2">
      <c r="A5" s="7" t="s">
        <v>57</v>
      </c>
      <c r="B5" s="3">
        <f>分录!J5</f>
        <v>175500</v>
      </c>
      <c r="C5" s="7" t="s">
        <v>58</v>
      </c>
      <c r="D5" s="3">
        <f>分录!L5</f>
        <v>6318</v>
      </c>
    </row>
    <row r="6" spans="1:4" ht="14.25" thickBot="1" x14ac:dyDescent="0.2">
      <c r="A6" s="4" t="s">
        <v>138</v>
      </c>
      <c r="B6" s="6">
        <f>分录!J6</f>
        <v>1500</v>
      </c>
      <c r="C6" s="7" t="s">
        <v>59</v>
      </c>
      <c r="D6" s="3">
        <f>分录!L6</f>
        <v>20000</v>
      </c>
    </row>
    <row r="7" spans="1:4" ht="14.25" thickBot="1" x14ac:dyDescent="0.2">
      <c r="A7" s="7" t="s">
        <v>139</v>
      </c>
      <c r="B7" s="3">
        <f>分录!J10+分录!J11</f>
        <v>52600</v>
      </c>
      <c r="C7" s="7" t="s">
        <v>61</v>
      </c>
      <c r="D7" s="3">
        <f>分录!L8</f>
        <v>109624.7</v>
      </c>
    </row>
    <row r="8" spans="1:4" ht="14.25" thickBot="1" x14ac:dyDescent="0.2">
      <c r="A8" s="7" t="s">
        <v>60</v>
      </c>
      <c r="B8" s="3">
        <f>B4+B5+B7+B6</f>
        <v>714562.7</v>
      </c>
      <c r="C8" s="8" t="s">
        <v>140</v>
      </c>
      <c r="D8" s="6">
        <f>分录!L9</f>
        <v>48875</v>
      </c>
    </row>
    <row r="9" spans="1:4" ht="14.25" thickBot="1" x14ac:dyDescent="0.2">
      <c r="A9" s="7" t="s">
        <v>63</v>
      </c>
      <c r="B9" s="3"/>
      <c r="C9" s="7" t="s">
        <v>62</v>
      </c>
      <c r="D9" s="3">
        <f>D4+D5+D6+D7+D8</f>
        <v>214817.7</v>
      </c>
    </row>
    <row r="10" spans="1:4" ht="14.25" thickBot="1" x14ac:dyDescent="0.2">
      <c r="A10" s="7"/>
      <c r="B10" s="3"/>
      <c r="C10" s="4" t="s">
        <v>141</v>
      </c>
      <c r="D10" s="6">
        <f>分录!L10</f>
        <v>150000</v>
      </c>
    </row>
    <row r="11" spans="1:4" ht="14.25" thickBot="1" x14ac:dyDescent="0.2">
      <c r="A11" s="8"/>
      <c r="B11" s="6"/>
      <c r="C11" s="7" t="s">
        <v>64</v>
      </c>
      <c r="D11" s="3"/>
    </row>
    <row r="12" spans="1:4" ht="14.25" thickBot="1" x14ac:dyDescent="0.2">
      <c r="A12" s="8"/>
      <c r="B12" s="6"/>
      <c r="C12" s="5" t="s">
        <v>142</v>
      </c>
      <c r="D12" s="3">
        <f>分录!L11</f>
        <v>1870000</v>
      </c>
    </row>
    <row r="13" spans="1:4" ht="14.25" thickBot="1" x14ac:dyDescent="0.2">
      <c r="A13" s="7" t="s">
        <v>65</v>
      </c>
      <c r="B13" s="3">
        <f>分录!J12-分录!L3</f>
        <v>2519380</v>
      </c>
      <c r="C13" s="7" t="s">
        <v>66</v>
      </c>
      <c r="D13" s="3">
        <f>分录!L12</f>
        <v>277750</v>
      </c>
    </row>
    <row r="14" spans="1:4" ht="14.25" thickBot="1" x14ac:dyDescent="0.2">
      <c r="A14" s="7" t="s">
        <v>18</v>
      </c>
      <c r="B14" s="3">
        <f>分录!J13</f>
        <v>220000</v>
      </c>
      <c r="C14" s="7" t="s">
        <v>67</v>
      </c>
      <c r="D14" s="3">
        <f>分录!L14</f>
        <v>941375</v>
      </c>
    </row>
    <row r="15" spans="1:4" ht="14.25" thickBot="1" x14ac:dyDescent="0.2">
      <c r="A15" s="7" t="s">
        <v>68</v>
      </c>
      <c r="B15" s="3">
        <f>B13+B14</f>
        <v>2739380</v>
      </c>
      <c r="C15" s="7" t="s">
        <v>69</v>
      </c>
      <c r="D15" s="3">
        <f>D12+D13+D14</f>
        <v>3089125</v>
      </c>
    </row>
    <row r="16" spans="1:4" ht="14.25" thickBot="1" x14ac:dyDescent="0.2">
      <c r="A16" s="7" t="s">
        <v>70</v>
      </c>
      <c r="B16" s="3">
        <f>B8+B15</f>
        <v>3453942.7</v>
      </c>
      <c r="C16" s="7" t="s">
        <v>71</v>
      </c>
      <c r="D16" s="3">
        <f>D9+D10+D15</f>
        <v>3453942.7</v>
      </c>
    </row>
    <row r="21" spans="1:4" ht="14.25" thickBot="1" x14ac:dyDescent="0.2"/>
    <row r="22" spans="1:4" x14ac:dyDescent="0.15">
      <c r="A22" s="43" t="s">
        <v>72</v>
      </c>
      <c r="B22" s="43"/>
      <c r="C22" s="43"/>
      <c r="D22" s="43"/>
    </row>
    <row r="23" spans="1:4" ht="14.25" thickBot="1" x14ac:dyDescent="0.2">
      <c r="A23" s="42"/>
      <c r="B23" s="42"/>
      <c r="C23" s="42"/>
      <c r="D23" s="42"/>
    </row>
    <row r="24" spans="1:4" ht="14.25" thickBot="1" x14ac:dyDescent="0.2">
      <c r="A24" s="10" t="s">
        <v>73</v>
      </c>
      <c r="B24" s="11"/>
      <c r="C24" s="10" t="s">
        <v>73</v>
      </c>
      <c r="D24" s="11"/>
    </row>
    <row r="25" spans="1:4" ht="14.25" thickBot="1" x14ac:dyDescent="0.2">
      <c r="A25" s="12" t="s">
        <v>74</v>
      </c>
      <c r="B25" s="11">
        <f>分录!J26+分录!J27</f>
        <v>258000</v>
      </c>
      <c r="C25" s="12" t="s">
        <v>75</v>
      </c>
      <c r="D25" s="11">
        <f>分录!J28</f>
        <v>30000</v>
      </c>
    </row>
    <row r="26" spans="1:4" ht="14.25" thickBot="1" x14ac:dyDescent="0.2">
      <c r="A26" s="12" t="s">
        <v>76</v>
      </c>
      <c r="B26" s="11">
        <f>分录!J30+分录!J31</f>
        <v>115000</v>
      </c>
      <c r="C26" s="12" t="s">
        <v>77</v>
      </c>
      <c r="D26" s="11">
        <f>B25-B26-B27-B28-B29-B30+D25</f>
        <v>131500</v>
      </c>
    </row>
    <row r="27" spans="1:4" ht="27.75" thickBot="1" x14ac:dyDescent="0.2">
      <c r="A27" s="12" t="s">
        <v>78</v>
      </c>
      <c r="B27" s="11">
        <f>分录!D83</f>
        <v>4047.7000000000003</v>
      </c>
      <c r="C27" s="12" t="s">
        <v>79</v>
      </c>
      <c r="D27" s="11">
        <f>分录!J29</f>
        <v>58500</v>
      </c>
    </row>
    <row r="28" spans="1:4" ht="14.25" thickBot="1" x14ac:dyDescent="0.2">
      <c r="A28" s="12" t="s">
        <v>151</v>
      </c>
      <c r="B28" s="11">
        <f>分录!J34</f>
        <v>6032.3</v>
      </c>
      <c r="C28" s="12" t="s">
        <v>80</v>
      </c>
      <c r="D28" s="11">
        <f>分录!J36</f>
        <v>20000</v>
      </c>
    </row>
    <row r="29" spans="1:4" ht="14.25" thickBot="1" x14ac:dyDescent="0.2">
      <c r="A29" s="12" t="s">
        <v>81</v>
      </c>
      <c r="B29" s="11">
        <f>分录!J33</f>
        <v>30820</v>
      </c>
      <c r="C29" s="12" t="s">
        <v>82</v>
      </c>
      <c r="D29" s="11">
        <f>D26+D27-D28</f>
        <v>170000</v>
      </c>
    </row>
    <row r="30" spans="1:4" ht="14.25" thickBot="1" x14ac:dyDescent="0.2">
      <c r="A30" s="12" t="s">
        <v>83</v>
      </c>
      <c r="B30" s="11">
        <f>分录!J35</f>
        <v>600</v>
      </c>
      <c r="C30" s="12" t="s">
        <v>84</v>
      </c>
      <c r="D30" s="11">
        <f>D29*0.25</f>
        <v>42500</v>
      </c>
    </row>
    <row r="31" spans="1:4" ht="14.25" thickBot="1" x14ac:dyDescent="0.2">
      <c r="A31" s="12"/>
      <c r="B31" s="11"/>
      <c r="C31" s="12" t="s">
        <v>85</v>
      </c>
      <c r="D31" s="11">
        <f>D29-D30</f>
        <v>127500</v>
      </c>
    </row>
  </sheetData>
  <mergeCells count="3">
    <mergeCell ref="A1:D1"/>
    <mergeCell ref="A22:D22"/>
    <mergeCell ref="A23:D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余额</vt:lpstr>
      <vt:lpstr>分录</vt:lpstr>
      <vt:lpstr>表、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xpm</dc:creator>
  <cp:lastModifiedBy>C</cp:lastModifiedBy>
  <dcterms:created xsi:type="dcterms:W3CDTF">2015-04-27T07:48:42Z</dcterms:created>
  <dcterms:modified xsi:type="dcterms:W3CDTF">2021-06-03T12:12:23Z</dcterms:modified>
</cp:coreProperties>
</file>