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eee95e663727bb/Documents/OOL Research/MS Thesis/Document Working Versions/Thesis Working Versions/"/>
    </mc:Choice>
  </mc:AlternateContent>
  <xr:revisionPtr revIDLastSave="270" documentId="8_{B4029A57-923B-44AC-BDE1-28A2D73F694F}" xr6:coauthVersionLast="47" xr6:coauthVersionMax="47" xr10:uidLastSave="{613196A3-CE6A-4C93-855B-0F19E2FE4050}"/>
  <bookViews>
    <workbookView xWindow="-110" yWindow="-110" windowWidth="19420" windowHeight="10300" xr2:uid="{2AEE14A2-6608-4F99-BBB2-27A1B2D62798}"/>
  </bookViews>
  <sheets>
    <sheet name="weight" sheetId="7" r:id="rId1"/>
    <sheet name="all_wavelengths" sheetId="3" r:id="rId2"/>
    <sheet name="only_550nm_wavelength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7" l="1"/>
  <c r="B62" i="6"/>
  <c r="K58" i="6"/>
  <c r="H56" i="6"/>
  <c r="G56" i="6"/>
  <c r="F56" i="6"/>
  <c r="H55" i="6"/>
  <c r="G55" i="6"/>
  <c r="F55" i="6"/>
  <c r="P52" i="6"/>
  <c r="H54" i="6"/>
  <c r="G54" i="6"/>
  <c r="F54" i="6"/>
  <c r="P49" i="6"/>
  <c r="P50" i="6" s="1"/>
  <c r="B49" i="6"/>
  <c r="K45" i="6"/>
  <c r="P38" i="6" s="1"/>
  <c r="H43" i="6"/>
  <c r="G43" i="6"/>
  <c r="F43" i="6"/>
  <c r="H42" i="6"/>
  <c r="G42" i="6"/>
  <c r="F42" i="6"/>
  <c r="H41" i="6"/>
  <c r="G41" i="6"/>
  <c r="F41" i="6"/>
  <c r="Q38" i="6"/>
  <c r="Q37" i="6"/>
  <c r="B36" i="6"/>
  <c r="K32" i="6"/>
  <c r="H30" i="6"/>
  <c r="G30" i="6"/>
  <c r="F30" i="6"/>
  <c r="H29" i="6"/>
  <c r="G29" i="6"/>
  <c r="F29" i="6"/>
  <c r="H28" i="6"/>
  <c r="G28" i="6"/>
  <c r="F28" i="6"/>
  <c r="H11" i="6"/>
  <c r="G11" i="6"/>
  <c r="F11" i="6"/>
  <c r="H10" i="6"/>
  <c r="G10" i="6"/>
  <c r="G16" i="6" s="1"/>
  <c r="F10" i="6"/>
  <c r="H9" i="6"/>
  <c r="G9" i="6"/>
  <c r="F9" i="6"/>
  <c r="H5" i="6"/>
  <c r="G5" i="6"/>
  <c r="F5" i="6"/>
  <c r="K4" i="6"/>
  <c r="H4" i="6"/>
  <c r="H16" i="6" s="1"/>
  <c r="H59" i="6" s="1"/>
  <c r="F4" i="6"/>
  <c r="K3" i="6"/>
  <c r="K11" i="6" s="1"/>
  <c r="H3" i="6"/>
  <c r="G3" i="6"/>
  <c r="F3" i="6"/>
  <c r="K2" i="6"/>
  <c r="K12" i="6" s="1"/>
  <c r="P37" i="6" s="1"/>
  <c r="P36" i="3"/>
  <c r="P38" i="3"/>
  <c r="K32" i="3"/>
  <c r="F28" i="3"/>
  <c r="G28" i="3"/>
  <c r="H28" i="3"/>
  <c r="F29" i="3"/>
  <c r="G29" i="3"/>
  <c r="H29" i="3"/>
  <c r="F30" i="3"/>
  <c r="G30" i="3"/>
  <c r="H30" i="3"/>
  <c r="F3" i="3"/>
  <c r="G3" i="3"/>
  <c r="H3" i="3"/>
  <c r="F4" i="3"/>
  <c r="H4" i="3"/>
  <c r="F5" i="3"/>
  <c r="G5" i="3"/>
  <c r="H5" i="3"/>
  <c r="F9" i="3"/>
  <c r="F21" i="3" s="1"/>
  <c r="G9" i="3"/>
  <c r="H9" i="3"/>
  <c r="H21" i="3" s="1"/>
  <c r="F10" i="3"/>
  <c r="F22" i="3" s="1"/>
  <c r="G10" i="3"/>
  <c r="G22" i="3" s="1"/>
  <c r="H10" i="3"/>
  <c r="H16" i="3" s="1"/>
  <c r="F11" i="3"/>
  <c r="G11" i="3"/>
  <c r="H11" i="3"/>
  <c r="G16" i="3"/>
  <c r="G59" i="3" s="1"/>
  <c r="B62" i="3"/>
  <c r="K58" i="3"/>
  <c r="H56" i="3"/>
  <c r="G56" i="3"/>
  <c r="F56" i="3"/>
  <c r="H55" i="3"/>
  <c r="G55" i="3"/>
  <c r="F55" i="3"/>
  <c r="H54" i="3"/>
  <c r="G54" i="3"/>
  <c r="F54" i="3"/>
  <c r="B49" i="3"/>
  <c r="K45" i="3"/>
  <c r="P40" i="3" s="1"/>
  <c r="H43" i="3"/>
  <c r="G43" i="3"/>
  <c r="F43" i="3"/>
  <c r="H42" i="3"/>
  <c r="G42" i="3"/>
  <c r="F42" i="3"/>
  <c r="H41" i="3"/>
  <c r="G41" i="3"/>
  <c r="F41" i="3"/>
  <c r="Q40" i="3"/>
  <c r="Q39" i="3"/>
  <c r="B36" i="3"/>
  <c r="K4" i="3"/>
  <c r="K3" i="3"/>
  <c r="K2" i="3"/>
  <c r="K12" i="3" s="1"/>
  <c r="P39" i="3" s="1"/>
  <c r="F22" i="6" l="1"/>
  <c r="F17" i="6"/>
  <c r="H17" i="6"/>
  <c r="F21" i="6"/>
  <c r="K13" i="6"/>
  <c r="G47" i="6" s="1"/>
  <c r="G21" i="6"/>
  <c r="E60" i="6" s="1"/>
  <c r="G17" i="6"/>
  <c r="G22" i="6"/>
  <c r="E61" i="6" s="1"/>
  <c r="F23" i="6"/>
  <c r="G23" i="6"/>
  <c r="E36" i="6" s="1"/>
  <c r="H22" i="6"/>
  <c r="G59" i="6"/>
  <c r="G46" i="6"/>
  <c r="G33" i="6"/>
  <c r="H21" i="6"/>
  <c r="P55" i="6"/>
  <c r="H47" i="6"/>
  <c r="G61" i="6"/>
  <c r="F36" i="6"/>
  <c r="F49" i="6"/>
  <c r="G49" i="6"/>
  <c r="H48" i="6"/>
  <c r="G34" i="6"/>
  <c r="G60" i="6"/>
  <c r="H62" i="6"/>
  <c r="F47" i="6"/>
  <c r="H34" i="6"/>
  <c r="G35" i="6"/>
  <c r="H35" i="6"/>
  <c r="F62" i="6"/>
  <c r="G48" i="6"/>
  <c r="F15" i="6"/>
  <c r="G15" i="6"/>
  <c r="H23" i="6"/>
  <c r="H33" i="6"/>
  <c r="H46" i="6"/>
  <c r="H15" i="6"/>
  <c r="F16" i="6"/>
  <c r="F15" i="3"/>
  <c r="G17" i="3"/>
  <c r="H15" i="3"/>
  <c r="F16" i="3"/>
  <c r="H23" i="3"/>
  <c r="G23" i="3"/>
  <c r="E36" i="3" s="1"/>
  <c r="G15" i="3"/>
  <c r="H17" i="3"/>
  <c r="F17" i="3"/>
  <c r="F23" i="3"/>
  <c r="H22" i="3"/>
  <c r="G21" i="3"/>
  <c r="E47" i="3" s="1"/>
  <c r="K11" i="3"/>
  <c r="K13" i="3" s="1"/>
  <c r="F49" i="3" s="1"/>
  <c r="E61" i="3"/>
  <c r="E35" i="3"/>
  <c r="E48" i="3"/>
  <c r="G46" i="3"/>
  <c r="G33" i="3"/>
  <c r="E48" i="6" l="1"/>
  <c r="E47" i="6"/>
  <c r="E35" i="6"/>
  <c r="G36" i="6"/>
  <c r="H60" i="6"/>
  <c r="G62" i="6"/>
  <c r="H61" i="6"/>
  <c r="K61" i="6" s="1"/>
  <c r="F48" i="6"/>
  <c r="K48" i="6" s="1"/>
  <c r="K49" i="6" s="1"/>
  <c r="F60" i="6"/>
  <c r="F61" i="6"/>
  <c r="F35" i="6"/>
  <c r="H49" i="6"/>
  <c r="F34" i="6"/>
  <c r="H36" i="6"/>
  <c r="E49" i="6"/>
  <c r="E62" i="6"/>
  <c r="E34" i="6"/>
  <c r="F33" i="6"/>
  <c r="F59" i="6"/>
  <c r="F46" i="6"/>
  <c r="F36" i="3"/>
  <c r="H47" i="3"/>
  <c r="G34" i="3"/>
  <c r="H34" i="3"/>
  <c r="F35" i="3"/>
  <c r="G62" i="3"/>
  <c r="H36" i="3"/>
  <c r="E60" i="3"/>
  <c r="H48" i="3"/>
  <c r="G47" i="3"/>
  <c r="F61" i="3"/>
  <c r="E49" i="3"/>
  <c r="E62" i="3"/>
  <c r="G49" i="3"/>
  <c r="G60" i="3"/>
  <c r="F60" i="3"/>
  <c r="H49" i="3"/>
  <c r="H60" i="3"/>
  <c r="F47" i="3"/>
  <c r="H61" i="3"/>
  <c r="G48" i="3"/>
  <c r="G61" i="3"/>
  <c r="H35" i="3"/>
  <c r="G35" i="3"/>
  <c r="F48" i="3"/>
  <c r="F62" i="3"/>
  <c r="F34" i="3"/>
  <c r="E34" i="3"/>
  <c r="G36" i="3"/>
  <c r="H62" i="3"/>
  <c r="F46" i="3"/>
  <c r="F59" i="3"/>
  <c r="F33" i="3"/>
  <c r="H59" i="3"/>
  <c r="H33" i="3"/>
  <c r="H46" i="3"/>
  <c r="K57" i="6" l="1"/>
  <c r="K44" i="6"/>
  <c r="K31" i="6"/>
  <c r="K35" i="6"/>
  <c r="K36" i="6" s="1"/>
  <c r="K33" i="6"/>
  <c r="K34" i="6" s="1"/>
  <c r="K59" i="6"/>
  <c r="K60" i="6" s="1"/>
  <c r="P36" i="6"/>
  <c r="P39" i="6" s="1"/>
  <c r="K46" i="6"/>
  <c r="K47" i="6" s="1"/>
  <c r="K31" i="3"/>
  <c r="K33" i="3" s="1"/>
  <c r="K34" i="3" s="1"/>
  <c r="K35" i="3"/>
  <c r="K36" i="3" s="1"/>
  <c r="K44" i="3"/>
  <c r="K46" i="3" s="1"/>
  <c r="K47" i="3" s="1"/>
  <c r="K57" i="3"/>
  <c r="K48" i="3"/>
  <c r="K49" i="3" s="1"/>
  <c r="K61" i="3"/>
  <c r="P37" i="3" l="1"/>
  <c r="K59" i="3"/>
  <c r="K60" i="3" s="1"/>
  <c r="P41" i="3"/>
</calcChain>
</file>

<file path=xl/sharedStrings.xml><?xml version="1.0" encoding="utf-8"?>
<sst xmlns="http://schemas.openxmlformats.org/spreadsheetml/2006/main" count="405" uniqueCount="112">
  <si>
    <t>Display Projector Power Model</t>
  </si>
  <si>
    <t>Input Variables</t>
  </si>
  <si>
    <t>Value</t>
  </si>
  <si>
    <t>Units</t>
  </si>
  <si>
    <t>Comment</t>
  </si>
  <si>
    <t>Input power (P_in)</t>
  </si>
  <si>
    <t>W</t>
  </si>
  <si>
    <t>Electrical-to-optical conversion (η_e_to_o)</t>
  </si>
  <si>
    <t>Projector optics collection efficiency (η_lens)</t>
  </si>
  <si>
    <t>System transmittance (τ_lens)</t>
  </si>
  <si>
    <t xml:space="preserve">Waveguide pupil efficiency (η_WG) </t>
  </si>
  <si>
    <t>Waveguide pupil efficiency (η_WG)</t>
  </si>
  <si>
    <t>Area of the eye pupil (A_pupil)</t>
  </si>
  <si>
    <t>Projected solid angle of FOV (Ω_FOV)</t>
  </si>
  <si>
    <t>Total Luminance at eye (L_v_eye)</t>
  </si>
  <si>
    <t>nits</t>
  </si>
  <si>
    <t>Inputs Variables</t>
    <phoneticPr fontId="0" type="noConversion"/>
  </si>
  <si>
    <t>Value</t>
    <phoneticPr fontId="0" type="noConversion"/>
  </si>
  <si>
    <t>Units</t>
    <phoneticPr fontId="0" type="noConversion"/>
  </si>
  <si>
    <t>Comment</t>
    <phoneticPr fontId="0" type="noConversion"/>
  </si>
  <si>
    <t>Human eye pupil diameter</t>
    <phoneticPr fontId="0" type="noConversion"/>
  </si>
  <si>
    <t>mm</t>
    <phoneticPr fontId="0" type="noConversion"/>
  </si>
  <si>
    <t>Uniformity detector bin width</t>
    <phoneticPr fontId="0" type="noConversion"/>
  </si>
  <si>
    <t>Uniformity detector bin height</t>
    <phoneticPr fontId="0" type="noConversion"/>
  </si>
  <si>
    <t>FOV_x</t>
    <phoneticPr fontId="0" type="noConversion"/>
  </si>
  <si>
    <t>deg</t>
    <phoneticPr fontId="0" type="noConversion"/>
  </si>
  <si>
    <t>FOV_y</t>
    <phoneticPr fontId="0" type="noConversion"/>
  </si>
  <si>
    <t>Projector output flux</t>
    <phoneticPr fontId="0" type="noConversion"/>
  </si>
  <si>
    <t>lm</t>
    <phoneticPr fontId="0" type="noConversion"/>
  </si>
  <si>
    <t>Distance from eyebox to uniformity detector</t>
    <phoneticPr fontId="0" type="noConversion"/>
  </si>
  <si>
    <t>Outputs</t>
    <phoneticPr fontId="0" type="noConversion"/>
  </si>
  <si>
    <t>A_bin (Uniformity detector bin area)</t>
    <phoneticPr fontId="0" type="noConversion"/>
  </si>
  <si>
    <t>m^2</t>
    <phoneticPr fontId="0" type="noConversion"/>
  </si>
  <si>
    <t>A_pupil (Human eye pupil area)</t>
    <phoneticPr fontId="0" type="noConversion"/>
  </si>
  <si>
    <t>Irradiance scale factor</t>
    <phoneticPr fontId="0" type="noConversion"/>
  </si>
  <si>
    <t>=A_bin/A_pupil</t>
    <phoneticPr fontId="0" type="noConversion"/>
  </si>
  <si>
    <t>E_IG</t>
  </si>
  <si>
    <t>(V/m)^2</t>
    <phoneticPr fontId="0" type="noConversion"/>
  </si>
  <si>
    <t>E_IG = irradiance at the input grating in the VirtualLab simulation = 9 (V/m)^2.</t>
    <phoneticPr fontId="0" type="noConversion"/>
  </si>
  <si>
    <t>Distance</t>
  </si>
  <si>
    <t>Luminous Efficacy of Radiation (LER)</t>
  </si>
  <si>
    <t>Wavelength = 640nm (Red)</t>
    <phoneticPr fontId="0" type="noConversion"/>
  </si>
  <si>
    <t>Color</t>
  </si>
  <si>
    <t>LER (lm/w)</t>
  </si>
  <si>
    <t>Center Wavelength (nm)</t>
  </si>
  <si>
    <t>Bandwidth FWHM (nm)</t>
  </si>
  <si>
    <t>Optimized Waveguide</t>
    <phoneticPr fontId="0" type="noConversion"/>
  </si>
  <si>
    <t>Red</t>
  </si>
  <si>
    <t>lm/W</t>
  </si>
  <si>
    <t>Value for Pupil around (-26.667 mm; -16.667 mm)</t>
  </si>
  <si>
    <t>Green</t>
  </si>
  <si>
    <t>Value for Pupil around (0 mm; -16.667 mm)</t>
  </si>
  <si>
    <t>Blue</t>
  </si>
  <si>
    <t>Value for Pupil around (26.667 mm; -16.667 mm)</t>
  </si>
  <si>
    <t>Value for Pupil around (-26.667 mm; 0 mm)</t>
  </si>
  <si>
    <t>(V/m)^2</t>
  </si>
  <si>
    <t>Value for Pupil around (0 mm; 0 mm)</t>
  </si>
  <si>
    <t>Value for Pupil around (26.667 mm; 0 mm)</t>
  </si>
  <si>
    <t>Cartesian angles θx, θy (deg) vs. pupil efficiency (fractional)</t>
    <phoneticPr fontId="0" type="noConversion"/>
  </si>
  <si>
    <t>Projected solid angle of FOV</t>
  </si>
  <si>
    <t>sr</t>
    <phoneticPr fontId="0" type="noConversion"/>
  </si>
  <si>
    <t>Value for Pupil around (-26.667 mm; 16.667 mm)</t>
  </si>
  <si>
    <t>Efficiency</t>
    <phoneticPr fontId="0" type="noConversion"/>
  </si>
  <si>
    <t>nits/lumen</t>
    <phoneticPr fontId="0" type="noConversion"/>
  </si>
  <si>
    <t>Value for Pupil around (0 mm; 16.667 mm)</t>
  </si>
  <si>
    <t>Luminance</t>
  </si>
  <si>
    <t>nits</t>
    <phoneticPr fontId="0" type="noConversion"/>
  </si>
  <si>
    <t>Value for Pupil around (26.667 mm; 16.667 mm)</t>
  </si>
  <si>
    <t>Max/min</t>
    <phoneticPr fontId="0" type="noConversion"/>
  </si>
  <si>
    <t>Arithmetic Mean</t>
    <phoneticPr fontId="0" type="noConversion"/>
  </si>
  <si>
    <t>Uniformity Error</t>
    <phoneticPr fontId="0" type="noConversion"/>
  </si>
  <si>
    <t>Wavelength = 530nm (Green)</t>
    <phoneticPr fontId="0" type="noConversion"/>
  </si>
  <si>
    <t>Number of battery</t>
  </si>
  <si>
    <t>grams</t>
  </si>
  <si>
    <t>Size and Weight</t>
  </si>
  <si>
    <t>Density of glass</t>
  </si>
  <si>
    <t>kg/L</t>
  </si>
  <si>
    <t>Wavelength = 450nm (Blue)</t>
    <phoneticPr fontId="0" type="noConversion"/>
  </si>
  <si>
    <t>Volume of glass</t>
  </si>
  <si>
    <t>mm^3</t>
  </si>
  <si>
    <t>Weight of glass</t>
  </si>
  <si>
    <t>Weight of battery</t>
  </si>
  <si>
    <t>Weight of temple</t>
  </si>
  <si>
    <t>Weight of entier AR glasses</t>
  </si>
  <si>
    <t>Polar angles from pupil positions: φ (deg)</t>
  </si>
  <si>
    <t>Polar angles from pupil positions: θ (deg)</t>
  </si>
  <si>
    <t>Cartesian angle from polar angles: θx (deg)</t>
  </si>
  <si>
    <t>Cartesian angle from polar angles: θy (deg)</t>
  </si>
  <si>
    <r>
      <t>η</t>
    </r>
    <r>
      <rPr>
        <vertAlign val="subscript"/>
        <sz val="12"/>
        <color rgb="FFFF0000"/>
        <rFont val="Times New Roman"/>
        <family val="1"/>
      </rPr>
      <t>pupil</t>
    </r>
    <r>
      <rPr>
        <sz val="12"/>
        <color rgb="FFFF0000"/>
        <rFont val="Times New Roman"/>
        <family val="1"/>
      </rPr>
      <t xml:space="preserve"> (average efficiency)</t>
    </r>
  </si>
  <si>
    <r>
      <t>η</t>
    </r>
    <r>
      <rPr>
        <vertAlign val="subscript"/>
        <sz val="12"/>
        <color rgb="FF00B050"/>
        <rFont val="Times New Roman"/>
        <family val="1"/>
      </rPr>
      <t>pupil</t>
    </r>
    <r>
      <rPr>
        <sz val="12"/>
        <color rgb="FF00B050"/>
        <rFont val="Times New Roman"/>
        <family val="1"/>
      </rPr>
      <t xml:space="preserve"> (average efficiency)</t>
    </r>
  </si>
  <si>
    <r>
      <t>η</t>
    </r>
    <r>
      <rPr>
        <vertAlign val="subscript"/>
        <sz val="12"/>
        <color rgb="FF0070C0"/>
        <rFont val="Times New Roman"/>
        <family val="1"/>
      </rPr>
      <t>pupil</t>
    </r>
    <r>
      <rPr>
        <sz val="12"/>
        <color rgb="FF0070C0"/>
        <rFont val="Times New Roman"/>
        <family val="1"/>
      </rPr>
      <t xml:space="preserve"> (average efficiency)</t>
    </r>
  </si>
  <si>
    <t>Outputs</t>
  </si>
  <si>
    <t>Assumption</t>
  </si>
  <si>
    <t>Aperture size of 2.5 mm x 2.5 mm (elliptical, typical human eye pupil size) with 10% relative edge width</t>
  </si>
  <si>
    <t>Estimate based on standard USB 3.0</t>
  </si>
  <si>
    <t>Value for Pupil in (V/m)^2</t>
  </si>
  <si>
    <t>Average pupil efficiency for 650 nm</t>
  </si>
  <si>
    <t>Average pupil efficiency for 550 nm</t>
  </si>
  <si>
    <t>Average pupil efficiency for 450 nm</t>
  </si>
  <si>
    <t>Density (glass)</t>
  </si>
  <si>
    <t>g/mL</t>
  </si>
  <si>
    <t>Volume (glass - in mm^3)</t>
  </si>
  <si>
    <t>Volume (glass - in mL)</t>
  </si>
  <si>
    <t>mL</t>
  </si>
  <si>
    <t>Weight (glass)</t>
  </si>
  <si>
    <t>g</t>
  </si>
  <si>
    <t>Weight (eyeglass frames)</t>
  </si>
  <si>
    <t>Weight (power connection wire)</t>
  </si>
  <si>
    <t>Total device weight</t>
  </si>
  <si>
    <t>Device Weight Estimate Calculations</t>
  </si>
  <si>
    <t>Inputs</t>
  </si>
  <si>
    <t>Weight (projector)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</si>
</sst>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E+00"/>
    <numFmt numFmtId="165" formatCode="0.000"/>
    <numFmt numFmtId="166" formatCode="0.0000"/>
    <numFmt numFmtId="167" formatCode="0.0000000"/>
    <numFmt numFmtId="168" formatCode="0.000%"/>
    <numFmt numFmtId="169" formatCode="0.00000"/>
    <numFmt numFmtId="170" formatCode="0.00_);[Red]\(0.00\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vertAlign val="subscript"/>
      <sz val="12"/>
      <color rgb="FFFF0000"/>
      <name val="Times New Roman"/>
      <family val="1"/>
    </font>
    <font>
      <sz val="18"/>
      <color rgb="FF000000"/>
      <name val="Times New Roman"/>
      <family val="1"/>
    </font>
    <font>
      <vertAlign val="subscript"/>
      <sz val="12"/>
      <color rgb="FF00B050"/>
      <name val="Times New Roman"/>
      <family val="1"/>
    </font>
    <font>
      <vertAlign val="subscript"/>
      <sz val="12"/>
      <color rgb="FF0070C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/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164" fontId="6" fillId="0" borderId="0" xfId="0" applyNumberFormat="1" applyFont="1"/>
    <xf numFmtId="11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2" fontId="2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/>
    <xf numFmtId="166" fontId="5" fillId="0" borderId="0" xfId="0" applyNumberFormat="1" applyFont="1"/>
    <xf numFmtId="49" fontId="5" fillId="0" borderId="0" xfId="0" applyNumberFormat="1" applyFont="1"/>
    <xf numFmtId="11" fontId="5" fillId="0" borderId="0" xfId="0" applyNumberFormat="1" applyFont="1"/>
    <xf numFmtId="165" fontId="5" fillId="0" borderId="0" xfId="0" applyNumberFormat="1" applyFont="1"/>
    <xf numFmtId="170" fontId="5" fillId="0" borderId="0" xfId="0" applyNumberFormat="1" applyFont="1"/>
    <xf numFmtId="164" fontId="5" fillId="0" borderId="0" xfId="0" applyNumberFormat="1" applyFont="1"/>
    <xf numFmtId="0" fontId="3" fillId="0" borderId="0" xfId="0" applyFont="1" applyAlignment="1">
      <alignment horizontal="left"/>
    </xf>
    <xf numFmtId="11" fontId="5" fillId="0" borderId="0" xfId="0" applyNumberFormat="1" applyFont="1" applyAlignment="1">
      <alignment horizontal="center" vertical="center"/>
    </xf>
    <xf numFmtId="167" fontId="5" fillId="0" borderId="0" xfId="0" applyNumberFormat="1" applyFont="1"/>
    <xf numFmtId="169" fontId="5" fillId="0" borderId="0" xfId="0" applyNumberFormat="1" applyFont="1"/>
    <xf numFmtId="0" fontId="5" fillId="4" borderId="0" xfId="0" applyFont="1" applyFill="1" applyAlignment="1">
      <alignment horizontal="left"/>
    </xf>
    <xf numFmtId="164" fontId="5" fillId="4" borderId="0" xfId="0" applyNumberFormat="1" applyFont="1" applyFill="1"/>
    <xf numFmtId="0" fontId="5" fillId="4" borderId="0" xfId="0" applyFont="1" applyFill="1" applyAlignment="1">
      <alignment horizontal="center"/>
    </xf>
    <xf numFmtId="168" fontId="5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5" fillId="6" borderId="0" xfId="0" applyFont="1" applyFill="1"/>
    <xf numFmtId="1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/>
    <xf numFmtId="0" fontId="5" fillId="3" borderId="0" xfId="0" applyFont="1" applyFill="1"/>
    <xf numFmtId="165" fontId="5" fillId="0" borderId="1" xfId="0" applyNumberFormat="1" applyFont="1" applyBorder="1"/>
    <xf numFmtId="0" fontId="11" fillId="0" borderId="0" xfId="0" applyFont="1"/>
    <xf numFmtId="0" fontId="5" fillId="8" borderId="0" xfId="0" applyFont="1" applyFill="1"/>
    <xf numFmtId="0" fontId="12" fillId="8" borderId="0" xfId="0" applyFont="1" applyFill="1"/>
    <xf numFmtId="0" fontId="5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left"/>
    </xf>
    <xf numFmtId="164" fontId="5" fillId="9" borderId="0" xfId="0" applyNumberFormat="1" applyFont="1" applyFill="1"/>
    <xf numFmtId="0" fontId="5" fillId="9" borderId="0" xfId="0" applyFont="1" applyFill="1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horizontal="left"/>
    </xf>
    <xf numFmtId="0" fontId="5" fillId="10" borderId="0" xfId="0" applyFont="1" applyFill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5" fillId="11" borderId="0" xfId="0" applyFont="1" applyFill="1"/>
    <xf numFmtId="165" fontId="5" fillId="11" borderId="1" xfId="0" applyNumberFormat="1" applyFont="1" applyFill="1" applyBorder="1"/>
    <xf numFmtId="0" fontId="5" fillId="6" borderId="0" xfId="0" applyFont="1" applyFill="1" applyAlignment="1">
      <alignment horizontal="center"/>
    </xf>
    <xf numFmtId="2" fontId="13" fillId="10" borderId="0" xfId="0" applyNumberFormat="1" applyFont="1" applyFill="1"/>
    <xf numFmtId="2" fontId="12" fillId="9" borderId="0" xfId="0" applyNumberFormat="1" applyFont="1" applyFill="1"/>
    <xf numFmtId="2" fontId="12" fillId="8" borderId="0" xfId="0" applyNumberFormat="1" applyFont="1" applyFill="1"/>
    <xf numFmtId="0" fontId="11" fillId="11" borderId="0" xfId="0" applyFont="1" applyFill="1"/>
    <xf numFmtId="3" fontId="5" fillId="0" borderId="0" xfId="0" applyNumberFormat="1" applyFont="1"/>
    <xf numFmtId="0" fontId="2" fillId="12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131B2596-89A6-41DE-9A02-19F4DA0EC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440680</xdr:colOff>
      <xdr:row>1</xdr:row>
      <xdr:rowOff>134123</xdr:rowOff>
    </xdr:from>
    <xdr:to>
      <xdr:col>33</xdr:col>
      <xdr:colOff>244955</xdr:colOff>
      <xdr:row>24</xdr:row>
      <xdr:rowOff>74707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E71463B-2B36-4508-8753-34E6BCF84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18327" y="320888"/>
          <a:ext cx="10487216" cy="42361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85929</xdr:colOff>
      <xdr:row>27</xdr:row>
      <xdr:rowOff>0</xdr:rowOff>
    </xdr:from>
    <xdr:to>
      <xdr:col>32</xdr:col>
      <xdr:colOff>672438</xdr:colOff>
      <xdr:row>49</xdr:row>
      <xdr:rowOff>39187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A269C95-A56C-4D03-B40D-033CDDDB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85341" y="5154706"/>
          <a:ext cx="9625921" cy="49697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20</xdr:col>
      <xdr:colOff>621271</xdr:colOff>
      <xdr:row>50</xdr:row>
      <xdr:rowOff>27984</xdr:rowOff>
    </xdr:from>
    <xdr:to>
      <xdr:col>33</xdr:col>
      <xdr:colOff>37353</xdr:colOff>
      <xdr:row>71</xdr:row>
      <xdr:rowOff>150668</xdr:rowOff>
    </xdr:to>
    <xdr:pic>
      <xdr:nvPicPr>
        <xdr:cNvPr id="5" name="Content Placeholder 4" descr="Text&#10;&#10;Description automatically generated">
          <a:extLst>
            <a:ext uri="{FF2B5EF4-FFF2-40B4-BE49-F238E27FC236}">
              <a16:creationId xmlns:a16="http://schemas.microsoft.com/office/drawing/2014/main" id="{BE983956-B0EF-4B4C-B3C8-EC523E2C243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98918" y="10337396"/>
          <a:ext cx="10099023" cy="4642390"/>
        </a:xfrm>
        <a:prstGeom prst="rect">
          <a:avLst/>
        </a:prstGeom>
      </xdr:spPr>
    </xdr:pic>
    <xdr:clientData/>
  </xdr:twoCellAnchor>
  <xdr:twoCellAnchor editAs="oneCell">
    <xdr:from>
      <xdr:col>19</xdr:col>
      <xdr:colOff>462283</xdr:colOff>
      <xdr:row>74</xdr:row>
      <xdr:rowOff>70081</xdr:rowOff>
    </xdr:from>
    <xdr:to>
      <xdr:col>34</xdr:col>
      <xdr:colOff>641751</xdr:colOff>
      <xdr:row>98</xdr:row>
      <xdr:rowOff>18894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D088F3-8AE0-4A32-9BE2-ADE8C158B0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90"/>
        <a:stretch/>
      </xdr:blipFill>
      <xdr:spPr>
        <a:xfrm>
          <a:off x="30718165" y="15459493"/>
          <a:ext cx="12505939" cy="4431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544439</xdr:colOff>
      <xdr:row>2</xdr:row>
      <xdr:rowOff>96769</xdr:rowOff>
    </xdr:from>
    <xdr:to>
      <xdr:col>35</xdr:col>
      <xdr:colOff>329813</xdr:colOff>
      <xdr:row>17</xdr:row>
      <xdr:rowOff>141111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E3A58C7-4B2F-433E-961F-68B02D512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64161" y="520102"/>
          <a:ext cx="9945374" cy="32193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658671</xdr:colOff>
      <xdr:row>18</xdr:row>
      <xdr:rowOff>105833</xdr:rowOff>
    </xdr:from>
    <xdr:to>
      <xdr:col>36</xdr:col>
      <xdr:colOff>261091</xdr:colOff>
      <xdr:row>41</xdr:row>
      <xdr:rowOff>53214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D039AFA6-03A7-49B5-A011-F697EA6DC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31727" y="3915833"/>
          <a:ext cx="11455753" cy="481571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256042</xdr:colOff>
      <xdr:row>41</xdr:row>
      <xdr:rowOff>176389</xdr:rowOff>
    </xdr:from>
    <xdr:to>
      <xdr:col>36</xdr:col>
      <xdr:colOff>642410</xdr:colOff>
      <xdr:row>62</xdr:row>
      <xdr:rowOff>105679</xdr:rowOff>
    </xdr:to>
    <xdr:pic>
      <xdr:nvPicPr>
        <xdr:cNvPr id="5" name="Content Placeholder 4" descr="Text&#10;&#10;Description automatically generated">
          <a:extLst>
            <a:ext uri="{FF2B5EF4-FFF2-40B4-BE49-F238E27FC236}">
              <a16:creationId xmlns:a16="http://schemas.microsoft.com/office/drawing/2014/main" id="{888458DA-C801-4509-96EF-F24911A27DD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29098" y="8854722"/>
          <a:ext cx="12239701" cy="4374290"/>
        </a:xfrm>
        <a:prstGeom prst="rect">
          <a:avLst/>
        </a:prstGeom>
      </xdr:spPr>
    </xdr:pic>
    <xdr:clientData/>
  </xdr:twoCellAnchor>
  <xdr:twoCellAnchor editAs="oneCell">
    <xdr:from>
      <xdr:col>21</xdr:col>
      <xdr:colOff>555665</xdr:colOff>
      <xdr:row>64</xdr:row>
      <xdr:rowOff>176389</xdr:rowOff>
    </xdr:from>
    <xdr:to>
      <xdr:col>37</xdr:col>
      <xdr:colOff>605717</xdr:colOff>
      <xdr:row>83</xdr:row>
      <xdr:rowOff>4809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BF7B06-8B3F-405A-8EBB-D6BEE5299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90"/>
        <a:stretch/>
      </xdr:blipFill>
      <xdr:spPr>
        <a:xfrm>
          <a:off x="32482054" y="13723056"/>
          <a:ext cx="13596719" cy="383719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B901-37C1-462B-A84C-56456E001ECC}">
  <dimension ref="A1:C9"/>
  <sheetViews>
    <sheetView tabSelected="1" workbookViewId="0">
      <selection activeCell="B10" sqref="B10"/>
    </sheetView>
  </sheetViews>
  <sheetFormatPr defaultRowHeight="15.5" x14ac:dyDescent="0.35"/>
  <cols>
    <col min="1" max="1" width="29.7265625" style="8" bestFit="1" customWidth="1"/>
    <col min="2" max="16384" width="8.7265625" style="8"/>
  </cols>
  <sheetData>
    <row r="1" spans="1:3" x14ac:dyDescent="0.35">
      <c r="A1" s="71" t="s">
        <v>109</v>
      </c>
      <c r="B1" s="71"/>
      <c r="C1" s="71"/>
    </row>
    <row r="2" spans="1:3" x14ac:dyDescent="0.35">
      <c r="A2" s="8" t="s">
        <v>99</v>
      </c>
      <c r="B2" s="8">
        <v>2.5</v>
      </c>
      <c r="C2" s="8" t="s">
        <v>100</v>
      </c>
    </row>
    <row r="3" spans="1:3" x14ac:dyDescent="0.35">
      <c r="A3" s="8" t="s">
        <v>101</v>
      </c>
      <c r="B3" s="72">
        <v>2000</v>
      </c>
      <c r="C3" s="8" t="s">
        <v>79</v>
      </c>
    </row>
    <row r="4" spans="1:3" x14ac:dyDescent="0.35">
      <c r="A4" s="8" t="s">
        <v>102</v>
      </c>
      <c r="B4" s="72">
        <v>2</v>
      </c>
      <c r="C4" s="8" t="s">
        <v>103</v>
      </c>
    </row>
    <row r="5" spans="1:3" x14ac:dyDescent="0.35">
      <c r="A5" s="8" t="s">
        <v>104</v>
      </c>
      <c r="B5" s="8">
        <v>5</v>
      </c>
      <c r="C5" s="8" t="s">
        <v>105</v>
      </c>
    </row>
    <row r="6" spans="1:3" x14ac:dyDescent="0.35">
      <c r="A6" s="8" t="s">
        <v>106</v>
      </c>
      <c r="B6" s="8">
        <v>7</v>
      </c>
      <c r="C6" s="8" t="s">
        <v>105</v>
      </c>
    </row>
    <row r="7" spans="1:3" x14ac:dyDescent="0.35">
      <c r="A7" s="8" t="s">
        <v>107</v>
      </c>
      <c r="B7" s="8">
        <v>30</v>
      </c>
      <c r="C7" s="8" t="s">
        <v>105</v>
      </c>
    </row>
    <row r="8" spans="1:3" x14ac:dyDescent="0.35">
      <c r="A8" s="8" t="s">
        <v>111</v>
      </c>
      <c r="B8" s="8">
        <v>1</v>
      </c>
      <c r="C8" s="8" t="s">
        <v>105</v>
      </c>
    </row>
    <row r="9" spans="1:3" x14ac:dyDescent="0.35">
      <c r="A9" s="42" t="s">
        <v>108</v>
      </c>
      <c r="B9" s="42">
        <f>B5+B6+B7+B8</f>
        <v>43</v>
      </c>
      <c r="C9" s="4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69BE-9B20-4961-AFB3-A71CD72919DC}">
  <dimension ref="A1:S66"/>
  <sheetViews>
    <sheetView topLeftCell="J23" zoomScale="74" workbookViewId="0">
      <selection activeCell="P32" sqref="P32"/>
    </sheetView>
  </sheetViews>
  <sheetFormatPr defaultColWidth="12" defaultRowHeight="15.5" x14ac:dyDescent="0.35"/>
  <cols>
    <col min="1" max="1" width="57.26953125" style="8" customWidth="1"/>
    <col min="2" max="2" width="18.1796875" style="8" customWidth="1"/>
    <col min="3" max="3" width="16.54296875" style="8" customWidth="1"/>
    <col min="4" max="4" width="8.7265625" style="8" customWidth="1"/>
    <col min="5" max="5" width="12" style="8"/>
    <col min="6" max="8" width="17.6328125" style="8" customWidth="1"/>
    <col min="9" max="9" width="8.7265625" style="8" customWidth="1"/>
    <col min="10" max="10" width="53.453125" style="21" customWidth="1"/>
    <col min="11" max="11" width="15.81640625" style="8" bestFit="1" customWidth="1"/>
    <col min="12" max="12" width="15.81640625" style="22" customWidth="1"/>
    <col min="13" max="13" width="14.7265625" style="8" bestFit="1" customWidth="1"/>
    <col min="14" max="14" width="8.7265625" style="20" customWidth="1"/>
    <col min="15" max="15" width="47.453125" style="8" customWidth="1"/>
    <col min="16" max="16" width="16.54296875" style="8" customWidth="1"/>
    <col min="17" max="17" width="25.6328125" style="8" customWidth="1"/>
    <col min="18" max="18" width="34.1796875" style="8" customWidth="1"/>
    <col min="19" max="19" width="26.36328125" style="8" customWidth="1"/>
    <col min="20" max="16384" width="12" style="8"/>
  </cols>
  <sheetData>
    <row r="1" spans="5:13" x14ac:dyDescent="0.35">
      <c r="E1" s="42" t="s">
        <v>84</v>
      </c>
      <c r="F1" s="42"/>
      <c r="G1" s="42"/>
      <c r="H1" s="42"/>
      <c r="J1" s="67" t="s">
        <v>110</v>
      </c>
      <c r="K1" s="67" t="s">
        <v>17</v>
      </c>
      <c r="L1" s="67" t="s">
        <v>18</v>
      </c>
      <c r="M1" s="67" t="s">
        <v>19</v>
      </c>
    </row>
    <row r="2" spans="5:13" x14ac:dyDescent="0.35">
      <c r="F2" s="65">
        <v>-26.667000000000002</v>
      </c>
      <c r="G2" s="65">
        <v>0</v>
      </c>
      <c r="H2" s="65">
        <v>26.667000000000002</v>
      </c>
      <c r="J2" s="21" t="s">
        <v>20</v>
      </c>
      <c r="K2" s="8">
        <f>2</f>
        <v>2</v>
      </c>
      <c r="L2" s="22" t="s">
        <v>21</v>
      </c>
      <c r="M2" s="8" t="s">
        <v>93</v>
      </c>
    </row>
    <row r="3" spans="5:13" x14ac:dyDescent="0.35">
      <c r="E3" s="65">
        <v>16.667000000000002</v>
      </c>
      <c r="F3" s="23">
        <f>DEGREES(ATAN2(F2,E3))</f>
        <v>147.99442366289642</v>
      </c>
      <c r="G3" s="23">
        <f>DEGREES(ATAN2(G2,E3))</f>
        <v>90</v>
      </c>
      <c r="H3" s="23">
        <f>DEGREES(ATAN2(H2,E3))</f>
        <v>32.00557633710357</v>
      </c>
      <c r="J3" s="21" t="s">
        <v>22</v>
      </c>
      <c r="K3" s="24">
        <f>80/3</f>
        <v>26.666666666666668</v>
      </c>
      <c r="L3" s="22" t="s">
        <v>21</v>
      </c>
      <c r="M3" s="25"/>
    </row>
    <row r="4" spans="5:13" x14ac:dyDescent="0.35">
      <c r="E4" s="65">
        <v>0</v>
      </c>
      <c r="F4" s="23">
        <f>DEGREES(ATAN2(F2,E4))</f>
        <v>180</v>
      </c>
      <c r="G4" s="23">
        <v>0</v>
      </c>
      <c r="H4" s="23">
        <f>DEGREES(ATAN2(H2,E4))</f>
        <v>0</v>
      </c>
      <c r="J4" s="21" t="s">
        <v>23</v>
      </c>
      <c r="K4" s="24">
        <f>50/3</f>
        <v>16.666666666666668</v>
      </c>
      <c r="L4" s="22" t="s">
        <v>21</v>
      </c>
      <c r="M4" s="25"/>
    </row>
    <row r="5" spans="5:13" x14ac:dyDescent="0.35">
      <c r="E5" s="65">
        <v>-16.667000000000002</v>
      </c>
      <c r="F5" s="23">
        <f>DEGREES(ATAN2(F2,E5))</f>
        <v>-147.99442366289642</v>
      </c>
      <c r="G5" s="23">
        <f>DEGREES(ATAN2(G2,E5))</f>
        <v>-90</v>
      </c>
      <c r="H5" s="23">
        <f>DEGREES(ATAN2(H2,E5))</f>
        <v>-32.00557633710357</v>
      </c>
      <c r="J5" s="21" t="s">
        <v>24</v>
      </c>
      <c r="K5" s="8">
        <v>32</v>
      </c>
      <c r="L5" s="22" t="s">
        <v>25</v>
      </c>
    </row>
    <row r="6" spans="5:13" x14ac:dyDescent="0.35">
      <c r="J6" s="21" t="s">
        <v>26</v>
      </c>
      <c r="K6" s="8">
        <v>18</v>
      </c>
      <c r="L6" s="22" t="s">
        <v>25</v>
      </c>
    </row>
    <row r="7" spans="5:13" x14ac:dyDescent="0.35">
      <c r="E7" s="42" t="s">
        <v>85</v>
      </c>
      <c r="F7" s="42"/>
      <c r="G7" s="42"/>
      <c r="H7" s="42"/>
      <c r="J7" s="8" t="s">
        <v>27</v>
      </c>
      <c r="K7" s="8">
        <v>1</v>
      </c>
      <c r="L7" s="22" t="s">
        <v>28</v>
      </c>
      <c r="M7" s="49" t="s">
        <v>92</v>
      </c>
    </row>
    <row r="8" spans="5:13" x14ac:dyDescent="0.35">
      <c r="F8" s="65">
        <v>-26.667000000000002</v>
      </c>
      <c r="G8" s="65">
        <v>0</v>
      </c>
      <c r="H8" s="65">
        <v>26.667000000000002</v>
      </c>
      <c r="J8" s="8" t="s">
        <v>29</v>
      </c>
      <c r="K8" s="8">
        <v>101</v>
      </c>
      <c r="L8" s="22" t="s">
        <v>21</v>
      </c>
    </row>
    <row r="9" spans="5:13" x14ac:dyDescent="0.35">
      <c r="E9" s="65">
        <v>16.667000000000002</v>
      </c>
      <c r="F9" s="23">
        <f>DEGREES(ATAN(SQRT(F8^2+E9^2)/K$8))</f>
        <v>17.294345748796204</v>
      </c>
      <c r="G9" s="23">
        <f>DEGREES(ATAN(SQRT(G8^2+E9^2)/K$8))</f>
        <v>9.3704895928563001</v>
      </c>
      <c r="H9" s="23">
        <f>DEGREES(ATAN(SQRT(H8^2+E9^2)/K$8))</f>
        <v>17.294345748796204</v>
      </c>
    </row>
    <row r="10" spans="5:13" x14ac:dyDescent="0.35">
      <c r="E10" s="65">
        <v>0</v>
      </c>
      <c r="F10" s="23">
        <f>DEGREES(ATAN(SQRT(F8^2+E10^2)/K$8))</f>
        <v>14.790268573055313</v>
      </c>
      <c r="G10" s="23">
        <f>DEGREES(ATAN(SQRT(G8^2+E10^2)/K$8))</f>
        <v>0</v>
      </c>
      <c r="H10" s="23">
        <f>DEGREES(ATAN(SQRT(H8^2+E10^2)/K$8))</f>
        <v>14.790268573055313</v>
      </c>
      <c r="J10" s="67" t="s">
        <v>30</v>
      </c>
      <c r="K10" s="67" t="s">
        <v>2</v>
      </c>
      <c r="L10" s="67" t="s">
        <v>18</v>
      </c>
      <c r="M10" s="67" t="s">
        <v>19</v>
      </c>
    </row>
    <row r="11" spans="5:13" x14ac:dyDescent="0.35">
      <c r="E11" s="65">
        <v>-16.667000000000002</v>
      </c>
      <c r="F11" s="23">
        <f>DEGREES(ATAN(SQRT(F8^2+E11^2)/K$8))</f>
        <v>17.294345748796204</v>
      </c>
      <c r="G11" s="23">
        <f>DEGREES(ATAN(SQRT(G8^2+E11^2)/K$8))</f>
        <v>9.3704895928563001</v>
      </c>
      <c r="H11" s="23">
        <f>DEGREES(ATAN(SQRT(H8^2+E11^2)/K$8))</f>
        <v>17.294345748796204</v>
      </c>
      <c r="J11" s="21" t="s">
        <v>31</v>
      </c>
      <c r="K11" s="26">
        <f>(K3/1000)*(K4/1000)</f>
        <v>4.4444444444444447E-4</v>
      </c>
      <c r="L11" s="20" t="s">
        <v>32</v>
      </c>
    </row>
    <row r="12" spans="5:13" x14ac:dyDescent="0.35">
      <c r="J12" s="21" t="s">
        <v>33</v>
      </c>
      <c r="K12" s="26">
        <f>PI()*((K2/2)/1000)^2</f>
        <v>3.1415926535897929E-6</v>
      </c>
      <c r="L12" s="20" t="s">
        <v>32</v>
      </c>
    </row>
    <row r="13" spans="5:13" x14ac:dyDescent="0.35">
      <c r="E13" s="42" t="s">
        <v>86</v>
      </c>
      <c r="F13" s="42"/>
      <c r="G13" s="42"/>
      <c r="H13" s="42"/>
      <c r="J13" s="21" t="s">
        <v>34</v>
      </c>
      <c r="K13" s="24">
        <f>K11/K12</f>
        <v>141.47106052612921</v>
      </c>
      <c r="M13" s="25" t="s">
        <v>35</v>
      </c>
    </row>
    <row r="14" spans="5:13" x14ac:dyDescent="0.35">
      <c r="F14" s="65">
        <v>-26.667000000000002</v>
      </c>
      <c r="G14" s="65">
        <v>0</v>
      </c>
      <c r="H14" s="65">
        <v>26.667000000000002</v>
      </c>
      <c r="J14" s="21" t="s">
        <v>36</v>
      </c>
      <c r="K14" s="8">
        <v>9</v>
      </c>
      <c r="L14" s="22" t="s">
        <v>37</v>
      </c>
      <c r="M14" s="8" t="s">
        <v>38</v>
      </c>
    </row>
    <row r="15" spans="5:13" x14ac:dyDescent="0.35">
      <c r="E15" s="65">
        <v>16.667000000000002</v>
      </c>
      <c r="F15" s="27">
        <f>DEGREES(ATAN(TAN(RADIANS(F9))*COS(RADIANS(F3))))</f>
        <v>-14.790268573055313</v>
      </c>
      <c r="G15" s="27">
        <f>DEGREES(ATAN(TAN(RADIANS(G9))*COS(RADIANS(G3))))</f>
        <v>5.7918514570918017E-16</v>
      </c>
      <c r="H15" s="27">
        <f>DEGREES(ATAN(TAN(RADIANS(H9))*COS(RADIANS(H3))))</f>
        <v>14.790268573055313</v>
      </c>
      <c r="J15" s="21" t="s">
        <v>39</v>
      </c>
      <c r="K15" s="8">
        <v>101</v>
      </c>
      <c r="L15" s="22" t="s">
        <v>21</v>
      </c>
    </row>
    <row r="16" spans="5:13" x14ac:dyDescent="0.35">
      <c r="E16" s="65">
        <v>0</v>
      </c>
      <c r="F16" s="48">
        <f>DEGREES(ATAN(TAN(RADIANS(F10))*COS(RADIANS(F4))))</f>
        <v>-14.790268573055313</v>
      </c>
      <c r="G16" s="48">
        <f t="shared" ref="G16:H16" si="0">DEGREES(ATAN(TAN(RADIANS(G10))*COS(RADIANS(G4))))</f>
        <v>0</v>
      </c>
      <c r="H16" s="48">
        <f t="shared" si="0"/>
        <v>14.790268573055313</v>
      </c>
    </row>
    <row r="17" spans="1:19" x14ac:dyDescent="0.35">
      <c r="E17" s="65">
        <v>-16.667000000000002</v>
      </c>
      <c r="F17" s="27">
        <f t="shared" ref="F17:H17" si="1">DEGREES(ATAN(TAN(RADIANS(F11))*COS(RADIANS(F5))))</f>
        <v>-14.790268573055313</v>
      </c>
      <c r="G17" s="27">
        <f t="shared" si="1"/>
        <v>5.7918514570918017E-16</v>
      </c>
      <c r="H17" s="27">
        <f t="shared" si="1"/>
        <v>14.790268573055313</v>
      </c>
      <c r="J17" s="22"/>
      <c r="K17" s="22"/>
    </row>
    <row r="18" spans="1:19" x14ac:dyDescent="0.35">
      <c r="B18" s="28"/>
      <c r="K18" s="29"/>
    </row>
    <row r="19" spans="1:19" x14ac:dyDescent="0.35">
      <c r="B19" s="28"/>
      <c r="E19" s="42" t="s">
        <v>87</v>
      </c>
      <c r="F19" s="42"/>
      <c r="G19" s="42"/>
      <c r="H19" s="42"/>
    </row>
    <row r="20" spans="1:19" x14ac:dyDescent="0.35">
      <c r="B20" s="28"/>
      <c r="F20" s="65">
        <v>-26.667000000000002</v>
      </c>
      <c r="G20" s="65">
        <v>0</v>
      </c>
      <c r="H20" s="65">
        <v>26.667000000000002</v>
      </c>
    </row>
    <row r="21" spans="1:19" x14ac:dyDescent="0.35">
      <c r="B21" s="28"/>
      <c r="E21" s="65">
        <v>16.667000000000002</v>
      </c>
      <c r="F21" s="27">
        <f>DEGREES(ATAN(TAN(RADIANS(F9))*SIN(RADIANS(F3))))</f>
        <v>9.3704895928563019</v>
      </c>
      <c r="G21" s="48">
        <f>DEGREES(ATAN(TAN(RADIANS(G9))*SIN(RADIANS(G3))))</f>
        <v>9.3704895928563001</v>
      </c>
      <c r="H21" s="27">
        <f>DEGREES(ATAN(TAN(RADIANS(H9))*SIN(RADIANS(H3))))</f>
        <v>9.3704895928563019</v>
      </c>
    </row>
    <row r="22" spans="1:19" x14ac:dyDescent="0.35">
      <c r="B22" s="28"/>
      <c r="E22" s="65">
        <v>0</v>
      </c>
      <c r="F22" s="27">
        <f>DEGREES(ATAN(TAN(RADIANS(F10))*SIN(RADIANS(F4))))</f>
        <v>1.8533785661038827E-15</v>
      </c>
      <c r="G22" s="48">
        <f t="shared" ref="F22:H23" si="2">DEGREES(ATAN(TAN(RADIANS(G10))*SIN(RADIANS(G4))))</f>
        <v>0</v>
      </c>
      <c r="H22" s="27">
        <f>DEGREES(ATAN(TAN(RADIANS(H10))*SIN(RADIANS(H4))))</f>
        <v>0</v>
      </c>
    </row>
    <row r="23" spans="1:19" x14ac:dyDescent="0.35">
      <c r="B23" s="28"/>
      <c r="E23" s="65">
        <v>-16.667000000000002</v>
      </c>
      <c r="F23" s="27">
        <f t="shared" si="2"/>
        <v>-9.3704895928563019</v>
      </c>
      <c r="G23" s="48">
        <f t="shared" si="2"/>
        <v>-9.3704895928563001</v>
      </c>
      <c r="H23" s="27">
        <f t="shared" si="2"/>
        <v>-9.3704895928563019</v>
      </c>
    </row>
    <row r="24" spans="1:19" x14ac:dyDescent="0.35">
      <c r="K24" s="29"/>
      <c r="O24" s="1" t="s">
        <v>40</v>
      </c>
      <c r="P24" s="1"/>
      <c r="Q24" s="1"/>
      <c r="R24" s="1"/>
      <c r="S24" s="1"/>
    </row>
    <row r="25" spans="1:19" ht="17" customHeight="1" x14ac:dyDescent="0.35">
      <c r="A25" s="51" t="s">
        <v>41</v>
      </c>
      <c r="B25" s="50"/>
      <c r="C25" s="50"/>
      <c r="D25" s="50"/>
      <c r="E25" s="50"/>
      <c r="F25" s="50"/>
      <c r="G25" s="50"/>
      <c r="H25" s="50"/>
      <c r="I25" s="50"/>
      <c r="J25" s="54"/>
      <c r="K25" s="50"/>
      <c r="L25" s="55"/>
      <c r="M25" s="50"/>
      <c r="O25" s="73" t="s">
        <v>42</v>
      </c>
      <c r="P25" s="73" t="s">
        <v>43</v>
      </c>
      <c r="Q25" s="73" t="s">
        <v>3</v>
      </c>
      <c r="R25" s="73" t="s">
        <v>44</v>
      </c>
      <c r="S25" s="73" t="s">
        <v>45</v>
      </c>
    </row>
    <row r="26" spans="1:19" ht="17" customHeight="1" x14ac:dyDescent="0.35">
      <c r="A26" s="36" t="s">
        <v>46</v>
      </c>
      <c r="B26" s="36" t="s">
        <v>17</v>
      </c>
      <c r="C26" s="36" t="s">
        <v>18</v>
      </c>
      <c r="E26" s="42" t="s">
        <v>95</v>
      </c>
      <c r="F26" s="42"/>
      <c r="G26" s="42"/>
      <c r="H26" s="42"/>
      <c r="O26" s="14" t="s">
        <v>47</v>
      </c>
      <c r="P26" s="15">
        <v>92.99</v>
      </c>
      <c r="Q26" s="3" t="s">
        <v>48</v>
      </c>
      <c r="R26" s="3">
        <v>650</v>
      </c>
      <c r="S26" s="3">
        <v>40</v>
      </c>
    </row>
    <row r="27" spans="1:19" ht="17" customHeight="1" x14ac:dyDescent="0.35">
      <c r="A27" s="21" t="s">
        <v>49</v>
      </c>
      <c r="B27" s="26">
        <v>6.7912999999999997E-6</v>
      </c>
      <c r="C27" s="22" t="s">
        <v>37</v>
      </c>
      <c r="F27" s="65">
        <v>-26.667000000000002</v>
      </c>
      <c r="G27" s="65">
        <v>0</v>
      </c>
      <c r="H27" s="65">
        <v>26.667000000000002</v>
      </c>
      <c r="O27" s="16" t="s">
        <v>50</v>
      </c>
      <c r="P27" s="17">
        <v>636.11</v>
      </c>
      <c r="Q27" s="3" t="s">
        <v>48</v>
      </c>
      <c r="R27" s="3">
        <v>550</v>
      </c>
      <c r="S27" s="3">
        <v>40</v>
      </c>
    </row>
    <row r="28" spans="1:19" ht="17" customHeight="1" x14ac:dyDescent="0.35">
      <c r="A28" s="21" t="s">
        <v>51</v>
      </c>
      <c r="B28" s="26">
        <v>2.7869999999999999E-5</v>
      </c>
      <c r="C28" s="22" t="s">
        <v>37</v>
      </c>
      <c r="E28" s="65">
        <v>16.667000000000002</v>
      </c>
      <c r="F28" s="29">
        <f>B33</f>
        <v>2.4152000000000002E-6</v>
      </c>
      <c r="G28" s="29">
        <f>B34</f>
        <v>2.3445999999999999E-5</v>
      </c>
      <c r="H28" s="29">
        <f>B35</f>
        <v>2.0006E-6</v>
      </c>
      <c r="O28" s="18" t="s">
        <v>52</v>
      </c>
      <c r="P28" s="19">
        <v>33.29</v>
      </c>
      <c r="Q28" s="3" t="s">
        <v>48</v>
      </c>
      <c r="R28" s="3">
        <v>450</v>
      </c>
      <c r="S28" s="3">
        <v>40</v>
      </c>
    </row>
    <row r="29" spans="1:19" ht="17" customHeight="1" x14ac:dyDescent="0.35">
      <c r="A29" s="21" t="s">
        <v>53</v>
      </c>
      <c r="B29" s="26">
        <v>3.4215000000000002E-6</v>
      </c>
      <c r="C29" s="22" t="s">
        <v>37</v>
      </c>
      <c r="E29" s="65">
        <v>0</v>
      </c>
      <c r="F29" s="29">
        <f>B30</f>
        <v>1.5172E-5</v>
      </c>
      <c r="G29" s="29">
        <f>B31</f>
        <v>9.8932999999999996E-5</v>
      </c>
      <c r="H29" s="29">
        <f>B32</f>
        <v>1.2849E-5</v>
      </c>
      <c r="J29" s="8"/>
      <c r="L29" s="8"/>
      <c r="O29" s="1"/>
      <c r="P29" s="3"/>
      <c r="Q29" s="1"/>
      <c r="R29" s="1"/>
      <c r="S29" s="1"/>
    </row>
    <row r="30" spans="1:19" ht="17" customHeight="1" x14ac:dyDescent="0.35">
      <c r="A30" s="21" t="s">
        <v>54</v>
      </c>
      <c r="B30" s="26">
        <v>1.5172E-5</v>
      </c>
      <c r="C30" s="22" t="s">
        <v>55</v>
      </c>
      <c r="E30" s="65">
        <v>-16.667000000000002</v>
      </c>
      <c r="F30" s="29">
        <f>B27</f>
        <v>6.7912999999999997E-6</v>
      </c>
      <c r="G30" s="29">
        <f>B28</f>
        <v>2.7869999999999999E-5</v>
      </c>
      <c r="H30" s="29">
        <f>B29</f>
        <v>3.4215000000000002E-6</v>
      </c>
      <c r="J30" s="67" t="s">
        <v>30</v>
      </c>
      <c r="K30" s="67" t="s">
        <v>17</v>
      </c>
      <c r="L30" s="67" t="s">
        <v>18</v>
      </c>
      <c r="M30" s="22"/>
      <c r="O30" s="1" t="s">
        <v>0</v>
      </c>
      <c r="P30" s="1"/>
      <c r="Q30" s="1"/>
      <c r="R30" s="1"/>
      <c r="S30" s="1"/>
    </row>
    <row r="31" spans="1:19" ht="17" customHeight="1" x14ac:dyDescent="0.45">
      <c r="A31" s="21" t="s">
        <v>56</v>
      </c>
      <c r="B31" s="26">
        <v>9.8932999999999996E-5</v>
      </c>
      <c r="C31" s="22" t="s">
        <v>55</v>
      </c>
      <c r="J31" s="30" t="s">
        <v>88</v>
      </c>
      <c r="K31" s="5">
        <f>AVERAGE(F34:H36)</f>
        <v>3.369082656296986E-4</v>
      </c>
      <c r="N31" s="31"/>
      <c r="O31" s="73" t="s">
        <v>1</v>
      </c>
      <c r="P31" s="73" t="s">
        <v>2</v>
      </c>
      <c r="Q31" s="73" t="s">
        <v>3</v>
      </c>
      <c r="R31" s="73" t="s">
        <v>4</v>
      </c>
    </row>
    <row r="32" spans="1:19" ht="17" customHeight="1" x14ac:dyDescent="0.35">
      <c r="A32" s="21" t="s">
        <v>57</v>
      </c>
      <c r="B32" s="26">
        <v>1.2849E-5</v>
      </c>
      <c r="C32" s="22" t="s">
        <v>55</v>
      </c>
      <c r="E32" s="42" t="s">
        <v>58</v>
      </c>
      <c r="F32" s="42"/>
      <c r="G32" s="42"/>
      <c r="H32" s="42"/>
      <c r="J32" s="21" t="s">
        <v>59</v>
      </c>
      <c r="K32" s="32">
        <f>2*(SIN(RADIANS($K$5/2))*ATAN(TAN(RADIANS($K$6/2))*COS(RADIANS($K$5/2)))+SIN(RADIANS($K$6/2))*ATAN(TAN(RADIANS($K$5/2))*COS(RADIANS($K$6/2))))</f>
        <v>0.16963926758832579</v>
      </c>
      <c r="L32" s="22" t="s">
        <v>60</v>
      </c>
      <c r="O32" s="2" t="s">
        <v>5</v>
      </c>
      <c r="P32" s="1">
        <v>4.5</v>
      </c>
      <c r="Q32" s="3" t="s">
        <v>6</v>
      </c>
      <c r="R32" s="1" t="s">
        <v>94</v>
      </c>
    </row>
    <row r="33" spans="1:18" ht="17" customHeight="1" x14ac:dyDescent="0.35">
      <c r="A33" s="21" t="s">
        <v>61</v>
      </c>
      <c r="B33" s="26">
        <v>2.4152000000000002E-6</v>
      </c>
      <c r="C33" s="22" t="s">
        <v>55</v>
      </c>
      <c r="F33" s="66">
        <f>$F$16</f>
        <v>-14.790268573055313</v>
      </c>
      <c r="G33" s="66">
        <f>$G$16</f>
        <v>0</v>
      </c>
      <c r="H33" s="66">
        <f>$H$16</f>
        <v>14.790268573055313</v>
      </c>
      <c r="J33" s="21" t="s">
        <v>62</v>
      </c>
      <c r="K33" s="70">
        <f>K31/($K$12*K32)</f>
        <v>632.17221585285711</v>
      </c>
      <c r="L33" s="55" t="s">
        <v>63</v>
      </c>
      <c r="N33" s="23"/>
      <c r="O33" s="2" t="s">
        <v>7</v>
      </c>
      <c r="P33" s="1">
        <v>0.01</v>
      </c>
      <c r="Q33" s="3"/>
      <c r="R33" s="1" t="s">
        <v>92</v>
      </c>
    </row>
    <row r="34" spans="1:18" ht="17" customHeight="1" x14ac:dyDescent="0.35">
      <c r="A34" s="21" t="s">
        <v>64</v>
      </c>
      <c r="B34" s="26">
        <v>2.3445999999999999E-5</v>
      </c>
      <c r="C34" s="22" t="s">
        <v>55</v>
      </c>
      <c r="E34" s="66">
        <f>$G$21</f>
        <v>9.3704895928563001</v>
      </c>
      <c r="F34" s="29">
        <f t="shared" ref="F34:H36" si="3">F28*$K$13/$K$14</f>
        <v>3.7964545042523035E-5</v>
      </c>
      <c r="G34" s="29">
        <f t="shared" si="3"/>
        <v>3.685478316772917E-4</v>
      </c>
      <c r="H34" s="29">
        <f t="shared" si="3"/>
        <v>3.1447444854286009E-5</v>
      </c>
      <c r="J34" s="21" t="s">
        <v>65</v>
      </c>
      <c r="K34" s="23">
        <f>K33*$K$7</f>
        <v>632.17221585285711</v>
      </c>
      <c r="L34" s="22" t="s">
        <v>66</v>
      </c>
      <c r="O34" s="2" t="s">
        <v>8</v>
      </c>
      <c r="P34" s="1">
        <v>0.2</v>
      </c>
      <c r="Q34" s="3"/>
      <c r="R34" s="1" t="s">
        <v>92</v>
      </c>
    </row>
    <row r="35" spans="1:18" ht="17" customHeight="1" x14ac:dyDescent="0.35">
      <c r="A35" s="21" t="s">
        <v>67</v>
      </c>
      <c r="B35" s="26">
        <v>2.0006E-6</v>
      </c>
      <c r="C35" s="22" t="s">
        <v>55</v>
      </c>
      <c r="E35" s="66">
        <f>$G$22</f>
        <v>0</v>
      </c>
      <c r="F35" s="29">
        <f t="shared" si="3"/>
        <v>2.3848877003360358E-4</v>
      </c>
      <c r="G35" s="29">
        <f t="shared" si="3"/>
        <v>1.5551284923368378E-3</v>
      </c>
      <c r="H35" s="29">
        <f t="shared" si="3"/>
        <v>2.0197351741113711E-4</v>
      </c>
      <c r="J35" s="21" t="s">
        <v>68</v>
      </c>
      <c r="K35" s="33">
        <f>MAX(F34:H36)/MIN(F34:H36)</f>
        <v>49.451664500649805</v>
      </c>
      <c r="L35" s="8"/>
      <c r="O35" s="2" t="s">
        <v>9</v>
      </c>
      <c r="P35" s="1">
        <v>0.9</v>
      </c>
      <c r="Q35" s="3"/>
      <c r="R35" s="1" t="s">
        <v>92</v>
      </c>
    </row>
    <row r="36" spans="1:18" ht="17" customHeight="1" x14ac:dyDescent="0.35">
      <c r="A36" s="34" t="s">
        <v>69</v>
      </c>
      <c r="B36" s="35">
        <f>AVERAGE(B27:B35)</f>
        <v>2.1433177777777779E-5</v>
      </c>
      <c r="C36" s="36" t="s">
        <v>55</v>
      </c>
      <c r="E36" s="66">
        <f>$G$23</f>
        <v>-9.3704895928563001</v>
      </c>
      <c r="F36" s="29">
        <f t="shared" si="3"/>
        <v>1.0675249037234457E-4</v>
      </c>
      <c r="G36" s="29">
        <f t="shared" si="3"/>
        <v>4.3808871742924676E-4</v>
      </c>
      <c r="H36" s="29">
        <f t="shared" si="3"/>
        <v>5.378258151001679E-5</v>
      </c>
      <c r="J36" s="21" t="s">
        <v>70</v>
      </c>
      <c r="K36" s="37">
        <f>(K35-1)/(K35+1)</f>
        <v>0.96035809680819861</v>
      </c>
      <c r="L36" s="8"/>
      <c r="O36" s="4" t="s">
        <v>10</v>
      </c>
      <c r="P36" s="5">
        <f>K31</f>
        <v>3.369082656296986E-4</v>
      </c>
      <c r="Q36" s="3"/>
      <c r="R36" s="1" t="s">
        <v>96</v>
      </c>
    </row>
    <row r="37" spans="1:18" ht="17" customHeight="1" x14ac:dyDescent="0.35">
      <c r="J37" s="38"/>
      <c r="K37" s="39"/>
      <c r="L37" s="38"/>
      <c r="M37" s="38"/>
      <c r="O37" s="6" t="s">
        <v>11</v>
      </c>
      <c r="P37" s="7">
        <f>K44</f>
        <v>1.4212339930522188E-4</v>
      </c>
      <c r="R37" s="8" t="s">
        <v>97</v>
      </c>
    </row>
    <row r="38" spans="1:18" ht="17" customHeight="1" x14ac:dyDescent="0.35">
      <c r="A38" s="63" t="s">
        <v>71</v>
      </c>
      <c r="B38" s="56"/>
      <c r="C38" s="56"/>
      <c r="D38" s="56"/>
      <c r="E38" s="56"/>
      <c r="F38" s="56"/>
      <c r="G38" s="56"/>
      <c r="H38" s="56"/>
      <c r="I38" s="56"/>
      <c r="J38" s="57"/>
      <c r="K38" s="58"/>
      <c r="L38" s="59"/>
      <c r="M38" s="56"/>
      <c r="O38" s="9" t="s">
        <v>11</v>
      </c>
      <c r="P38" s="10">
        <f>K57</f>
        <v>7.9573105155190699E-5</v>
      </c>
      <c r="R38" s="8" t="s">
        <v>98</v>
      </c>
    </row>
    <row r="39" spans="1:18" ht="17" customHeight="1" x14ac:dyDescent="0.35">
      <c r="A39" s="36" t="s">
        <v>46</v>
      </c>
      <c r="B39" s="36" t="s">
        <v>17</v>
      </c>
      <c r="C39" s="36" t="s">
        <v>18</v>
      </c>
      <c r="E39" s="42" t="s">
        <v>95</v>
      </c>
      <c r="F39" s="42"/>
      <c r="G39" s="42"/>
      <c r="H39" s="42"/>
      <c r="K39" s="29"/>
      <c r="O39" s="2" t="s">
        <v>12</v>
      </c>
      <c r="P39" s="11">
        <f>K12</f>
        <v>3.1415926535897929E-6</v>
      </c>
      <c r="Q39" s="3" t="str">
        <f>L12</f>
        <v>m^2</v>
      </c>
      <c r="R39" s="1"/>
    </row>
    <row r="40" spans="1:18" ht="17" customHeight="1" x14ac:dyDescent="0.35">
      <c r="A40" s="21" t="s">
        <v>49</v>
      </c>
      <c r="B40" s="26">
        <v>1.5506999999999999E-5</v>
      </c>
      <c r="C40" s="22" t="s">
        <v>37</v>
      </c>
      <c r="F40" s="65">
        <v>-26.667000000000002</v>
      </c>
      <c r="G40" s="65">
        <v>0</v>
      </c>
      <c r="H40" s="65">
        <v>26.667000000000002</v>
      </c>
      <c r="K40" s="29"/>
      <c r="O40" s="2" t="s">
        <v>13</v>
      </c>
      <c r="P40" s="12">
        <f>K45</f>
        <v>0.16963926758832579</v>
      </c>
      <c r="Q40" s="3" t="str">
        <f>L45</f>
        <v>sr</v>
      </c>
      <c r="R40" s="1"/>
    </row>
    <row r="41" spans="1:18" ht="17" customHeight="1" x14ac:dyDescent="0.35">
      <c r="A41" s="21" t="s">
        <v>51</v>
      </c>
      <c r="B41" s="26">
        <v>7.9541000000000006E-6</v>
      </c>
      <c r="C41" s="22" t="s">
        <v>37</v>
      </c>
      <c r="E41" s="65">
        <v>16.667000000000002</v>
      </c>
      <c r="F41" s="29">
        <f>B46</f>
        <v>6.1345000000000003E-6</v>
      </c>
      <c r="G41" s="29">
        <f>B47</f>
        <v>8.8784999999999998E-6</v>
      </c>
      <c r="H41" s="29">
        <f>B48</f>
        <v>8.8338E-6</v>
      </c>
      <c r="O41" s="1" t="s">
        <v>14</v>
      </c>
      <c r="P41" s="13">
        <f>(P32*P33*P34*P35)*(P26*P36+P27*P37+P28*P38)/(P39*P40)</f>
        <v>1890.4882745167633</v>
      </c>
      <c r="Q41" s="3" t="s">
        <v>15</v>
      </c>
      <c r="R41" s="1"/>
    </row>
    <row r="42" spans="1:18" ht="17" customHeight="1" x14ac:dyDescent="0.35">
      <c r="A42" s="21" t="s">
        <v>53</v>
      </c>
      <c r="B42" s="26">
        <v>4.0426000000000001E-6</v>
      </c>
      <c r="C42" s="22" t="s">
        <v>37</v>
      </c>
      <c r="E42" s="65">
        <v>0</v>
      </c>
      <c r="F42" s="29">
        <f>B43</f>
        <v>1.0479000000000001E-5</v>
      </c>
      <c r="G42" s="29">
        <f>B44</f>
        <v>4.0419999999999996E-6</v>
      </c>
      <c r="H42" s="29">
        <f>B45</f>
        <v>1.5502000000000002E-5</v>
      </c>
      <c r="J42" s="8"/>
      <c r="L42" s="8"/>
    </row>
    <row r="43" spans="1:18" ht="17" customHeight="1" x14ac:dyDescent="0.35">
      <c r="A43" s="21" t="s">
        <v>54</v>
      </c>
      <c r="B43" s="26">
        <v>1.0479000000000001E-5</v>
      </c>
      <c r="C43" s="22" t="s">
        <v>55</v>
      </c>
      <c r="E43" s="65">
        <v>-16.667000000000002</v>
      </c>
      <c r="F43" s="29">
        <f>B40</f>
        <v>1.5506999999999999E-5</v>
      </c>
      <c r="G43" s="29">
        <f>B41</f>
        <v>7.9541000000000006E-6</v>
      </c>
      <c r="H43" s="29">
        <f>B42</f>
        <v>4.0426000000000001E-6</v>
      </c>
      <c r="J43" s="67" t="s">
        <v>30</v>
      </c>
      <c r="K43" s="67" t="s">
        <v>17</v>
      </c>
      <c r="L43" s="67" t="s">
        <v>18</v>
      </c>
      <c r="M43" s="22"/>
      <c r="Q43" s="22"/>
      <c r="R43" s="1"/>
    </row>
    <row r="44" spans="1:18" ht="17" customHeight="1" x14ac:dyDescent="0.45">
      <c r="A44" s="21" t="s">
        <v>56</v>
      </c>
      <c r="B44" s="26">
        <v>4.0419999999999996E-6</v>
      </c>
      <c r="C44" s="22" t="s">
        <v>55</v>
      </c>
      <c r="J44" s="40" t="s">
        <v>89</v>
      </c>
      <c r="K44" s="41">
        <f>AVERAGE(F47:H49)</f>
        <v>1.4212339930522188E-4</v>
      </c>
    </row>
    <row r="45" spans="1:18" ht="17" customHeight="1" x14ac:dyDescent="0.35">
      <c r="A45" s="21" t="s">
        <v>57</v>
      </c>
      <c r="B45" s="26">
        <v>1.5502000000000002E-5</v>
      </c>
      <c r="C45" s="22" t="s">
        <v>55</v>
      </c>
      <c r="E45" s="42" t="s">
        <v>58</v>
      </c>
      <c r="F45" s="42"/>
      <c r="G45" s="42"/>
      <c r="H45" s="42"/>
      <c r="J45" s="21" t="s">
        <v>59</v>
      </c>
      <c r="K45" s="32">
        <f>2*(SIN(RADIANS($K$5/2))*ATAN(TAN(RADIANS($K$6/2))*COS(RADIANS($K$5/2)))+SIN(RADIANS($K$6/2))*ATAN(TAN(RADIANS($K$5/2))*COS(RADIANS($K$6/2))))</f>
        <v>0.16963926758832579</v>
      </c>
      <c r="L45" s="22" t="s">
        <v>60</v>
      </c>
      <c r="P45" s="27"/>
      <c r="Q45" s="22"/>
    </row>
    <row r="46" spans="1:18" ht="17" customHeight="1" x14ac:dyDescent="0.35">
      <c r="A46" s="21" t="s">
        <v>61</v>
      </c>
      <c r="B46" s="26">
        <v>6.1345000000000003E-6</v>
      </c>
      <c r="C46" s="22" t="s">
        <v>55</v>
      </c>
      <c r="F46" s="66">
        <f>$F$16</f>
        <v>-14.790268573055313</v>
      </c>
      <c r="G46" s="66">
        <f>$G$16</f>
        <v>0</v>
      </c>
      <c r="H46" s="66">
        <f>$H$16</f>
        <v>14.790268573055313</v>
      </c>
      <c r="J46" s="21" t="s">
        <v>62</v>
      </c>
      <c r="K46" s="69">
        <f>K44/($K$12*K45)</f>
        <v>266.67931134130816</v>
      </c>
      <c r="L46" s="59" t="s">
        <v>63</v>
      </c>
      <c r="Q46" s="22"/>
    </row>
    <row r="47" spans="1:18" ht="17" customHeight="1" x14ac:dyDescent="0.35">
      <c r="A47" s="21" t="s">
        <v>64</v>
      </c>
      <c r="B47" s="26">
        <v>8.8784999999999998E-6</v>
      </c>
      <c r="C47" s="22" t="s">
        <v>55</v>
      </c>
      <c r="E47" s="66">
        <f>$G$21</f>
        <v>9.3704895928563001</v>
      </c>
      <c r="F47" s="29">
        <f t="shared" ref="F47:H49" si="4">F41*$K$13/$K$14</f>
        <v>9.6428246755282188E-5</v>
      </c>
      <c r="G47" s="29">
        <f t="shared" si="4"/>
        <v>1.3956120120902645E-4</v>
      </c>
      <c r="H47" s="29">
        <f t="shared" si="4"/>
        <v>1.3885856160841334E-4</v>
      </c>
      <c r="J47" s="21" t="s">
        <v>65</v>
      </c>
      <c r="K47" s="23">
        <f>K46*$K$7</f>
        <v>266.67931134130816</v>
      </c>
      <c r="L47" s="22" t="s">
        <v>66</v>
      </c>
      <c r="Q47" s="22"/>
    </row>
    <row r="48" spans="1:18" ht="17" customHeight="1" x14ac:dyDescent="0.35">
      <c r="A48" s="21" t="s">
        <v>67</v>
      </c>
      <c r="B48" s="26">
        <v>8.8338E-6</v>
      </c>
      <c r="C48" s="22" t="s">
        <v>55</v>
      </c>
      <c r="E48" s="66">
        <f>$G$22</f>
        <v>0</v>
      </c>
      <c r="F48" s="29">
        <f t="shared" si="4"/>
        <v>1.647194714725898E-4</v>
      </c>
      <c r="G48" s="29">
        <f t="shared" si="4"/>
        <v>6.3536225182957129E-5</v>
      </c>
      <c r="H48" s="29">
        <f t="shared" si="4"/>
        <v>2.4367604225289502E-4</v>
      </c>
      <c r="J48" s="21" t="s">
        <v>68</v>
      </c>
      <c r="K48" s="33">
        <f>MAX(F47:H49)/MIN(F47:H49)</f>
        <v>3.8364670954972797</v>
      </c>
      <c r="L48" s="8"/>
    </row>
    <row r="49" spans="1:17" ht="17" customHeight="1" x14ac:dyDescent="0.35">
      <c r="A49" s="34" t="s">
        <v>69</v>
      </c>
      <c r="B49" s="35">
        <f>AVERAGE(B40:B48)</f>
        <v>9.0414999999999997E-6</v>
      </c>
      <c r="C49" s="36" t="s">
        <v>55</v>
      </c>
      <c r="E49" s="66">
        <f>$G$23</f>
        <v>-9.3704895928563001</v>
      </c>
      <c r="F49" s="29">
        <f t="shared" si="4"/>
        <v>2.4375463728652064E-4</v>
      </c>
      <c r="G49" s="29">
        <f t="shared" si="4"/>
        <v>1.2503055139232049E-4</v>
      </c>
      <c r="H49" s="29">
        <f t="shared" si="4"/>
        <v>6.3545656586992216E-5</v>
      </c>
      <c r="J49" s="21" t="s">
        <v>70</v>
      </c>
      <c r="K49" s="37">
        <f>(K48-1)/(K48+1)</f>
        <v>0.58647501150954018</v>
      </c>
      <c r="L49" s="8"/>
    </row>
    <row r="50" spans="1:17" ht="17" customHeight="1" x14ac:dyDescent="0.35">
      <c r="Q50" s="22"/>
    </row>
    <row r="51" spans="1:17" ht="17" customHeight="1" x14ac:dyDescent="0.35">
      <c r="A51" s="64" t="s">
        <v>77</v>
      </c>
      <c r="B51" s="60"/>
      <c r="C51" s="60"/>
      <c r="D51" s="60"/>
      <c r="E51" s="60"/>
      <c r="F51" s="60"/>
      <c r="G51" s="60"/>
      <c r="H51" s="60"/>
      <c r="I51" s="60"/>
      <c r="J51" s="61"/>
      <c r="K51" s="60"/>
      <c r="L51" s="62"/>
      <c r="M51" s="60"/>
      <c r="Q51" s="22"/>
    </row>
    <row r="52" spans="1:17" ht="17" customHeight="1" x14ac:dyDescent="0.35">
      <c r="A52" s="36" t="s">
        <v>46</v>
      </c>
      <c r="B52" s="36" t="s">
        <v>17</v>
      </c>
      <c r="C52" s="36" t="s">
        <v>18</v>
      </c>
      <c r="E52" s="42" t="s">
        <v>95</v>
      </c>
      <c r="F52" s="42"/>
      <c r="G52" s="42"/>
      <c r="H52" s="42"/>
      <c r="J52" s="43"/>
      <c r="Q52" s="22"/>
    </row>
    <row r="53" spans="1:17" ht="17" customHeight="1" x14ac:dyDescent="0.35">
      <c r="A53" s="21" t="s">
        <v>49</v>
      </c>
      <c r="B53" s="26">
        <v>0</v>
      </c>
      <c r="C53" s="22" t="s">
        <v>37</v>
      </c>
      <c r="F53" s="65">
        <v>-26.667000000000002</v>
      </c>
      <c r="G53" s="65">
        <v>0</v>
      </c>
      <c r="H53" s="65">
        <v>26.667000000000002</v>
      </c>
    </row>
    <row r="54" spans="1:17" ht="17" customHeight="1" x14ac:dyDescent="0.35">
      <c r="A54" s="21" t="s">
        <v>51</v>
      </c>
      <c r="B54" s="26">
        <v>0</v>
      </c>
      <c r="C54" s="22" t="s">
        <v>37</v>
      </c>
      <c r="E54" s="65">
        <v>16.667000000000002</v>
      </c>
      <c r="F54" s="29">
        <f>B59</f>
        <v>0</v>
      </c>
      <c r="G54" s="29">
        <f>B60</f>
        <v>8.9113000000000006E-6</v>
      </c>
      <c r="H54" s="29">
        <f>B61</f>
        <v>6.7625000000000001E-6</v>
      </c>
      <c r="Q54" s="20"/>
    </row>
    <row r="55" spans="1:17" ht="17" customHeight="1" x14ac:dyDescent="0.35">
      <c r="A55" s="21" t="s">
        <v>53</v>
      </c>
      <c r="B55" s="26">
        <v>0</v>
      </c>
      <c r="C55" s="22" t="s">
        <v>37</v>
      </c>
      <c r="E55" s="65">
        <v>0</v>
      </c>
      <c r="F55" s="29">
        <f>B56</f>
        <v>0</v>
      </c>
      <c r="G55" s="29">
        <f>B57</f>
        <v>2.2518999999999999E-5</v>
      </c>
      <c r="H55" s="29">
        <f>B58</f>
        <v>7.3672000000000004E-6</v>
      </c>
      <c r="J55" s="8"/>
      <c r="L55" s="8"/>
      <c r="Q55" s="20"/>
    </row>
    <row r="56" spans="1:17" ht="17" customHeight="1" x14ac:dyDescent="0.35">
      <c r="A56" s="21" t="s">
        <v>54</v>
      </c>
      <c r="B56" s="26">
        <v>0</v>
      </c>
      <c r="C56" s="22" t="s">
        <v>55</v>
      </c>
      <c r="E56" s="65">
        <v>-16.667000000000002</v>
      </c>
      <c r="F56" s="29">
        <f>B53</f>
        <v>0</v>
      </c>
      <c r="G56" s="29">
        <f>B54</f>
        <v>0</v>
      </c>
      <c r="H56" s="29">
        <f>B55</f>
        <v>0</v>
      </c>
      <c r="J56" s="67" t="s">
        <v>91</v>
      </c>
      <c r="K56" s="67" t="s">
        <v>17</v>
      </c>
      <c r="L56" s="67" t="s">
        <v>18</v>
      </c>
      <c r="M56" s="22"/>
      <c r="Q56" s="20"/>
    </row>
    <row r="57" spans="1:17" ht="17" customHeight="1" x14ac:dyDescent="0.45">
      <c r="A57" s="21" t="s">
        <v>56</v>
      </c>
      <c r="B57" s="26">
        <v>2.2518999999999999E-5</v>
      </c>
      <c r="C57" s="22" t="s">
        <v>55</v>
      </c>
      <c r="J57" s="44" t="s">
        <v>90</v>
      </c>
      <c r="K57" s="10">
        <f>AVERAGE(F60:H62)</f>
        <v>7.9573105155190699E-5</v>
      </c>
      <c r="Q57" s="20"/>
    </row>
    <row r="58" spans="1:17" ht="17" customHeight="1" x14ac:dyDescent="0.35">
      <c r="A58" s="21" t="s">
        <v>57</v>
      </c>
      <c r="B58" s="26">
        <v>7.3672000000000004E-6</v>
      </c>
      <c r="C58" s="22" t="s">
        <v>55</v>
      </c>
      <c r="E58" s="42" t="s">
        <v>58</v>
      </c>
      <c r="F58" s="42"/>
      <c r="G58" s="42"/>
      <c r="H58" s="42"/>
      <c r="J58" s="21" t="s">
        <v>59</v>
      </c>
      <c r="K58" s="32">
        <f>2*(SIN(RADIANS($K$5/2))*ATAN(TAN(RADIANS($K$6/2))*COS(RADIANS($K$5/2)))+SIN(RADIANS($K$6/2))*ATAN(TAN(RADIANS($K$5/2))*COS(RADIANS($K$6/2))))</f>
        <v>0.16963926758832579</v>
      </c>
      <c r="L58" s="22" t="s">
        <v>60</v>
      </c>
      <c r="N58" s="1"/>
      <c r="Q58" s="20"/>
    </row>
    <row r="59" spans="1:17" ht="17" customHeight="1" x14ac:dyDescent="0.35">
      <c r="A59" s="21" t="s">
        <v>61</v>
      </c>
      <c r="B59" s="26">
        <v>0</v>
      </c>
      <c r="C59" s="22" t="s">
        <v>55</v>
      </c>
      <c r="F59" s="66">
        <f>$F$16</f>
        <v>-14.790268573055313</v>
      </c>
      <c r="G59" s="66">
        <f>$G$16</f>
        <v>0</v>
      </c>
      <c r="H59" s="66">
        <f>$H$16</f>
        <v>14.790268573055313</v>
      </c>
      <c r="J59" s="21" t="s">
        <v>62</v>
      </c>
      <c r="K59" s="68">
        <f>K57/($K$12*K58)</f>
        <v>149.31039496531429</v>
      </c>
      <c r="L59" s="62" t="s">
        <v>63</v>
      </c>
      <c r="N59" s="1"/>
      <c r="Q59" s="20"/>
    </row>
    <row r="60" spans="1:17" ht="17" customHeight="1" x14ac:dyDescent="0.35">
      <c r="A60" s="21" t="s">
        <v>64</v>
      </c>
      <c r="B60" s="26">
        <v>8.9113000000000006E-6</v>
      </c>
      <c r="C60" s="22" t="s">
        <v>55</v>
      </c>
      <c r="E60" s="66">
        <f>$G$21</f>
        <v>9.3704895928563001</v>
      </c>
      <c r="F60" s="29">
        <f>F54*$K$13/$K$14</f>
        <v>0</v>
      </c>
      <c r="G60" s="29">
        <f>G54*$K$13/$K$14</f>
        <v>1.4007678462961057E-4</v>
      </c>
      <c r="H60" s="29">
        <f>H54*$K$13/$K$14</f>
        <v>1.0629978297866097E-4</v>
      </c>
      <c r="J60" s="21" t="s">
        <v>65</v>
      </c>
      <c r="K60" s="23">
        <f>K59*$K$7</f>
        <v>149.31039496531429</v>
      </c>
      <c r="L60" s="22" t="s">
        <v>66</v>
      </c>
      <c r="N60" s="1"/>
    </row>
    <row r="61" spans="1:17" ht="17" customHeight="1" x14ac:dyDescent="0.35">
      <c r="A61" s="21" t="s">
        <v>67</v>
      </c>
      <c r="B61" s="26">
        <v>6.7625000000000001E-6</v>
      </c>
      <c r="C61" s="22" t="s">
        <v>55</v>
      </c>
      <c r="E61" s="66">
        <f>$G$22</f>
        <v>0</v>
      </c>
      <c r="F61" s="29">
        <f t="shared" ref="F61:H61" si="5">F55*$K$13/$K$14</f>
        <v>0</v>
      </c>
      <c r="G61" s="29">
        <f t="shared" si="5"/>
        <v>3.539763124431004E-4</v>
      </c>
      <c r="H61" s="29">
        <f t="shared" si="5"/>
        <v>1.1580506634534435E-4</v>
      </c>
      <c r="J61" s="21" t="s">
        <v>68</v>
      </c>
      <c r="K61" s="8" t="e">
        <f>MAX(F60:H62)/MIN(F60:H62)</f>
        <v>#DIV/0!</v>
      </c>
      <c r="L61" s="8"/>
      <c r="N61" s="1"/>
    </row>
    <row r="62" spans="1:17" ht="17" customHeight="1" x14ac:dyDescent="0.35">
      <c r="A62" s="34" t="s">
        <v>69</v>
      </c>
      <c r="B62" s="35">
        <f>AVERAGE(B53:B61)</f>
        <v>5.0622222222222216E-6</v>
      </c>
      <c r="C62" s="36" t="s">
        <v>55</v>
      </c>
      <c r="E62" s="66">
        <f>$G$23</f>
        <v>-9.3704895928563001</v>
      </c>
      <c r="F62" s="29">
        <f>F56*$K$13/$K$14</f>
        <v>0</v>
      </c>
      <c r="G62" s="29">
        <f>G56*$K$13/$K$14</f>
        <v>0</v>
      </c>
      <c r="H62" s="29">
        <f>H56*$K$13/$K$14</f>
        <v>0</v>
      </c>
      <c r="J62" s="21" t="s">
        <v>70</v>
      </c>
      <c r="K62" s="37">
        <v>1</v>
      </c>
      <c r="L62" s="8"/>
      <c r="N62" s="38"/>
    </row>
    <row r="63" spans="1:17" ht="17" customHeight="1" x14ac:dyDescent="0.35">
      <c r="N63" s="38"/>
    </row>
    <row r="64" spans="1:17" ht="17" customHeight="1" x14ac:dyDescent="0.35"/>
    <row r="65" ht="17" customHeight="1" x14ac:dyDescent="0.35"/>
    <row r="66" ht="17" customHeight="1" x14ac:dyDescent="0.3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BA73-38BA-4843-9594-17F8386333DA}">
  <dimension ref="A1:S66"/>
  <sheetViews>
    <sheetView topLeftCell="J27" zoomScale="62" workbookViewId="0">
      <selection activeCell="P33" sqref="P33"/>
    </sheetView>
  </sheetViews>
  <sheetFormatPr defaultColWidth="12" defaultRowHeight="15.5" x14ac:dyDescent="0.35"/>
  <cols>
    <col min="1" max="1" width="57.26953125" style="8" customWidth="1"/>
    <col min="2" max="2" width="18.1796875" style="8" customWidth="1"/>
    <col min="3" max="3" width="16.54296875" style="8" customWidth="1"/>
    <col min="4" max="4" width="8.7265625" style="8" customWidth="1"/>
    <col min="5" max="5" width="12" style="8"/>
    <col min="6" max="8" width="17.6328125" style="8" customWidth="1"/>
    <col min="9" max="9" width="8.7265625" style="8" customWidth="1"/>
    <col min="10" max="10" width="53.453125" style="21" customWidth="1"/>
    <col min="11" max="11" width="15.81640625" style="8" bestFit="1" customWidth="1"/>
    <col min="12" max="12" width="15.81640625" style="22" customWidth="1"/>
    <col min="13" max="13" width="14.7265625" style="8" bestFit="1" customWidth="1"/>
    <col min="14" max="14" width="8.7265625" style="20" customWidth="1"/>
    <col min="15" max="15" width="47.453125" style="8" customWidth="1"/>
    <col min="16" max="16" width="16.54296875" style="8" customWidth="1"/>
    <col min="17" max="17" width="25.6328125" style="8" customWidth="1"/>
    <col min="18" max="18" width="34.1796875" style="8" customWidth="1"/>
    <col min="19" max="19" width="26.36328125" style="8" customWidth="1"/>
    <col min="20" max="16384" width="12" style="8"/>
  </cols>
  <sheetData>
    <row r="1" spans="5:13" x14ac:dyDescent="0.35">
      <c r="E1" s="46" t="s">
        <v>84</v>
      </c>
      <c r="F1" s="46"/>
      <c r="G1" s="46"/>
      <c r="H1" s="46"/>
      <c r="J1" s="52" t="s">
        <v>16</v>
      </c>
      <c r="K1" s="52" t="s">
        <v>17</v>
      </c>
      <c r="L1" s="52" t="s">
        <v>18</v>
      </c>
      <c r="M1" s="52" t="s">
        <v>19</v>
      </c>
    </row>
    <row r="2" spans="5:13" x14ac:dyDescent="0.35">
      <c r="F2" s="47">
        <v>-26.667000000000002</v>
      </c>
      <c r="G2" s="47">
        <v>0</v>
      </c>
      <c r="H2" s="47">
        <v>26.667000000000002</v>
      </c>
      <c r="J2" s="21" t="s">
        <v>20</v>
      </c>
      <c r="K2" s="8">
        <f>2</f>
        <v>2</v>
      </c>
      <c r="L2" s="22" t="s">
        <v>21</v>
      </c>
      <c r="M2" s="8" t="s">
        <v>93</v>
      </c>
    </row>
    <row r="3" spans="5:13" x14ac:dyDescent="0.35">
      <c r="E3" s="47">
        <v>16.667000000000002</v>
      </c>
      <c r="F3" s="23">
        <f>DEGREES(ATAN2(F2,E3))</f>
        <v>147.99442366289642</v>
      </c>
      <c r="G3" s="23">
        <f>DEGREES(ATAN2(G2,E3))</f>
        <v>90</v>
      </c>
      <c r="H3" s="23">
        <f>DEGREES(ATAN2(H2,E3))</f>
        <v>32.00557633710357</v>
      </c>
      <c r="J3" s="21" t="s">
        <v>22</v>
      </c>
      <c r="K3" s="24">
        <f>80/3</f>
        <v>26.666666666666668</v>
      </c>
      <c r="L3" s="22" t="s">
        <v>21</v>
      </c>
      <c r="M3" s="25"/>
    </row>
    <row r="4" spans="5:13" x14ac:dyDescent="0.35">
      <c r="E4" s="47">
        <v>0</v>
      </c>
      <c r="F4" s="23">
        <f>DEGREES(ATAN2(F2,E4))</f>
        <v>180</v>
      </c>
      <c r="G4" s="23">
        <v>0</v>
      </c>
      <c r="H4" s="23">
        <f>DEGREES(ATAN2(H2,E4))</f>
        <v>0</v>
      </c>
      <c r="J4" s="21" t="s">
        <v>23</v>
      </c>
      <c r="K4" s="24">
        <f>50/3</f>
        <v>16.666666666666668</v>
      </c>
      <c r="L4" s="22" t="s">
        <v>21</v>
      </c>
      <c r="M4" s="25"/>
    </row>
    <row r="5" spans="5:13" x14ac:dyDescent="0.35">
      <c r="E5" s="47">
        <v>-16.667000000000002</v>
      </c>
      <c r="F5" s="23">
        <f>DEGREES(ATAN2(F2,E5))</f>
        <v>-147.99442366289642</v>
      </c>
      <c r="G5" s="23">
        <f>DEGREES(ATAN2(G2,E5))</f>
        <v>-90</v>
      </c>
      <c r="H5" s="23">
        <f>DEGREES(ATAN2(H2,E5))</f>
        <v>-32.00557633710357</v>
      </c>
      <c r="J5" s="21" t="s">
        <v>24</v>
      </c>
      <c r="K5" s="8">
        <v>32</v>
      </c>
      <c r="L5" s="22" t="s">
        <v>25</v>
      </c>
    </row>
    <row r="6" spans="5:13" x14ac:dyDescent="0.35">
      <c r="J6" s="21" t="s">
        <v>26</v>
      </c>
      <c r="K6" s="8">
        <v>18</v>
      </c>
      <c r="L6" s="22" t="s">
        <v>25</v>
      </c>
    </row>
    <row r="7" spans="5:13" x14ac:dyDescent="0.35">
      <c r="E7" s="46" t="s">
        <v>85</v>
      </c>
      <c r="F7" s="46"/>
      <c r="G7" s="46"/>
      <c r="H7" s="46"/>
      <c r="J7" s="8" t="s">
        <v>27</v>
      </c>
      <c r="K7" s="8">
        <v>1</v>
      </c>
      <c r="L7" s="22" t="s">
        <v>28</v>
      </c>
      <c r="M7" s="49" t="s">
        <v>92</v>
      </c>
    </row>
    <row r="8" spans="5:13" x14ac:dyDescent="0.35">
      <c r="F8" s="47">
        <v>-26.667000000000002</v>
      </c>
      <c r="G8" s="47">
        <v>0</v>
      </c>
      <c r="H8" s="47">
        <v>26.667000000000002</v>
      </c>
      <c r="J8" s="8" t="s">
        <v>29</v>
      </c>
      <c r="K8" s="8">
        <v>101</v>
      </c>
      <c r="L8" s="22" t="s">
        <v>21</v>
      </c>
    </row>
    <row r="9" spans="5:13" x14ac:dyDescent="0.35">
      <c r="E9" s="47">
        <v>16.667000000000002</v>
      </c>
      <c r="F9" s="23">
        <f>DEGREES(ATAN(SQRT(F8^2+E9^2)/K$8))</f>
        <v>17.294345748796204</v>
      </c>
      <c r="G9" s="23">
        <f>DEGREES(ATAN(SQRT(G8^2+E9^2)/K$8))</f>
        <v>9.3704895928563001</v>
      </c>
      <c r="H9" s="23">
        <f>DEGREES(ATAN(SQRT(H8^2+E9^2)/K$8))</f>
        <v>17.294345748796204</v>
      </c>
    </row>
    <row r="10" spans="5:13" x14ac:dyDescent="0.35">
      <c r="E10" s="47">
        <v>0</v>
      </c>
      <c r="F10" s="23">
        <f>DEGREES(ATAN(SQRT(F8^2+E10^2)/K$8))</f>
        <v>14.790268573055313</v>
      </c>
      <c r="G10" s="23">
        <f>DEGREES(ATAN(SQRT(G8^2+E10^2)/K$8))</f>
        <v>0</v>
      </c>
      <c r="H10" s="23">
        <f>DEGREES(ATAN(SQRT(H8^2+E10^2)/K$8))</f>
        <v>14.790268573055313</v>
      </c>
      <c r="J10" s="52" t="s">
        <v>30</v>
      </c>
      <c r="K10" s="52" t="s">
        <v>2</v>
      </c>
      <c r="L10" s="52" t="s">
        <v>18</v>
      </c>
      <c r="M10" s="52" t="s">
        <v>19</v>
      </c>
    </row>
    <row r="11" spans="5:13" x14ac:dyDescent="0.35">
      <c r="E11" s="47">
        <v>-16.667000000000002</v>
      </c>
      <c r="F11" s="23">
        <f>DEGREES(ATAN(SQRT(F8^2+E11^2)/K$8))</f>
        <v>17.294345748796204</v>
      </c>
      <c r="G11" s="23">
        <f>DEGREES(ATAN(SQRT(G8^2+E11^2)/K$8))</f>
        <v>9.3704895928563001</v>
      </c>
      <c r="H11" s="23">
        <f>DEGREES(ATAN(SQRT(H8^2+E11^2)/K$8))</f>
        <v>17.294345748796204</v>
      </c>
      <c r="J11" s="21" t="s">
        <v>31</v>
      </c>
      <c r="K11" s="26">
        <f>(K3/1000)*(K4/1000)</f>
        <v>4.4444444444444447E-4</v>
      </c>
      <c r="L11" s="20" t="s">
        <v>32</v>
      </c>
    </row>
    <row r="12" spans="5:13" x14ac:dyDescent="0.35">
      <c r="J12" s="21" t="s">
        <v>33</v>
      </c>
      <c r="K12" s="26">
        <f>PI()*((K2/2)/1000)^2</f>
        <v>3.1415926535897929E-6</v>
      </c>
      <c r="L12" s="20" t="s">
        <v>32</v>
      </c>
    </row>
    <row r="13" spans="5:13" x14ac:dyDescent="0.35">
      <c r="E13" s="46" t="s">
        <v>86</v>
      </c>
      <c r="F13" s="46"/>
      <c r="G13" s="46"/>
      <c r="H13" s="46"/>
      <c r="J13" s="21" t="s">
        <v>34</v>
      </c>
      <c r="K13" s="24">
        <f>K11/K12</f>
        <v>141.47106052612921</v>
      </c>
      <c r="M13" s="25" t="s">
        <v>35</v>
      </c>
    </row>
    <row r="14" spans="5:13" x14ac:dyDescent="0.35">
      <c r="F14" s="47">
        <v>-26.667000000000002</v>
      </c>
      <c r="G14" s="47">
        <v>0</v>
      </c>
      <c r="H14" s="47">
        <v>26.667000000000002</v>
      </c>
      <c r="J14" s="21" t="s">
        <v>36</v>
      </c>
      <c r="K14" s="8">
        <v>9</v>
      </c>
      <c r="L14" s="22" t="s">
        <v>37</v>
      </c>
      <c r="M14" s="8" t="s">
        <v>38</v>
      </c>
    </row>
    <row r="15" spans="5:13" x14ac:dyDescent="0.35">
      <c r="E15" s="47">
        <v>16.667000000000002</v>
      </c>
      <c r="F15" s="27">
        <f>DEGREES(ATAN(TAN(RADIANS(F9))*COS(RADIANS(F3))))</f>
        <v>-14.790268573055313</v>
      </c>
      <c r="G15" s="27">
        <f>DEGREES(ATAN(TAN(RADIANS(G9))*COS(RADIANS(G3))))</f>
        <v>5.7918514570918017E-16</v>
      </c>
      <c r="H15" s="27">
        <f>DEGREES(ATAN(TAN(RADIANS(H9))*COS(RADIANS(H3))))</f>
        <v>14.790268573055313</v>
      </c>
      <c r="J15" s="21" t="s">
        <v>39</v>
      </c>
      <c r="K15" s="8">
        <v>101</v>
      </c>
      <c r="L15" s="22" t="s">
        <v>21</v>
      </c>
    </row>
    <row r="16" spans="5:13" x14ac:dyDescent="0.35">
      <c r="E16" s="47">
        <v>0</v>
      </c>
      <c r="F16" s="48">
        <f>DEGREES(ATAN(TAN(RADIANS(F10))*COS(RADIANS(F4))))</f>
        <v>-14.790268573055313</v>
      </c>
      <c r="G16" s="48">
        <f t="shared" ref="G16:H16" si="0">DEGREES(ATAN(TAN(RADIANS(G10))*COS(RADIANS(G4))))</f>
        <v>0</v>
      </c>
      <c r="H16" s="48">
        <f t="shared" si="0"/>
        <v>14.790268573055313</v>
      </c>
    </row>
    <row r="17" spans="1:19" x14ac:dyDescent="0.35">
      <c r="E17" s="47">
        <v>-16.667000000000002</v>
      </c>
      <c r="F17" s="27">
        <f t="shared" ref="F17:H17" si="1">DEGREES(ATAN(TAN(RADIANS(F11))*COS(RADIANS(F5))))</f>
        <v>-14.790268573055313</v>
      </c>
      <c r="G17" s="27">
        <f t="shared" si="1"/>
        <v>5.7918514570918017E-16</v>
      </c>
      <c r="H17" s="27">
        <f t="shared" si="1"/>
        <v>14.790268573055313</v>
      </c>
      <c r="J17" s="22"/>
      <c r="K17" s="22"/>
    </row>
    <row r="18" spans="1:19" x14ac:dyDescent="0.35">
      <c r="B18" s="28"/>
      <c r="K18" s="29"/>
    </row>
    <row r="19" spans="1:19" x14ac:dyDescent="0.35">
      <c r="B19" s="28"/>
      <c r="E19" s="46" t="s">
        <v>87</v>
      </c>
      <c r="F19" s="46"/>
      <c r="G19" s="46"/>
      <c r="H19" s="46"/>
    </row>
    <row r="20" spans="1:19" x14ac:dyDescent="0.35">
      <c r="B20" s="28"/>
      <c r="F20" s="47">
        <v>-26.667000000000002</v>
      </c>
      <c r="G20" s="47">
        <v>0</v>
      </c>
      <c r="H20" s="47">
        <v>26.667000000000002</v>
      </c>
    </row>
    <row r="21" spans="1:19" x14ac:dyDescent="0.35">
      <c r="B21" s="28"/>
      <c r="E21" s="47">
        <v>16.667000000000002</v>
      </c>
      <c r="F21" s="27">
        <f>DEGREES(ATAN(TAN(RADIANS(F9))*SIN(RADIANS(F3))))</f>
        <v>9.3704895928563019</v>
      </c>
      <c r="G21" s="48">
        <f>DEGREES(ATAN(TAN(RADIANS(G9))*SIN(RADIANS(G3))))</f>
        <v>9.3704895928563001</v>
      </c>
      <c r="H21" s="27">
        <f>DEGREES(ATAN(TAN(RADIANS(H9))*SIN(RADIANS(H3))))</f>
        <v>9.3704895928563019</v>
      </c>
    </row>
    <row r="22" spans="1:19" x14ac:dyDescent="0.35">
      <c r="B22" s="28"/>
      <c r="E22" s="47">
        <v>0</v>
      </c>
      <c r="F22" s="27">
        <f>DEGREES(ATAN(TAN(RADIANS(F10))*SIN(RADIANS(F4))))</f>
        <v>1.8533785661038827E-15</v>
      </c>
      <c r="G22" s="48">
        <f t="shared" ref="F22:H23" si="2">DEGREES(ATAN(TAN(RADIANS(G10))*SIN(RADIANS(G4))))</f>
        <v>0</v>
      </c>
      <c r="H22" s="27">
        <f>DEGREES(ATAN(TAN(RADIANS(H10))*SIN(RADIANS(H4))))</f>
        <v>0</v>
      </c>
    </row>
    <row r="23" spans="1:19" x14ac:dyDescent="0.35">
      <c r="B23" s="28"/>
      <c r="E23" s="47">
        <v>-16.667000000000002</v>
      </c>
      <c r="F23" s="27">
        <f t="shared" si="2"/>
        <v>-9.3704895928563019</v>
      </c>
      <c r="G23" s="48">
        <f t="shared" si="2"/>
        <v>-9.3704895928563001</v>
      </c>
      <c r="H23" s="27">
        <f t="shared" si="2"/>
        <v>-9.3704895928563019</v>
      </c>
    </row>
    <row r="24" spans="1:19" x14ac:dyDescent="0.35">
      <c r="K24" s="29"/>
      <c r="O24" s="1" t="s">
        <v>40</v>
      </c>
      <c r="P24" s="1"/>
      <c r="Q24" s="1"/>
      <c r="R24" s="1"/>
      <c r="S24" s="1"/>
    </row>
    <row r="25" spans="1:19" ht="17" customHeight="1" x14ac:dyDescent="0.35">
      <c r="A25" s="51" t="s">
        <v>41</v>
      </c>
      <c r="B25" s="50"/>
      <c r="C25" s="50"/>
      <c r="D25" s="50"/>
      <c r="E25" s="50"/>
      <c r="F25" s="50"/>
      <c r="G25" s="50"/>
      <c r="H25" s="50"/>
      <c r="I25" s="50"/>
      <c r="J25" s="54"/>
      <c r="K25" s="50"/>
      <c r="L25" s="55"/>
      <c r="M25" s="50"/>
      <c r="O25" s="53" t="s">
        <v>42</v>
      </c>
      <c r="P25" s="53" t="s">
        <v>43</v>
      </c>
      <c r="Q25" s="53" t="s">
        <v>3</v>
      </c>
      <c r="R25" s="53" t="s">
        <v>44</v>
      </c>
      <c r="S25" s="53" t="s">
        <v>45</v>
      </c>
    </row>
    <row r="26" spans="1:19" ht="17" customHeight="1" x14ac:dyDescent="0.35">
      <c r="A26" s="36" t="s">
        <v>46</v>
      </c>
      <c r="B26" s="36" t="s">
        <v>17</v>
      </c>
      <c r="C26" s="36" t="s">
        <v>18</v>
      </c>
      <c r="E26" s="42" t="s">
        <v>95</v>
      </c>
      <c r="F26" s="42"/>
      <c r="G26" s="42"/>
      <c r="H26" s="42"/>
      <c r="O26" s="14" t="s">
        <v>47</v>
      </c>
      <c r="P26" s="15">
        <v>92.99</v>
      </c>
      <c r="Q26" s="3" t="s">
        <v>48</v>
      </c>
      <c r="R26" s="3">
        <v>650</v>
      </c>
      <c r="S26" s="3">
        <v>40</v>
      </c>
    </row>
    <row r="27" spans="1:19" ht="17" customHeight="1" x14ac:dyDescent="0.35">
      <c r="A27" s="21" t="s">
        <v>49</v>
      </c>
      <c r="B27" s="26">
        <v>6.7912999999999997E-6</v>
      </c>
      <c r="C27" s="22" t="s">
        <v>37</v>
      </c>
      <c r="F27" s="65">
        <v>-26.667000000000002</v>
      </c>
      <c r="G27" s="65">
        <v>0</v>
      </c>
      <c r="H27" s="65">
        <v>26.667000000000002</v>
      </c>
      <c r="O27" s="16" t="s">
        <v>50</v>
      </c>
      <c r="P27" s="17">
        <v>636.11</v>
      </c>
      <c r="Q27" s="3" t="s">
        <v>48</v>
      </c>
      <c r="R27" s="3">
        <v>550</v>
      </c>
      <c r="S27" s="3">
        <v>40</v>
      </c>
    </row>
    <row r="28" spans="1:19" ht="17" customHeight="1" x14ac:dyDescent="0.35">
      <c r="A28" s="21" t="s">
        <v>51</v>
      </c>
      <c r="B28" s="26">
        <v>2.7869999999999999E-5</v>
      </c>
      <c r="C28" s="22" t="s">
        <v>37</v>
      </c>
      <c r="E28" s="65">
        <v>16.667000000000002</v>
      </c>
      <c r="F28" s="29">
        <f>B33</f>
        <v>2.4152000000000002E-6</v>
      </c>
      <c r="G28" s="29">
        <f>B34</f>
        <v>2.3445999999999999E-5</v>
      </c>
      <c r="H28" s="29">
        <f>B35</f>
        <v>2.0006E-6</v>
      </c>
      <c r="O28" s="18" t="s">
        <v>52</v>
      </c>
      <c r="P28" s="19">
        <v>33.29</v>
      </c>
      <c r="Q28" s="3" t="s">
        <v>48</v>
      </c>
      <c r="R28" s="3">
        <v>450</v>
      </c>
      <c r="S28" s="3">
        <v>40</v>
      </c>
    </row>
    <row r="29" spans="1:19" ht="17" customHeight="1" x14ac:dyDescent="0.35">
      <c r="A29" s="21" t="s">
        <v>53</v>
      </c>
      <c r="B29" s="26">
        <v>3.4215000000000002E-6</v>
      </c>
      <c r="C29" s="22" t="s">
        <v>37</v>
      </c>
      <c r="E29" s="65">
        <v>0</v>
      </c>
      <c r="F29" s="29">
        <f>B30</f>
        <v>1.5172E-5</v>
      </c>
      <c r="G29" s="29">
        <f>B31</f>
        <v>9.8932999999999996E-5</v>
      </c>
      <c r="H29" s="29">
        <f>B32</f>
        <v>1.2849E-5</v>
      </c>
      <c r="J29" s="8"/>
      <c r="L29" s="8"/>
      <c r="O29" s="1"/>
      <c r="P29" s="3"/>
      <c r="Q29" s="1"/>
      <c r="R29" s="1"/>
      <c r="S29" s="1"/>
    </row>
    <row r="30" spans="1:19" ht="17" customHeight="1" x14ac:dyDescent="0.35">
      <c r="A30" s="21" t="s">
        <v>54</v>
      </c>
      <c r="B30" s="26">
        <v>1.5172E-5</v>
      </c>
      <c r="C30" s="22" t="s">
        <v>55</v>
      </c>
      <c r="E30" s="65">
        <v>-16.667000000000002</v>
      </c>
      <c r="F30" s="29">
        <f>B27</f>
        <v>6.7912999999999997E-6</v>
      </c>
      <c r="G30" s="29">
        <f>B28</f>
        <v>2.7869999999999999E-5</v>
      </c>
      <c r="H30" s="29">
        <f>B29</f>
        <v>3.4215000000000002E-6</v>
      </c>
      <c r="J30" s="67" t="s">
        <v>30</v>
      </c>
      <c r="K30" s="67" t="s">
        <v>17</v>
      </c>
      <c r="L30" s="67" t="s">
        <v>18</v>
      </c>
      <c r="M30" s="22"/>
      <c r="O30" s="1" t="s">
        <v>0</v>
      </c>
      <c r="P30" s="1"/>
      <c r="Q30" s="1"/>
      <c r="R30" s="1"/>
      <c r="S30" s="1"/>
    </row>
    <row r="31" spans="1:19" ht="17" customHeight="1" x14ac:dyDescent="0.45">
      <c r="A31" s="21" t="s">
        <v>56</v>
      </c>
      <c r="B31" s="26">
        <v>9.8932999999999996E-5</v>
      </c>
      <c r="C31" s="22" t="s">
        <v>55</v>
      </c>
      <c r="J31" s="30" t="s">
        <v>88</v>
      </c>
      <c r="K31" s="5">
        <f>AVERAGE(F34:H36)</f>
        <v>3.369082656296986E-4</v>
      </c>
      <c r="N31" s="31"/>
      <c r="O31" s="53" t="s">
        <v>1</v>
      </c>
      <c r="P31" s="53" t="s">
        <v>2</v>
      </c>
      <c r="Q31" s="53" t="s">
        <v>3</v>
      </c>
      <c r="R31" s="53" t="s">
        <v>4</v>
      </c>
    </row>
    <row r="32" spans="1:19" ht="17" customHeight="1" x14ac:dyDescent="0.35">
      <c r="A32" s="21" t="s">
        <v>57</v>
      </c>
      <c r="B32" s="26">
        <v>1.2849E-5</v>
      </c>
      <c r="C32" s="22" t="s">
        <v>55</v>
      </c>
      <c r="E32" s="42" t="s">
        <v>58</v>
      </c>
      <c r="F32" s="42"/>
      <c r="G32" s="42"/>
      <c r="H32" s="42"/>
      <c r="J32" s="21" t="s">
        <v>59</v>
      </c>
      <c r="K32" s="32">
        <f>2*(SIN(RADIANS($K$5/2))*ATAN(TAN(RADIANS($K$6/2))*COS(RADIANS($K$5/2)))+SIN(RADIANS($K$6/2))*ATAN(TAN(RADIANS($K$5/2))*COS(RADIANS($K$6/2))))</f>
        <v>0.16963926758832579</v>
      </c>
      <c r="L32" s="22" t="s">
        <v>60</v>
      </c>
      <c r="O32" s="2" t="s">
        <v>5</v>
      </c>
      <c r="P32" s="1">
        <v>4.5</v>
      </c>
      <c r="Q32" s="3" t="s">
        <v>6</v>
      </c>
      <c r="R32" s="1" t="s">
        <v>94</v>
      </c>
    </row>
    <row r="33" spans="1:18" ht="17" customHeight="1" x14ac:dyDescent="0.35">
      <c r="A33" s="21" t="s">
        <v>61</v>
      </c>
      <c r="B33" s="26">
        <v>2.4152000000000002E-6</v>
      </c>
      <c r="C33" s="22" t="s">
        <v>55</v>
      </c>
      <c r="F33" s="66">
        <f>$F$16</f>
        <v>-14.790268573055313</v>
      </c>
      <c r="G33" s="66">
        <f>$G$16</f>
        <v>0</v>
      </c>
      <c r="H33" s="66">
        <f>$H$16</f>
        <v>14.790268573055313</v>
      </c>
      <c r="J33" s="21" t="s">
        <v>62</v>
      </c>
      <c r="K33" s="70">
        <f>K31/($K$12*K32)</f>
        <v>632.17221585285711</v>
      </c>
      <c r="L33" s="55" t="s">
        <v>63</v>
      </c>
      <c r="N33" s="23"/>
      <c r="O33" s="2" t="s">
        <v>7</v>
      </c>
      <c r="P33" s="1">
        <v>0.01</v>
      </c>
      <c r="Q33" s="3"/>
      <c r="R33" s="1" t="s">
        <v>92</v>
      </c>
    </row>
    <row r="34" spans="1:18" ht="17" customHeight="1" x14ac:dyDescent="0.35">
      <c r="A34" s="21" t="s">
        <v>64</v>
      </c>
      <c r="B34" s="26">
        <v>2.3445999999999999E-5</v>
      </c>
      <c r="C34" s="22" t="s">
        <v>55</v>
      </c>
      <c r="E34" s="66">
        <f>$G$21</f>
        <v>9.3704895928563001</v>
      </c>
      <c r="F34" s="29">
        <f t="shared" ref="F34:H36" si="3">F28*$K$13/$K$14</f>
        <v>3.7964545042523035E-5</v>
      </c>
      <c r="G34" s="29">
        <f t="shared" si="3"/>
        <v>3.685478316772917E-4</v>
      </c>
      <c r="H34" s="29">
        <f t="shared" si="3"/>
        <v>3.1447444854286009E-5</v>
      </c>
      <c r="J34" s="21" t="s">
        <v>65</v>
      </c>
      <c r="K34" s="23">
        <f>K33*$K$7</f>
        <v>632.17221585285711</v>
      </c>
      <c r="L34" s="22" t="s">
        <v>66</v>
      </c>
      <c r="O34" s="2" t="s">
        <v>8</v>
      </c>
      <c r="P34" s="1">
        <v>0.2</v>
      </c>
      <c r="Q34" s="3"/>
      <c r="R34" s="1" t="s">
        <v>92</v>
      </c>
    </row>
    <row r="35" spans="1:18" ht="17" customHeight="1" x14ac:dyDescent="0.35">
      <c r="A35" s="21" t="s">
        <v>67</v>
      </c>
      <c r="B35" s="26">
        <v>2.0006E-6</v>
      </c>
      <c r="C35" s="22" t="s">
        <v>55</v>
      </c>
      <c r="E35" s="66">
        <f>$G$22</f>
        <v>0</v>
      </c>
      <c r="F35" s="29">
        <f t="shared" si="3"/>
        <v>2.3848877003360358E-4</v>
      </c>
      <c r="G35" s="29">
        <f t="shared" si="3"/>
        <v>1.5551284923368378E-3</v>
      </c>
      <c r="H35" s="29">
        <f t="shared" si="3"/>
        <v>2.0197351741113711E-4</v>
      </c>
      <c r="J35" s="21" t="s">
        <v>68</v>
      </c>
      <c r="K35" s="33">
        <f>MAX(F34:H36)/MIN(F34:H36)</f>
        <v>49.451664500649805</v>
      </c>
      <c r="L35" s="8"/>
      <c r="O35" s="2" t="s">
        <v>9</v>
      </c>
      <c r="P35" s="1">
        <v>0.9</v>
      </c>
      <c r="Q35" s="3"/>
      <c r="R35" s="1" t="s">
        <v>92</v>
      </c>
    </row>
    <row r="36" spans="1:18" ht="17" customHeight="1" x14ac:dyDescent="0.35">
      <c r="A36" s="34" t="s">
        <v>69</v>
      </c>
      <c r="B36" s="35">
        <f>AVERAGE(B27:B35)</f>
        <v>2.1433177777777779E-5</v>
      </c>
      <c r="C36" s="36" t="s">
        <v>55</v>
      </c>
      <c r="E36" s="66">
        <f>$G$23</f>
        <v>-9.3704895928563001</v>
      </c>
      <c r="F36" s="29">
        <f t="shared" si="3"/>
        <v>1.0675249037234457E-4</v>
      </c>
      <c r="G36" s="29">
        <f t="shared" si="3"/>
        <v>4.3808871742924676E-4</v>
      </c>
      <c r="H36" s="29">
        <f t="shared" si="3"/>
        <v>5.378258151001679E-5</v>
      </c>
      <c r="J36" s="21" t="s">
        <v>70</v>
      </c>
      <c r="K36" s="37">
        <f>(K35-1)/(K35+1)</f>
        <v>0.96035809680819861</v>
      </c>
      <c r="L36" s="8"/>
      <c r="O36" s="6" t="s">
        <v>11</v>
      </c>
      <c r="P36" s="7">
        <f>K44</f>
        <v>1.4212339930522188E-4</v>
      </c>
      <c r="R36" s="8" t="s">
        <v>97</v>
      </c>
    </row>
    <row r="37" spans="1:18" ht="17" customHeight="1" x14ac:dyDescent="0.35">
      <c r="J37" s="38"/>
      <c r="K37" s="39"/>
      <c r="L37" s="38"/>
      <c r="M37" s="38"/>
      <c r="O37" s="2" t="s">
        <v>12</v>
      </c>
      <c r="P37" s="11">
        <f>K12</f>
        <v>3.1415926535897929E-6</v>
      </c>
      <c r="Q37" s="3" t="str">
        <f>L12</f>
        <v>m^2</v>
      </c>
      <c r="R37" s="1"/>
    </row>
    <row r="38" spans="1:18" ht="17" customHeight="1" x14ac:dyDescent="0.35">
      <c r="A38" s="63" t="s">
        <v>71</v>
      </c>
      <c r="B38" s="56"/>
      <c r="C38" s="56"/>
      <c r="D38" s="56"/>
      <c r="E38" s="56"/>
      <c r="F38" s="56"/>
      <c r="G38" s="56"/>
      <c r="H38" s="56"/>
      <c r="I38" s="56"/>
      <c r="J38" s="57"/>
      <c r="K38" s="58"/>
      <c r="L38" s="59"/>
      <c r="M38" s="56"/>
      <c r="O38" s="2" t="s">
        <v>13</v>
      </c>
      <c r="P38" s="12">
        <f>K45</f>
        <v>0.16963926758832579</v>
      </c>
      <c r="Q38" s="3" t="str">
        <f>L45</f>
        <v>sr</v>
      </c>
      <c r="R38" s="1"/>
    </row>
    <row r="39" spans="1:18" ht="17" customHeight="1" x14ac:dyDescent="0.35">
      <c r="A39" s="36" t="s">
        <v>46</v>
      </c>
      <c r="B39" s="36" t="s">
        <v>17</v>
      </c>
      <c r="C39" s="36" t="s">
        <v>18</v>
      </c>
      <c r="E39" s="42" t="s">
        <v>95</v>
      </c>
      <c r="F39" s="42"/>
      <c r="G39" s="42"/>
      <c r="H39" s="42"/>
      <c r="K39" s="29"/>
      <c r="O39" s="1" t="s">
        <v>14</v>
      </c>
      <c r="P39" s="13">
        <f>(P32*P33*P34*P35)*(+P27*P36)/(P37*P38)</f>
        <v>1374.0627515722881</v>
      </c>
      <c r="Q39" s="3" t="s">
        <v>15</v>
      </c>
      <c r="R39" s="1"/>
    </row>
    <row r="40" spans="1:18" ht="17" customHeight="1" x14ac:dyDescent="0.35">
      <c r="A40" s="21" t="s">
        <v>49</v>
      </c>
      <c r="B40" s="26">
        <v>1.5506999999999999E-5</v>
      </c>
      <c r="C40" s="22" t="s">
        <v>37</v>
      </c>
      <c r="F40" s="65">
        <v>-26.667000000000002</v>
      </c>
      <c r="G40" s="65">
        <v>0</v>
      </c>
      <c r="H40" s="65">
        <v>26.667000000000002</v>
      </c>
      <c r="K40" s="29"/>
    </row>
    <row r="41" spans="1:18" ht="17" customHeight="1" x14ac:dyDescent="0.35">
      <c r="A41" s="21" t="s">
        <v>51</v>
      </c>
      <c r="B41" s="26">
        <v>7.9541000000000006E-6</v>
      </c>
      <c r="C41" s="22" t="s">
        <v>37</v>
      </c>
      <c r="E41" s="65">
        <v>16.667000000000002</v>
      </c>
      <c r="F41" s="29">
        <f>B46</f>
        <v>6.1345000000000003E-6</v>
      </c>
      <c r="G41" s="29">
        <f>B47</f>
        <v>8.8784999999999998E-6</v>
      </c>
      <c r="H41" s="29">
        <f>B48</f>
        <v>8.8338E-6</v>
      </c>
      <c r="Q41" s="22"/>
      <c r="R41" s="1"/>
    </row>
    <row r="42" spans="1:18" ht="17" customHeight="1" x14ac:dyDescent="0.35">
      <c r="A42" s="21" t="s">
        <v>53</v>
      </c>
      <c r="B42" s="26">
        <v>4.0426000000000001E-6</v>
      </c>
      <c r="C42" s="22" t="s">
        <v>37</v>
      </c>
      <c r="E42" s="65">
        <v>0</v>
      </c>
      <c r="F42" s="29">
        <f>B43</f>
        <v>1.0479000000000001E-5</v>
      </c>
      <c r="G42" s="29">
        <f>B44</f>
        <v>4.0419999999999996E-6</v>
      </c>
      <c r="H42" s="29">
        <f>B45</f>
        <v>1.5502000000000002E-5</v>
      </c>
      <c r="J42" s="8"/>
      <c r="L42" s="8"/>
    </row>
    <row r="43" spans="1:18" ht="17" customHeight="1" x14ac:dyDescent="0.35">
      <c r="A43" s="21" t="s">
        <v>54</v>
      </c>
      <c r="B43" s="26">
        <v>1.0479000000000001E-5</v>
      </c>
      <c r="C43" s="22" t="s">
        <v>55</v>
      </c>
      <c r="E43" s="65">
        <v>-16.667000000000002</v>
      </c>
      <c r="F43" s="29">
        <f>B40</f>
        <v>1.5506999999999999E-5</v>
      </c>
      <c r="G43" s="29">
        <f>B41</f>
        <v>7.9541000000000006E-6</v>
      </c>
      <c r="H43" s="29">
        <f>B42</f>
        <v>4.0426000000000001E-6</v>
      </c>
      <c r="J43" s="67" t="s">
        <v>30</v>
      </c>
      <c r="K43" s="67" t="s">
        <v>17</v>
      </c>
      <c r="L43" s="67" t="s">
        <v>18</v>
      </c>
      <c r="M43" s="22"/>
      <c r="P43" s="27"/>
      <c r="Q43" s="22"/>
    </row>
    <row r="44" spans="1:18" ht="17" customHeight="1" x14ac:dyDescent="0.45">
      <c r="A44" s="21" t="s">
        <v>56</v>
      </c>
      <c r="B44" s="26">
        <v>4.0419999999999996E-6</v>
      </c>
      <c r="C44" s="22" t="s">
        <v>55</v>
      </c>
      <c r="J44" s="40" t="s">
        <v>89</v>
      </c>
      <c r="K44" s="41">
        <f>AVERAGE(F47:H49)</f>
        <v>1.4212339930522188E-4</v>
      </c>
      <c r="Q44" s="22"/>
    </row>
    <row r="45" spans="1:18" ht="17" customHeight="1" x14ac:dyDescent="0.35">
      <c r="A45" s="21" t="s">
        <v>57</v>
      </c>
      <c r="B45" s="26">
        <v>1.5502000000000002E-5</v>
      </c>
      <c r="C45" s="22" t="s">
        <v>55</v>
      </c>
      <c r="E45" s="42" t="s">
        <v>58</v>
      </c>
      <c r="F45" s="42"/>
      <c r="G45" s="42"/>
      <c r="H45" s="42"/>
      <c r="J45" s="21" t="s">
        <v>59</v>
      </c>
      <c r="K45" s="32">
        <f>2*(SIN(RADIANS($K$5/2))*ATAN(TAN(RADIANS($K$6/2))*COS(RADIANS($K$5/2)))+SIN(RADIANS($K$6/2))*ATAN(TAN(RADIANS($K$5/2))*COS(RADIANS($K$6/2))))</f>
        <v>0.16963926758832579</v>
      </c>
      <c r="L45" s="22" t="s">
        <v>60</v>
      </c>
      <c r="Q45" s="22"/>
    </row>
    <row r="46" spans="1:18" ht="17" customHeight="1" x14ac:dyDescent="0.35">
      <c r="A46" s="21" t="s">
        <v>61</v>
      </c>
      <c r="B46" s="26">
        <v>6.1345000000000003E-6</v>
      </c>
      <c r="C46" s="22" t="s">
        <v>55</v>
      </c>
      <c r="F46" s="66">
        <f>$F$16</f>
        <v>-14.790268573055313</v>
      </c>
      <c r="G46" s="66">
        <f>$G$16</f>
        <v>0</v>
      </c>
      <c r="H46" s="66">
        <f>$H$16</f>
        <v>14.790268573055313</v>
      </c>
      <c r="J46" s="21" t="s">
        <v>62</v>
      </c>
      <c r="K46" s="69">
        <f>K44/($K$12*K45)</f>
        <v>266.67931134130816</v>
      </c>
      <c r="L46" s="59" t="s">
        <v>63</v>
      </c>
    </row>
    <row r="47" spans="1:18" ht="17" customHeight="1" x14ac:dyDescent="0.35">
      <c r="A47" s="21" t="s">
        <v>64</v>
      </c>
      <c r="B47" s="26">
        <v>8.8784999999999998E-6</v>
      </c>
      <c r="C47" s="22" t="s">
        <v>55</v>
      </c>
      <c r="E47" s="66">
        <f>$G$21</f>
        <v>9.3704895928563001</v>
      </c>
      <c r="F47" s="29">
        <f t="shared" ref="F47:H49" si="4">F41*$K$13/$K$14</f>
        <v>9.6428246755282188E-5</v>
      </c>
      <c r="G47" s="29">
        <f t="shared" si="4"/>
        <v>1.3956120120902645E-4</v>
      </c>
      <c r="H47" s="29">
        <f t="shared" si="4"/>
        <v>1.3885856160841334E-4</v>
      </c>
      <c r="J47" s="21" t="s">
        <v>65</v>
      </c>
      <c r="K47" s="23">
        <f>K46*$K$7</f>
        <v>266.67931134130816</v>
      </c>
      <c r="L47" s="22" t="s">
        <v>66</v>
      </c>
      <c r="O47" s="42" t="s">
        <v>74</v>
      </c>
      <c r="P47" s="42"/>
      <c r="Q47" s="42"/>
    </row>
    <row r="48" spans="1:18" ht="17" customHeight="1" x14ac:dyDescent="0.35">
      <c r="A48" s="21" t="s">
        <v>67</v>
      </c>
      <c r="B48" s="26">
        <v>8.8338E-6</v>
      </c>
      <c r="C48" s="22" t="s">
        <v>55</v>
      </c>
      <c r="E48" s="66">
        <f>$G$22</f>
        <v>0</v>
      </c>
      <c r="F48" s="29">
        <f t="shared" si="4"/>
        <v>1.647194714725898E-4</v>
      </c>
      <c r="G48" s="29">
        <f t="shared" si="4"/>
        <v>6.3536225182957129E-5</v>
      </c>
      <c r="H48" s="29">
        <f t="shared" si="4"/>
        <v>2.4367604225289502E-4</v>
      </c>
      <c r="J48" s="21" t="s">
        <v>68</v>
      </c>
      <c r="K48" s="33">
        <f>MAX(F47:H49)/MIN(F47:H49)</f>
        <v>3.8364670954972797</v>
      </c>
      <c r="L48" s="8"/>
      <c r="O48" s="8" t="s">
        <v>75</v>
      </c>
      <c r="P48" s="8">
        <v>3.5</v>
      </c>
      <c r="Q48" s="22" t="s">
        <v>76</v>
      </c>
    </row>
    <row r="49" spans="1:17" ht="17" customHeight="1" x14ac:dyDescent="0.35">
      <c r="A49" s="34" t="s">
        <v>69</v>
      </c>
      <c r="B49" s="35">
        <f>AVERAGE(B40:B48)</f>
        <v>9.0414999999999997E-6</v>
      </c>
      <c r="C49" s="36" t="s">
        <v>55</v>
      </c>
      <c r="E49" s="66">
        <f>$G$23</f>
        <v>-9.3704895928563001</v>
      </c>
      <c r="F49" s="29">
        <f t="shared" si="4"/>
        <v>2.4375463728652064E-4</v>
      </c>
      <c r="G49" s="29">
        <f t="shared" si="4"/>
        <v>1.2503055139232049E-4</v>
      </c>
      <c r="H49" s="29">
        <f t="shared" si="4"/>
        <v>6.3545656586992216E-5</v>
      </c>
      <c r="J49" s="21" t="s">
        <v>70</v>
      </c>
      <c r="K49" s="37">
        <f>(K48-1)/(K48+1)</f>
        <v>0.58647501150954018</v>
      </c>
      <c r="L49" s="8"/>
      <c r="O49" s="8" t="s">
        <v>78</v>
      </c>
      <c r="P49" s="8">
        <f>45*35*1</f>
        <v>1575</v>
      </c>
      <c r="Q49" s="22" t="s">
        <v>79</v>
      </c>
    </row>
    <row r="50" spans="1:17" ht="17" customHeight="1" x14ac:dyDescent="0.35">
      <c r="O50" s="8" t="s">
        <v>80</v>
      </c>
      <c r="P50" s="42">
        <f>P48*P49*0.00001*1000</f>
        <v>55.125000000000007</v>
      </c>
      <c r="Q50" s="22" t="s">
        <v>73</v>
      </c>
    </row>
    <row r="51" spans="1:17" ht="17" customHeight="1" x14ac:dyDescent="0.35">
      <c r="A51" s="64" t="s">
        <v>77</v>
      </c>
      <c r="B51" s="60"/>
      <c r="C51" s="60"/>
      <c r="D51" s="60"/>
      <c r="E51" s="60"/>
      <c r="F51" s="60"/>
      <c r="G51" s="60"/>
      <c r="H51" s="60"/>
      <c r="I51" s="60"/>
      <c r="J51" s="61"/>
      <c r="K51" s="60"/>
      <c r="L51" s="62"/>
      <c r="M51" s="60"/>
      <c r="O51" s="8" t="s">
        <v>72</v>
      </c>
      <c r="P51" s="8">
        <v>2</v>
      </c>
    </row>
    <row r="52" spans="1:17" ht="17" customHeight="1" x14ac:dyDescent="0.35">
      <c r="A52" s="36" t="s">
        <v>46</v>
      </c>
      <c r="B52" s="36" t="s">
        <v>17</v>
      </c>
      <c r="C52" s="36" t="s">
        <v>18</v>
      </c>
      <c r="E52" s="42" t="s">
        <v>95</v>
      </c>
      <c r="F52" s="42"/>
      <c r="G52" s="42"/>
      <c r="H52" s="42"/>
      <c r="J52" s="43"/>
      <c r="O52" s="8" t="s">
        <v>81</v>
      </c>
      <c r="P52" s="42">
        <f>15*P51</f>
        <v>30</v>
      </c>
      <c r="Q52" s="20" t="s">
        <v>73</v>
      </c>
    </row>
    <row r="53" spans="1:17" ht="17" customHeight="1" x14ac:dyDescent="0.35">
      <c r="A53" s="21" t="s">
        <v>49</v>
      </c>
      <c r="B53" s="26">
        <v>0</v>
      </c>
      <c r="C53" s="22" t="s">
        <v>37</v>
      </c>
      <c r="F53" s="65">
        <v>-26.667000000000002</v>
      </c>
      <c r="G53" s="65">
        <v>0</v>
      </c>
      <c r="H53" s="65">
        <v>26.667000000000002</v>
      </c>
      <c r="O53" s="8" t="s">
        <v>82</v>
      </c>
      <c r="P53" s="42">
        <v>20</v>
      </c>
      <c r="Q53" s="20" t="s">
        <v>73</v>
      </c>
    </row>
    <row r="54" spans="1:17" ht="17" customHeight="1" x14ac:dyDescent="0.35">
      <c r="A54" s="21" t="s">
        <v>51</v>
      </c>
      <c r="B54" s="26">
        <v>0</v>
      </c>
      <c r="C54" s="22" t="s">
        <v>37</v>
      </c>
      <c r="E54" s="65">
        <v>16.667000000000002</v>
      </c>
      <c r="F54" s="29">
        <f>B59</f>
        <v>0</v>
      </c>
      <c r="G54" s="29">
        <f>B60</f>
        <v>8.9113000000000006E-6</v>
      </c>
      <c r="H54" s="29">
        <f>B61</f>
        <v>6.7625000000000001E-6</v>
      </c>
      <c r="Q54" s="20"/>
    </row>
    <row r="55" spans="1:17" ht="17" customHeight="1" x14ac:dyDescent="0.35">
      <c r="A55" s="21" t="s">
        <v>53</v>
      </c>
      <c r="B55" s="26">
        <v>0</v>
      </c>
      <c r="C55" s="22" t="s">
        <v>37</v>
      </c>
      <c r="E55" s="65">
        <v>0</v>
      </c>
      <c r="F55" s="29">
        <f>B56</f>
        <v>0</v>
      </c>
      <c r="G55" s="29">
        <f>B57</f>
        <v>2.2518999999999999E-5</v>
      </c>
      <c r="H55" s="29">
        <f>B58</f>
        <v>7.3672000000000004E-6</v>
      </c>
      <c r="J55" s="8"/>
      <c r="L55" s="8"/>
      <c r="O55" s="42" t="s">
        <v>83</v>
      </c>
      <c r="P55" s="42">
        <f>P50+P52+P53</f>
        <v>105.125</v>
      </c>
      <c r="Q55" s="45" t="s">
        <v>73</v>
      </c>
    </row>
    <row r="56" spans="1:17" ht="17" customHeight="1" x14ac:dyDescent="0.35">
      <c r="A56" s="21" t="s">
        <v>54</v>
      </c>
      <c r="B56" s="26">
        <v>0</v>
      </c>
      <c r="C56" s="22" t="s">
        <v>55</v>
      </c>
      <c r="E56" s="65">
        <v>-16.667000000000002</v>
      </c>
      <c r="F56" s="29">
        <f>B53</f>
        <v>0</v>
      </c>
      <c r="G56" s="29">
        <f>B54</f>
        <v>0</v>
      </c>
      <c r="H56" s="29">
        <f>B55</f>
        <v>0</v>
      </c>
      <c r="J56" s="67" t="s">
        <v>91</v>
      </c>
      <c r="K56" s="67" t="s">
        <v>17</v>
      </c>
      <c r="L56" s="67" t="s">
        <v>18</v>
      </c>
      <c r="M56" s="22"/>
      <c r="Q56" s="20"/>
    </row>
    <row r="57" spans="1:17" ht="17" customHeight="1" x14ac:dyDescent="0.45">
      <c r="A57" s="21" t="s">
        <v>56</v>
      </c>
      <c r="B57" s="26">
        <v>2.2518999999999999E-5</v>
      </c>
      <c r="C57" s="22" t="s">
        <v>55</v>
      </c>
      <c r="J57" s="44" t="s">
        <v>90</v>
      </c>
      <c r="K57" s="10">
        <f>AVERAGE(F60:H62)</f>
        <v>7.9573105155190699E-5</v>
      </c>
      <c r="Q57" s="20"/>
    </row>
    <row r="58" spans="1:17" ht="17" customHeight="1" x14ac:dyDescent="0.35">
      <c r="A58" s="21" t="s">
        <v>57</v>
      </c>
      <c r="B58" s="26">
        <v>7.3672000000000004E-6</v>
      </c>
      <c r="C58" s="22" t="s">
        <v>55</v>
      </c>
      <c r="E58" s="42" t="s">
        <v>58</v>
      </c>
      <c r="F58" s="42"/>
      <c r="G58" s="42"/>
      <c r="H58" s="42"/>
      <c r="J58" s="21" t="s">
        <v>59</v>
      </c>
      <c r="K58" s="32">
        <f>2*(SIN(RADIANS($K$5/2))*ATAN(TAN(RADIANS($K$6/2))*COS(RADIANS($K$5/2)))+SIN(RADIANS($K$6/2))*ATAN(TAN(RADIANS($K$5/2))*COS(RADIANS($K$6/2))))</f>
        <v>0.16963926758832579</v>
      </c>
      <c r="L58" s="22" t="s">
        <v>60</v>
      </c>
      <c r="N58" s="1"/>
    </row>
    <row r="59" spans="1:17" ht="17" customHeight="1" x14ac:dyDescent="0.35">
      <c r="A59" s="21" t="s">
        <v>61</v>
      </c>
      <c r="B59" s="26">
        <v>0</v>
      </c>
      <c r="C59" s="22" t="s">
        <v>55</v>
      </c>
      <c r="F59" s="66">
        <f>$F$16</f>
        <v>-14.790268573055313</v>
      </c>
      <c r="G59" s="66">
        <f>$G$16</f>
        <v>0</v>
      </c>
      <c r="H59" s="66">
        <f>$H$16</f>
        <v>14.790268573055313</v>
      </c>
      <c r="J59" s="21" t="s">
        <v>62</v>
      </c>
      <c r="K59" s="68">
        <f>K57/($K$12*K58)</f>
        <v>149.31039496531429</v>
      </c>
      <c r="L59" s="62" t="s">
        <v>63</v>
      </c>
      <c r="N59" s="1"/>
    </row>
    <row r="60" spans="1:17" ht="17" customHeight="1" x14ac:dyDescent="0.35">
      <c r="A60" s="21" t="s">
        <v>64</v>
      </c>
      <c r="B60" s="26">
        <v>8.9113000000000006E-6</v>
      </c>
      <c r="C60" s="22" t="s">
        <v>55</v>
      </c>
      <c r="E60" s="66">
        <f>$G$21</f>
        <v>9.3704895928563001</v>
      </c>
      <c r="F60" s="29">
        <f>F54*$K$13/$K$14</f>
        <v>0</v>
      </c>
      <c r="G60" s="29">
        <f>G54*$K$13/$K$14</f>
        <v>1.4007678462961057E-4</v>
      </c>
      <c r="H60" s="29">
        <f>H54*$K$13/$K$14</f>
        <v>1.0629978297866097E-4</v>
      </c>
      <c r="J60" s="21" t="s">
        <v>65</v>
      </c>
      <c r="K60" s="23">
        <f>K59*$K$7</f>
        <v>149.31039496531429</v>
      </c>
      <c r="L60" s="22" t="s">
        <v>66</v>
      </c>
      <c r="N60" s="1"/>
    </row>
    <row r="61" spans="1:17" ht="17" customHeight="1" x14ac:dyDescent="0.35">
      <c r="A61" s="21" t="s">
        <v>67</v>
      </c>
      <c r="B61" s="26">
        <v>6.7625000000000001E-6</v>
      </c>
      <c r="C61" s="22" t="s">
        <v>55</v>
      </c>
      <c r="E61" s="66">
        <f>$G$22</f>
        <v>0</v>
      </c>
      <c r="F61" s="29">
        <f t="shared" ref="F61:H61" si="5">F55*$K$13/$K$14</f>
        <v>0</v>
      </c>
      <c r="G61" s="29">
        <f t="shared" si="5"/>
        <v>3.539763124431004E-4</v>
      </c>
      <c r="H61" s="29">
        <f t="shared" si="5"/>
        <v>1.1580506634534435E-4</v>
      </c>
      <c r="J61" s="21" t="s">
        <v>68</v>
      </c>
      <c r="K61" s="8" t="e">
        <f>MAX(F60:H62)/MIN(F60:H62)</f>
        <v>#DIV/0!</v>
      </c>
      <c r="L61" s="8"/>
      <c r="N61" s="1"/>
    </row>
    <row r="62" spans="1:17" ht="17" customHeight="1" x14ac:dyDescent="0.35">
      <c r="A62" s="34" t="s">
        <v>69</v>
      </c>
      <c r="B62" s="35">
        <f>AVERAGE(B53:B61)</f>
        <v>5.0622222222222216E-6</v>
      </c>
      <c r="C62" s="36" t="s">
        <v>55</v>
      </c>
      <c r="E62" s="66">
        <f>$G$23</f>
        <v>-9.3704895928563001</v>
      </c>
      <c r="F62" s="29">
        <f>F56*$K$13/$K$14</f>
        <v>0</v>
      </c>
      <c r="G62" s="29">
        <f>G56*$K$13/$K$14</f>
        <v>0</v>
      </c>
      <c r="H62" s="29">
        <f>H56*$K$13/$K$14</f>
        <v>0</v>
      </c>
      <c r="J62" s="21" t="s">
        <v>70</v>
      </c>
      <c r="K62" s="37">
        <v>1</v>
      </c>
      <c r="L62" s="8"/>
      <c r="N62" s="38"/>
    </row>
    <row r="63" spans="1:17" ht="17" customHeight="1" x14ac:dyDescent="0.35">
      <c r="N63" s="38"/>
    </row>
    <row r="64" spans="1:17" ht="17" customHeight="1" x14ac:dyDescent="0.35"/>
    <row r="65" ht="17" customHeight="1" x14ac:dyDescent="0.35"/>
    <row r="66" ht="17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all_wavelengths</vt:lpstr>
      <vt:lpstr>only_550nm_wavelength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Smith</dc:creator>
  <cp:lastModifiedBy>Rae Smith</cp:lastModifiedBy>
  <dcterms:created xsi:type="dcterms:W3CDTF">2023-11-04T21:33:03Z</dcterms:created>
  <dcterms:modified xsi:type="dcterms:W3CDTF">2023-11-11T01:35:08Z</dcterms:modified>
</cp:coreProperties>
</file>